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Расчет (2017 числ.)" sheetId="1" r:id="rId1"/>
  </sheets>
  <definedNames>
    <definedName name="_xlnm.Print_Titles" localSheetId="0">'Расчет (2017 числ.)'!$A:$A</definedName>
    <definedName name="_xlnm.Print_Area" localSheetId="0">'Расчет (2017 числ.)'!$A$1:$W$34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/>
  <c r="K33"/>
  <c r="J33" s="1"/>
  <c r="I33"/>
  <c r="D33"/>
  <c r="H33" s="1"/>
  <c r="N33" s="1"/>
  <c r="M32"/>
  <c r="K32"/>
  <c r="J32" s="1"/>
  <c r="I32"/>
  <c r="D32"/>
  <c r="H32" s="1"/>
  <c r="N32" s="1"/>
  <c r="M31"/>
  <c r="K31"/>
  <c r="J31"/>
  <c r="H31"/>
  <c r="N31" s="1"/>
  <c r="D31"/>
  <c r="M30"/>
  <c r="K30"/>
  <c r="J30" s="1"/>
  <c r="D30"/>
  <c r="H30" s="1"/>
  <c r="N30" s="1"/>
  <c r="M29"/>
  <c r="K29"/>
  <c r="J29"/>
  <c r="H29"/>
  <c r="N29" s="1"/>
  <c r="F29"/>
  <c r="D29"/>
  <c r="M28"/>
  <c r="K28"/>
  <c r="J28" s="1"/>
  <c r="D28"/>
  <c r="H28" s="1"/>
  <c r="N28" s="1"/>
  <c r="M27"/>
  <c r="K27"/>
  <c r="J27"/>
  <c r="H27"/>
  <c r="N27" s="1"/>
  <c r="D27"/>
  <c r="M26"/>
  <c r="K26"/>
  <c r="J26" s="1"/>
  <c r="D26"/>
  <c r="H26" s="1"/>
  <c r="N26" s="1"/>
  <c r="M25"/>
  <c r="K25"/>
  <c r="J25"/>
  <c r="H25"/>
  <c r="N25" s="1"/>
  <c r="D25"/>
  <c r="M24"/>
  <c r="K24"/>
  <c r="J24" s="1"/>
  <c r="D24"/>
  <c r="H24" s="1"/>
  <c r="N24" s="1"/>
  <c r="M23"/>
  <c r="K23"/>
  <c r="J23"/>
  <c r="H23"/>
  <c r="N23" s="1"/>
  <c r="D23"/>
  <c r="M22"/>
  <c r="K22"/>
  <c r="J22" s="1"/>
  <c r="D22"/>
  <c r="H22" s="1"/>
  <c r="N22" s="1"/>
  <c r="M21"/>
  <c r="K21"/>
  <c r="J21"/>
  <c r="H21"/>
  <c r="N21" s="1"/>
  <c r="D21"/>
  <c r="M20"/>
  <c r="K20"/>
  <c r="J20" s="1"/>
  <c r="D20"/>
  <c r="H20" s="1"/>
  <c r="N20" s="1"/>
  <c r="M19"/>
  <c r="K19"/>
  <c r="J19"/>
  <c r="D19"/>
  <c r="H19" s="1"/>
  <c r="N19" s="1"/>
  <c r="M18"/>
  <c r="K18"/>
  <c r="J18"/>
  <c r="D18"/>
  <c r="H18" s="1"/>
  <c r="N18" s="1"/>
  <c r="M17"/>
  <c r="K17"/>
  <c r="J17"/>
  <c r="D17"/>
  <c r="H17" s="1"/>
  <c r="N17" s="1"/>
  <c r="M16"/>
  <c r="K16"/>
  <c r="J16"/>
  <c r="D16"/>
  <c r="H16" s="1"/>
  <c r="N16" s="1"/>
  <c r="M15"/>
  <c r="K15"/>
  <c r="J15"/>
  <c r="D15"/>
  <c r="H15" s="1"/>
  <c r="N15" s="1"/>
  <c r="M14"/>
  <c r="K14"/>
  <c r="J14"/>
  <c r="D14"/>
  <c r="H14" s="1"/>
  <c r="N14" s="1"/>
  <c r="M13"/>
  <c r="K13"/>
  <c r="J13"/>
  <c r="D13"/>
  <c r="H13" s="1"/>
  <c r="N13" s="1"/>
  <c r="M12"/>
  <c r="K12"/>
  <c r="J12"/>
  <c r="D12"/>
  <c r="H12" s="1"/>
  <c r="N12" s="1"/>
  <c r="M11"/>
  <c r="K11"/>
  <c r="J11"/>
  <c r="D11"/>
  <c r="H11" s="1"/>
  <c r="N11" s="1"/>
  <c r="M10"/>
  <c r="K10"/>
  <c r="J10"/>
  <c r="D10"/>
  <c r="H10" s="1"/>
  <c r="N10" s="1"/>
  <c r="M9"/>
  <c r="K9"/>
  <c r="J9"/>
  <c r="D9"/>
  <c r="H9" s="1"/>
  <c r="N9" s="1"/>
  <c r="D36"/>
  <c r="H36" s="1"/>
  <c r="D35"/>
  <c r="H35" s="1"/>
  <c r="F34"/>
  <c r="D34"/>
  <c r="M34"/>
  <c r="T29" l="1"/>
  <c r="V29" s="1"/>
  <c r="U29"/>
  <c r="W29" s="1"/>
  <c r="R30"/>
  <c r="V30" s="1"/>
  <c r="S30"/>
  <c r="W30" s="1"/>
  <c r="R31"/>
  <c r="V31" s="1"/>
  <c r="S31"/>
  <c r="W31" s="1"/>
  <c r="R32"/>
  <c r="V32" s="1"/>
  <c r="S32"/>
  <c r="W32" s="1"/>
  <c r="T33"/>
  <c r="V33" s="1"/>
  <c r="U33"/>
  <c r="W33" s="1"/>
  <c r="P9"/>
  <c r="V9" s="1"/>
  <c r="Q9"/>
  <c r="W9" s="1"/>
  <c r="Q10"/>
  <c r="W10" s="1"/>
  <c r="P10"/>
  <c r="V10" s="1"/>
  <c r="Q11"/>
  <c r="W11" s="1"/>
  <c r="P11"/>
  <c r="V11" s="1"/>
  <c r="Q12"/>
  <c r="W12" s="1"/>
  <c r="P12"/>
  <c r="V12" s="1"/>
  <c r="Q13"/>
  <c r="W13" s="1"/>
  <c r="P13"/>
  <c r="V13" s="1"/>
  <c r="Q14"/>
  <c r="W14" s="1"/>
  <c r="P14"/>
  <c r="V14" s="1"/>
  <c r="Q15"/>
  <c r="W15" s="1"/>
  <c r="P15"/>
  <c r="V15" s="1"/>
  <c r="Q16"/>
  <c r="W16" s="1"/>
  <c r="P16"/>
  <c r="V16" s="1"/>
  <c r="P17"/>
  <c r="V17" s="1"/>
  <c r="Q17"/>
  <c r="W17" s="1"/>
  <c r="Q18"/>
  <c r="W18" s="1"/>
  <c r="P18"/>
  <c r="V18" s="1"/>
  <c r="T19"/>
  <c r="V19" s="1"/>
  <c r="U19"/>
  <c r="W19" s="1"/>
  <c r="Q20"/>
  <c r="W20" s="1"/>
  <c r="P20"/>
  <c r="V20" s="1"/>
  <c r="P21"/>
  <c r="V21" s="1"/>
  <c r="Q21"/>
  <c r="W21" s="1"/>
  <c r="Q22"/>
  <c r="W22" s="1"/>
  <c r="P22"/>
  <c r="V22" s="1"/>
  <c r="P23"/>
  <c r="V23" s="1"/>
  <c r="Q23"/>
  <c r="W23" s="1"/>
  <c r="S24"/>
  <c r="W24" s="1"/>
  <c r="R24"/>
  <c r="V24" s="1"/>
  <c r="P25"/>
  <c r="V25" s="1"/>
  <c r="Q25"/>
  <c r="W25" s="1"/>
  <c r="Q26"/>
  <c r="W26" s="1"/>
  <c r="P26"/>
  <c r="V26" s="1"/>
  <c r="P27"/>
  <c r="V27" s="1"/>
  <c r="Q27"/>
  <c r="W27" s="1"/>
  <c r="U28"/>
  <c r="W28" s="1"/>
  <c r="T28"/>
  <c r="V28" s="1"/>
  <c r="J34"/>
  <c r="I34"/>
  <c r="I36" s="1"/>
  <c r="H34"/>
  <c r="K34"/>
  <c r="S34" l="1"/>
  <c r="N34"/>
  <c r="T34"/>
  <c r="R34"/>
  <c r="U34" l="1"/>
  <c r="Q34"/>
  <c r="W34"/>
  <c r="P34"/>
  <c r="V34"/>
</calcChain>
</file>

<file path=xl/sharedStrings.xml><?xml version="1.0" encoding="utf-8"?>
<sst xmlns="http://schemas.openxmlformats.org/spreadsheetml/2006/main" count="64" uniqueCount="64">
  <si>
    <t xml:space="preserve">Расчет субсидий бюджетам муниципальных образований на повышение средней заработной платы работников муниципальных учреждений культуры на 2017 год
</t>
  </si>
  <si>
    <t>Наименование муниципального образования</t>
  </si>
  <si>
    <t>Средняя заработная плата в Архангельской области на 2017 год (прогноз министерства экономического развития и конкурентной политики Архангельской области, учтенный при подготовке бюджета Архангельской области), тыс. рублей</t>
  </si>
  <si>
    <t>Коэффициент соотношения средней заработной платы работников муниципальных учреждений культуры и средней заработной платы в Архангельской области</t>
  </si>
  <si>
    <t>Планируемая в муниципальном образовании средняя заработная  плата работников муниципальных учреждений культуры,  тыс. рублей</t>
  </si>
  <si>
    <t>Коэффициент начислений на выплаты по оплате труда</t>
  </si>
  <si>
    <t>Численность работников муниципальных учреждений культуры, работающих на территории муниципального образования (за 1 кв. 2017 года), человек</t>
  </si>
  <si>
    <t>Количество месяцев  
в году</t>
  </si>
  <si>
    <t>Планируемый фонд оплаты труда с начислениями по муниципальным работникам  культуры  на 2017 год, формируемый за счет всех источников финансирования, тыс. руб.</t>
  </si>
  <si>
    <t xml:space="preserve"> Фонд оплаты труда с начислениями за 2016 год, формируемый за счет всех источников финансирования, тыс. руб.</t>
  </si>
  <si>
    <t>в том числе:</t>
  </si>
  <si>
    <t>Объем субсидии на повышение средней заработной платы работников муниципальных учреждений культуры до уровня 87,4 процентов к средней заработной плате в Архангельской области, тыс. рублей</t>
  </si>
  <si>
    <t>местный бюджет, всего</t>
  </si>
  <si>
    <t>областной бюджет, всего</t>
  </si>
  <si>
    <t xml:space="preserve"> ФОТ с начислениями за 2016 год, формируемый за счет бюджетного финансирования из местного бюджета, тыс. руб.</t>
  </si>
  <si>
    <t>ФОТ с начислениями за 2016 год, формируемый за счет предпринимательской  и иной приносящей доход деятельности, тыс. руб.</t>
  </si>
  <si>
    <t>4=2*3</t>
  </si>
  <si>
    <t>8=гр.4*гр.5*гр.6*гр.7</t>
  </si>
  <si>
    <t>10=гр.8-гр.9</t>
  </si>
  <si>
    <t>12=гр.10/100</t>
  </si>
  <si>
    <t>13=гр.10*99/100</t>
  </si>
  <si>
    <t>14=гр.10*5/100</t>
  </si>
  <si>
    <t>15=гр.10*95/100</t>
  </si>
  <si>
    <t>16=гр.10*10/100</t>
  </si>
  <si>
    <t>17=гр.10*90/100</t>
  </si>
  <si>
    <t>18=12+14+16</t>
  </si>
  <si>
    <t>19=13+15+17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</si>
  <si>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</si>
  <si>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</si>
  <si>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</si>
  <si>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</si>
  <si>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</si>
  <si>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</si>
  <si>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</si>
  <si>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</si>
  <si>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 xml:space="preserve">МО "Ленский муниципальный район" </t>
  </si>
  <si>
    <t xml:space="preserve">МО "Лешуконский муниципальный район" </t>
  </si>
  <si>
    <t xml:space="preserve">МО "Мезенский муниципальный район" 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</si>
  <si>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</si>
  <si>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</si>
  <si>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</si>
  <si>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</si>
  <si>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</si>
  <si>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</si>
  <si>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</si>
  <si>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</si>
  <si>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</si>
  <si>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"Город Северодвинск"</t>
  </si>
  <si>
    <t>МО "Котлас"</t>
  </si>
  <si>
    <t>МО "Город Новодвинск"</t>
  </si>
  <si>
    <t>МО "Город Коряжма"</t>
  </si>
  <si>
    <t>МО "Мирный"</t>
  </si>
  <si>
    <t>Итого</t>
  </si>
  <si>
    <t>Государственные учреждения культуры АО</t>
  </si>
  <si>
    <t>ВСЕГО</t>
  </si>
  <si>
    <r>
      <t xml:space="preserve">местный бюджет 1% </t>
    </r>
    <r>
      <rPr>
        <u/>
        <sz val="12"/>
        <color indexed="8"/>
        <rFont val="Times New Roman"/>
        <family val="1"/>
        <charset val="204"/>
      </rPr>
      <t>(гр.11&lt;0,9)</t>
    </r>
  </si>
  <si>
    <r>
      <t xml:space="preserve">областной бюджет 99% </t>
    </r>
    <r>
      <rPr>
        <u/>
        <sz val="12"/>
        <color indexed="8"/>
        <rFont val="Times New Roman"/>
        <family val="1"/>
        <charset val="204"/>
      </rPr>
      <t>(гр.11&lt;0,9)</t>
    </r>
  </si>
  <si>
    <t>местный бюджет 5% (0,9&lt;гр.11&lt;1)</t>
  </si>
  <si>
    <t>областной бюджет 95% (0,9&lt;гр.11&lt;1)</t>
  </si>
  <si>
    <t>местный бюджет 10% (гр.11&gt;1)</t>
  </si>
  <si>
    <t>областной бюджет 90% (гр.11&gt;1)</t>
  </si>
  <si>
    <t>Приведенный уровень бюджетной обеспеченности</t>
  </si>
  <si>
    <t xml:space="preserve">                                  к пояснительной записке</t>
  </si>
  <si>
    <t xml:space="preserve">                                  Приложение № 21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</si>
</sst>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_р_._-;\-* #,##0.0000_р_._-;_-* &quot;-&quot;??_р_._-;_-@_-"/>
    <numFmt numFmtId="167" formatCode="_-* #,##0.000_р_._-;\-* #,##0.000_р_._-;_-* &quot;-&quot;?_р_._-;_-@_-"/>
    <numFmt numFmtId="168" formatCode="_-* #,##0.0_р_._-;\-* #,##0.0_р_._-;_-* &quot;-&quot;??_р_._-;_-@_-"/>
    <numFmt numFmtId="169" formatCode="_-* #,##0.0_р_._-;\-* #,##0.0_р_._-;_-* &quot;-&quot;?_р_._-;_-@_-"/>
    <numFmt numFmtId="170" formatCode="_-* #,##0.00_р_._-;\-* #,##0.00_р_._-;_-* &quot;-&quot;?_р_._-;_-@_-"/>
    <numFmt numFmtId="171" formatCode="_-* #,##0.0\ _₽_-;\-* #,##0.0\ _₽_-;_-* &quot;-&quot;?\ _₽_-;_-@_-"/>
    <numFmt numFmtId="172" formatCode="_-* #,##0.000\ _₽_-;\-* #,##0.000\ _₽_-;_-* &quot;-&quot;???\ _₽_-;_-@_-"/>
    <numFmt numFmtId="173" formatCode="#,##0.0"/>
  </numFmts>
  <fonts count="2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name val="Arial Cyr"/>
      <charset val="204"/>
    </font>
    <font>
      <b/>
      <sz val="12"/>
      <color indexed="8"/>
      <name val="Arial"/>
      <family val="2"/>
      <charset val="204"/>
    </font>
    <font>
      <sz val="11"/>
      <color indexed="8"/>
      <name val="Times New Roman CYR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2" applyFont="1"/>
    <xf numFmtId="0" fontId="1" fillId="0" borderId="0" xfId="2"/>
    <xf numFmtId="0" fontId="4" fillId="0" borderId="0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3" fillId="2" borderId="8" xfId="2" applyFont="1" applyFill="1" applyBorder="1" applyAlignment="1">
      <alignment horizontal="left" vertical="center" indent="1"/>
    </xf>
    <xf numFmtId="165" fontId="3" fillId="2" borderId="8" xfId="1" applyNumberFormat="1" applyFont="1" applyFill="1" applyBorder="1" applyAlignment="1">
      <alignment horizontal="center"/>
    </xf>
    <xf numFmtId="165" fontId="6" fillId="2" borderId="8" xfId="1" applyNumberFormat="1" applyFont="1" applyFill="1" applyBorder="1" applyAlignment="1">
      <alignment horizontal="center"/>
    </xf>
    <xf numFmtId="166" fontId="6" fillId="2" borderId="8" xfId="1" applyNumberFormat="1" applyFont="1" applyFill="1" applyBorder="1" applyAlignment="1">
      <alignment horizontal="center"/>
    </xf>
    <xf numFmtId="167" fontId="3" fillId="2" borderId="8" xfId="2" applyNumberFormat="1" applyFont="1" applyFill="1" applyBorder="1" applyAlignment="1">
      <alignment horizontal="center" vertical="center"/>
    </xf>
    <xf numFmtId="164" fontId="6" fillId="2" borderId="9" xfId="1" applyFont="1" applyFill="1" applyBorder="1" applyAlignment="1">
      <alignment horizontal="center"/>
    </xf>
    <xf numFmtId="169" fontId="3" fillId="2" borderId="8" xfId="2" applyNumberFormat="1" applyFont="1" applyFill="1" applyBorder="1" applyAlignment="1">
      <alignment horizontal="center" vertical="center"/>
    </xf>
    <xf numFmtId="170" fontId="3" fillId="2" borderId="8" xfId="2" applyNumberFormat="1" applyFont="1" applyFill="1" applyBorder="1" applyAlignment="1">
      <alignment horizontal="center" vertical="center"/>
    </xf>
    <xf numFmtId="2" fontId="1" fillId="2" borderId="0" xfId="2" applyNumberFormat="1" applyFill="1"/>
    <xf numFmtId="0" fontId="1" fillId="2" borderId="0" xfId="2" applyFill="1"/>
    <xf numFmtId="0" fontId="3" fillId="2" borderId="9" xfId="2" applyFont="1" applyFill="1" applyBorder="1" applyAlignment="1">
      <alignment horizontal="left" vertical="center" indent="1"/>
    </xf>
    <xf numFmtId="2" fontId="1" fillId="2" borderId="0" xfId="2" applyNumberFormat="1" applyFill="1" applyAlignment="1">
      <alignment horizontal="right"/>
    </xf>
    <xf numFmtId="0" fontId="3" fillId="2" borderId="10" xfId="2" applyFont="1" applyFill="1" applyBorder="1" applyAlignment="1">
      <alignment horizontal="left" vertical="center" indent="1"/>
    </xf>
    <xf numFmtId="164" fontId="6" fillId="2" borderId="10" xfId="1" applyFont="1" applyFill="1" applyBorder="1" applyAlignment="1">
      <alignment horizontal="center"/>
    </xf>
    <xf numFmtId="0" fontId="12" fillId="2" borderId="6" xfId="2" applyFont="1" applyFill="1" applyBorder="1" applyAlignment="1">
      <alignment horizontal="left" vertical="center" indent="1"/>
    </xf>
    <xf numFmtId="167" fontId="12" fillId="2" borderId="6" xfId="2" applyNumberFormat="1" applyFont="1" applyFill="1" applyBorder="1" applyAlignment="1">
      <alignment horizontal="center" vertical="center"/>
    </xf>
    <xf numFmtId="165" fontId="13" fillId="2" borderId="6" xfId="1" applyNumberFormat="1" applyFont="1" applyFill="1" applyBorder="1" applyAlignment="1">
      <alignment horizontal="center" vertical="center"/>
    </xf>
    <xf numFmtId="166" fontId="13" fillId="2" borderId="6" xfId="1" applyNumberFormat="1" applyFont="1" applyFill="1" applyBorder="1" applyAlignment="1">
      <alignment horizontal="center" vertical="center"/>
    </xf>
    <xf numFmtId="169" fontId="12" fillId="2" borderId="6" xfId="2" applyNumberFormat="1" applyFont="1" applyFill="1" applyBorder="1" applyAlignment="1">
      <alignment horizontal="center" vertical="center"/>
    </xf>
    <xf numFmtId="4" fontId="12" fillId="2" borderId="6" xfId="2" applyNumberFormat="1" applyFont="1" applyFill="1" applyBorder="1" applyAlignment="1">
      <alignment horizontal="center" vertical="center"/>
    </xf>
    <xf numFmtId="164" fontId="14" fillId="2" borderId="6" xfId="1" applyFont="1" applyFill="1" applyBorder="1"/>
    <xf numFmtId="168" fontId="12" fillId="2" borderId="6" xfId="1" applyNumberFormat="1" applyFont="1" applyFill="1" applyBorder="1" applyAlignment="1">
      <alignment vertical="center"/>
    </xf>
    <xf numFmtId="0" fontId="15" fillId="2" borderId="9" xfId="2" applyFont="1" applyFill="1" applyBorder="1" applyAlignment="1">
      <alignment horizontal="left" vertical="center" indent="1"/>
    </xf>
    <xf numFmtId="167" fontId="15" fillId="2" borderId="8" xfId="2" applyNumberFormat="1" applyFont="1" applyFill="1" applyBorder="1" applyAlignment="1">
      <alignment horizontal="center" vertical="center"/>
    </xf>
    <xf numFmtId="166" fontId="16" fillId="2" borderId="8" xfId="1" applyNumberFormat="1" applyFont="1" applyFill="1" applyBorder="1" applyAlignment="1">
      <alignment horizontal="center"/>
    </xf>
    <xf numFmtId="170" fontId="15" fillId="2" borderId="8" xfId="2" applyNumberFormat="1" applyFont="1" applyFill="1" applyBorder="1" applyAlignment="1">
      <alignment horizontal="center" vertical="center"/>
    </xf>
    <xf numFmtId="169" fontId="15" fillId="2" borderId="8" xfId="2" applyNumberFormat="1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left" vertical="center" indent="1"/>
    </xf>
    <xf numFmtId="165" fontId="17" fillId="2" borderId="6" xfId="1" applyNumberFormat="1" applyFont="1" applyFill="1" applyBorder="1" applyAlignment="1">
      <alignment horizontal="left" vertical="center" indent="1"/>
    </xf>
    <xf numFmtId="166" fontId="17" fillId="2" borderId="6" xfId="1" applyNumberFormat="1" applyFont="1" applyFill="1" applyBorder="1" applyAlignment="1">
      <alignment horizontal="left" vertical="center" indent="1"/>
    </xf>
    <xf numFmtId="166" fontId="17" fillId="2" borderId="3" xfId="1" applyNumberFormat="1" applyFont="1" applyFill="1" applyBorder="1" applyAlignment="1">
      <alignment horizontal="left" vertical="center" indent="1"/>
    </xf>
    <xf numFmtId="170" fontId="17" fillId="2" borderId="8" xfId="2" applyNumberFormat="1" applyFont="1" applyFill="1" applyBorder="1" applyAlignment="1">
      <alignment horizontal="center" vertical="center"/>
    </xf>
    <xf numFmtId="171" fontId="17" fillId="2" borderId="6" xfId="2" applyNumberFormat="1" applyFont="1" applyFill="1" applyBorder="1" applyAlignment="1">
      <alignment horizontal="left" vertical="center" indent="1"/>
    </xf>
    <xf numFmtId="0" fontId="18" fillId="2" borderId="0" xfId="2" applyFont="1" applyFill="1"/>
    <xf numFmtId="0" fontId="10" fillId="2" borderId="0" xfId="2" applyFont="1" applyFill="1"/>
    <xf numFmtId="172" fontId="10" fillId="2" borderId="0" xfId="2" applyNumberFormat="1" applyFont="1" applyFill="1"/>
    <xf numFmtId="168" fontId="6" fillId="2" borderId="8" xfId="1" applyNumberFormat="1" applyFont="1" applyFill="1" applyBorder="1" applyAlignment="1">
      <alignment horizontal="center"/>
    </xf>
    <xf numFmtId="164" fontId="6" fillId="2" borderId="8" xfId="1" applyFont="1" applyFill="1" applyBorder="1" applyAlignment="1">
      <alignment horizontal="center"/>
    </xf>
    <xf numFmtId="164" fontId="10" fillId="2" borderId="8" xfId="1" applyFont="1" applyFill="1" applyBorder="1"/>
    <xf numFmtId="168" fontId="3" fillId="2" borderId="8" xfId="1" applyNumberFormat="1" applyFont="1" applyFill="1" applyBorder="1"/>
    <xf numFmtId="165" fontId="3" fillId="2" borderId="9" xfId="1" applyNumberFormat="1" applyFont="1" applyFill="1" applyBorder="1" applyAlignment="1">
      <alignment horizontal="center"/>
    </xf>
    <xf numFmtId="165" fontId="6" fillId="2" borderId="9" xfId="1" applyNumberFormat="1" applyFont="1" applyFill="1" applyBorder="1" applyAlignment="1">
      <alignment horizontal="center"/>
    </xf>
    <xf numFmtId="166" fontId="6" fillId="2" borderId="9" xfId="1" applyNumberFormat="1" applyFont="1" applyFill="1" applyBorder="1" applyAlignment="1">
      <alignment horizontal="center"/>
    </xf>
    <xf numFmtId="167" fontId="3" fillId="2" borderId="9" xfId="2" applyNumberFormat="1" applyFont="1" applyFill="1" applyBorder="1" applyAlignment="1">
      <alignment horizontal="center" vertical="center"/>
    </xf>
    <xf numFmtId="168" fontId="6" fillId="2" borderId="9" xfId="1" applyNumberFormat="1" applyFont="1" applyFill="1" applyBorder="1" applyAlignment="1">
      <alignment horizontal="center"/>
    </xf>
    <xf numFmtId="164" fontId="11" fillId="2" borderId="9" xfId="1" applyFont="1" applyFill="1" applyBorder="1"/>
    <xf numFmtId="168" fontId="3" fillId="2" borderId="9" xfId="1" applyNumberFormat="1" applyFont="1" applyFill="1" applyBorder="1"/>
    <xf numFmtId="169" fontId="3" fillId="2" borderId="9" xfId="2" applyNumberFormat="1" applyFont="1" applyFill="1" applyBorder="1" applyAlignment="1">
      <alignment horizontal="center" vertical="center"/>
    </xf>
    <xf numFmtId="170" fontId="3" fillId="2" borderId="9" xfId="2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/>
    </xf>
    <xf numFmtId="165" fontId="6" fillId="2" borderId="10" xfId="1" applyNumberFormat="1" applyFont="1" applyFill="1" applyBorder="1" applyAlignment="1">
      <alignment horizontal="center"/>
    </xf>
    <xf numFmtId="166" fontId="6" fillId="2" borderId="10" xfId="1" applyNumberFormat="1" applyFont="1" applyFill="1" applyBorder="1" applyAlignment="1">
      <alignment horizontal="center"/>
    </xf>
    <xf numFmtId="167" fontId="3" fillId="2" borderId="10" xfId="2" applyNumberFormat="1" applyFont="1" applyFill="1" applyBorder="1" applyAlignment="1">
      <alignment horizontal="center" vertical="center"/>
    </xf>
    <xf numFmtId="168" fontId="6" fillId="2" borderId="10" xfId="1" applyNumberFormat="1" applyFont="1" applyFill="1" applyBorder="1" applyAlignment="1">
      <alignment horizontal="center"/>
    </xf>
    <xf numFmtId="164" fontId="11" fillId="2" borderId="10" xfId="1" applyFont="1" applyFill="1" applyBorder="1"/>
    <xf numFmtId="168" fontId="3" fillId="2" borderId="10" xfId="1" applyNumberFormat="1" applyFont="1" applyFill="1" applyBorder="1"/>
    <xf numFmtId="169" fontId="3" fillId="2" borderId="10" xfId="2" applyNumberFormat="1" applyFont="1" applyFill="1" applyBorder="1" applyAlignment="1">
      <alignment horizontal="center" vertical="center"/>
    </xf>
    <xf numFmtId="170" fontId="3" fillId="2" borderId="10" xfId="2" applyNumberFormat="1" applyFont="1" applyFill="1" applyBorder="1" applyAlignment="1">
      <alignment horizontal="center" vertical="center"/>
    </xf>
    <xf numFmtId="173" fontId="6" fillId="2" borderId="8" xfId="0" applyNumberFormat="1" applyFont="1" applyFill="1" applyBorder="1" applyAlignment="1">
      <alignment horizontal="center"/>
    </xf>
    <xf numFmtId="173" fontId="6" fillId="2" borderId="9" xfId="0" applyNumberFormat="1" applyFont="1" applyFill="1" applyBorder="1" applyAlignment="1">
      <alignment horizontal="center"/>
    </xf>
    <xf numFmtId="167" fontId="6" fillId="2" borderId="9" xfId="2" applyNumberFormat="1" applyFont="1" applyFill="1" applyBorder="1" applyAlignment="1">
      <alignment horizontal="center" vertical="center"/>
    </xf>
    <xf numFmtId="168" fontId="6" fillId="2" borderId="9" xfId="1" applyNumberFormat="1" applyFont="1" applyFill="1" applyBorder="1"/>
    <xf numFmtId="169" fontId="6" fillId="2" borderId="9" xfId="2" applyNumberFormat="1" applyFont="1" applyFill="1" applyBorder="1" applyAlignment="1">
      <alignment horizontal="center" vertical="center"/>
    </xf>
    <xf numFmtId="170" fontId="6" fillId="2" borderId="9" xfId="2" applyNumberFormat="1" applyFont="1" applyFill="1" applyBorder="1" applyAlignment="1">
      <alignment horizontal="center" vertical="center"/>
    </xf>
    <xf numFmtId="173" fontId="6" fillId="2" borderId="10" xfId="0" applyNumberFormat="1" applyFont="1" applyFill="1" applyBorder="1" applyAlignment="1">
      <alignment horizontal="center"/>
    </xf>
    <xf numFmtId="169" fontId="6" fillId="2" borderId="10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vertical="center"/>
    </xf>
    <xf numFmtId="0" fontId="4" fillId="0" borderId="0" xfId="2" applyFont="1" applyBorder="1" applyAlignment="1">
      <alignment horizontal="center" vertical="center" wrapText="1"/>
    </xf>
    <xf numFmtId="9" fontId="3" fillId="2" borderId="3" xfId="2" applyNumberFormat="1" applyFont="1" applyFill="1" applyBorder="1" applyAlignment="1">
      <alignment horizontal="center" vertical="center" wrapText="1"/>
    </xf>
    <xf numFmtId="9" fontId="3" fillId="2" borderId="7" xfId="2" applyNumberFormat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6" fillId="2" borderId="6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4"/>
  <sheetViews>
    <sheetView tabSelected="1" view="pageBreakPreview" topLeftCell="C1" zoomScale="80" zoomScaleNormal="66" zoomScaleSheetLayoutView="80" workbookViewId="0">
      <selection activeCell="B4" sqref="B4:I4"/>
    </sheetView>
  </sheetViews>
  <sheetFormatPr defaultColWidth="9.140625" defaultRowHeight="15"/>
  <cols>
    <col min="1" max="1" width="51.85546875" style="2" customWidth="1"/>
    <col min="2" max="2" width="29" style="2" customWidth="1"/>
    <col min="3" max="3" width="25.85546875" style="2" customWidth="1"/>
    <col min="4" max="4" width="27.5703125" style="2" customWidth="1"/>
    <col min="5" max="5" width="17.5703125" style="2" customWidth="1"/>
    <col min="6" max="6" width="19.140625" style="2" customWidth="1"/>
    <col min="7" max="7" width="11" style="2" customWidth="1"/>
    <col min="8" max="8" width="26.140625" style="2" customWidth="1"/>
    <col min="9" max="9" width="19" style="2" customWidth="1"/>
    <col min="10" max="10" width="18.7109375" style="2" hidden="1" customWidth="1"/>
    <col min="11" max="11" width="23.42578125" style="2" hidden="1" customWidth="1"/>
    <col min="12" max="12" width="18.140625" style="2" hidden="1" customWidth="1"/>
    <col min="13" max="13" width="22.42578125" style="2" hidden="1" customWidth="1"/>
    <col min="14" max="14" width="19.5703125" style="2" customWidth="1"/>
    <col min="15" max="15" width="18.42578125" style="2" customWidth="1"/>
    <col min="16" max="16" width="15.140625" style="2" customWidth="1"/>
    <col min="17" max="17" width="19.28515625" style="2" customWidth="1"/>
    <col min="18" max="18" width="17.7109375" style="2" customWidth="1"/>
    <col min="19" max="19" width="16.85546875" style="2" customWidth="1"/>
    <col min="20" max="20" width="17.28515625" style="2" customWidth="1"/>
    <col min="21" max="21" width="17.5703125" style="2" customWidth="1"/>
    <col min="22" max="22" width="14.42578125" style="2" customWidth="1"/>
    <col min="23" max="23" width="15.85546875" style="2" customWidth="1"/>
    <col min="24" max="24" width="16" style="2" customWidth="1"/>
    <col min="25" max="16384" width="9.140625" style="2"/>
  </cols>
  <sheetData>
    <row r="1" spans="1:24">
      <c r="H1" s="77" t="s">
        <v>63</v>
      </c>
    </row>
    <row r="2" spans="1:24">
      <c r="H2" s="78" t="s">
        <v>62</v>
      </c>
    </row>
    <row r="4" spans="1:24" ht="44.25" customHeight="1">
      <c r="A4" s="3"/>
      <c r="B4" s="79" t="s">
        <v>0</v>
      </c>
      <c r="C4" s="79"/>
      <c r="D4" s="79"/>
      <c r="E4" s="79"/>
      <c r="F4" s="79"/>
      <c r="G4" s="79"/>
      <c r="H4" s="79"/>
      <c r="I4" s="7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4">
      <c r="A5" s="4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4" ht="37.5" customHeight="1">
      <c r="A6" s="89" t="s">
        <v>1</v>
      </c>
      <c r="B6" s="82" t="s">
        <v>2</v>
      </c>
      <c r="C6" s="82" t="s">
        <v>3</v>
      </c>
      <c r="D6" s="82" t="s">
        <v>4</v>
      </c>
      <c r="E6" s="87" t="s">
        <v>5</v>
      </c>
      <c r="F6" s="82" t="s">
        <v>6</v>
      </c>
      <c r="G6" s="82" t="s">
        <v>7</v>
      </c>
      <c r="H6" s="82" t="s">
        <v>8</v>
      </c>
      <c r="I6" s="82" t="s">
        <v>9</v>
      </c>
      <c r="J6" s="84" t="s">
        <v>10</v>
      </c>
      <c r="K6" s="85"/>
      <c r="N6" s="86" t="s">
        <v>11</v>
      </c>
      <c r="O6" s="87" t="s">
        <v>61</v>
      </c>
      <c r="P6" s="80" t="s">
        <v>55</v>
      </c>
      <c r="Q6" s="80" t="s">
        <v>56</v>
      </c>
      <c r="R6" s="80" t="s">
        <v>57</v>
      </c>
      <c r="S6" s="80" t="s">
        <v>58</v>
      </c>
      <c r="T6" s="80" t="s">
        <v>59</v>
      </c>
      <c r="U6" s="80" t="s">
        <v>60</v>
      </c>
      <c r="V6" s="80" t="s">
        <v>12</v>
      </c>
      <c r="W6" s="80" t="s">
        <v>13</v>
      </c>
    </row>
    <row r="7" spans="1:24" ht="141.75">
      <c r="A7" s="83"/>
      <c r="B7" s="83"/>
      <c r="C7" s="83"/>
      <c r="D7" s="83"/>
      <c r="E7" s="88"/>
      <c r="F7" s="83"/>
      <c r="G7" s="83"/>
      <c r="H7" s="83"/>
      <c r="I7" s="83"/>
      <c r="J7" s="5" t="s">
        <v>14</v>
      </c>
      <c r="K7" s="5" t="s">
        <v>15</v>
      </c>
      <c r="N7" s="86"/>
      <c r="O7" s="88"/>
      <c r="P7" s="81"/>
      <c r="Q7" s="81"/>
      <c r="R7" s="81"/>
      <c r="S7" s="81"/>
      <c r="T7" s="81"/>
      <c r="U7" s="81"/>
      <c r="V7" s="81"/>
      <c r="W7" s="81"/>
    </row>
    <row r="8" spans="1:24" s="10" customFormat="1" ht="31.5">
      <c r="A8" s="6">
        <v>1</v>
      </c>
      <c r="B8" s="6">
        <v>2</v>
      </c>
      <c r="C8" s="6">
        <v>3</v>
      </c>
      <c r="D8" s="6" t="s">
        <v>16</v>
      </c>
      <c r="E8" s="7">
        <v>5</v>
      </c>
      <c r="F8" s="6">
        <v>6</v>
      </c>
      <c r="G8" s="6">
        <v>7</v>
      </c>
      <c r="H8" s="6" t="s">
        <v>17</v>
      </c>
      <c r="I8" s="6">
        <v>9</v>
      </c>
      <c r="J8" s="6">
        <v>10</v>
      </c>
      <c r="K8" s="6">
        <v>11</v>
      </c>
      <c r="L8" s="8"/>
      <c r="M8" s="9"/>
      <c r="N8" s="7" t="s">
        <v>18</v>
      </c>
      <c r="O8" s="7">
        <v>11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</row>
    <row r="9" spans="1:24" s="20" customFormat="1" ht="16.899999999999999" customHeight="1">
      <c r="A9" s="11" t="s">
        <v>27</v>
      </c>
      <c r="B9" s="12">
        <v>34.557000000000002</v>
      </c>
      <c r="C9" s="13">
        <v>0.87364325606000004</v>
      </c>
      <c r="D9" s="14">
        <f>ROUND(B9*C9,5)</f>
        <v>30.19049</v>
      </c>
      <c r="E9" s="15">
        <v>1.302</v>
      </c>
      <c r="F9" s="47">
        <v>177.3</v>
      </c>
      <c r="G9" s="47">
        <v>12</v>
      </c>
      <c r="H9" s="69">
        <f>ROUND(D9*E9*F9*G9,1)</f>
        <v>83631.7</v>
      </c>
      <c r="I9" s="47">
        <v>68639.199999999997</v>
      </c>
      <c r="J9" s="48">
        <f>I9-K9</f>
        <v>68570.714800000002</v>
      </c>
      <c r="K9" s="48">
        <f>52.6*E9</f>
        <v>68.485200000000006</v>
      </c>
      <c r="L9" s="49">
        <v>21824.1</v>
      </c>
      <c r="M9" s="50" t="e">
        <f>ROUND(L9*#REF!*E9*12/1000,3)</f>
        <v>#REF!</v>
      </c>
      <c r="N9" s="17">
        <f t="shared" ref="N9:N33" si="0">H9-I9</f>
        <v>14992.5</v>
      </c>
      <c r="O9" s="15">
        <v>0.83</v>
      </c>
      <c r="P9" s="17">
        <f>ROUND(N9*1/100,1)</f>
        <v>149.9</v>
      </c>
      <c r="Q9" s="17">
        <f>ROUND(N9*99/100,1)</f>
        <v>14842.6</v>
      </c>
      <c r="R9" s="17"/>
      <c r="S9" s="17"/>
      <c r="T9" s="17"/>
      <c r="U9" s="17"/>
      <c r="V9" s="18">
        <f>P9+R9+T9</f>
        <v>149.9</v>
      </c>
      <c r="W9" s="17">
        <f>Q9+S9+U9</f>
        <v>14842.6</v>
      </c>
      <c r="X9" s="19"/>
    </row>
    <row r="10" spans="1:24" s="20" customFormat="1" ht="16.5" customHeight="1">
      <c r="A10" s="21" t="s">
        <v>28</v>
      </c>
      <c r="B10" s="51">
        <v>34.557000000000002</v>
      </c>
      <c r="C10" s="52">
        <v>0.87364325606000004</v>
      </c>
      <c r="D10" s="53">
        <f t="shared" ref="D10:D33" si="1">ROUND(B10*C10,5)</f>
        <v>30.19049</v>
      </c>
      <c r="E10" s="54">
        <v>1.302</v>
      </c>
      <c r="F10" s="55">
        <v>70.8</v>
      </c>
      <c r="G10" s="55">
        <v>12</v>
      </c>
      <c r="H10" s="70">
        <f t="shared" ref="H10:H33" si="2">ROUND(D10*E10*F10*G10,1)</f>
        <v>33396.1</v>
      </c>
      <c r="I10" s="55">
        <v>25084.1</v>
      </c>
      <c r="J10" s="16">
        <f t="shared" ref="J10:J33" si="3">I10-K10</f>
        <v>24791.931199999999</v>
      </c>
      <c r="K10" s="16">
        <f>224.4*E10</f>
        <v>292.16880000000003</v>
      </c>
      <c r="L10" s="56">
        <v>22708.400000000001</v>
      </c>
      <c r="M10" s="57" t="e">
        <f>ROUND(L10*#REF!*E10*12/1000,3)</f>
        <v>#REF!</v>
      </c>
      <c r="N10" s="58">
        <f t="shared" si="0"/>
        <v>8312</v>
      </c>
      <c r="O10" s="54">
        <v>0.74299999999999999</v>
      </c>
      <c r="P10" s="58">
        <f t="shared" ref="P10:P27" si="4">ROUND(N10*1/100,1)</f>
        <v>83.1</v>
      </c>
      <c r="Q10" s="58">
        <f t="shared" ref="Q10:Q27" si="5">ROUND(N10*99/100,1)</f>
        <v>8228.9</v>
      </c>
      <c r="R10" s="58"/>
      <c r="S10" s="58"/>
      <c r="T10" s="58"/>
      <c r="U10" s="58"/>
      <c r="V10" s="59">
        <f t="shared" ref="V10:W33" si="6">P10+R10+T10</f>
        <v>83.1</v>
      </c>
      <c r="W10" s="58">
        <f>Q10+S10+U10</f>
        <v>8228.9</v>
      </c>
      <c r="X10" s="19"/>
    </row>
    <row r="11" spans="1:24" s="20" customFormat="1" ht="16.5" customHeight="1">
      <c r="A11" s="21" t="s">
        <v>29</v>
      </c>
      <c r="B11" s="51">
        <v>34.557000000000002</v>
      </c>
      <c r="C11" s="52">
        <v>0.87364325606000004</v>
      </c>
      <c r="D11" s="53">
        <f t="shared" si="1"/>
        <v>30.19049</v>
      </c>
      <c r="E11" s="54">
        <v>1.302</v>
      </c>
      <c r="F11" s="55">
        <v>88.9</v>
      </c>
      <c r="G11" s="55">
        <v>12</v>
      </c>
      <c r="H11" s="70">
        <f t="shared" si="2"/>
        <v>41933.800000000003</v>
      </c>
      <c r="I11" s="55">
        <v>30308.1</v>
      </c>
      <c r="J11" s="16">
        <f t="shared" si="3"/>
        <v>30224.902199999997</v>
      </c>
      <c r="K11" s="16">
        <f>63.9*E11</f>
        <v>83.197800000000001</v>
      </c>
      <c r="L11" s="56">
        <v>21796</v>
      </c>
      <c r="M11" s="57" t="e">
        <f>ROUND(L11*#REF!*E11*12/1000,3)</f>
        <v>#REF!</v>
      </c>
      <c r="N11" s="58">
        <f t="shared" si="0"/>
        <v>11625.700000000004</v>
      </c>
      <c r="O11" s="54">
        <v>0.81299999999999994</v>
      </c>
      <c r="P11" s="58">
        <f t="shared" si="4"/>
        <v>116.3</v>
      </c>
      <c r="Q11" s="58">
        <f t="shared" si="5"/>
        <v>11509.4</v>
      </c>
      <c r="R11" s="58"/>
      <c r="S11" s="58"/>
      <c r="T11" s="58"/>
      <c r="U11" s="58"/>
      <c r="V11" s="59">
        <f t="shared" si="6"/>
        <v>116.3</v>
      </c>
      <c r="W11" s="58">
        <f t="shared" si="6"/>
        <v>11509.4</v>
      </c>
      <c r="X11" s="19"/>
    </row>
    <row r="12" spans="1:24" s="20" customFormat="1" ht="16.5" customHeight="1">
      <c r="A12" s="21" t="s">
        <v>30</v>
      </c>
      <c r="B12" s="51">
        <v>34.557000000000002</v>
      </c>
      <c r="C12" s="52">
        <v>0.87364325606000004</v>
      </c>
      <c r="D12" s="53">
        <f t="shared" si="1"/>
        <v>30.19049</v>
      </c>
      <c r="E12" s="54">
        <v>1.302</v>
      </c>
      <c r="F12" s="55">
        <v>94.5</v>
      </c>
      <c r="G12" s="55">
        <v>12</v>
      </c>
      <c r="H12" s="70">
        <f t="shared" si="2"/>
        <v>44575.3</v>
      </c>
      <c r="I12" s="55">
        <v>36025.599999999999</v>
      </c>
      <c r="J12" s="16">
        <f t="shared" si="3"/>
        <v>36025.599999999999</v>
      </c>
      <c r="K12" s="16">
        <f>0</f>
        <v>0</v>
      </c>
      <c r="L12" s="56">
        <v>22256.6</v>
      </c>
      <c r="M12" s="57" t="e">
        <f>ROUND(L12*#REF!*E12*12/1000,3)</f>
        <v>#REF!</v>
      </c>
      <c r="N12" s="58">
        <f t="shared" si="0"/>
        <v>8549.7000000000044</v>
      </c>
      <c r="O12" s="54">
        <v>0.86499999999999999</v>
      </c>
      <c r="P12" s="58">
        <f t="shared" si="4"/>
        <v>85.5</v>
      </c>
      <c r="Q12" s="58">
        <f t="shared" si="5"/>
        <v>8464.2000000000007</v>
      </c>
      <c r="R12" s="58"/>
      <c r="S12" s="58"/>
      <c r="T12" s="58"/>
      <c r="U12" s="58"/>
      <c r="V12" s="59">
        <f t="shared" si="6"/>
        <v>85.5</v>
      </c>
      <c r="W12" s="58">
        <f t="shared" si="6"/>
        <v>8464.2000000000007</v>
      </c>
      <c r="X12" s="19"/>
    </row>
    <row r="13" spans="1:24" s="20" customFormat="1" ht="16.899999999999999" customHeight="1">
      <c r="A13" s="21" t="s">
        <v>31</v>
      </c>
      <c r="B13" s="51">
        <v>34.557000000000002</v>
      </c>
      <c r="C13" s="52">
        <v>0.87364325606000004</v>
      </c>
      <c r="D13" s="53">
        <f t="shared" si="1"/>
        <v>30.19049</v>
      </c>
      <c r="E13" s="54">
        <v>1.302</v>
      </c>
      <c r="F13" s="55">
        <v>112</v>
      </c>
      <c r="G13" s="55">
        <v>12</v>
      </c>
      <c r="H13" s="70">
        <f t="shared" si="2"/>
        <v>52830</v>
      </c>
      <c r="I13" s="55">
        <v>38266.400000000001</v>
      </c>
      <c r="J13" s="16">
        <f t="shared" si="3"/>
        <v>37001.767400000004</v>
      </c>
      <c r="K13" s="16">
        <f>971.3*E13</f>
        <v>1264.6325999999999</v>
      </c>
      <c r="L13" s="56">
        <v>21077.52</v>
      </c>
      <c r="M13" s="57" t="e">
        <f>ROUND(L13*#REF!*E13*12/1000,3)</f>
        <v>#REF!</v>
      </c>
      <c r="N13" s="58">
        <f t="shared" si="0"/>
        <v>14563.599999999999</v>
      </c>
      <c r="O13" s="54">
        <v>0.81299999999999994</v>
      </c>
      <c r="P13" s="58">
        <f t="shared" si="4"/>
        <v>145.6</v>
      </c>
      <c r="Q13" s="58">
        <f t="shared" si="5"/>
        <v>14418</v>
      </c>
      <c r="R13" s="58"/>
      <c r="S13" s="58"/>
      <c r="T13" s="58"/>
      <c r="U13" s="58"/>
      <c r="V13" s="59">
        <f t="shared" si="6"/>
        <v>145.6</v>
      </c>
      <c r="W13" s="58">
        <f t="shared" si="6"/>
        <v>14418</v>
      </c>
      <c r="X13" s="19"/>
    </row>
    <row r="14" spans="1:24" s="20" customFormat="1" ht="16.899999999999999" customHeight="1">
      <c r="A14" s="21" t="s">
        <v>32</v>
      </c>
      <c r="B14" s="51">
        <v>34.557000000000002</v>
      </c>
      <c r="C14" s="52">
        <v>0.87364325606000004</v>
      </c>
      <c r="D14" s="53">
        <f t="shared" si="1"/>
        <v>30.19049</v>
      </c>
      <c r="E14" s="54">
        <v>1.302</v>
      </c>
      <c r="F14" s="55">
        <v>110.5</v>
      </c>
      <c r="G14" s="55">
        <v>12</v>
      </c>
      <c r="H14" s="70">
        <f t="shared" si="2"/>
        <v>52122.400000000001</v>
      </c>
      <c r="I14" s="55">
        <v>37042.6</v>
      </c>
      <c r="J14" s="16">
        <f t="shared" si="3"/>
        <v>36901.202799999999</v>
      </c>
      <c r="K14" s="16">
        <f>108.6*E14</f>
        <v>141.3972</v>
      </c>
      <c r="L14" s="56">
        <v>21093.200000000001</v>
      </c>
      <c r="M14" s="57" t="e">
        <f>ROUND(L14*#REF!*E14*12/1000,3)</f>
        <v>#REF!</v>
      </c>
      <c r="N14" s="58">
        <f t="shared" si="0"/>
        <v>15079.800000000003</v>
      </c>
      <c r="O14" s="54">
        <v>0.80800000000000005</v>
      </c>
      <c r="P14" s="58">
        <f t="shared" si="4"/>
        <v>150.80000000000001</v>
      </c>
      <c r="Q14" s="58">
        <f t="shared" si="5"/>
        <v>14929</v>
      </c>
      <c r="R14" s="58"/>
      <c r="S14" s="58"/>
      <c r="T14" s="58"/>
      <c r="U14" s="58"/>
      <c r="V14" s="59">
        <f t="shared" si="6"/>
        <v>150.80000000000001</v>
      </c>
      <c r="W14" s="58">
        <f t="shared" si="6"/>
        <v>14929</v>
      </c>
      <c r="X14" s="19"/>
    </row>
    <row r="15" spans="1:24" s="20" customFormat="1" ht="16.5" customHeight="1">
      <c r="A15" s="21" t="s">
        <v>33</v>
      </c>
      <c r="B15" s="51">
        <v>34.557000000000002</v>
      </c>
      <c r="C15" s="52">
        <v>0.87364325606000004</v>
      </c>
      <c r="D15" s="53">
        <f t="shared" si="1"/>
        <v>30.19049</v>
      </c>
      <c r="E15" s="54">
        <v>1.302</v>
      </c>
      <c r="F15" s="55">
        <v>103.1</v>
      </c>
      <c r="G15" s="55">
        <v>12</v>
      </c>
      <c r="H15" s="70">
        <f t="shared" si="2"/>
        <v>48631.9</v>
      </c>
      <c r="I15" s="55">
        <v>36450.300000000003</v>
      </c>
      <c r="J15" s="16">
        <f t="shared" si="3"/>
        <v>36414.495000000003</v>
      </c>
      <c r="K15" s="16">
        <f>27.5*E15</f>
        <v>35.805</v>
      </c>
      <c r="L15" s="56">
        <v>22176.5</v>
      </c>
      <c r="M15" s="57" t="e">
        <f>ROUND(L15*#REF!*E15*12/1000,3)</f>
        <v>#REF!</v>
      </c>
      <c r="N15" s="58">
        <f t="shared" si="0"/>
        <v>12181.599999999999</v>
      </c>
      <c r="O15" s="54">
        <v>0.82299999999999995</v>
      </c>
      <c r="P15" s="58">
        <f t="shared" si="4"/>
        <v>121.8</v>
      </c>
      <c r="Q15" s="58">
        <f t="shared" si="5"/>
        <v>12059.8</v>
      </c>
      <c r="R15" s="58"/>
      <c r="S15" s="58"/>
      <c r="T15" s="58"/>
      <c r="U15" s="58"/>
      <c r="V15" s="59">
        <f t="shared" si="6"/>
        <v>121.8</v>
      </c>
      <c r="W15" s="58">
        <f t="shared" si="6"/>
        <v>12059.8</v>
      </c>
      <c r="X15" s="19"/>
    </row>
    <row r="16" spans="1:24" s="20" customFormat="1" ht="16.5" customHeight="1">
      <c r="A16" s="21" t="s">
        <v>34</v>
      </c>
      <c r="B16" s="51">
        <v>34.557000000000002</v>
      </c>
      <c r="C16" s="52">
        <v>0.87364325606000004</v>
      </c>
      <c r="D16" s="53">
        <f t="shared" si="1"/>
        <v>30.19049</v>
      </c>
      <c r="E16" s="54">
        <v>1.302</v>
      </c>
      <c r="F16" s="55">
        <v>123</v>
      </c>
      <c r="G16" s="55">
        <v>12</v>
      </c>
      <c r="H16" s="70">
        <f t="shared" si="2"/>
        <v>58018.6</v>
      </c>
      <c r="I16" s="55">
        <v>41007</v>
      </c>
      <c r="J16" s="16">
        <f t="shared" si="3"/>
        <v>40367.457600000002</v>
      </c>
      <c r="K16" s="16">
        <f>491.2*E16</f>
        <v>639.54240000000004</v>
      </c>
      <c r="L16" s="56">
        <v>22092.7</v>
      </c>
      <c r="M16" s="57" t="e">
        <f>ROUND(L16*#REF!*E16*12/1000,3)</f>
        <v>#REF!</v>
      </c>
      <c r="N16" s="58">
        <f t="shared" si="0"/>
        <v>17011.599999999999</v>
      </c>
      <c r="O16" s="54">
        <v>0.77600000000000002</v>
      </c>
      <c r="P16" s="58">
        <f t="shared" si="4"/>
        <v>170.1</v>
      </c>
      <c r="Q16" s="58">
        <f t="shared" si="5"/>
        <v>16841.5</v>
      </c>
      <c r="R16" s="58"/>
      <c r="S16" s="58"/>
      <c r="T16" s="58"/>
      <c r="U16" s="58"/>
      <c r="V16" s="59">
        <f t="shared" si="6"/>
        <v>170.1</v>
      </c>
      <c r="W16" s="58">
        <f t="shared" si="6"/>
        <v>16841.5</v>
      </c>
      <c r="X16" s="19"/>
    </row>
    <row r="17" spans="1:24" s="20" customFormat="1" ht="16.899999999999999" customHeight="1">
      <c r="A17" s="21" t="s">
        <v>35</v>
      </c>
      <c r="B17" s="51">
        <v>34.557000000000002</v>
      </c>
      <c r="C17" s="52">
        <v>0.87364325606000004</v>
      </c>
      <c r="D17" s="53">
        <f t="shared" si="1"/>
        <v>30.19049</v>
      </c>
      <c r="E17" s="54">
        <v>1.302</v>
      </c>
      <c r="F17" s="55">
        <v>90.3</v>
      </c>
      <c r="G17" s="55">
        <v>12</v>
      </c>
      <c r="H17" s="70">
        <f t="shared" si="2"/>
        <v>42594.2</v>
      </c>
      <c r="I17" s="55">
        <v>30018.3</v>
      </c>
      <c r="J17" s="16">
        <f t="shared" si="3"/>
        <v>29630.043600000001</v>
      </c>
      <c r="K17" s="16">
        <f>298.2*E17</f>
        <v>388.25639999999999</v>
      </c>
      <c r="L17" s="56">
        <v>21783.4</v>
      </c>
      <c r="M17" s="57" t="e">
        <f>ROUND(L17*#REF!*E17*12/1000,3)</f>
        <v>#REF!</v>
      </c>
      <c r="N17" s="58">
        <f t="shared" si="0"/>
        <v>12575.899999999998</v>
      </c>
      <c r="O17" s="54">
        <v>0.84899999999999998</v>
      </c>
      <c r="P17" s="58">
        <f t="shared" si="4"/>
        <v>125.8</v>
      </c>
      <c r="Q17" s="58">
        <f t="shared" si="5"/>
        <v>12450.1</v>
      </c>
      <c r="R17" s="58"/>
      <c r="S17" s="58"/>
      <c r="T17" s="58"/>
      <c r="U17" s="58"/>
      <c r="V17" s="59">
        <f t="shared" si="6"/>
        <v>125.8</v>
      </c>
      <c r="W17" s="58">
        <f t="shared" si="6"/>
        <v>12450.1</v>
      </c>
      <c r="X17" s="19"/>
    </row>
    <row r="18" spans="1:24" s="20" customFormat="1" ht="16.5" customHeight="1">
      <c r="A18" s="21" t="s">
        <v>36</v>
      </c>
      <c r="B18" s="51">
        <v>34.557000000000002</v>
      </c>
      <c r="C18" s="52">
        <v>0.87364325606000004</v>
      </c>
      <c r="D18" s="53">
        <f t="shared" si="1"/>
        <v>30.19049</v>
      </c>
      <c r="E18" s="54">
        <v>1.302</v>
      </c>
      <c r="F18" s="55">
        <v>61.7</v>
      </c>
      <c r="G18" s="55">
        <v>12</v>
      </c>
      <c r="H18" s="70">
        <f t="shared" si="2"/>
        <v>29103.7</v>
      </c>
      <c r="I18" s="55">
        <v>23348.400000000001</v>
      </c>
      <c r="J18" s="16">
        <f t="shared" si="3"/>
        <v>23348.400000000001</v>
      </c>
      <c r="K18" s="16">
        <f>0</f>
        <v>0</v>
      </c>
      <c r="L18" s="56">
        <v>21944.080000000002</v>
      </c>
      <c r="M18" s="57" t="e">
        <f>ROUND(L18*#REF!*E18*12/1000,3)</f>
        <v>#REF!</v>
      </c>
      <c r="N18" s="58">
        <f t="shared" si="0"/>
        <v>5755.2999999999993</v>
      </c>
      <c r="O18" s="54">
        <v>0.86899999999999999</v>
      </c>
      <c r="P18" s="58">
        <f t="shared" si="4"/>
        <v>57.6</v>
      </c>
      <c r="Q18" s="58">
        <f t="shared" si="5"/>
        <v>5697.7</v>
      </c>
      <c r="R18" s="58"/>
      <c r="S18" s="58"/>
      <c r="T18" s="58"/>
      <c r="U18" s="58"/>
      <c r="V18" s="59">
        <f t="shared" si="6"/>
        <v>57.6</v>
      </c>
      <c r="W18" s="58">
        <f t="shared" si="6"/>
        <v>5697.7</v>
      </c>
      <c r="X18" s="19"/>
    </row>
    <row r="19" spans="1:24" s="20" customFormat="1" ht="16.5" customHeight="1">
      <c r="A19" s="21" t="s">
        <v>37</v>
      </c>
      <c r="B19" s="52">
        <v>34.557000000000002</v>
      </c>
      <c r="C19" s="52">
        <v>0.87364325606000004</v>
      </c>
      <c r="D19" s="53">
        <f t="shared" si="1"/>
        <v>30.19049</v>
      </c>
      <c r="E19" s="71">
        <v>1.302</v>
      </c>
      <c r="F19" s="55">
        <v>91.3</v>
      </c>
      <c r="G19" s="55">
        <v>12</v>
      </c>
      <c r="H19" s="70">
        <f t="shared" si="2"/>
        <v>43065.9</v>
      </c>
      <c r="I19" s="55">
        <v>31093.7</v>
      </c>
      <c r="J19" s="16">
        <f t="shared" si="3"/>
        <v>31051.385000000002</v>
      </c>
      <c r="K19" s="16">
        <f>32.5*E19</f>
        <v>42.315000000000005</v>
      </c>
      <c r="L19" s="56">
        <v>21608.3</v>
      </c>
      <c r="M19" s="72" t="e">
        <f>ROUND(L19*#REF!*E19*12/1000,3)</f>
        <v>#REF!</v>
      </c>
      <c r="N19" s="73">
        <f t="shared" si="0"/>
        <v>11972.2</v>
      </c>
      <c r="O19" s="71">
        <v>1.355</v>
      </c>
      <c r="P19" s="58"/>
      <c r="Q19" s="58"/>
      <c r="R19" s="73"/>
      <c r="S19" s="73"/>
      <c r="T19" s="73">
        <f>ROUND(N19*10/100,1)</f>
        <v>1197.2</v>
      </c>
      <c r="U19" s="73">
        <f>ROUND(N19*90/100,1)</f>
        <v>10775</v>
      </c>
      <c r="V19" s="74">
        <f t="shared" si="6"/>
        <v>1197.2</v>
      </c>
      <c r="W19" s="73">
        <f>Q19+S19+U19</f>
        <v>10775</v>
      </c>
      <c r="X19" s="19"/>
    </row>
    <row r="20" spans="1:24" s="20" customFormat="1" ht="18.75" customHeight="1">
      <c r="A20" s="21" t="s">
        <v>38</v>
      </c>
      <c r="B20" s="51">
        <v>34.557000000000002</v>
      </c>
      <c r="C20" s="52">
        <v>0.87364325606000004</v>
      </c>
      <c r="D20" s="53">
        <f t="shared" si="1"/>
        <v>30.19049</v>
      </c>
      <c r="E20" s="54">
        <v>1.302</v>
      </c>
      <c r="F20" s="55">
        <v>103.2</v>
      </c>
      <c r="G20" s="55">
        <v>12</v>
      </c>
      <c r="H20" s="70">
        <f t="shared" si="2"/>
        <v>48679</v>
      </c>
      <c r="I20" s="55">
        <v>37121</v>
      </c>
      <c r="J20" s="16">
        <f t="shared" si="3"/>
        <v>36610.225400000003</v>
      </c>
      <c r="K20" s="16">
        <f>392.3*E20</f>
        <v>510.77460000000002</v>
      </c>
      <c r="L20" s="56">
        <v>22499</v>
      </c>
      <c r="M20" s="57" t="e">
        <f>ROUND(L20*#REF!*E20*12/1000,3)</f>
        <v>#REF!</v>
      </c>
      <c r="N20" s="58">
        <f t="shared" si="0"/>
        <v>11558</v>
      </c>
      <c r="O20" s="54">
        <v>0.877</v>
      </c>
      <c r="P20" s="58">
        <f t="shared" si="4"/>
        <v>115.6</v>
      </c>
      <c r="Q20" s="58">
        <f t="shared" si="5"/>
        <v>11442.4</v>
      </c>
      <c r="R20" s="58"/>
      <c r="S20" s="58"/>
      <c r="T20" s="73"/>
      <c r="U20" s="73"/>
      <c r="V20" s="59">
        <f t="shared" si="6"/>
        <v>115.6</v>
      </c>
      <c r="W20" s="58">
        <f t="shared" si="6"/>
        <v>11442.4</v>
      </c>
      <c r="X20" s="22"/>
    </row>
    <row r="21" spans="1:24" s="20" customFormat="1" ht="16.5" customHeight="1">
      <c r="A21" s="21" t="s">
        <v>39</v>
      </c>
      <c r="B21" s="51">
        <v>34.557000000000002</v>
      </c>
      <c r="C21" s="52">
        <v>0.87364325606000004</v>
      </c>
      <c r="D21" s="53">
        <f t="shared" si="1"/>
        <v>30.19049</v>
      </c>
      <c r="E21" s="54">
        <v>1.302</v>
      </c>
      <c r="F21" s="55">
        <v>144.30000000000001</v>
      </c>
      <c r="G21" s="55">
        <v>12</v>
      </c>
      <c r="H21" s="70">
        <f t="shared" si="2"/>
        <v>68065.8</v>
      </c>
      <c r="I21" s="55">
        <v>48079.8</v>
      </c>
      <c r="J21" s="16">
        <f t="shared" si="3"/>
        <v>47782.293000000005</v>
      </c>
      <c r="K21" s="16">
        <f>228.5*E20</f>
        <v>297.50700000000001</v>
      </c>
      <c r="L21" s="56">
        <v>22170.799999999999</v>
      </c>
      <c r="M21" s="57" t="e">
        <f>ROUND(L21*#REF!*E21*12/1000,3)</f>
        <v>#REF!</v>
      </c>
      <c r="N21" s="58">
        <f>H21-I21</f>
        <v>19986</v>
      </c>
      <c r="O21" s="54">
        <v>0.86399999999999999</v>
      </c>
      <c r="P21" s="58">
        <f t="shared" si="4"/>
        <v>199.9</v>
      </c>
      <c r="Q21" s="58">
        <f t="shared" si="5"/>
        <v>19786.099999999999</v>
      </c>
      <c r="R21" s="58"/>
      <c r="S21" s="58"/>
      <c r="T21" s="73"/>
      <c r="U21" s="73"/>
      <c r="V21" s="59">
        <f t="shared" si="6"/>
        <v>199.9</v>
      </c>
      <c r="W21" s="58">
        <f t="shared" si="6"/>
        <v>19786.099999999999</v>
      </c>
      <c r="X21" s="22"/>
    </row>
    <row r="22" spans="1:24" s="20" customFormat="1" ht="16.5" customHeight="1">
      <c r="A22" s="21" t="s">
        <v>40</v>
      </c>
      <c r="B22" s="51">
        <v>34.557000000000002</v>
      </c>
      <c r="C22" s="52">
        <v>0.87364325606000004</v>
      </c>
      <c r="D22" s="53">
        <f t="shared" si="1"/>
        <v>30.19049</v>
      </c>
      <c r="E22" s="54">
        <v>1.302</v>
      </c>
      <c r="F22" s="55">
        <v>165.5</v>
      </c>
      <c r="G22" s="55">
        <v>12</v>
      </c>
      <c r="H22" s="70">
        <f t="shared" si="2"/>
        <v>78065.7</v>
      </c>
      <c r="I22" s="55">
        <v>60120.5</v>
      </c>
      <c r="J22" s="16">
        <f t="shared" si="3"/>
        <v>60102.141799999998</v>
      </c>
      <c r="K22" s="16">
        <f>14.1*E22</f>
        <v>18.3582</v>
      </c>
      <c r="L22" s="56">
        <v>22850.1</v>
      </c>
      <c r="M22" s="57" t="e">
        <f>ROUND(L22*#REF!*E22*12/1000,3)</f>
        <v>#REF!</v>
      </c>
      <c r="N22" s="58">
        <f t="shared" si="0"/>
        <v>17945.199999999997</v>
      </c>
      <c r="O22" s="54">
        <v>0.81299999999999994</v>
      </c>
      <c r="P22" s="58">
        <f t="shared" si="4"/>
        <v>179.5</v>
      </c>
      <c r="Q22" s="58">
        <f t="shared" si="5"/>
        <v>17765.7</v>
      </c>
      <c r="R22" s="58"/>
      <c r="S22" s="58"/>
      <c r="T22" s="73"/>
      <c r="U22" s="73"/>
      <c r="V22" s="59">
        <f t="shared" si="6"/>
        <v>179.5</v>
      </c>
      <c r="W22" s="58">
        <f t="shared" si="6"/>
        <v>17765.7</v>
      </c>
      <c r="X22" s="22"/>
    </row>
    <row r="23" spans="1:24" s="20" customFormat="1" ht="16.5" customHeight="1">
      <c r="A23" s="21" t="s">
        <v>41</v>
      </c>
      <c r="B23" s="51">
        <v>34.557000000000002</v>
      </c>
      <c r="C23" s="52">
        <v>0.87364325606000004</v>
      </c>
      <c r="D23" s="53">
        <f t="shared" si="1"/>
        <v>30.19049</v>
      </c>
      <c r="E23" s="54">
        <v>1.302</v>
      </c>
      <c r="F23" s="55">
        <v>79.7</v>
      </c>
      <c r="G23" s="55">
        <v>12</v>
      </c>
      <c r="H23" s="70">
        <f t="shared" si="2"/>
        <v>37594.199999999997</v>
      </c>
      <c r="I23" s="55">
        <v>30838.7</v>
      </c>
      <c r="J23" s="16">
        <f t="shared" si="3"/>
        <v>30580.5134</v>
      </c>
      <c r="K23" s="16">
        <f>198.3*E23</f>
        <v>258.1866</v>
      </c>
      <c r="L23" s="56">
        <v>22429.599999999999</v>
      </c>
      <c r="M23" s="57" t="e">
        <f>ROUND(L23*#REF!*E23*12/1000,3)</f>
        <v>#REF!</v>
      </c>
      <c r="N23" s="58">
        <f t="shared" si="0"/>
        <v>6755.4999999999964</v>
      </c>
      <c r="O23" s="54">
        <v>0.89</v>
      </c>
      <c r="P23" s="58">
        <f t="shared" si="4"/>
        <v>67.599999999999994</v>
      </c>
      <c r="Q23" s="58">
        <f t="shared" si="5"/>
        <v>6687.9</v>
      </c>
      <c r="R23" s="58"/>
      <c r="S23" s="58"/>
      <c r="T23" s="73"/>
      <c r="U23" s="73"/>
      <c r="V23" s="59">
        <f t="shared" si="6"/>
        <v>67.599999999999994</v>
      </c>
      <c r="W23" s="58">
        <f t="shared" si="6"/>
        <v>6687.9</v>
      </c>
      <c r="X23" s="22"/>
    </row>
    <row r="24" spans="1:24" s="20" customFormat="1" ht="16.899999999999999" customHeight="1">
      <c r="A24" s="21" t="s">
        <v>42</v>
      </c>
      <c r="B24" s="51">
        <v>34.557000000000002</v>
      </c>
      <c r="C24" s="52">
        <v>0.87364325606000004</v>
      </c>
      <c r="D24" s="53">
        <f t="shared" si="1"/>
        <v>30.19049</v>
      </c>
      <c r="E24" s="54">
        <v>1.302</v>
      </c>
      <c r="F24" s="55">
        <v>141.6</v>
      </c>
      <c r="G24" s="55">
        <v>12</v>
      </c>
      <c r="H24" s="70">
        <f t="shared" si="2"/>
        <v>66792.2</v>
      </c>
      <c r="I24" s="55">
        <v>52763.5</v>
      </c>
      <c r="J24" s="16">
        <f t="shared" si="3"/>
        <v>52053.779799999997</v>
      </c>
      <c r="K24" s="16">
        <f>545.1*E24</f>
        <v>709.72020000000009</v>
      </c>
      <c r="L24" s="56">
        <v>24122</v>
      </c>
      <c r="M24" s="57" t="e">
        <f>ROUND(L24*#REF!*E24*12/1000,3)</f>
        <v>#REF!</v>
      </c>
      <c r="N24" s="58">
        <f t="shared" si="0"/>
        <v>14028.699999999997</v>
      </c>
      <c r="O24" s="54">
        <v>0.94599999999999995</v>
      </c>
      <c r="P24" s="58"/>
      <c r="Q24" s="58"/>
      <c r="R24" s="58">
        <f>ROUND(N24*5/100,1)</f>
        <v>701.4</v>
      </c>
      <c r="S24" s="58">
        <f>ROUND(N24*95/100,1)</f>
        <v>13327.3</v>
      </c>
      <c r="T24" s="73"/>
      <c r="U24" s="73"/>
      <c r="V24" s="59">
        <f t="shared" si="6"/>
        <v>701.4</v>
      </c>
      <c r="W24" s="58">
        <f>Q24+S24+U24</f>
        <v>13327.3</v>
      </c>
      <c r="X24" s="22"/>
    </row>
    <row r="25" spans="1:24" s="20" customFormat="1" ht="16.899999999999999" customHeight="1">
      <c r="A25" s="21" t="s">
        <v>43</v>
      </c>
      <c r="B25" s="51">
        <v>34.557000000000002</v>
      </c>
      <c r="C25" s="52">
        <v>0.87364325606000004</v>
      </c>
      <c r="D25" s="53">
        <f t="shared" si="1"/>
        <v>30.19049</v>
      </c>
      <c r="E25" s="54">
        <v>1.302</v>
      </c>
      <c r="F25" s="55">
        <v>168.5</v>
      </c>
      <c r="G25" s="55">
        <v>12</v>
      </c>
      <c r="H25" s="70">
        <f t="shared" si="2"/>
        <v>79480.800000000003</v>
      </c>
      <c r="I25" s="55">
        <v>61628.3</v>
      </c>
      <c r="J25" s="16">
        <f t="shared" si="3"/>
        <v>60854.912000000004</v>
      </c>
      <c r="K25" s="16">
        <f>594*E25</f>
        <v>773.38800000000003</v>
      </c>
      <c r="L25" s="56">
        <v>22539.8</v>
      </c>
      <c r="M25" s="57" t="e">
        <f>ROUND(L25*#REF!*E25*12/1000,3)</f>
        <v>#REF!</v>
      </c>
      <c r="N25" s="58">
        <f t="shared" si="0"/>
        <v>17852.5</v>
      </c>
      <c r="O25" s="54">
        <v>0.83199999999999996</v>
      </c>
      <c r="P25" s="58">
        <f t="shared" si="4"/>
        <v>178.5</v>
      </c>
      <c r="Q25" s="58">
        <f t="shared" si="5"/>
        <v>17674</v>
      </c>
      <c r="R25" s="58"/>
      <c r="S25" s="58"/>
      <c r="T25" s="73"/>
      <c r="U25" s="73"/>
      <c r="V25" s="59">
        <f t="shared" si="6"/>
        <v>178.5</v>
      </c>
      <c r="W25" s="58">
        <f t="shared" si="6"/>
        <v>17674</v>
      </c>
      <c r="X25" s="22"/>
    </row>
    <row r="26" spans="1:24" s="20" customFormat="1" ht="16.899999999999999" customHeight="1">
      <c r="A26" s="21" t="s">
        <v>44</v>
      </c>
      <c r="B26" s="51">
        <v>34.557000000000002</v>
      </c>
      <c r="C26" s="52">
        <v>0.87364325606000004</v>
      </c>
      <c r="D26" s="53">
        <f t="shared" si="1"/>
        <v>30.19049</v>
      </c>
      <c r="E26" s="54">
        <v>1.302</v>
      </c>
      <c r="F26" s="55">
        <v>107.1</v>
      </c>
      <c r="G26" s="55">
        <v>12</v>
      </c>
      <c r="H26" s="70">
        <f t="shared" si="2"/>
        <v>50518.7</v>
      </c>
      <c r="I26" s="55">
        <v>38097.1</v>
      </c>
      <c r="J26" s="16">
        <f t="shared" si="3"/>
        <v>38097.1</v>
      </c>
      <c r="K26" s="16">
        <f>0</f>
        <v>0</v>
      </c>
      <c r="L26" s="56">
        <v>22981.8</v>
      </c>
      <c r="M26" s="57" t="e">
        <f>ROUND(L26*#REF!*E26*12/1000,3)</f>
        <v>#REF!</v>
      </c>
      <c r="N26" s="58">
        <f t="shared" si="0"/>
        <v>12421.599999999999</v>
      </c>
      <c r="O26" s="54">
        <v>0.879</v>
      </c>
      <c r="P26" s="58">
        <f t="shared" si="4"/>
        <v>124.2</v>
      </c>
      <c r="Q26" s="58">
        <f t="shared" si="5"/>
        <v>12297.4</v>
      </c>
      <c r="R26" s="58"/>
      <c r="S26" s="58"/>
      <c r="T26" s="73"/>
      <c r="U26" s="73"/>
      <c r="V26" s="59">
        <f t="shared" si="6"/>
        <v>124.2</v>
      </c>
      <c r="W26" s="58">
        <f t="shared" si="6"/>
        <v>12297.4</v>
      </c>
      <c r="X26" s="22"/>
    </row>
    <row r="27" spans="1:24" s="20" customFormat="1" ht="16.899999999999999" customHeight="1">
      <c r="A27" s="21" t="s">
        <v>45</v>
      </c>
      <c r="B27" s="51">
        <v>34.557000000000002</v>
      </c>
      <c r="C27" s="52">
        <v>0.87364325606000004</v>
      </c>
      <c r="D27" s="53">
        <f t="shared" si="1"/>
        <v>30.19049</v>
      </c>
      <c r="E27" s="54">
        <v>1.302</v>
      </c>
      <c r="F27" s="55">
        <v>70.7</v>
      </c>
      <c r="G27" s="55">
        <v>12</v>
      </c>
      <c r="H27" s="70">
        <f t="shared" si="2"/>
        <v>33348.9</v>
      </c>
      <c r="I27" s="55">
        <v>26385.200000000001</v>
      </c>
      <c r="J27" s="16">
        <f t="shared" si="3"/>
        <v>26278.175600000002</v>
      </c>
      <c r="K27" s="16">
        <f>82.2*E27</f>
        <v>107.02440000000001</v>
      </c>
      <c r="L27" s="56">
        <v>23165.4</v>
      </c>
      <c r="M27" s="57" t="e">
        <f>ROUND(L27*#REF!*E27*12/1000,3)</f>
        <v>#REF!</v>
      </c>
      <c r="N27" s="58">
        <f t="shared" si="0"/>
        <v>6963.7000000000007</v>
      </c>
      <c r="O27" s="54">
        <v>0.84599999999999997</v>
      </c>
      <c r="P27" s="58">
        <f t="shared" si="4"/>
        <v>69.599999999999994</v>
      </c>
      <c r="Q27" s="58">
        <f t="shared" si="5"/>
        <v>6894.1</v>
      </c>
      <c r="R27" s="58"/>
      <c r="S27" s="58"/>
      <c r="T27" s="73"/>
      <c r="U27" s="73"/>
      <c r="V27" s="59">
        <f t="shared" si="6"/>
        <v>69.599999999999994</v>
      </c>
      <c r="W27" s="58">
        <f t="shared" si="6"/>
        <v>6894.1</v>
      </c>
      <c r="X27" s="22"/>
    </row>
    <row r="28" spans="1:24" s="20" customFormat="1" ht="16.899999999999999" customHeight="1">
      <c r="A28" s="21" t="s">
        <v>46</v>
      </c>
      <c r="B28" s="51">
        <v>34.557000000000002</v>
      </c>
      <c r="C28" s="52">
        <v>0.87364325606000004</v>
      </c>
      <c r="D28" s="53">
        <f t="shared" si="1"/>
        <v>30.19049</v>
      </c>
      <c r="E28" s="54">
        <v>1.302</v>
      </c>
      <c r="F28" s="55">
        <v>594.79999999999995</v>
      </c>
      <c r="G28" s="55">
        <v>12</v>
      </c>
      <c r="H28" s="70">
        <f t="shared" si="2"/>
        <v>280564.90000000002</v>
      </c>
      <c r="I28" s="55">
        <v>239103.9</v>
      </c>
      <c r="J28" s="16">
        <f t="shared" si="3"/>
        <v>187296.79920000001</v>
      </c>
      <c r="K28" s="16">
        <f>39790.4*E28</f>
        <v>51807.1008</v>
      </c>
      <c r="L28" s="56">
        <v>24596</v>
      </c>
      <c r="M28" s="57" t="e">
        <f>ROUND(L28*#REF!*E28*12/1000,3)</f>
        <v>#REF!</v>
      </c>
      <c r="N28" s="58">
        <f t="shared" si="0"/>
        <v>41461.000000000029</v>
      </c>
      <c r="O28" s="54">
        <v>1.0169999999999999</v>
      </c>
      <c r="P28" s="58"/>
      <c r="Q28" s="58"/>
      <c r="R28" s="58"/>
      <c r="S28" s="58"/>
      <c r="T28" s="73">
        <f t="shared" ref="T28:T33" si="7">ROUND(N28*10/100,1)</f>
        <v>4146.1000000000004</v>
      </c>
      <c r="U28" s="73">
        <f t="shared" ref="U28:U33" si="8">ROUND(N28*90/100,1)</f>
        <v>37314.9</v>
      </c>
      <c r="V28" s="59">
        <f t="shared" si="6"/>
        <v>4146.1000000000004</v>
      </c>
      <c r="W28" s="58">
        <f>Q28+S28+U28</f>
        <v>37314.9</v>
      </c>
      <c r="X28" s="22"/>
    </row>
    <row r="29" spans="1:24" s="20" customFormat="1" ht="16.899999999999999" customHeight="1">
      <c r="A29" s="21" t="s">
        <v>47</v>
      </c>
      <c r="B29" s="51">
        <v>34.557000000000002</v>
      </c>
      <c r="C29" s="52">
        <v>0.87364325606000004</v>
      </c>
      <c r="D29" s="53">
        <f t="shared" si="1"/>
        <v>30.19049</v>
      </c>
      <c r="E29" s="54">
        <v>1.302</v>
      </c>
      <c r="F29" s="55">
        <f>360.3+11.3</f>
        <v>371.6</v>
      </c>
      <c r="G29" s="55">
        <v>12</v>
      </c>
      <c r="H29" s="70">
        <f t="shared" si="2"/>
        <v>175282.3</v>
      </c>
      <c r="I29" s="55">
        <v>168807.3</v>
      </c>
      <c r="J29" s="16">
        <f t="shared" si="3"/>
        <v>136708.57319999998</v>
      </c>
      <c r="K29" s="16">
        <f>24653.4*E29</f>
        <v>32098.726800000004</v>
      </c>
      <c r="L29" s="56">
        <v>28765.599999999999</v>
      </c>
      <c r="M29" s="57" t="e">
        <f>ROUND(L29*#REF!*E29*12/1000,3)</f>
        <v>#REF!</v>
      </c>
      <c r="N29" s="58">
        <f>H29-I29</f>
        <v>6475</v>
      </c>
      <c r="O29" s="54">
        <v>1.2250000000000001</v>
      </c>
      <c r="P29" s="58"/>
      <c r="Q29" s="58"/>
      <c r="R29" s="58"/>
      <c r="S29" s="58"/>
      <c r="T29" s="73">
        <f t="shared" si="7"/>
        <v>647.5</v>
      </c>
      <c r="U29" s="73">
        <f t="shared" si="8"/>
        <v>5827.5</v>
      </c>
      <c r="V29" s="59">
        <f t="shared" si="6"/>
        <v>647.5</v>
      </c>
      <c r="W29" s="58">
        <f>Q29+S29+U29</f>
        <v>5827.5</v>
      </c>
      <c r="X29" s="22"/>
    </row>
    <row r="30" spans="1:24" s="20" customFormat="1" ht="16.899999999999999" customHeight="1">
      <c r="A30" s="21" t="s">
        <v>48</v>
      </c>
      <c r="B30" s="51">
        <v>34.557000000000002</v>
      </c>
      <c r="C30" s="52">
        <v>0.87364325606000004</v>
      </c>
      <c r="D30" s="53">
        <f t="shared" si="1"/>
        <v>30.19049</v>
      </c>
      <c r="E30" s="54">
        <v>1.302</v>
      </c>
      <c r="F30" s="55">
        <v>255</v>
      </c>
      <c r="G30" s="55">
        <v>12</v>
      </c>
      <c r="H30" s="70">
        <f t="shared" si="2"/>
        <v>120282.5</v>
      </c>
      <c r="I30" s="55">
        <v>101010.2</v>
      </c>
      <c r="J30" s="16">
        <f t="shared" si="3"/>
        <v>90900.17</v>
      </c>
      <c r="K30" s="16">
        <f>7765*E30</f>
        <v>10110.030000000001</v>
      </c>
      <c r="L30" s="56">
        <v>24286.5</v>
      </c>
      <c r="M30" s="57" t="e">
        <f>ROUND(L30*#REF!*E30*12/1000,3)</f>
        <v>#REF!</v>
      </c>
      <c r="N30" s="58">
        <f t="shared" si="0"/>
        <v>19272.300000000003</v>
      </c>
      <c r="O30" s="54">
        <v>0.90300000000000002</v>
      </c>
      <c r="P30" s="58"/>
      <c r="Q30" s="58"/>
      <c r="R30" s="58">
        <f t="shared" ref="R30:R32" si="9">ROUND(N30*5/100,1)</f>
        <v>963.6</v>
      </c>
      <c r="S30" s="58">
        <f t="shared" ref="S30:S32" si="10">ROUND(N30*95/100,1)</f>
        <v>18308.7</v>
      </c>
      <c r="T30" s="73"/>
      <c r="U30" s="73"/>
      <c r="V30" s="59">
        <f t="shared" si="6"/>
        <v>963.6</v>
      </c>
      <c r="W30" s="58">
        <f>Q30+S30+U30</f>
        <v>18308.7</v>
      </c>
      <c r="X30" s="22"/>
    </row>
    <row r="31" spans="1:24" s="20" customFormat="1" ht="16.899999999999999" customHeight="1">
      <c r="A31" s="21" t="s">
        <v>49</v>
      </c>
      <c r="B31" s="51">
        <v>34.557000000000002</v>
      </c>
      <c r="C31" s="52">
        <v>0.87364325606000004</v>
      </c>
      <c r="D31" s="53">
        <f t="shared" si="1"/>
        <v>30.19049</v>
      </c>
      <c r="E31" s="54">
        <v>1.302</v>
      </c>
      <c r="F31" s="55">
        <v>58.3</v>
      </c>
      <c r="G31" s="55">
        <v>12</v>
      </c>
      <c r="H31" s="70">
        <f t="shared" si="2"/>
        <v>27499.9</v>
      </c>
      <c r="I31" s="55">
        <v>19368.3</v>
      </c>
      <c r="J31" s="16">
        <f t="shared" si="3"/>
        <v>19368.3</v>
      </c>
      <c r="K31" s="16">
        <f>0</f>
        <v>0</v>
      </c>
      <c r="L31" s="56">
        <v>22871.77</v>
      </c>
      <c r="M31" s="57" t="e">
        <f>ROUND(L31*#REF!*E31*12/1000,3)</f>
        <v>#REF!</v>
      </c>
      <c r="N31" s="58">
        <f t="shared" si="0"/>
        <v>8131.6000000000022</v>
      </c>
      <c r="O31" s="54">
        <v>0.93600000000000005</v>
      </c>
      <c r="P31" s="58"/>
      <c r="Q31" s="58"/>
      <c r="R31" s="58">
        <f t="shared" si="9"/>
        <v>406.6</v>
      </c>
      <c r="S31" s="58">
        <f t="shared" si="10"/>
        <v>7725</v>
      </c>
      <c r="T31" s="73"/>
      <c r="U31" s="73"/>
      <c r="V31" s="59">
        <f t="shared" si="6"/>
        <v>406.6</v>
      </c>
      <c r="W31" s="58">
        <f t="shared" si="6"/>
        <v>7725</v>
      </c>
      <c r="X31" s="22"/>
    </row>
    <row r="32" spans="1:24" s="20" customFormat="1" ht="16.5" customHeight="1">
      <c r="A32" s="21" t="s">
        <v>50</v>
      </c>
      <c r="B32" s="51">
        <v>34.557000000000002</v>
      </c>
      <c r="C32" s="52">
        <v>0.87364325606000004</v>
      </c>
      <c r="D32" s="53">
        <f t="shared" si="1"/>
        <v>30.19049</v>
      </c>
      <c r="E32" s="54">
        <v>1.302</v>
      </c>
      <c r="F32" s="55">
        <v>124.4</v>
      </c>
      <c r="G32" s="55">
        <v>12</v>
      </c>
      <c r="H32" s="70">
        <f t="shared" si="2"/>
        <v>58679</v>
      </c>
      <c r="I32" s="55">
        <f>44905.3</f>
        <v>44905.3</v>
      </c>
      <c r="J32" s="16">
        <f t="shared" si="3"/>
        <v>43926.326200000003</v>
      </c>
      <c r="K32" s="16">
        <f>751.9*E32</f>
        <v>978.97379999999998</v>
      </c>
      <c r="L32" s="56">
        <v>22366.7</v>
      </c>
      <c r="M32" s="57" t="e">
        <f>ROUND(L32*#REF!*E32*12/1000,3)</f>
        <v>#REF!</v>
      </c>
      <c r="N32" s="58">
        <f t="shared" si="0"/>
        <v>13773.699999999997</v>
      </c>
      <c r="O32" s="54">
        <v>0.97699999999999998</v>
      </c>
      <c r="P32" s="58"/>
      <c r="Q32" s="58"/>
      <c r="R32" s="58">
        <f t="shared" si="9"/>
        <v>688.7</v>
      </c>
      <c r="S32" s="58">
        <f t="shared" si="10"/>
        <v>13085</v>
      </c>
      <c r="T32" s="73"/>
      <c r="U32" s="73"/>
      <c r="V32" s="59">
        <f t="shared" si="6"/>
        <v>688.7</v>
      </c>
      <c r="W32" s="58">
        <f t="shared" si="6"/>
        <v>13085</v>
      </c>
      <c r="X32" s="22"/>
    </row>
    <row r="33" spans="1:24" s="20" customFormat="1" ht="16.899999999999999" customHeight="1">
      <c r="A33" s="23" t="s">
        <v>51</v>
      </c>
      <c r="B33" s="60">
        <v>34.557000000000002</v>
      </c>
      <c r="C33" s="61">
        <v>0.87364325606000004</v>
      </c>
      <c r="D33" s="62">
        <f t="shared" si="1"/>
        <v>30.19049</v>
      </c>
      <c r="E33" s="63">
        <v>1.302</v>
      </c>
      <c r="F33" s="64">
        <v>21</v>
      </c>
      <c r="G33" s="64">
        <v>12</v>
      </c>
      <c r="H33" s="75">
        <f t="shared" si="2"/>
        <v>9905.6</v>
      </c>
      <c r="I33" s="64">
        <f>8581.7</f>
        <v>8581.7000000000007</v>
      </c>
      <c r="J33" s="24">
        <f t="shared" si="3"/>
        <v>8581.7000000000007</v>
      </c>
      <c r="K33" s="24">
        <f>0</f>
        <v>0</v>
      </c>
      <c r="L33" s="65">
        <v>26155.56</v>
      </c>
      <c r="M33" s="66" t="e">
        <f>ROUND(L33*#REF!*E33*12/1000,3)</f>
        <v>#REF!</v>
      </c>
      <c r="N33" s="67">
        <f t="shared" si="0"/>
        <v>1323.8999999999996</v>
      </c>
      <c r="O33" s="63">
        <v>1.24</v>
      </c>
      <c r="P33" s="67"/>
      <c r="Q33" s="67"/>
      <c r="R33" s="67"/>
      <c r="S33" s="67"/>
      <c r="T33" s="76">
        <f t="shared" si="7"/>
        <v>132.4</v>
      </c>
      <c r="U33" s="76">
        <f t="shared" si="8"/>
        <v>1191.5</v>
      </c>
      <c r="V33" s="68">
        <f t="shared" si="6"/>
        <v>132.4</v>
      </c>
      <c r="W33" s="67">
        <f t="shared" si="6"/>
        <v>1191.5</v>
      </c>
      <c r="X33" s="22"/>
    </row>
    <row r="34" spans="1:24" s="20" customFormat="1" ht="27" customHeight="1">
      <c r="A34" s="25" t="s">
        <v>52</v>
      </c>
      <c r="B34" s="26">
        <v>34.557000000000002</v>
      </c>
      <c r="C34" s="27">
        <v>0.87364325606000004</v>
      </c>
      <c r="D34" s="28">
        <f t="shared" ref="D34:D36" si="11">ROUND(B34*C34,5)</f>
        <v>30.19049</v>
      </c>
      <c r="E34" s="26">
        <v>1.302</v>
      </c>
      <c r="F34" s="29">
        <f>SUM(F9:F33)</f>
        <v>3529.0999999999995</v>
      </c>
      <c r="G34" s="29">
        <v>12</v>
      </c>
      <c r="H34" s="30">
        <f>SUM(H9:H33)</f>
        <v>1664663.0999999999</v>
      </c>
      <c r="I34" s="29">
        <f>SUM(I9:I33)</f>
        <v>1334094.5</v>
      </c>
      <c r="J34" s="29">
        <f>SUM(J9:J33)</f>
        <v>1233468.9092000001</v>
      </c>
      <c r="K34" s="29">
        <f>SUM(K9:K33)</f>
        <v>100625.59080000001</v>
      </c>
      <c r="L34" s="31"/>
      <c r="M34" s="32" t="e">
        <f>ROUND(SUM(M9:M33),5)</f>
        <v>#REF!</v>
      </c>
      <c r="N34" s="29">
        <f>SUM(N9:N33)</f>
        <v>330568.60000000009</v>
      </c>
      <c r="O34" s="29"/>
      <c r="P34" s="29">
        <f t="shared" ref="P34:W34" si="12">SUM(P9:P33)</f>
        <v>2141.3999999999996</v>
      </c>
      <c r="Q34" s="29">
        <f t="shared" si="12"/>
        <v>211988.80000000002</v>
      </c>
      <c r="R34" s="29">
        <f t="shared" si="12"/>
        <v>2760.3</v>
      </c>
      <c r="S34" s="29">
        <f t="shared" si="12"/>
        <v>52446</v>
      </c>
      <c r="T34" s="29">
        <f t="shared" si="12"/>
        <v>6123.2</v>
      </c>
      <c r="U34" s="29">
        <f t="shared" si="12"/>
        <v>55108.9</v>
      </c>
      <c r="V34" s="29">
        <f t="shared" si="12"/>
        <v>11024.900000000001</v>
      </c>
      <c r="W34" s="29">
        <f t="shared" si="12"/>
        <v>319543.7</v>
      </c>
      <c r="X34" s="19"/>
    </row>
    <row r="35" spans="1:24" s="20" customFormat="1" ht="21.75" hidden="1" customHeight="1">
      <c r="A35" s="33" t="s">
        <v>53</v>
      </c>
      <c r="B35" s="34">
        <v>34.557000000000002</v>
      </c>
      <c r="C35" s="34">
        <v>0.87364325606000004</v>
      </c>
      <c r="D35" s="35">
        <f t="shared" si="11"/>
        <v>30.19049</v>
      </c>
      <c r="E35" s="35"/>
      <c r="F35" s="35"/>
      <c r="G35" s="35"/>
      <c r="H35" s="36" t="e">
        <f>ROUND(D35*#REF!*#REF!*12,2)</f>
        <v>#REF!</v>
      </c>
      <c r="I35" s="37">
        <v>477328.8</v>
      </c>
    </row>
    <row r="36" spans="1:24" s="20" customFormat="1" ht="22.5" hidden="1" customHeight="1">
      <c r="A36" s="38" t="s">
        <v>54</v>
      </c>
      <c r="B36" s="39">
        <v>34.557000000000002</v>
      </c>
      <c r="C36" s="39">
        <v>0.87364325606000004</v>
      </c>
      <c r="D36" s="40">
        <f t="shared" si="11"/>
        <v>30.19049</v>
      </c>
      <c r="E36" s="41"/>
      <c r="F36" s="41"/>
      <c r="G36" s="41"/>
      <c r="H36" s="42" t="e">
        <f>ROUND(D36*#REF!*#REF!*12,2)</f>
        <v>#REF!</v>
      </c>
      <c r="I36" s="43">
        <f>I34+I35</f>
        <v>1811423.3</v>
      </c>
    </row>
    <row r="37" spans="1:24" s="20" customFormat="1" ht="13.5" customHeight="1">
      <c r="A37" s="44"/>
    </row>
    <row r="38" spans="1:24" s="45" customFormat="1" ht="15.75">
      <c r="H38" s="46"/>
    </row>
    <row r="39" spans="1:24" s="20" customFormat="1"/>
    <row r="40" spans="1:24" s="20" customFormat="1"/>
    <row r="41" spans="1:24" s="20" customFormat="1" ht="14.25" customHeight="1"/>
    <row r="42" spans="1:24" s="20" customFormat="1"/>
    <row r="43" spans="1:24" s="20" customFormat="1"/>
    <row r="44" spans="1:24" s="20" customFormat="1"/>
  </sheetData>
  <mergeCells count="21">
    <mergeCell ref="A6:A7"/>
    <mergeCell ref="B6:B7"/>
    <mergeCell ref="C6:C7"/>
    <mergeCell ref="D6:D7"/>
    <mergeCell ref="E6:E7"/>
    <mergeCell ref="B4:I4"/>
    <mergeCell ref="W6:W7"/>
    <mergeCell ref="Q6:Q7"/>
    <mergeCell ref="R6:R7"/>
    <mergeCell ref="S6:S7"/>
    <mergeCell ref="T6:T7"/>
    <mergeCell ref="U6:U7"/>
    <mergeCell ref="V6:V7"/>
    <mergeCell ref="P6:P7"/>
    <mergeCell ref="F6:F7"/>
    <mergeCell ref="G6:G7"/>
    <mergeCell ref="H6:H7"/>
    <mergeCell ref="I6:I7"/>
    <mergeCell ref="J6:K6"/>
    <mergeCell ref="N6:N7"/>
    <mergeCell ref="O6:O7"/>
  </mergeCells>
  <printOptions horizontalCentered="1"/>
  <pageMargins left="0.39370078740157483" right="0.39370078740157483" top="0.74803149606299213" bottom="0.35433070866141736" header="0.31496062992125984" footer="0.31496062992125984"/>
  <pageSetup paperSize="9" scale="60" fitToWidth="0" fitToHeight="0" orientation="landscape" r:id="rId1"/>
  <headerFooter>
    <oddFooter>&amp;C&amp;P</oddFooter>
  </headerFooter>
  <colBreaks count="1" manualBreakCount="1">
    <brk id="13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Расчет (2017 числ.)</vt:lpstr>
      <vt:lpstr>'Расчет (2017 числ.)'!Заголовки_для_печати</vt:lpstr>
      <vt:lpstr>'Расчет (2017 числ.)'!Область_печати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Вероника Владимировна</dc:creator>
  <cp:lastModifiedBy>minfin user</cp:lastModifiedBy>
  <cp:lastPrinted>2017-06-09T13:53:26Z</cp:lastPrinted>
  <dcterms:created xsi:type="dcterms:W3CDTF">2017-06-08T06:46:24Z</dcterms:created>
  <dcterms:modified xsi:type="dcterms:W3CDTF">2017-06-09T13:53:29Z</dcterms:modified>
</cp:coreProperties>
</file>