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200" windowHeight="11595" tabRatio="535"/>
  </bookViews>
  <sheets>
    <sheet name="Лист1" sheetId="2" r:id="rId1"/>
  </sheets>
  <definedNames>
    <definedName name="_xlnm.Print_Titles" localSheetId="0">Лист1!$22:$24</definedName>
    <definedName name="_xlnm.Print_Area" localSheetId="0">Лист1!$A$1:$X$104</definedName>
  </definedNames>
  <calcPr calcId="125725"/>
</workbook>
</file>

<file path=xl/calcChain.xml><?xml version="1.0" encoding="utf-8"?>
<calcChain xmlns="http://schemas.openxmlformats.org/spreadsheetml/2006/main">
  <c r="O46" i="2"/>
  <c r="O44" s="1"/>
  <c r="O28"/>
  <c r="O27" s="1"/>
  <c r="T93"/>
  <c r="S93"/>
  <c r="R93"/>
  <c r="Q93"/>
  <c r="O93"/>
  <c r="N93"/>
  <c r="M93"/>
  <c r="L93"/>
  <c r="J93"/>
  <c r="I93"/>
  <c r="T89"/>
  <c r="R89"/>
  <c r="O89"/>
  <c r="M89"/>
  <c r="J89"/>
  <c r="I89"/>
  <c r="T85"/>
  <c r="S85"/>
  <c r="R85"/>
  <c r="Q85"/>
  <c r="M85"/>
  <c r="L85"/>
  <c r="J85"/>
  <c r="T76"/>
  <c r="S76"/>
  <c r="R76"/>
  <c r="Q76"/>
  <c r="O76"/>
  <c r="M76"/>
  <c r="L76"/>
  <c r="J76"/>
  <c r="T63"/>
  <c r="R63"/>
  <c r="Q63"/>
  <c r="O63"/>
  <c r="M63"/>
  <c r="L63"/>
  <c r="J63"/>
  <c r="S58"/>
  <c r="R58"/>
  <c r="Q58"/>
  <c r="O58"/>
  <c r="M58"/>
  <c r="L58"/>
  <c r="J58"/>
  <c r="T48"/>
  <c r="R48"/>
  <c r="Q48"/>
  <c r="M48"/>
  <c r="R44"/>
  <c r="Q44"/>
  <c r="M44"/>
  <c r="J44"/>
  <c r="T38"/>
  <c r="R38"/>
  <c r="O38"/>
  <c r="M38"/>
  <c r="L38"/>
  <c r="J38"/>
  <c r="J27"/>
  <c r="J51" l="1"/>
  <c r="O51"/>
  <c r="O48" s="1"/>
  <c r="P95"/>
  <c r="P93" s="1"/>
  <c r="K95"/>
  <c r="K93" s="1"/>
  <c r="T27"/>
  <c r="S27"/>
  <c r="R27"/>
  <c r="Q27"/>
  <c r="P32"/>
  <c r="K32"/>
  <c r="P31"/>
  <c r="K31"/>
  <c r="O86" l="1"/>
  <c r="O85" s="1"/>
  <c r="T55" l="1"/>
  <c r="S55"/>
  <c r="R55"/>
  <c r="Q55"/>
  <c r="O55"/>
  <c r="M55"/>
  <c r="L55"/>
  <c r="J55"/>
  <c r="X35"/>
  <c r="W35"/>
  <c r="V35"/>
  <c r="U35"/>
  <c r="T35"/>
  <c r="S35"/>
  <c r="R35"/>
  <c r="Q35"/>
  <c r="O35"/>
  <c r="N35"/>
  <c r="M35"/>
  <c r="L35"/>
  <c r="J35"/>
  <c r="I35"/>
  <c r="P36"/>
  <c r="P35" s="1"/>
  <c r="K36"/>
  <c r="K35" s="1"/>
  <c r="W55" l="1"/>
  <c r="V55"/>
  <c r="U55"/>
  <c r="J52"/>
  <c r="J48" s="1"/>
  <c r="K68" l="1"/>
  <c r="P68"/>
  <c r="S68"/>
  <c r="K67"/>
  <c r="S67"/>
  <c r="K41"/>
  <c r="W85"/>
  <c r="V85"/>
  <c r="U85"/>
  <c r="W44"/>
  <c r="W38"/>
  <c r="V38"/>
  <c r="U38"/>
  <c r="Q90"/>
  <c r="Q89" s="1"/>
  <c r="N88"/>
  <c r="I88"/>
  <c r="I87"/>
  <c r="I86"/>
  <c r="N79"/>
  <c r="N78"/>
  <c r="N77"/>
  <c r="N57"/>
  <c r="N56"/>
  <c r="N51"/>
  <c r="I51"/>
  <c r="I48" s="1"/>
  <c r="N50"/>
  <c r="N49"/>
  <c r="P47"/>
  <c r="I47"/>
  <c r="K47" s="1"/>
  <c r="T46"/>
  <c r="T44" s="1"/>
  <c r="N46"/>
  <c r="N45"/>
  <c r="Q42"/>
  <c r="Q40"/>
  <c r="I39"/>
  <c r="I38" s="1"/>
  <c r="I30"/>
  <c r="S63" l="1"/>
  <c r="Q38"/>
  <c r="I85"/>
  <c r="N76"/>
  <c r="N48"/>
  <c r="W37"/>
  <c r="N44"/>
  <c r="N55"/>
  <c r="P30"/>
  <c r="K30"/>
  <c r="L30" s="1"/>
  <c r="L27" s="1"/>
  <c r="W27" l="1"/>
  <c r="W26" s="1"/>
  <c r="V27"/>
  <c r="V26" s="1"/>
  <c r="U27"/>
  <c r="U26" s="1"/>
  <c r="S26"/>
  <c r="R26"/>
  <c r="W58" l="1"/>
  <c r="V58"/>
  <c r="U58"/>
  <c r="T58"/>
  <c r="X92" l="1"/>
  <c r="V44"/>
  <c r="U44"/>
  <c r="U37" s="1"/>
  <c r="T37"/>
  <c r="R37"/>
  <c r="Q37"/>
  <c r="O37"/>
  <c r="W89"/>
  <c r="V89"/>
  <c r="U89"/>
  <c r="S92"/>
  <c r="K92"/>
  <c r="K89" s="1"/>
  <c r="P92"/>
  <c r="S90"/>
  <c r="K88"/>
  <c r="K87"/>
  <c r="K86"/>
  <c r="W48"/>
  <c r="V48"/>
  <c r="U48"/>
  <c r="P52"/>
  <c r="K52"/>
  <c r="L52" s="1"/>
  <c r="L48" s="1"/>
  <c r="S89" l="1"/>
  <c r="K85"/>
  <c r="L92"/>
  <c r="L89" s="1"/>
  <c r="L47"/>
  <c r="L44" s="1"/>
  <c r="S42" l="1"/>
  <c r="K39"/>
  <c r="K38" s="1"/>
  <c r="S40"/>
  <c r="X97"/>
  <c r="X94"/>
  <c r="X91"/>
  <c r="X90"/>
  <c r="X88"/>
  <c r="X87"/>
  <c r="X86"/>
  <c r="X84"/>
  <c r="X82"/>
  <c r="X81"/>
  <c r="X79"/>
  <c r="X78"/>
  <c r="X77"/>
  <c r="X75"/>
  <c r="X72"/>
  <c r="X71"/>
  <c r="X70"/>
  <c r="X69"/>
  <c r="X68"/>
  <c r="X67"/>
  <c r="X66"/>
  <c r="X65"/>
  <c r="X64"/>
  <c r="X61"/>
  <c r="X60"/>
  <c r="X59"/>
  <c r="X57"/>
  <c r="X56"/>
  <c r="X54"/>
  <c r="X51"/>
  <c r="X50"/>
  <c r="X49"/>
  <c r="X47"/>
  <c r="X46"/>
  <c r="X45"/>
  <c r="X42"/>
  <c r="X41"/>
  <c r="X40"/>
  <c r="X39"/>
  <c r="X34"/>
  <c r="X29"/>
  <c r="X28"/>
  <c r="W96"/>
  <c r="W93"/>
  <c r="X93" s="1"/>
  <c r="W83"/>
  <c r="W80"/>
  <c r="X80" s="1"/>
  <c r="W76"/>
  <c r="X76" s="1"/>
  <c r="W74"/>
  <c r="W63"/>
  <c r="X63" s="1"/>
  <c r="W53"/>
  <c r="X53" s="1"/>
  <c r="W73" l="1"/>
  <c r="W25" s="1"/>
  <c r="S38"/>
  <c r="X85"/>
  <c r="X58"/>
  <c r="X27"/>
  <c r="X38"/>
  <c r="X55"/>
  <c r="X44"/>
  <c r="X48"/>
  <c r="X89"/>
  <c r="P83"/>
  <c r="O96"/>
  <c r="O83"/>
  <c r="O80"/>
  <c r="O74"/>
  <c r="O53"/>
  <c r="O33"/>
  <c r="O26" s="1"/>
  <c r="K83"/>
  <c r="K74"/>
  <c r="K53"/>
  <c r="K51"/>
  <c r="K48" s="1"/>
  <c r="J96"/>
  <c r="J80"/>
  <c r="J73" s="1"/>
  <c r="J53"/>
  <c r="J37"/>
  <c r="J33"/>
  <c r="J26" s="1"/>
  <c r="L83"/>
  <c r="M83"/>
  <c r="N83"/>
  <c r="Q83"/>
  <c r="Q73" s="1"/>
  <c r="R83"/>
  <c r="S83"/>
  <c r="S73" s="1"/>
  <c r="T83"/>
  <c r="X83" s="1"/>
  <c r="I83"/>
  <c r="O73" l="1"/>
  <c r="X37"/>
  <c r="J25"/>
  <c r="T96"/>
  <c r="X96" s="1"/>
  <c r="S96"/>
  <c r="R96"/>
  <c r="Q96"/>
  <c r="M96"/>
  <c r="L96"/>
  <c r="H96"/>
  <c r="G96"/>
  <c r="N97"/>
  <c r="I97"/>
  <c r="I69"/>
  <c r="K69" s="1"/>
  <c r="I64"/>
  <c r="K64" l="1"/>
  <c r="K63" s="1"/>
  <c r="I63"/>
  <c r="N96"/>
  <c r="P97"/>
  <c r="P96" s="1"/>
  <c r="I96"/>
  <c r="K97"/>
  <c r="K96" s="1"/>
  <c r="O25"/>
  <c r="H29"/>
  <c r="I29" s="1"/>
  <c r="K29" s="1"/>
  <c r="M29"/>
  <c r="M27" s="1"/>
  <c r="N29" l="1"/>
  <c r="H28"/>
  <c r="I28" s="1"/>
  <c r="I27" s="1"/>
  <c r="K28" l="1"/>
  <c r="K27" s="1"/>
  <c r="H56"/>
  <c r="I56" s="1"/>
  <c r="I46"/>
  <c r="I44" s="1"/>
  <c r="K56" l="1"/>
  <c r="K46"/>
  <c r="T33"/>
  <c r="Q33"/>
  <c r="Q26" s="1"/>
  <c r="M33"/>
  <c r="M26" s="1"/>
  <c r="L33"/>
  <c r="L26" s="1"/>
  <c r="H33"/>
  <c r="G33"/>
  <c r="I34"/>
  <c r="K34" s="1"/>
  <c r="I33" l="1"/>
  <c r="I26" s="1"/>
  <c r="K44"/>
  <c r="K37" s="1"/>
  <c r="T26"/>
  <c r="X33"/>
  <c r="X26" s="1"/>
  <c r="N33"/>
  <c r="P33" s="1"/>
  <c r="K33" l="1"/>
  <c r="K26" s="1"/>
  <c r="I82"/>
  <c r="K82" s="1"/>
  <c r="I81"/>
  <c r="K81" s="1"/>
  <c r="I78"/>
  <c r="K78" s="1"/>
  <c r="I79"/>
  <c r="K79" s="1"/>
  <c r="I77"/>
  <c r="K77" l="1"/>
  <c r="K76" s="1"/>
  <c r="K73" s="1"/>
  <c r="I76"/>
  <c r="K80"/>
  <c r="I60"/>
  <c r="K60" s="1"/>
  <c r="I61"/>
  <c r="K61" s="1"/>
  <c r="I59"/>
  <c r="I57"/>
  <c r="I55" s="1"/>
  <c r="I58" l="1"/>
  <c r="K59"/>
  <c r="K58" s="1"/>
  <c r="K57"/>
  <c r="K55" s="1"/>
  <c r="P46"/>
  <c r="T74"/>
  <c r="T73" s="1"/>
  <c r="X74" l="1"/>
  <c r="N34"/>
  <c r="P34" s="1"/>
  <c r="V75"/>
  <c r="S46"/>
  <c r="S51"/>
  <c r="S48" s="1"/>
  <c r="U93"/>
  <c r="U80"/>
  <c r="U76"/>
  <c r="U74"/>
  <c r="V74" s="1"/>
  <c r="U63"/>
  <c r="U53"/>
  <c r="R80"/>
  <c r="R53"/>
  <c r="R74"/>
  <c r="R73" s="1"/>
  <c r="N90"/>
  <c r="P88"/>
  <c r="N87"/>
  <c r="P87" s="1"/>
  <c r="N86"/>
  <c r="M80"/>
  <c r="M53"/>
  <c r="Q25"/>
  <c r="S44" l="1"/>
  <c r="S37" s="1"/>
  <c r="N85"/>
  <c r="X73"/>
  <c r="X25" s="1"/>
  <c r="T25"/>
  <c r="P86"/>
  <c r="P85" s="1"/>
  <c r="P90"/>
  <c r="U73"/>
  <c r="V73" s="1"/>
  <c r="V25" s="1"/>
  <c r="R25"/>
  <c r="H93"/>
  <c r="U25" l="1"/>
  <c r="S25"/>
  <c r="N82"/>
  <c r="P82" s="1"/>
  <c r="N81" l="1"/>
  <c r="P81" s="1"/>
  <c r="H80"/>
  <c r="P79"/>
  <c r="P78"/>
  <c r="P77"/>
  <c r="P76" s="1"/>
  <c r="H76"/>
  <c r="N72"/>
  <c r="P72" s="1"/>
  <c r="N71"/>
  <c r="P71" s="1"/>
  <c r="N70"/>
  <c r="P70" s="1"/>
  <c r="N69"/>
  <c r="P69" s="1"/>
  <c r="N67"/>
  <c r="P67" s="1"/>
  <c r="N66"/>
  <c r="P66" s="1"/>
  <c r="N65"/>
  <c r="P65" s="1"/>
  <c r="N64"/>
  <c r="H63"/>
  <c r="N60"/>
  <c r="P60" s="1"/>
  <c r="N59"/>
  <c r="H58"/>
  <c r="P57"/>
  <c r="P56"/>
  <c r="H55"/>
  <c r="N54"/>
  <c r="P54" s="1"/>
  <c r="H53"/>
  <c r="P51"/>
  <c r="P50"/>
  <c r="H38"/>
  <c r="H44"/>
  <c r="N41"/>
  <c r="P41" s="1"/>
  <c r="N28"/>
  <c r="N27" s="1"/>
  <c r="N26" s="1"/>
  <c r="H48"/>
  <c r="H27"/>
  <c r="H26" s="1"/>
  <c r="H89"/>
  <c r="G89"/>
  <c r="P64" l="1"/>
  <c r="P63" s="1"/>
  <c r="N63"/>
  <c r="P55"/>
  <c r="P59"/>
  <c r="P28"/>
  <c r="P27" s="1"/>
  <c r="P26" s="1"/>
  <c r="P45"/>
  <c r="P44" s="1"/>
  <c r="H73"/>
  <c r="N40"/>
  <c r="M74"/>
  <c r="M73" s="1"/>
  <c r="P39"/>
  <c r="N42"/>
  <c r="P42" s="1"/>
  <c r="H37"/>
  <c r="N91"/>
  <c r="N89" s="1"/>
  <c r="P29"/>
  <c r="H85"/>
  <c r="G85"/>
  <c r="L80"/>
  <c r="N80" s="1"/>
  <c r="P80" s="1"/>
  <c r="L74"/>
  <c r="L53"/>
  <c r="N53" s="1"/>
  <c r="P53" s="1"/>
  <c r="I53"/>
  <c r="I37"/>
  <c r="I74"/>
  <c r="I80"/>
  <c r="G63"/>
  <c r="G55"/>
  <c r="I73" l="1"/>
  <c r="N38"/>
  <c r="N37" s="1"/>
  <c r="P38"/>
  <c r="P37" s="1"/>
  <c r="L73"/>
  <c r="P40"/>
  <c r="P91"/>
  <c r="P89" s="1"/>
  <c r="P49"/>
  <c r="P48" s="1"/>
  <c r="H25"/>
  <c r="N74"/>
  <c r="N61"/>
  <c r="N58" s="1"/>
  <c r="M37"/>
  <c r="M25" s="1"/>
  <c r="N75"/>
  <c r="P75" s="1"/>
  <c r="L37"/>
  <c r="G80"/>
  <c r="G38"/>
  <c r="G76"/>
  <c r="G58"/>
  <c r="G48"/>
  <c r="G27"/>
  <c r="G26" s="1"/>
  <c r="G74"/>
  <c r="G93"/>
  <c r="K25" s="1"/>
  <c r="G44"/>
  <c r="G53"/>
  <c r="B24"/>
  <c r="C24" s="1"/>
  <c r="D24" s="1"/>
  <c r="E24" s="1"/>
  <c r="F24" s="1"/>
  <c r="G24" s="1"/>
  <c r="P74" l="1"/>
  <c r="P73" s="1"/>
  <c r="N73"/>
  <c r="P61"/>
  <c r="P58" s="1"/>
  <c r="I25"/>
  <c r="L25"/>
  <c r="G73"/>
  <c r="G37"/>
  <c r="P25" l="1"/>
  <c r="G25"/>
  <c r="N25" l="1"/>
</calcChain>
</file>

<file path=xl/sharedStrings.xml><?xml version="1.0" encoding="utf-8"?>
<sst xmlns="http://schemas.openxmlformats.org/spreadsheetml/2006/main" count="355" uniqueCount="203">
  <si>
    <t>Прогнозная мощность                                                              (прогнозный прирост мощности)</t>
  </si>
  <si>
    <t>Наименование заказчика по объектам государственной (муниципальной) собственности</t>
  </si>
  <si>
    <t>Наименование главного распорядителя бюджетных средств</t>
  </si>
  <si>
    <t>ГКУ Архангельской области "Дорожное агентство "Архангельскавтодор"</t>
  </si>
  <si>
    <t xml:space="preserve">Наименование объекта                                                                    </t>
  </si>
  <si>
    <t>Форма расходования бюджетных средств, направление                  инвестирования</t>
  </si>
  <si>
    <t xml:space="preserve">бюджетные инвестиции в объекты государственной собственности Архангельской области, строительство </t>
  </si>
  <si>
    <t>министерство транспорта Архангельской области</t>
  </si>
  <si>
    <t>2015 / 2017</t>
  </si>
  <si>
    <t>1. Строительство мостового перехода через реку Устья на автомобильной дороге Октябрьский – Мягкославская (Некрасово)  с подъездом к дер. Мягкославская</t>
  </si>
  <si>
    <t>130 коек</t>
  </si>
  <si>
    <t xml:space="preserve">министерство строительства и архитектуры Архангельской области </t>
  </si>
  <si>
    <t>2014 / 2017</t>
  </si>
  <si>
    <t>государственная корпорация по содействию разработке, производству 
и экспорту высокотехнологичной промышленной продукции "Ростех"</t>
  </si>
  <si>
    <t xml:space="preserve">ВСЕГО по областной адресной инвестиционной программе, в том числе:                                                                                                                                                                                </t>
  </si>
  <si>
    <t>330 мест</t>
  </si>
  <si>
    <t xml:space="preserve"> ГКУ Архангельской области "ГУКС"</t>
  </si>
  <si>
    <t>бюджетные инвестиции в объекты государственной собственности Архангельской области, строительство / приобретение</t>
  </si>
  <si>
    <t>министерство топливно-энергетического комплекса и жилищно-коммунального хозяйства Архангельской области</t>
  </si>
  <si>
    <t>администрации муниципальных образований Архангельской области</t>
  </si>
  <si>
    <t>2016 / 2017</t>
  </si>
  <si>
    <t>Прогнозный срок                                                            (начало / окончание)</t>
  </si>
  <si>
    <t>2016 / 2020</t>
  </si>
  <si>
    <t xml:space="preserve">бюджетные инвестиции в объекты государственной собственности Архангельской области, проектирование и строительство </t>
  </si>
  <si>
    <t xml:space="preserve">бюджетные инвестиции в объекты государственной собственности Архангельской области, проектирование и реконструкция </t>
  </si>
  <si>
    <t>ГКУ Архангельской области "ГУКС"</t>
  </si>
  <si>
    <t>2 единицы</t>
  </si>
  <si>
    <t>2017 / 2019</t>
  </si>
  <si>
    <t>13,4 км</t>
  </si>
  <si>
    <t>агентство по развитию Соловецкого архипелага Архангельской области</t>
  </si>
  <si>
    <t>10,97 км</t>
  </si>
  <si>
    <t>2017 / 2018</t>
  </si>
  <si>
    <t>120 мест</t>
  </si>
  <si>
    <t>министерство строительства и архитектуры Архангельской области</t>
  </si>
  <si>
    <t>1. Муниципальные дошкольные образовательные организации муниципальных образований Архангельской области, в том числе:</t>
  </si>
  <si>
    <t>субсидии на софинансирование капитальных вложений в объекты муниципальной собственности, строительство</t>
  </si>
  <si>
    <t>субсидии на софинансирование капитальных вложений в объекты муниципальной собственности, приобретение</t>
  </si>
  <si>
    <t>2. Общеобразовательные организации и профессиональные образовательные организации в Архангельской области, в том числе:</t>
  </si>
  <si>
    <t>320 мест</t>
  </si>
  <si>
    <t>240 мест</t>
  </si>
  <si>
    <t>200 мест</t>
  </si>
  <si>
    <t>60 мест</t>
  </si>
  <si>
    <t>-</t>
  </si>
  <si>
    <t>2018 / 2019</t>
  </si>
  <si>
    <t>853,63 м</t>
  </si>
  <si>
    <t>2015 / 2019</t>
  </si>
  <si>
    <t>2016 / 2018</t>
  </si>
  <si>
    <t>1. Развитие сети учреждений культурно-досугового типа в сельской местности</t>
  </si>
  <si>
    <t>2. Развитие сети автомобильных дорог, ведущих к общественно значимым объектам сельских населенных пунктов, объектам производства и переработки сельскохозяйственной продукции</t>
  </si>
  <si>
    <t>2013 / 2018</t>
  </si>
  <si>
    <t>45 чел./смену</t>
  </si>
  <si>
    <t>0,72 км</t>
  </si>
  <si>
    <t xml:space="preserve">государственное казенное учреждение Архангельской области "Дирекция по развитию Соловецкого архипелага"
</t>
  </si>
  <si>
    <t>администрация муниципального образования "Приморский муниципальный район"</t>
  </si>
  <si>
    <t>3. Строительство (приобретение) речных судов для осуществления пассажирских перевозок на территории Архангельской области *</t>
  </si>
  <si>
    <t>Общий объем капитальных вложений за счет всех источников, тыс. рублей</t>
  </si>
  <si>
    <t>Общий (предельный) объем бюджетных ассигнований областного бюджета на 2019 год, тыс. рублей</t>
  </si>
  <si>
    <t>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"Обеспечение качественным, доступным жильем и объектами инженерной инфраструктуры населения Архангельской области (2014 – 2020 годы)"</t>
  </si>
  <si>
    <t>1. Предоставление доступного и комфортного жилья 60 процентам семей, проживающих в Архангельской области и желающих улучшить свои жилищные условия, включая граждан – членов жилищно-строительных кооперативов, и ветеранам Великой Отечественной войны (строительство и приобретение жилья,  в том числе для использования в качестве маневренного жилищного фонда, и объектов инженерной инфраструктуры), из них:</t>
  </si>
  <si>
    <t>государственное казенное учреждение Архангельской области "Главное управление капитального строительства"                                                                                                (далее – ГКУ Архангельской области "ГУКС")</t>
  </si>
  <si>
    <t xml:space="preserve">протяженность сетей: ливневой канализации –                                                         494 м;
водоснабжения –                                                                                4 км
</t>
  </si>
  <si>
    <t>субсидии на софинансирование капитальных вложений в объекты муниципальной собственности</t>
  </si>
  <si>
    <t>администрация муниципального образования "Каргопольский муниципальный район"</t>
  </si>
  <si>
    <t>администрация муниципального образования "Город Архангельск"</t>
  </si>
  <si>
    <t>администрация муниципального образования "Красноборский муниципальный район"</t>
  </si>
  <si>
    <t>администрация муниципального образования "Вельский муниципальный район"</t>
  </si>
  <si>
    <t>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"Культура Русского Севера (2013 – 2020 годы)"</t>
  </si>
  <si>
    <t>IV. Программа модернизации здравоохранения Архангельской области                                                       на 2011 – 2017 годы</t>
  </si>
  <si>
    <t>V. Адресная программа Архангельской области                                                                                             "Переселение граждан из аварийного жилищного фонда" на 2013 – 2017 годы</t>
  </si>
  <si>
    <t>1. Строительство и реконструкция системы водоснабжения поселка Соловецкий</t>
  </si>
  <si>
    <t>VII.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транспортной системы Архангельской области (2014 – 2020 годы)"</t>
  </si>
  <si>
    <t>государственное казенное учреждение Архангельской области "Дорожное агентство "Архангельскавтодор" (далее – ГКУ Архангельской области "Дорожное агентство "Архангельскавтодор")</t>
  </si>
  <si>
    <t>2. Реконструкция автомобильной дороги Усть-Ваеньга – Осиново – Фалюки (до дер. Задориха) на участке км 43+500 – км 63+000</t>
  </si>
  <si>
    <t>VIII.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"Устойчивое развитие сельских территорий Архангельской области                                                                      (2014 – 2020 годы)"</t>
  </si>
  <si>
    <t>администрация муниципального образования "Вилегодский муниципальный район"</t>
  </si>
  <si>
    <t>IX.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"Охрана окружающей среды, воспроизводство и использование природных ресурсов Архангельской области (2014 – 2020 годы)"</t>
  </si>
  <si>
    <t>1. Укрепление правого берега реки Северная Двина в Соломбальском территориальном округе           г. Архангельска на участке от улицы Маяковского                                             до улицы Кедрова (I этап, 1 подэтап)</t>
  </si>
  <si>
    <t>X.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"Патриотическое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                                                                                                              (2014 – 2020 годы)"</t>
  </si>
  <si>
    <t>администрация муниципального образования "Котлас"</t>
  </si>
  <si>
    <r>
      <t>сети: водоснабжения – 113 м</t>
    </r>
    <r>
      <rPr>
        <vertAlign val="super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 xml:space="preserve">/час; теплоснабжения – 7,1 Гкал/час; электроснабжения – 3562 кВА
</t>
    </r>
  </si>
  <si>
    <r>
      <t>4500 м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>/сутки</t>
    </r>
  </si>
  <si>
    <t>3. Строительство автомобильной дороги по проезду Сибиряковцев в обход областной больницы
г. Архангельска</t>
  </si>
  <si>
    <t>1) строительство автомобильной дороги Подъезд к
с. Шеговары от автомобильной дороги М-8 "Холмогоры" в Шенкурском районе Архангельской области</t>
  </si>
  <si>
    <t xml:space="preserve">3) строительство автомобильной дороги Подъезд к дер. Логиновская от автомобильной дороги "Подъезд к дер. Макаровская" в Няндомском районе Архангельской области </t>
  </si>
  <si>
    <t>протяженность:                                             дороги – 1,486 км, в том числе                            мостового перехода – 139,54 п. м</t>
  </si>
  <si>
    <t>1) строительство начальной общеобразовательной школы на 320 учащихся в
с. Красноборск Архангельской области</t>
  </si>
  <si>
    <t>2) строительство автомобильной дороги Подъезд к
дер. Никифоровская от автомобильной дороги М-8 "Холмогоры" в Шенкурском районе Архангельской области</t>
  </si>
  <si>
    <t>3) строительство детского сада на 60 мест в
пос. Турдеевск
г. Архангельска*</t>
  </si>
  <si>
    <t>280 мест</t>
  </si>
  <si>
    <t>2018 / -</t>
  </si>
  <si>
    <t>2015 / -</t>
  </si>
  <si>
    <t>2017 / -</t>
  </si>
  <si>
    <t xml:space="preserve">2) строительство детского сада на 120 мест в
пос. Катунино Приморского района Архангельской области
</t>
  </si>
  <si>
    <t xml:space="preserve">2. Строительство канализационных сетей и коллекторов, канализационных очистных сооружений поселка Соловецкий </t>
  </si>
  <si>
    <t>3. Строительство комплекса по переработке и размещению отходов производства и потребления в поселке Соловецкий Приморского района</t>
  </si>
  <si>
    <t>3. Развитие газификации в сельской местности</t>
  </si>
  <si>
    <t>администрация муниципального образования "Котласский муниципальный район"</t>
  </si>
  <si>
    <t>2) газопровод высокого, среднего и низкого давления в МО "Аргуновское" Вельского района Архангельской области</t>
  </si>
  <si>
    <t>1. Перинатальный центр по адресу: Архангельск, пр. Ломоносова, мощностью 130 коек</t>
  </si>
  <si>
    <t>1. Строительство (создание "под ключ") многоквартирных домов, приобретение жилых помещений в многоквартирных домах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</si>
  <si>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>1. Строительство футбольного поля и беговых дорожек на стадионе "Салют", расположенном по адресу:                                                                                                    г. Котлас, пр. Мира, 45</t>
  </si>
  <si>
    <t>субсидии на софинансирование капитальных вложений в объекты муниципальной собственности, проектирование и строительство</t>
  </si>
  <si>
    <t>1) строительство газораспределительной сети в дер. Куимиха Котласского района Архангельской области</t>
  </si>
  <si>
    <t>1. Модульные водоочистные сооружения из поверхностного источника для обеспечения питьевой водой южных районов
г. Архангельска (1-й пусковой комплекс)</t>
  </si>
  <si>
    <t>2. Строительство центра культурного развития в
г. Каргополе по адресу: Архангельская область,             г. Каргополь, ул. Гагарина, 25</t>
  </si>
  <si>
    <t xml:space="preserve">протяженность дороги – 19,5 км </t>
  </si>
  <si>
    <t>1) строительство центра культурного развития на 120 мест в с. Ильинско-Подомское Вилегодского района Архангельской области</t>
  </si>
  <si>
    <t>протяженность дороги – 1,975 км</t>
  </si>
  <si>
    <t>протяженность дороги – 1,479 км</t>
  </si>
  <si>
    <t>протяженность дороги – 0,237 км</t>
  </si>
  <si>
    <t>протяженность газопровода – 5 км</t>
  </si>
  <si>
    <t>протяженность газопровода – 3 км</t>
  </si>
  <si>
    <t>XI. Государственная программа Архангельской области                                                                                                                                                                        "Развитие энергетики и жилищно-коммунального хозяйства Архангельской области (2014 – 2020 годы)"</t>
  </si>
  <si>
    <t>бюджетные инвестиции в объекты государственной собственности Архангельской области, проектирование и реконструкция</t>
  </si>
  <si>
    <t>8. Строительство мостового перехода через реку Мысовая на км 92+991 автомобильной дороги Карпогоры – Сосновка – Нюхча – граница с Республикой Коми</t>
  </si>
  <si>
    <t>9. Строительство автомобильной дороги Котлас – Коряжма, км 0-км 41 (1 пусковой комплекс)</t>
  </si>
  <si>
    <t>протяженность дороги – 1,7 км</t>
  </si>
  <si>
    <t>2. Корректировка проекта, экспертиза и строительство объекта "Лыжероллерная трасса на лыжном стадионе в деревне Малые Карелы"</t>
  </si>
  <si>
    <t>20 чел./смену</t>
  </si>
  <si>
    <t>2016 / 2016</t>
  </si>
  <si>
    <t>4) строительство детского комбината на 280 мест                                            в 7 микрорайоне территориального округа Майская горка города Архангельска</t>
  </si>
  <si>
    <t xml:space="preserve"> объем принимаемых отходов  –                           6 419,94 куб. м / год</t>
  </si>
  <si>
    <t>4. Проектирование и строительство транспортных развязок в муниципальном образовании "Город Архангельск" (Этап 1. Строительство транспортной развязки в разных уровнях на пересечении ул. Смольный Буян и пр. Обводный канал в муниципальном образовании "Город Архангельск")*</t>
  </si>
  <si>
    <t>6. Разработка проектной документации на реконструкцию автомобильной дороги Архангельск (от пос. Брин-Наволок) – Каргополь – Вытегра (до с. Прокшино) на участке Самодед  –  Кяма</t>
  </si>
  <si>
    <t>7. Разработка проектной документации на реконструкцию мостового перехода через реку Вага на км 2+067 автомобильной дороги Вельск  –  Шангалы</t>
  </si>
  <si>
    <t>2. Укрепление правого берега реки Северная Двина в Соломбальском территориальном округе          г. Архангельска на участке                        от ул. Маяковского                                                   до ул. Кедрова (I этап,                              2 подэтап, и II этап)</t>
  </si>
  <si>
    <t>28 010 кв. м жилых площадей</t>
  </si>
  <si>
    <t>протяженность дороги – 0,546 км, в том числе мостового перехода – 48,2 п. м</t>
  </si>
  <si>
    <t>1) обеспечение объектами инженерной инфраструктуры и наружного пожаротушения земельных участков, предоставляемых для расселения аварийного жилья, а также выполнение комплекса работ по созданию инфраструктуры, необходимой для полноценного функционирования объекта</t>
  </si>
  <si>
    <t>Общий (предельный) объем бюджетных ассигнований областного бюджета на 2017 год,               тыс. рублей</t>
  </si>
  <si>
    <t>Общий (предельный) объем бюджетных ассигнований областного бюджета на 2018 год,                тыс. рублей</t>
  </si>
  <si>
    <t>8 а</t>
  </si>
  <si>
    <t>10 а</t>
  </si>
  <si>
    <t>10 б</t>
  </si>
  <si>
    <t>Предлагаемые  изменения</t>
  </si>
  <si>
    <t>Общий (предельный) объем бюджетных ассигнований областного бюджета на 2019 год с учетом изменений, тыс. рублей</t>
  </si>
  <si>
    <t>администрация муниципального образования "Онежский муниципальный район"</t>
  </si>
  <si>
    <t>7а</t>
  </si>
  <si>
    <t>2. Обеспечение земельных участков, предоставляемых многодетным семьям и жилищно-строительным кооперативам, созданным многодетными семьями, для индивидуального жилищного строительства и ведения личного подсобного хозяйства, объектами инженерной инфраструктуры</t>
  </si>
  <si>
    <t>2017 / 2017</t>
  </si>
  <si>
    <t>1) водоснабжение земельных участков для многодетных семей в микрорайоне "Дальний" в г. Онега*</t>
  </si>
  <si>
    <t>2) обеспечение земельных участков инженерной инфраструктурой для строительства многоквартирных домов                            в VI – VII жилых районах (магистральные сети) (проектирование, строительство, выполнение кадастровых работ)</t>
  </si>
  <si>
    <t>7262 м сетей водоснабжения</t>
  </si>
  <si>
    <t>2) средняя общеобразовательная школа с эстетическим уклоном на 240 мест в пос. Ерцево Коношского района</t>
  </si>
  <si>
    <t>15 коек</t>
  </si>
  <si>
    <t>2017/-</t>
  </si>
  <si>
    <t>4. Развитие сети образовательных организаций в сельской местности</t>
  </si>
  <si>
    <t>1) строительство школы на 90 мест в дер. Погост Вельского района</t>
  </si>
  <si>
    <t>90 мест</t>
  </si>
  <si>
    <t>2013 / 2016</t>
  </si>
  <si>
    <t>Общий (предельный) объем бюджетных ассигнований областного бюджета на 2019 год с учетом изменений,                тыс. рублей</t>
  </si>
  <si>
    <t>субсидии на осуществление капитальных вложений в объекты государственной собственности Архангельской области</t>
  </si>
  <si>
    <t>3) строительство художественного профессионального училища резьбы по кости № 27 в селе Ломоносово Холмогорского района Архангельской области</t>
  </si>
  <si>
    <t>40 мест</t>
  </si>
  <si>
    <t>2011/2015</t>
  </si>
  <si>
    <t>4. Корректировка проектной документации для строительства здания фондохранилища государственного бюджетного учреждения культуры Архангельской области «Государственное музейное объединение «Художественная культура Русского Севера» в г. Архангельске для сохранения музейного фонда Российской Федерации</t>
  </si>
  <si>
    <t>4 306,5 кв.м.</t>
  </si>
  <si>
    <t xml:space="preserve">бюджетные инвестиции в объекты государственной собственности Архангельской области, проектирование </t>
  </si>
  <si>
    <t>2017/2018</t>
  </si>
  <si>
    <t>81 чел./смену</t>
  </si>
  <si>
    <t>администрация муниципального образования "Северодвинск"</t>
  </si>
  <si>
    <t xml:space="preserve">3) насосная станция 3 подъема водопровода у Южной котельной г. Котласа              </t>
  </si>
  <si>
    <t>3000 м3/сутки</t>
  </si>
  <si>
    <t>2009 / 2017</t>
  </si>
  <si>
    <t>8а</t>
  </si>
  <si>
    <t>9а</t>
  </si>
  <si>
    <t>1. Пристройка сценическо-зрительного комплекса к основному зданию и реконструкция существующего здания Архангельского областного  театра кукол по адресу: г. Архангельск, просп. Троицкий, д. 5</t>
  </si>
  <si>
    <t>3. Строительство физкультурно-оздоровительного комплекса с универсальным игровым залом 42х24 м по адресу: Архангельская обл., г. Северодвинск, о. Ягры, пр. Машиностроителей*</t>
  </si>
  <si>
    <t>3. Осуществление функций авторского и археологического надзора, возмещение затрат, понесенных в ходе проведения надзоров, корректировка проектно-сметной документации и проведение проверки достоверности определения сметной стоимости по объекту "Укрепление правого берега реки Северная Двина в Соломбальском территориальном округе          г. Архангельска на участке                        от ул. Маяковского                                                   до ул. Кедрова (I этап, 1 подэтап, I этап,                               2 подэтап, и II этап)</t>
  </si>
  <si>
    <t>1. Строительство больницы на 15 коек с поликлиникой на 100 посещений, Обозерский филиал ГБУЗ Архангельской области "Плесецкая ЦРБ"</t>
  </si>
  <si>
    <t>1) строительство школы-сада и приобретение сетей водоснабжения и водоотведения в правобережной части
г. Каргополя по ул.Чеснокова, 12б*</t>
  </si>
  <si>
    <t>XII. Государственная программа Архангельской области                                                                                                                                                                        "Развитие здравоохранения Архангельской области (2013 – 2020 годы)"</t>
  </si>
  <si>
    <t xml:space="preserve">76 848 кв. м жилых площадей
</t>
  </si>
  <si>
    <t>2015 / 2018</t>
  </si>
  <si>
    <t>3. Развитие некоммерческого жилищного фонда в Архангельской области, в том числе для граждан, имеющих невысокий уровень дохода, включая строительство или приобретение служебного жилья (включая проектно-изыскательские работы, проведение экспертизы), а также создание условий для формирования рынка доступного арендного жилья</t>
  </si>
  <si>
    <t>1) приобретение 3 жилых помещений 
в МО «Коношский муниципальный район», 
пос. Коноша*</t>
  </si>
  <si>
    <t>110,86 кв.м</t>
  </si>
  <si>
    <t>администрация муниципального образования "Коношский муниципальный район"</t>
  </si>
  <si>
    <t>2016 / 2019</t>
  </si>
  <si>
    <t>2018 / 2020</t>
  </si>
  <si>
    <t>2. Строительство многоквартирных домов, приобретение жилых помещений в многоквартирных домах и выплата выкупной цены собственникам жилых помещений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</si>
  <si>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>4) реконструкция зданий жилищного фонда (устройство вентилируемых фасадов многоквартирных домов)                                                    в г. Мирный Архангельской области</t>
  </si>
  <si>
    <t>62 жилых дома                                                                                                                      (166 663,6 кв. м)</t>
  </si>
  <si>
    <t>администрация муниципального образования «Мирный»</t>
  </si>
  <si>
    <t>2014 / 2021</t>
  </si>
  <si>
    <t>5) реконструкция городских автомобильных дорог                                                (ул. Неделина, ул. Гагарина, ул. Ломоносова, ул. Овчинникова, ул. Мира, ул. Степанченко)                                                               в г. Мирный Архангельской области</t>
  </si>
  <si>
    <t>2,6 км</t>
  </si>
  <si>
    <t>2014 / 2019</t>
  </si>
  <si>
    <t>администрация муниципального образования "Мирный"</t>
  </si>
  <si>
    <t>2017/2017</t>
  </si>
  <si>
    <t>2. Перевод жилищного фонда города Мирный на природный газ (Перевод на природный газ жилых домов по ул. Ленина, 21, 23, 25, 27, 29, 26, 28, 30, 37, 41; ул. Пушкина, 5, 7, 9, 11, 15, 4, 6; ул. Овчинникова, 3,4, 6, 5, 7, 8, 10, 15, 19, 22, 26; ул. Мира, 4, 6, 8, 10, 12)</t>
  </si>
  <si>
    <t>500 квартир</t>
  </si>
  <si>
    <t>5. Проектирование и строительство транспортных развязок в муниципальном образовании "Город Архангельск" (Этап 2. Реконструкция пересечения ул. Урицкого и пр. Обводного канала в муниципальном образовании "Город Архангельск")*</t>
  </si>
  <si>
    <t xml:space="preserve">Областная адресная инвестиционная программа на 2017 год и на плановый период 2018 и 2019 годов  </t>
  </si>
  <si>
    <t>Общий объем капитальных вложений за счет всех источников,              тыс. рублей</t>
  </si>
  <si>
    <t>VI.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инфраструктуры Соловецкого архипелага (2014 – 2020 годы)"</t>
  </si>
  <si>
    <t xml:space="preserve">           № 503-31-ОЗ</t>
  </si>
  <si>
    <t xml:space="preserve">           к областному закону</t>
  </si>
  <si>
    <t xml:space="preserve">           от 23 декабря 2016 г.</t>
  </si>
  <si>
    <t xml:space="preserve">           "Приложение № 16</t>
  </si>
  <si>
    <t xml:space="preserve">            * Условием предоставления субсидий бюджетам муниципальных образований Архангельской области на софинансирование объектов программы, по которым они являются заказчиками, является централизация закупок в соответствии с частью 7 статьи 26 Федерального закона от 5 апреля 2013 года № 44-ФЗ "О контрактной системе в сфере закупок товаров, работ, услуг для обеспечения государственных и муниципальных нужд"."</t>
  </si>
  <si>
    <t>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"Развитие образования и науки Архангельской области (2013 – 2025 годы)"</t>
  </si>
  <si>
    <t xml:space="preserve">           Приложение № 9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</si>
</sst>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_р_._-;\-* #,##0.0_р_._-;_-* &quot;-&quot;??_р_._-;_-@_-"/>
  </numFmts>
  <fonts count="16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sz val="14"/>
      <color indexed="8"/>
      <name val="Calibri"/>
      <family val="2"/>
      <charset val="204"/>
    </font>
    <font>
      <i/>
      <sz val="14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vertAlign val="superscript"/>
      <sz val="12"/>
      <color theme="1"/>
      <name val="Times New Roman"/>
      <family val="1"/>
      <charset val="204"/>
    </font>
    <font>
      <vertAlign val="superscript"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Font="1" applyFill="1" applyBorder="1"/>
    <xf numFmtId="0" fontId="0" fillId="0" borderId="0" xfId="0" applyFont="1" applyFill="1"/>
    <xf numFmtId="0" fontId="0" fillId="0" borderId="0" xfId="0" applyFill="1" applyBorder="1" applyAlignment="1">
      <alignment horizontal="center"/>
    </xf>
    <xf numFmtId="0" fontId="12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13" fillId="0" borderId="0" xfId="0" applyFont="1" applyFill="1"/>
    <xf numFmtId="165" fontId="3" fillId="0" borderId="1" xfId="0" applyNumberFormat="1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vertical="center" wrapText="1"/>
    </xf>
    <xf numFmtId="0" fontId="4" fillId="0" borderId="0" xfId="0" applyFont="1" applyFill="1"/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Border="1"/>
    <xf numFmtId="0" fontId="12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/>
    </xf>
    <xf numFmtId="165" fontId="3" fillId="0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horizontal="left" vertical="center"/>
    </xf>
    <xf numFmtId="165" fontId="3" fillId="0" borderId="0" xfId="1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vertical="center" wrapText="1"/>
    </xf>
    <xf numFmtId="165" fontId="3" fillId="2" borderId="1" xfId="1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/>
    </xf>
    <xf numFmtId="165" fontId="3" fillId="2" borderId="1" xfId="0" applyNumberFormat="1" applyFont="1" applyFill="1" applyBorder="1" applyAlignment="1">
      <alignment horizontal="center" vertical="center"/>
    </xf>
    <xf numFmtId="43" fontId="9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left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165" fontId="3" fillId="2" borderId="3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/>
    </xf>
    <xf numFmtId="165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165" fontId="3" fillId="2" borderId="1" xfId="0" applyNumberFormat="1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3" fillId="2" borderId="0" xfId="0" applyFont="1" applyFill="1" applyAlignment="1"/>
    <xf numFmtId="0" fontId="3" fillId="2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/>
    <xf numFmtId="0" fontId="9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vertical="center" wrapText="1"/>
    </xf>
    <xf numFmtId="0" fontId="0" fillId="2" borderId="6" xfId="0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horizontal="left" vertical="center" wrapText="1"/>
    </xf>
    <xf numFmtId="0" fontId="3" fillId="2" borderId="6" xfId="0" applyNumberFormat="1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0" fontId="3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</cellXfs>
  <cellStyles count="4">
    <cellStyle name="Обычный" xfId="0" builtinId="0"/>
    <cellStyle name="Финансовый 2" xfId="1"/>
    <cellStyle name="Финансовый 2 2" xfId="2"/>
    <cellStyle name="Финансов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AI112"/>
  <sheetViews>
    <sheetView showGridLines="0" tabSelected="1" view="pageBreakPreview" zoomScale="85" zoomScaleNormal="100" zoomScaleSheetLayoutView="85" workbookViewId="0">
      <selection activeCell="K22" sqref="K22:K23"/>
    </sheetView>
  </sheetViews>
  <sheetFormatPr defaultColWidth="9.140625" defaultRowHeight="15" outlineLevelRow="1"/>
  <cols>
    <col min="1" max="1" width="28.7109375" style="2" customWidth="1"/>
    <col min="2" max="2" width="19.85546875" style="2" customWidth="1"/>
    <col min="3" max="3" width="20" style="2" customWidth="1"/>
    <col min="4" max="4" width="16.140625" style="2" customWidth="1"/>
    <col min="5" max="5" width="23.85546875" style="2" customWidth="1"/>
    <col min="6" max="6" width="13.140625" style="2" customWidth="1"/>
    <col min="7" max="7" width="17.85546875" style="2" hidden="1" customWidth="1"/>
    <col min="8" max="8" width="18.42578125" style="2" hidden="1" customWidth="1"/>
    <col min="9" max="9" width="17.140625" style="2" hidden="1" customWidth="1"/>
    <col min="10" max="10" width="15.42578125" style="2" hidden="1" customWidth="1"/>
    <col min="11" max="11" width="17.140625" style="2" customWidth="1"/>
    <col min="12" max="12" width="15" style="2" hidden="1" customWidth="1"/>
    <col min="13" max="13" width="15.140625" style="2" hidden="1" customWidth="1"/>
    <col min="14" max="15" width="15" style="2" hidden="1" customWidth="1"/>
    <col min="16" max="16" width="15" style="2" customWidth="1"/>
    <col min="17" max="17" width="15" style="2" hidden="1" customWidth="1"/>
    <col min="18" max="18" width="15.140625" style="2" hidden="1" customWidth="1"/>
    <col min="19" max="19" width="15.140625" style="2" customWidth="1"/>
    <col min="20" max="20" width="15" style="2" customWidth="1"/>
    <col min="21" max="21" width="15.140625" style="2" hidden="1" customWidth="1"/>
    <col min="22" max="22" width="15" style="1" hidden="1" customWidth="1"/>
    <col min="23" max="23" width="14.5703125" style="1" hidden="1" customWidth="1"/>
    <col min="24" max="24" width="14.85546875" style="1" hidden="1" customWidth="1"/>
    <col min="25" max="30" width="9.140625" style="1"/>
    <col min="31" max="16384" width="9.140625" style="2"/>
  </cols>
  <sheetData>
    <row r="1" spans="17:19" ht="15.75">
      <c r="S1" s="15" t="s">
        <v>202</v>
      </c>
    </row>
    <row r="2" spans="17:19" ht="15.75">
      <c r="S2" s="15" t="s">
        <v>197</v>
      </c>
    </row>
    <row r="7" spans="17:19" ht="15.75">
      <c r="S7" s="51" t="s">
        <v>199</v>
      </c>
    </row>
    <row r="8" spans="17:19" ht="15.75">
      <c r="S8" s="51" t="s">
        <v>197</v>
      </c>
    </row>
    <row r="9" spans="17:19" ht="15.75">
      <c r="S9" s="15" t="s">
        <v>198</v>
      </c>
    </row>
    <row r="10" spans="17:19" ht="15.75">
      <c r="S10" s="15" t="s">
        <v>196</v>
      </c>
    </row>
    <row r="11" spans="17:19" ht="15.75" hidden="1">
      <c r="Q11" s="15"/>
    </row>
    <row r="12" spans="17:19" ht="15.75" hidden="1">
      <c r="Q12" s="15"/>
    </row>
    <row r="13" spans="17:19" ht="15.75" hidden="1">
      <c r="Q13" s="15"/>
    </row>
    <row r="14" spans="17:19" ht="15.75" hidden="1">
      <c r="Q14" s="15"/>
    </row>
    <row r="15" spans="17:19" ht="15.75" hidden="1">
      <c r="Q15" s="15"/>
    </row>
    <row r="16" spans="17:19" ht="15.75" hidden="1">
      <c r="Q16" s="15"/>
    </row>
    <row r="17" spans="1:30" ht="15.75" hidden="1">
      <c r="Q17" s="15"/>
    </row>
    <row r="18" spans="1:30" ht="15.75" hidden="1">
      <c r="Q18" s="15"/>
    </row>
    <row r="19" spans="1:30" ht="17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3"/>
      <c r="R19" s="3"/>
      <c r="S19" s="3"/>
      <c r="T19" s="3"/>
    </row>
    <row r="20" spans="1:30" ht="17.25" customHeight="1">
      <c r="A20" s="73" t="s">
        <v>193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4"/>
      <c r="V20" s="74"/>
    </row>
    <row r="21" spans="1:30" ht="17.25" customHeight="1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1"/>
    </row>
    <row r="22" spans="1:30" ht="17.25" customHeight="1">
      <c r="A22" s="54" t="s">
        <v>4</v>
      </c>
      <c r="B22" s="54" t="s">
        <v>0</v>
      </c>
      <c r="C22" s="54" t="s">
        <v>5</v>
      </c>
      <c r="D22" s="54" t="s">
        <v>2</v>
      </c>
      <c r="E22" s="54" t="s">
        <v>1</v>
      </c>
      <c r="F22" s="54" t="s">
        <v>21</v>
      </c>
      <c r="G22" s="54" t="s">
        <v>55</v>
      </c>
      <c r="H22" s="52" t="s">
        <v>134</v>
      </c>
      <c r="I22" s="54" t="s">
        <v>55</v>
      </c>
      <c r="J22" s="52" t="s">
        <v>134</v>
      </c>
      <c r="K22" s="54" t="s">
        <v>194</v>
      </c>
      <c r="L22" s="54" t="s">
        <v>129</v>
      </c>
      <c r="M22" s="52" t="s">
        <v>134</v>
      </c>
      <c r="N22" s="54" t="s">
        <v>129</v>
      </c>
      <c r="O22" s="52" t="s">
        <v>134</v>
      </c>
      <c r="P22" s="54" t="s">
        <v>129</v>
      </c>
      <c r="Q22" s="54" t="s">
        <v>130</v>
      </c>
      <c r="R22" s="52" t="s">
        <v>134</v>
      </c>
      <c r="S22" s="54" t="s">
        <v>130</v>
      </c>
      <c r="T22" s="54" t="s">
        <v>56</v>
      </c>
      <c r="U22" s="52" t="s">
        <v>134</v>
      </c>
      <c r="V22" s="54" t="s">
        <v>135</v>
      </c>
      <c r="W22" s="52" t="s">
        <v>134</v>
      </c>
      <c r="X22" s="54" t="s">
        <v>150</v>
      </c>
    </row>
    <row r="23" spans="1:30" ht="168" customHeight="1">
      <c r="A23" s="54"/>
      <c r="B23" s="54"/>
      <c r="C23" s="55"/>
      <c r="D23" s="55"/>
      <c r="E23" s="55"/>
      <c r="F23" s="55"/>
      <c r="G23" s="55"/>
      <c r="H23" s="53"/>
      <c r="I23" s="55"/>
      <c r="J23" s="53"/>
      <c r="K23" s="55"/>
      <c r="L23" s="55"/>
      <c r="M23" s="53"/>
      <c r="N23" s="55"/>
      <c r="O23" s="53"/>
      <c r="P23" s="55"/>
      <c r="Q23" s="55"/>
      <c r="R23" s="53"/>
      <c r="S23" s="55"/>
      <c r="T23" s="55"/>
      <c r="U23" s="53"/>
      <c r="V23" s="55"/>
      <c r="W23" s="53"/>
      <c r="X23" s="55"/>
    </row>
    <row r="24" spans="1:30" s="6" customFormat="1" ht="18" customHeight="1">
      <c r="A24" s="14">
        <v>1</v>
      </c>
      <c r="B24" s="14">
        <f>1+A24</f>
        <v>2</v>
      </c>
      <c r="C24" s="14">
        <f t="shared" ref="C24:G24" si="0">1+B24</f>
        <v>3</v>
      </c>
      <c r="D24" s="14">
        <f t="shared" si="0"/>
        <v>4</v>
      </c>
      <c r="E24" s="14">
        <f t="shared" si="0"/>
        <v>5</v>
      </c>
      <c r="F24" s="14">
        <f t="shared" si="0"/>
        <v>6</v>
      </c>
      <c r="G24" s="14">
        <f t="shared" si="0"/>
        <v>7</v>
      </c>
      <c r="H24" s="14" t="s">
        <v>137</v>
      </c>
      <c r="I24" s="14">
        <v>7</v>
      </c>
      <c r="J24" s="14" t="s">
        <v>137</v>
      </c>
      <c r="K24" s="14">
        <v>7</v>
      </c>
      <c r="L24" s="14">
        <v>8</v>
      </c>
      <c r="M24" s="14" t="s">
        <v>131</v>
      </c>
      <c r="N24" s="14">
        <v>8</v>
      </c>
      <c r="O24" s="14" t="s">
        <v>164</v>
      </c>
      <c r="P24" s="14">
        <v>8</v>
      </c>
      <c r="Q24" s="14">
        <v>9</v>
      </c>
      <c r="R24" s="14" t="s">
        <v>165</v>
      </c>
      <c r="S24" s="14">
        <v>9</v>
      </c>
      <c r="T24" s="14">
        <v>10</v>
      </c>
      <c r="U24" s="4" t="s">
        <v>132</v>
      </c>
      <c r="V24" s="4" t="s">
        <v>133</v>
      </c>
      <c r="W24" s="14">
        <v>10</v>
      </c>
      <c r="X24" s="14">
        <v>10</v>
      </c>
      <c r="Y24" s="5"/>
      <c r="Z24" s="5"/>
      <c r="AA24" s="5"/>
      <c r="AB24" s="5"/>
      <c r="AC24" s="5"/>
      <c r="AD24" s="5"/>
    </row>
    <row r="25" spans="1:30" ht="27.75" customHeight="1">
      <c r="A25" s="75" t="s">
        <v>14</v>
      </c>
      <c r="B25" s="76"/>
      <c r="C25" s="76"/>
      <c r="D25" s="76"/>
      <c r="E25" s="47"/>
      <c r="F25" s="47"/>
      <c r="G25" s="7">
        <f t="shared" ref="G25:X25" si="1">G26+G37+G48+G53+G55+G58+G63+G73+G85+G89+G93+G96</f>
        <v>14162552.219999999</v>
      </c>
      <c r="H25" s="7">
        <f t="shared" si="1"/>
        <v>-337413.72899999999</v>
      </c>
      <c r="I25" s="7">
        <f t="shared" si="1"/>
        <v>14518155.090999998</v>
      </c>
      <c r="J25" s="7">
        <f t="shared" si="1"/>
        <v>5017748.2000000011</v>
      </c>
      <c r="K25" s="7">
        <f t="shared" si="1"/>
        <v>19535903.291000005</v>
      </c>
      <c r="L25" s="7">
        <f t="shared" si="1"/>
        <v>2404454.7999999993</v>
      </c>
      <c r="M25" s="7">
        <f t="shared" si="1"/>
        <v>-6194.2999999999993</v>
      </c>
      <c r="N25" s="24">
        <f t="shared" si="1"/>
        <v>2043258</v>
      </c>
      <c r="O25" s="7">
        <f t="shared" si="1"/>
        <v>203199.80000000002</v>
      </c>
      <c r="P25" s="7">
        <f t="shared" si="1"/>
        <v>2246457.7999999998</v>
      </c>
      <c r="Q25" s="7">
        <f t="shared" si="1"/>
        <v>751982.30000000016</v>
      </c>
      <c r="R25" s="7">
        <f t="shared" si="1"/>
        <v>18200</v>
      </c>
      <c r="S25" s="7">
        <f t="shared" si="1"/>
        <v>770182.30000000016</v>
      </c>
      <c r="T25" s="24">
        <f t="shared" si="1"/>
        <v>666098.40000000014</v>
      </c>
      <c r="U25" s="7" t="e">
        <f t="shared" si="1"/>
        <v>#REF!</v>
      </c>
      <c r="V25" s="7" t="e">
        <f t="shared" si="1"/>
        <v>#REF!</v>
      </c>
      <c r="W25" s="7" t="e">
        <f t="shared" si="1"/>
        <v>#REF!</v>
      </c>
      <c r="X25" s="7" t="e">
        <f t="shared" si="1"/>
        <v>#REF!</v>
      </c>
      <c r="Y25" s="2"/>
      <c r="Z25" s="2"/>
      <c r="AA25" s="2"/>
      <c r="AB25" s="2"/>
      <c r="AC25" s="2"/>
      <c r="AD25" s="2"/>
    </row>
    <row r="26" spans="1:30" ht="56.25" customHeight="1">
      <c r="A26" s="75" t="s">
        <v>57</v>
      </c>
      <c r="B26" s="78"/>
      <c r="C26" s="78"/>
      <c r="D26" s="78"/>
      <c r="E26" s="49"/>
      <c r="F26" s="49"/>
      <c r="G26" s="7">
        <f t="shared" ref="G26:H26" si="2">G27+G33</f>
        <v>443731.20000000001</v>
      </c>
      <c r="H26" s="7">
        <f t="shared" si="2"/>
        <v>13301.700000000003</v>
      </c>
      <c r="I26" s="7">
        <f>I27+I33+I35</f>
        <v>670021.4</v>
      </c>
      <c r="J26" s="7">
        <f t="shared" ref="J26:P26" si="3">J27+J33+J35</f>
        <v>5048305.3000000007</v>
      </c>
      <c r="K26" s="7">
        <f t="shared" si="3"/>
        <v>5718326.7000000011</v>
      </c>
      <c r="L26" s="7">
        <f t="shared" si="3"/>
        <v>494171.19999999995</v>
      </c>
      <c r="M26" s="7">
        <f t="shared" si="3"/>
        <v>-4630.2999999999993</v>
      </c>
      <c r="N26" s="7">
        <f t="shared" si="3"/>
        <v>356509.3</v>
      </c>
      <c r="O26" s="7">
        <f t="shared" si="3"/>
        <v>3648.199999999998</v>
      </c>
      <c r="P26" s="7">
        <f t="shared" si="3"/>
        <v>360157.49999999994</v>
      </c>
      <c r="Q26" s="7">
        <f t="shared" ref="Q26:X26" si="4">Q27+Q33+Q35</f>
        <v>0</v>
      </c>
      <c r="R26" s="7">
        <f t="shared" si="4"/>
        <v>0</v>
      </c>
      <c r="S26" s="7">
        <f t="shared" si="4"/>
        <v>0</v>
      </c>
      <c r="T26" s="7">
        <f t="shared" si="4"/>
        <v>0</v>
      </c>
      <c r="U26" s="7">
        <f t="shared" si="4"/>
        <v>0</v>
      </c>
      <c r="V26" s="7">
        <f t="shared" si="4"/>
        <v>0</v>
      </c>
      <c r="W26" s="7">
        <f t="shared" si="4"/>
        <v>0</v>
      </c>
      <c r="X26" s="7">
        <f t="shared" si="4"/>
        <v>0</v>
      </c>
      <c r="Y26" s="2"/>
      <c r="Z26" s="2"/>
      <c r="AA26" s="2"/>
      <c r="AB26" s="2"/>
      <c r="AC26" s="2"/>
      <c r="AD26" s="2"/>
    </row>
    <row r="27" spans="1:30" ht="107.25" customHeight="1">
      <c r="A27" s="75" t="s">
        <v>58</v>
      </c>
      <c r="B27" s="76"/>
      <c r="C27" s="76"/>
      <c r="D27" s="76"/>
      <c r="E27" s="47"/>
      <c r="F27" s="47"/>
      <c r="G27" s="7">
        <f t="shared" ref="G27" si="5">SUM(G28:G29)</f>
        <v>443731.20000000001</v>
      </c>
      <c r="H27" s="7">
        <f t="shared" ref="H27" si="6">H28+H29</f>
        <v>1385.8000000000029</v>
      </c>
      <c r="I27" s="7">
        <f>I28+I29+I30+I31+I32</f>
        <v>658105.5</v>
      </c>
      <c r="J27" s="7">
        <f t="shared" ref="J27:P27" si="7">J28+J29+J30+J31+J32</f>
        <v>5044431.6000000006</v>
      </c>
      <c r="K27" s="7">
        <f t="shared" si="7"/>
        <v>5702537.1000000006</v>
      </c>
      <c r="L27" s="7">
        <f t="shared" si="7"/>
        <v>494171.19999999995</v>
      </c>
      <c r="M27" s="7">
        <f t="shared" si="7"/>
        <v>-13630.3</v>
      </c>
      <c r="N27" s="7">
        <f t="shared" si="7"/>
        <v>347509.3</v>
      </c>
      <c r="O27" s="7">
        <f t="shared" si="7"/>
        <v>-21.600000000002183</v>
      </c>
      <c r="P27" s="7">
        <f t="shared" si="7"/>
        <v>347487.69999999995</v>
      </c>
      <c r="Q27" s="7">
        <f t="shared" ref="Q27:T27" si="8">Q28+Q29+Q30+Q31+Q32</f>
        <v>0</v>
      </c>
      <c r="R27" s="7">
        <f t="shared" si="8"/>
        <v>0</v>
      </c>
      <c r="S27" s="7">
        <f t="shared" si="8"/>
        <v>0</v>
      </c>
      <c r="T27" s="7">
        <f t="shared" si="8"/>
        <v>0</v>
      </c>
      <c r="U27" s="7">
        <f t="shared" ref="U27:X27" si="9">U28+U29+U30</f>
        <v>0</v>
      </c>
      <c r="V27" s="7">
        <f t="shared" si="9"/>
        <v>0</v>
      </c>
      <c r="W27" s="7">
        <f t="shared" si="9"/>
        <v>0</v>
      </c>
      <c r="X27" s="7">
        <f t="shared" si="9"/>
        <v>0</v>
      </c>
    </row>
    <row r="28" spans="1:30" ht="218.25" customHeight="1">
      <c r="A28" s="48" t="s">
        <v>128</v>
      </c>
      <c r="B28" s="26" t="s">
        <v>79</v>
      </c>
      <c r="C28" s="22" t="s">
        <v>6</v>
      </c>
      <c r="D28" s="22" t="s">
        <v>11</v>
      </c>
      <c r="E28" s="22" t="s">
        <v>59</v>
      </c>
      <c r="F28" s="22" t="s">
        <v>8</v>
      </c>
      <c r="G28" s="24">
        <v>238051.1</v>
      </c>
      <c r="H28" s="24">
        <f>15000+17938.4+9719.5</f>
        <v>42657.9</v>
      </c>
      <c r="I28" s="24">
        <f>G28+H28+8409.5</f>
        <v>289118.5</v>
      </c>
      <c r="J28" s="24"/>
      <c r="K28" s="24">
        <f>I28+J28</f>
        <v>289118.5</v>
      </c>
      <c r="L28" s="24">
        <v>175000.4</v>
      </c>
      <c r="M28" s="24">
        <v>9719.5</v>
      </c>
      <c r="N28" s="24">
        <f t="shared" ref="N28:P91" si="10">L28+M28</f>
        <v>184719.9</v>
      </c>
      <c r="O28" s="24">
        <f>-18316.4-1096.9</f>
        <v>-19413.300000000003</v>
      </c>
      <c r="P28" s="24">
        <f t="shared" si="10"/>
        <v>165306.59999999998</v>
      </c>
      <c r="Q28" s="24">
        <v>0</v>
      </c>
      <c r="R28" s="24">
        <v>0</v>
      </c>
      <c r="S28" s="24">
        <v>0</v>
      </c>
      <c r="T28" s="24">
        <v>0</v>
      </c>
      <c r="U28" s="7">
        <v>0</v>
      </c>
      <c r="V28" s="7">
        <v>0</v>
      </c>
      <c r="W28" s="7">
        <v>0</v>
      </c>
      <c r="X28" s="7">
        <f t="shared" ref="X28:X97" si="11">T28+W28</f>
        <v>0</v>
      </c>
    </row>
    <row r="29" spans="1:30" ht="173.25" customHeight="1">
      <c r="A29" s="48" t="s">
        <v>141</v>
      </c>
      <c r="B29" s="26" t="s">
        <v>60</v>
      </c>
      <c r="C29" s="22" t="s">
        <v>23</v>
      </c>
      <c r="D29" s="22" t="s">
        <v>11</v>
      </c>
      <c r="E29" s="22" t="s">
        <v>25</v>
      </c>
      <c r="F29" s="22" t="s">
        <v>90</v>
      </c>
      <c r="G29" s="24">
        <v>205680.1</v>
      </c>
      <c r="H29" s="24">
        <f>-17922.3-11000-1875.3-9719.5-755</f>
        <v>-41272.1</v>
      </c>
      <c r="I29" s="24">
        <f>G29+H29+73166</f>
        <v>237574</v>
      </c>
      <c r="J29" s="24"/>
      <c r="K29" s="24">
        <f>I29+J29</f>
        <v>237574</v>
      </c>
      <c r="L29" s="24">
        <v>187757.8</v>
      </c>
      <c r="M29" s="24">
        <f>-11000-1875.3-9719.5-755</f>
        <v>-23349.8</v>
      </c>
      <c r="N29" s="24">
        <f>L29+M29-3618.6</f>
        <v>160789.4</v>
      </c>
      <c r="O29" s="24">
        <v>-8378.2999999999993</v>
      </c>
      <c r="P29" s="24">
        <f t="shared" si="10"/>
        <v>152411.1</v>
      </c>
      <c r="Q29" s="24">
        <v>0</v>
      </c>
      <c r="R29" s="24">
        <v>0</v>
      </c>
      <c r="S29" s="24">
        <v>0</v>
      </c>
      <c r="T29" s="24">
        <v>0</v>
      </c>
      <c r="U29" s="7">
        <v>0</v>
      </c>
      <c r="V29" s="7">
        <v>0</v>
      </c>
      <c r="W29" s="7">
        <v>0</v>
      </c>
      <c r="X29" s="7">
        <f t="shared" si="11"/>
        <v>0</v>
      </c>
    </row>
    <row r="30" spans="1:30" ht="138.75" customHeight="1">
      <c r="A30" s="48" t="s">
        <v>161</v>
      </c>
      <c r="B30" s="26" t="s">
        <v>162</v>
      </c>
      <c r="C30" s="22" t="s">
        <v>35</v>
      </c>
      <c r="D30" s="22" t="s">
        <v>11</v>
      </c>
      <c r="E30" s="22" t="s">
        <v>78</v>
      </c>
      <c r="F30" s="22" t="s">
        <v>163</v>
      </c>
      <c r="G30" s="24">
        <v>0</v>
      </c>
      <c r="H30" s="24">
        <v>131412.97</v>
      </c>
      <c r="I30" s="24">
        <f>131413</f>
        <v>131413</v>
      </c>
      <c r="J30" s="24"/>
      <c r="K30" s="24">
        <f>I30+J30</f>
        <v>131413</v>
      </c>
      <c r="L30" s="24">
        <f>J30+K30</f>
        <v>131413</v>
      </c>
      <c r="M30" s="24">
        <v>0</v>
      </c>
      <c r="N30" s="24">
        <v>2000</v>
      </c>
      <c r="O30" s="24"/>
      <c r="P30" s="24">
        <f>N30+O30</f>
        <v>2000</v>
      </c>
      <c r="Q30" s="24">
        <v>0</v>
      </c>
      <c r="R30" s="24">
        <v>0</v>
      </c>
      <c r="S30" s="24"/>
      <c r="T30" s="24"/>
      <c r="U30" s="7"/>
      <c r="V30" s="7"/>
      <c r="W30" s="7"/>
      <c r="X30" s="7"/>
    </row>
    <row r="31" spans="1:30" ht="128.25" customHeight="1">
      <c r="A31" s="48" t="s">
        <v>181</v>
      </c>
      <c r="B31" s="22" t="s">
        <v>182</v>
      </c>
      <c r="C31" s="22" t="s">
        <v>35</v>
      </c>
      <c r="D31" s="22" t="s">
        <v>11</v>
      </c>
      <c r="E31" s="22" t="s">
        <v>183</v>
      </c>
      <c r="F31" s="22" t="s">
        <v>184</v>
      </c>
      <c r="G31" s="24"/>
      <c r="H31" s="24"/>
      <c r="I31" s="24">
        <v>0</v>
      </c>
      <c r="J31" s="24">
        <v>4237022.4000000004</v>
      </c>
      <c r="K31" s="24">
        <f t="shared" ref="K31:K32" si="12">I31+J31</f>
        <v>4237022.4000000004</v>
      </c>
      <c r="L31" s="24"/>
      <c r="M31" s="24"/>
      <c r="N31" s="24">
        <v>0</v>
      </c>
      <c r="O31" s="24">
        <v>21450</v>
      </c>
      <c r="P31" s="24">
        <f t="shared" ref="P31:P32" si="13">N31+O31</f>
        <v>21450</v>
      </c>
      <c r="Q31" s="24">
        <v>0</v>
      </c>
      <c r="R31" s="24">
        <v>0</v>
      </c>
      <c r="S31" s="24">
        <v>0</v>
      </c>
      <c r="T31" s="24">
        <v>0</v>
      </c>
      <c r="U31" s="7"/>
      <c r="V31" s="7"/>
      <c r="W31" s="7"/>
      <c r="X31" s="7"/>
    </row>
    <row r="32" spans="1:30" ht="153.75" customHeight="1">
      <c r="A32" s="48" t="s">
        <v>185</v>
      </c>
      <c r="B32" s="22" t="s">
        <v>186</v>
      </c>
      <c r="C32" s="22" t="s">
        <v>35</v>
      </c>
      <c r="D32" s="22" t="s">
        <v>11</v>
      </c>
      <c r="E32" s="22" t="s">
        <v>183</v>
      </c>
      <c r="F32" s="22" t="s">
        <v>187</v>
      </c>
      <c r="G32" s="24"/>
      <c r="H32" s="24"/>
      <c r="I32" s="24">
        <v>0</v>
      </c>
      <c r="J32" s="23">
        <v>807409.2</v>
      </c>
      <c r="K32" s="24">
        <f t="shared" si="12"/>
        <v>807409.2</v>
      </c>
      <c r="L32" s="24"/>
      <c r="M32" s="24"/>
      <c r="N32" s="24">
        <v>0</v>
      </c>
      <c r="O32" s="24">
        <v>6320</v>
      </c>
      <c r="P32" s="24">
        <f t="shared" si="13"/>
        <v>6320</v>
      </c>
      <c r="Q32" s="24">
        <v>0</v>
      </c>
      <c r="R32" s="24">
        <v>0</v>
      </c>
      <c r="S32" s="24">
        <v>0</v>
      </c>
      <c r="T32" s="24">
        <v>0</v>
      </c>
      <c r="U32" s="7"/>
      <c r="V32" s="7"/>
      <c r="W32" s="7"/>
      <c r="X32" s="7"/>
    </row>
    <row r="33" spans="1:24" ht="76.5" customHeight="1">
      <c r="A33" s="61" t="s">
        <v>138</v>
      </c>
      <c r="B33" s="62"/>
      <c r="C33" s="62"/>
      <c r="D33" s="63"/>
      <c r="E33" s="22"/>
      <c r="F33" s="22"/>
      <c r="G33" s="24">
        <f>G34</f>
        <v>0</v>
      </c>
      <c r="H33" s="24">
        <f>H34</f>
        <v>11915.9</v>
      </c>
      <c r="I33" s="24">
        <f>G33+H33</f>
        <v>11915.9</v>
      </c>
      <c r="J33" s="24">
        <f>J34</f>
        <v>0</v>
      </c>
      <c r="K33" s="24">
        <f>I33+J33</f>
        <v>11915.9</v>
      </c>
      <c r="L33" s="24">
        <f>L34</f>
        <v>0</v>
      </c>
      <c r="M33" s="24">
        <f>M34</f>
        <v>9000</v>
      </c>
      <c r="N33" s="24">
        <f>L33+M33</f>
        <v>9000</v>
      </c>
      <c r="O33" s="24">
        <f>O34</f>
        <v>0</v>
      </c>
      <c r="P33" s="24">
        <f>N33+O33</f>
        <v>9000</v>
      </c>
      <c r="Q33" s="24">
        <f>Q34</f>
        <v>0</v>
      </c>
      <c r="R33" s="24"/>
      <c r="S33" s="24">
        <v>0</v>
      </c>
      <c r="T33" s="24">
        <f>T34</f>
        <v>0</v>
      </c>
      <c r="U33" s="7"/>
      <c r="V33" s="7"/>
      <c r="W33" s="7"/>
      <c r="X33" s="7">
        <f t="shared" si="11"/>
        <v>0</v>
      </c>
    </row>
    <row r="34" spans="1:24" ht="138" customHeight="1">
      <c r="A34" s="48" t="s">
        <v>140</v>
      </c>
      <c r="B34" s="27" t="s">
        <v>142</v>
      </c>
      <c r="C34" s="22" t="s">
        <v>35</v>
      </c>
      <c r="D34" s="22" t="s">
        <v>11</v>
      </c>
      <c r="E34" s="22" t="s">
        <v>136</v>
      </c>
      <c r="F34" s="22" t="s">
        <v>139</v>
      </c>
      <c r="G34" s="24">
        <v>0</v>
      </c>
      <c r="H34" s="24">
        <v>11915.9</v>
      </c>
      <c r="I34" s="24">
        <f>G34+H34</f>
        <v>11915.9</v>
      </c>
      <c r="J34" s="24"/>
      <c r="K34" s="24">
        <f>I34+J34</f>
        <v>11915.9</v>
      </c>
      <c r="L34" s="24">
        <v>0</v>
      </c>
      <c r="M34" s="24">
        <v>9000</v>
      </c>
      <c r="N34" s="24">
        <f t="shared" si="10"/>
        <v>9000</v>
      </c>
      <c r="O34" s="24"/>
      <c r="P34" s="24">
        <f t="shared" si="10"/>
        <v>9000</v>
      </c>
      <c r="Q34" s="24">
        <v>0</v>
      </c>
      <c r="R34" s="24"/>
      <c r="S34" s="24">
        <v>0</v>
      </c>
      <c r="T34" s="24">
        <v>0</v>
      </c>
      <c r="U34" s="7"/>
      <c r="V34" s="7"/>
      <c r="W34" s="7"/>
      <c r="X34" s="7">
        <f t="shared" si="11"/>
        <v>0</v>
      </c>
    </row>
    <row r="35" spans="1:24" ht="106.5" customHeight="1">
      <c r="A35" s="61" t="s">
        <v>174</v>
      </c>
      <c r="B35" s="64"/>
      <c r="C35" s="64"/>
      <c r="D35" s="65"/>
      <c r="E35" s="22"/>
      <c r="F35" s="22"/>
      <c r="G35" s="24"/>
      <c r="H35" s="24"/>
      <c r="I35" s="24">
        <f>I36</f>
        <v>0</v>
      </c>
      <c r="J35" s="24">
        <f t="shared" ref="J35:X35" si="14">J36</f>
        <v>3873.7</v>
      </c>
      <c r="K35" s="24">
        <f t="shared" si="14"/>
        <v>3873.7</v>
      </c>
      <c r="L35" s="24">
        <f t="shared" si="14"/>
        <v>0</v>
      </c>
      <c r="M35" s="24">
        <f t="shared" si="14"/>
        <v>0</v>
      </c>
      <c r="N35" s="24">
        <f t="shared" si="14"/>
        <v>0</v>
      </c>
      <c r="O35" s="24">
        <f t="shared" si="14"/>
        <v>3669.8</v>
      </c>
      <c r="P35" s="24">
        <f t="shared" si="14"/>
        <v>3669.8</v>
      </c>
      <c r="Q35" s="24">
        <f t="shared" si="14"/>
        <v>0</v>
      </c>
      <c r="R35" s="24">
        <f t="shared" si="14"/>
        <v>0</v>
      </c>
      <c r="S35" s="24">
        <f t="shared" si="14"/>
        <v>0</v>
      </c>
      <c r="T35" s="24">
        <f t="shared" si="14"/>
        <v>0</v>
      </c>
      <c r="U35" s="7">
        <f t="shared" si="14"/>
        <v>0</v>
      </c>
      <c r="V35" s="7">
        <f t="shared" si="14"/>
        <v>0</v>
      </c>
      <c r="W35" s="7">
        <f t="shared" si="14"/>
        <v>0</v>
      </c>
      <c r="X35" s="7">
        <f t="shared" si="14"/>
        <v>0</v>
      </c>
    </row>
    <row r="36" spans="1:24" ht="140.25" customHeight="1">
      <c r="A36" s="48" t="s">
        <v>175</v>
      </c>
      <c r="B36" s="27" t="s">
        <v>176</v>
      </c>
      <c r="C36" s="22" t="s">
        <v>36</v>
      </c>
      <c r="D36" s="22" t="s">
        <v>11</v>
      </c>
      <c r="E36" s="22" t="s">
        <v>177</v>
      </c>
      <c r="F36" s="22" t="s">
        <v>139</v>
      </c>
      <c r="G36" s="24"/>
      <c r="H36" s="24"/>
      <c r="I36" s="24"/>
      <c r="J36" s="24">
        <v>3873.7</v>
      </c>
      <c r="K36" s="24">
        <f>I36+J36</f>
        <v>3873.7</v>
      </c>
      <c r="L36" s="24"/>
      <c r="M36" s="24"/>
      <c r="N36" s="24"/>
      <c r="O36" s="24">
        <v>3669.8</v>
      </c>
      <c r="P36" s="24">
        <f t="shared" si="10"/>
        <v>3669.8</v>
      </c>
      <c r="Q36" s="24"/>
      <c r="R36" s="24"/>
      <c r="S36" s="24">
        <v>0</v>
      </c>
      <c r="T36" s="24">
        <v>0</v>
      </c>
      <c r="U36" s="7"/>
      <c r="V36" s="7"/>
      <c r="W36" s="7"/>
      <c r="X36" s="7"/>
    </row>
    <row r="37" spans="1:24" ht="42" customHeight="1">
      <c r="A37" s="58" t="s">
        <v>201</v>
      </c>
      <c r="B37" s="60"/>
      <c r="C37" s="60"/>
      <c r="D37" s="60"/>
      <c r="E37" s="22"/>
      <c r="F37" s="48"/>
      <c r="G37" s="24">
        <f t="shared" ref="G37:P37" si="15">G38+G44</f>
        <v>1255301.2</v>
      </c>
      <c r="H37" s="24">
        <f t="shared" si="15"/>
        <v>17147.099999999999</v>
      </c>
      <c r="I37" s="24">
        <f t="shared" si="15"/>
        <v>1478110.7999999998</v>
      </c>
      <c r="J37" s="24">
        <f t="shared" si="15"/>
        <v>-9319.5999999999985</v>
      </c>
      <c r="K37" s="24">
        <f t="shared" si="15"/>
        <v>1468791.2000000002</v>
      </c>
      <c r="L37" s="24">
        <f t="shared" si="15"/>
        <v>397457.3</v>
      </c>
      <c r="M37" s="24">
        <f t="shared" si="15"/>
        <v>20000</v>
      </c>
      <c r="N37" s="24">
        <f t="shared" si="15"/>
        <v>247181.9</v>
      </c>
      <c r="O37" s="24">
        <f t="shared" si="15"/>
        <v>1231.7000000000007</v>
      </c>
      <c r="P37" s="24">
        <f t="shared" si="15"/>
        <v>248413.6</v>
      </c>
      <c r="Q37" s="24">
        <f t="shared" ref="Q37:S37" si="16">Q38+Q44</f>
        <v>184523.3</v>
      </c>
      <c r="R37" s="24">
        <f t="shared" si="16"/>
        <v>0</v>
      </c>
      <c r="S37" s="24">
        <f t="shared" si="16"/>
        <v>184523.3</v>
      </c>
      <c r="T37" s="24">
        <f>T38+T44</f>
        <v>136821.6</v>
      </c>
      <c r="U37" s="7">
        <f>U38+U44</f>
        <v>0</v>
      </c>
      <c r="V37" s="7">
        <v>189190.2</v>
      </c>
      <c r="W37" s="7">
        <f t="shared" ref="W37:X37" si="17">W38+W44</f>
        <v>0</v>
      </c>
      <c r="X37" s="7">
        <f t="shared" si="17"/>
        <v>136821.6</v>
      </c>
    </row>
    <row r="38" spans="1:24" ht="39" customHeight="1">
      <c r="A38" s="58" t="s">
        <v>34</v>
      </c>
      <c r="B38" s="59"/>
      <c r="C38" s="59"/>
      <c r="D38" s="59"/>
      <c r="E38" s="22"/>
      <c r="F38" s="48"/>
      <c r="G38" s="24">
        <f>SUM(G39:G42)</f>
        <v>605415.69999999995</v>
      </c>
      <c r="H38" s="24">
        <f t="shared" ref="H38:X38" si="18">H39+H40+H41+H42</f>
        <v>0</v>
      </c>
      <c r="I38" s="24">
        <f>I39+I40+I41+I42</f>
        <v>612722.69999999995</v>
      </c>
      <c r="J38" s="24">
        <f t="shared" ref="J38:T38" si="19">J39+J40+J41+J42</f>
        <v>-11293.8</v>
      </c>
      <c r="K38" s="24">
        <f t="shared" si="19"/>
        <v>601428.9</v>
      </c>
      <c r="L38" s="24">
        <f t="shared" si="19"/>
        <v>46902</v>
      </c>
      <c r="M38" s="24">
        <f t="shared" si="19"/>
        <v>0</v>
      </c>
      <c r="N38" s="24">
        <f t="shared" si="19"/>
        <v>54209</v>
      </c>
      <c r="O38" s="24">
        <f t="shared" si="19"/>
        <v>-12360.9</v>
      </c>
      <c r="P38" s="24">
        <f t="shared" si="19"/>
        <v>41848.1</v>
      </c>
      <c r="Q38" s="24">
        <f t="shared" si="19"/>
        <v>146863.6</v>
      </c>
      <c r="R38" s="24">
        <f t="shared" si="19"/>
        <v>0</v>
      </c>
      <c r="S38" s="24">
        <f t="shared" si="19"/>
        <v>146863.6</v>
      </c>
      <c r="T38" s="24">
        <f t="shared" si="19"/>
        <v>79622.899999999994</v>
      </c>
      <c r="U38" s="7">
        <f t="shared" si="18"/>
        <v>0</v>
      </c>
      <c r="V38" s="7">
        <f t="shared" si="18"/>
        <v>79622.899999999994</v>
      </c>
      <c r="W38" s="7">
        <f t="shared" si="18"/>
        <v>0</v>
      </c>
      <c r="X38" s="7">
        <f t="shared" si="18"/>
        <v>79622.899999999994</v>
      </c>
    </row>
    <row r="39" spans="1:24" ht="128.25" customHeight="1" outlineLevel="1">
      <c r="A39" s="48" t="s">
        <v>170</v>
      </c>
      <c r="B39" s="22" t="s">
        <v>40</v>
      </c>
      <c r="C39" s="22" t="s">
        <v>35</v>
      </c>
      <c r="D39" s="22" t="s">
        <v>11</v>
      </c>
      <c r="E39" s="22" t="s">
        <v>62</v>
      </c>
      <c r="F39" s="22" t="s">
        <v>49</v>
      </c>
      <c r="G39" s="24">
        <v>171871.5</v>
      </c>
      <c r="H39" s="23"/>
      <c r="I39" s="24">
        <f>171871.5+7307</f>
        <v>179178.5</v>
      </c>
      <c r="J39" s="23"/>
      <c r="K39" s="24">
        <f>I39+J39</f>
        <v>179178.5</v>
      </c>
      <c r="L39" s="24">
        <v>0</v>
      </c>
      <c r="M39" s="24"/>
      <c r="N39" s="24">
        <v>7307</v>
      </c>
      <c r="O39" s="24"/>
      <c r="P39" s="24">
        <f t="shared" si="10"/>
        <v>7307</v>
      </c>
      <c r="Q39" s="23">
        <v>7307</v>
      </c>
      <c r="R39" s="23"/>
      <c r="S39" s="23">
        <v>7307</v>
      </c>
      <c r="T39" s="23">
        <v>0</v>
      </c>
      <c r="U39" s="8"/>
      <c r="V39" s="8">
        <v>0</v>
      </c>
      <c r="W39" s="8"/>
      <c r="X39" s="7">
        <f t="shared" si="11"/>
        <v>0</v>
      </c>
    </row>
    <row r="40" spans="1:24" ht="136.5" customHeight="1" outlineLevel="1">
      <c r="A40" s="48" t="s">
        <v>92</v>
      </c>
      <c r="B40" s="22" t="s">
        <v>32</v>
      </c>
      <c r="C40" s="22" t="s">
        <v>35</v>
      </c>
      <c r="D40" s="22" t="s">
        <v>11</v>
      </c>
      <c r="E40" s="28" t="s">
        <v>53</v>
      </c>
      <c r="F40" s="22" t="s">
        <v>45</v>
      </c>
      <c r="G40" s="24">
        <v>101257.9</v>
      </c>
      <c r="H40" s="23"/>
      <c r="I40" s="24">
        <v>101257.9</v>
      </c>
      <c r="J40" s="23"/>
      <c r="K40" s="24">
        <v>101257.9</v>
      </c>
      <c r="L40" s="24">
        <v>0</v>
      </c>
      <c r="M40" s="24"/>
      <c r="N40" s="24">
        <f t="shared" si="10"/>
        <v>0</v>
      </c>
      <c r="O40" s="24"/>
      <c r="P40" s="24">
        <f t="shared" si="10"/>
        <v>0</v>
      </c>
      <c r="Q40" s="23">
        <f>37693-15000</f>
        <v>22693</v>
      </c>
      <c r="R40" s="23"/>
      <c r="S40" s="23">
        <f>Q40+R40</f>
        <v>22693</v>
      </c>
      <c r="T40" s="23">
        <v>40000</v>
      </c>
      <c r="U40" s="8"/>
      <c r="V40" s="8">
        <v>40000</v>
      </c>
      <c r="W40" s="8"/>
      <c r="X40" s="7">
        <f t="shared" si="11"/>
        <v>40000</v>
      </c>
    </row>
    <row r="41" spans="1:24" ht="129" customHeight="1" outlineLevel="1">
      <c r="A41" s="48" t="s">
        <v>87</v>
      </c>
      <c r="B41" s="22" t="s">
        <v>41</v>
      </c>
      <c r="C41" s="22" t="s">
        <v>35</v>
      </c>
      <c r="D41" s="22" t="s">
        <v>11</v>
      </c>
      <c r="E41" s="22" t="s">
        <v>63</v>
      </c>
      <c r="F41" s="22" t="s">
        <v>31</v>
      </c>
      <c r="G41" s="23">
        <v>79058</v>
      </c>
      <c r="H41" s="23"/>
      <c r="I41" s="23">
        <v>79058</v>
      </c>
      <c r="J41" s="23">
        <v>-11293.8</v>
      </c>
      <c r="K41" s="23">
        <f>I41+J41</f>
        <v>67764.2</v>
      </c>
      <c r="L41" s="24">
        <v>46902</v>
      </c>
      <c r="M41" s="24"/>
      <c r="N41" s="24">
        <f t="shared" si="10"/>
        <v>46902</v>
      </c>
      <c r="O41" s="24">
        <v>-12360.9</v>
      </c>
      <c r="P41" s="24">
        <f t="shared" si="10"/>
        <v>34541.1</v>
      </c>
      <c r="Q41" s="23">
        <v>29705</v>
      </c>
      <c r="R41" s="23"/>
      <c r="S41" s="23">
        <v>29705</v>
      </c>
      <c r="T41" s="23">
        <v>0</v>
      </c>
      <c r="U41" s="8"/>
      <c r="V41" s="8">
        <v>0</v>
      </c>
      <c r="W41" s="8"/>
      <c r="X41" s="7">
        <f t="shared" si="11"/>
        <v>0</v>
      </c>
    </row>
    <row r="42" spans="1:24" ht="129" customHeight="1" outlineLevel="1">
      <c r="A42" s="48" t="s">
        <v>120</v>
      </c>
      <c r="B42" s="22" t="s">
        <v>88</v>
      </c>
      <c r="C42" s="22" t="s">
        <v>35</v>
      </c>
      <c r="D42" s="22" t="s">
        <v>11</v>
      </c>
      <c r="E42" s="22" t="s">
        <v>63</v>
      </c>
      <c r="F42" s="22" t="s">
        <v>89</v>
      </c>
      <c r="G42" s="23">
        <v>253228.3</v>
      </c>
      <c r="H42" s="23"/>
      <c r="I42" s="23">
        <v>253228.3</v>
      </c>
      <c r="J42" s="23"/>
      <c r="K42" s="23">
        <v>253228.3</v>
      </c>
      <c r="L42" s="24">
        <v>0</v>
      </c>
      <c r="M42" s="24"/>
      <c r="N42" s="24">
        <f t="shared" si="10"/>
        <v>0</v>
      </c>
      <c r="O42" s="24"/>
      <c r="P42" s="24">
        <f t="shared" si="10"/>
        <v>0</v>
      </c>
      <c r="Q42" s="23">
        <f>119660-32501.4</f>
        <v>87158.6</v>
      </c>
      <c r="R42" s="23"/>
      <c r="S42" s="23">
        <f>Q42+R42</f>
        <v>87158.6</v>
      </c>
      <c r="T42" s="23">
        <v>39622.9</v>
      </c>
      <c r="U42" s="8"/>
      <c r="V42" s="8">
        <v>39622.9</v>
      </c>
      <c r="W42" s="8"/>
      <c r="X42" s="7">
        <f t="shared" si="11"/>
        <v>39622.9</v>
      </c>
    </row>
    <row r="43" spans="1:24" ht="129" hidden="1" customHeight="1" outlineLevel="1">
      <c r="A43" s="48"/>
      <c r="B43" s="22"/>
      <c r="C43" s="22"/>
      <c r="D43" s="22"/>
      <c r="E43" s="22"/>
      <c r="F43" s="22"/>
      <c r="G43" s="23"/>
      <c r="H43" s="23"/>
      <c r="I43" s="23"/>
      <c r="J43" s="23"/>
      <c r="K43" s="23"/>
      <c r="L43" s="24"/>
      <c r="M43" s="24"/>
      <c r="N43" s="24"/>
      <c r="O43" s="24"/>
      <c r="P43" s="24"/>
      <c r="Q43" s="23"/>
      <c r="R43" s="23"/>
      <c r="S43" s="23"/>
      <c r="T43" s="23"/>
      <c r="U43" s="8"/>
      <c r="V43" s="8"/>
      <c r="W43" s="8"/>
      <c r="X43" s="7"/>
    </row>
    <row r="44" spans="1:24" ht="51.75" customHeight="1">
      <c r="A44" s="58" t="s">
        <v>37</v>
      </c>
      <c r="B44" s="59"/>
      <c r="C44" s="59"/>
      <c r="D44" s="59"/>
      <c r="E44" s="22"/>
      <c r="F44" s="48"/>
      <c r="G44" s="24">
        <f t="shared" ref="G44" si="20">SUM(G45:G47)</f>
        <v>649885.5</v>
      </c>
      <c r="H44" s="24">
        <f>H45+H46</f>
        <v>17147.099999999999</v>
      </c>
      <c r="I44" s="24">
        <f>I45+I46+I47</f>
        <v>865388.1</v>
      </c>
      <c r="J44" s="24">
        <f t="shared" ref="J44:T44" si="21">J45+J46+J47</f>
        <v>1974.2</v>
      </c>
      <c r="K44" s="24">
        <f t="shared" si="21"/>
        <v>867362.3</v>
      </c>
      <c r="L44" s="24">
        <f t="shared" si="21"/>
        <v>350555.3</v>
      </c>
      <c r="M44" s="24">
        <f t="shared" si="21"/>
        <v>20000</v>
      </c>
      <c r="N44" s="24">
        <f t="shared" si="21"/>
        <v>192972.9</v>
      </c>
      <c r="O44" s="24">
        <f t="shared" si="21"/>
        <v>13592.6</v>
      </c>
      <c r="P44" s="24">
        <f t="shared" si="21"/>
        <v>206565.5</v>
      </c>
      <c r="Q44" s="24">
        <f t="shared" si="21"/>
        <v>37659.699999999997</v>
      </c>
      <c r="R44" s="24">
        <f t="shared" si="21"/>
        <v>0</v>
      </c>
      <c r="S44" s="24">
        <f t="shared" si="21"/>
        <v>37659.699999999997</v>
      </c>
      <c r="T44" s="24">
        <f t="shared" si="21"/>
        <v>57198.700000000004</v>
      </c>
      <c r="U44" s="7">
        <f t="shared" ref="U44:X44" si="22">U45+U46+U47</f>
        <v>0</v>
      </c>
      <c r="V44" s="7">
        <f t="shared" si="22"/>
        <v>109567.3</v>
      </c>
      <c r="W44" s="7">
        <f t="shared" si="22"/>
        <v>0</v>
      </c>
      <c r="X44" s="7">
        <f t="shared" si="22"/>
        <v>57198.700000000004</v>
      </c>
    </row>
    <row r="45" spans="1:24" ht="135" customHeight="1" outlineLevel="1">
      <c r="A45" s="48" t="s">
        <v>85</v>
      </c>
      <c r="B45" s="22" t="s">
        <v>38</v>
      </c>
      <c r="C45" s="22" t="s">
        <v>35</v>
      </c>
      <c r="D45" s="22" t="s">
        <v>11</v>
      </c>
      <c r="E45" s="22" t="s">
        <v>64</v>
      </c>
      <c r="F45" s="22" t="s">
        <v>173</v>
      </c>
      <c r="G45" s="24">
        <v>316480</v>
      </c>
      <c r="H45" s="24"/>
      <c r="I45" s="24">
        <v>316480</v>
      </c>
      <c r="J45" s="24"/>
      <c r="K45" s="24">
        <v>316480</v>
      </c>
      <c r="L45" s="24">
        <v>132159.79999999999</v>
      </c>
      <c r="M45" s="24">
        <v>20000</v>
      </c>
      <c r="N45" s="24">
        <f>L45+M45+10000</f>
        <v>162159.79999999999</v>
      </c>
      <c r="O45" s="24"/>
      <c r="P45" s="24">
        <f t="shared" si="10"/>
        <v>162159.79999999999</v>
      </c>
      <c r="Q45" s="23">
        <v>0</v>
      </c>
      <c r="R45" s="23">
        <v>0</v>
      </c>
      <c r="S45" s="23">
        <v>0</v>
      </c>
      <c r="T45" s="23">
        <v>0</v>
      </c>
      <c r="U45" s="8">
        <v>0</v>
      </c>
      <c r="V45" s="8">
        <v>0</v>
      </c>
      <c r="W45" s="8">
        <v>0</v>
      </c>
      <c r="X45" s="7">
        <f t="shared" si="11"/>
        <v>0</v>
      </c>
    </row>
    <row r="46" spans="1:24" ht="135.75" customHeight="1" outlineLevel="1">
      <c r="A46" s="48" t="s">
        <v>143</v>
      </c>
      <c r="B46" s="22" t="s">
        <v>39</v>
      </c>
      <c r="C46" s="22" t="s">
        <v>6</v>
      </c>
      <c r="D46" s="22" t="s">
        <v>11</v>
      </c>
      <c r="E46" s="22" t="s">
        <v>25</v>
      </c>
      <c r="F46" s="22" t="s">
        <v>31</v>
      </c>
      <c r="G46" s="24">
        <v>333405.5</v>
      </c>
      <c r="H46" s="23">
        <v>17147.099999999999</v>
      </c>
      <c r="I46" s="24">
        <f>G46+H46</f>
        <v>350552.6</v>
      </c>
      <c r="J46" s="23">
        <v>1974.2</v>
      </c>
      <c r="K46" s="24">
        <f>I46+J46</f>
        <v>352526.8</v>
      </c>
      <c r="L46" s="24">
        <v>20040</v>
      </c>
      <c r="M46" s="24"/>
      <c r="N46" s="24">
        <f>L46+M46+10000</f>
        <v>30040</v>
      </c>
      <c r="O46" s="24">
        <f>12496.2+1096.4</f>
        <v>13592.6</v>
      </c>
      <c r="P46" s="24">
        <f>N46+O46</f>
        <v>43632.6</v>
      </c>
      <c r="Q46" s="23">
        <v>37659.699999999997</v>
      </c>
      <c r="R46" s="23"/>
      <c r="S46" s="23">
        <f>Q46+R46</f>
        <v>37659.699999999997</v>
      </c>
      <c r="T46" s="23">
        <f>109567.3-52368.6</f>
        <v>57198.700000000004</v>
      </c>
      <c r="U46" s="8"/>
      <c r="V46" s="8">
        <v>109567.3</v>
      </c>
      <c r="W46" s="8"/>
      <c r="X46" s="7">
        <f t="shared" si="11"/>
        <v>57198.700000000004</v>
      </c>
    </row>
    <row r="47" spans="1:24" ht="132.75" customHeight="1">
      <c r="A47" s="48" t="s">
        <v>152</v>
      </c>
      <c r="B47" s="22" t="s">
        <v>153</v>
      </c>
      <c r="C47" s="22" t="s">
        <v>6</v>
      </c>
      <c r="D47" s="22" t="s">
        <v>11</v>
      </c>
      <c r="E47" s="22" t="s">
        <v>25</v>
      </c>
      <c r="F47" s="22" t="s">
        <v>154</v>
      </c>
      <c r="G47" s="23">
        <v>0</v>
      </c>
      <c r="H47" s="23">
        <v>198355.5</v>
      </c>
      <c r="I47" s="23">
        <f>G47+H47</f>
        <v>198355.5</v>
      </c>
      <c r="J47" s="23"/>
      <c r="K47" s="23">
        <f>I47+J47</f>
        <v>198355.5</v>
      </c>
      <c r="L47" s="24">
        <f t="shared" ref="L47" si="23">J47+K47</f>
        <v>198355.5</v>
      </c>
      <c r="M47" s="23">
        <v>0</v>
      </c>
      <c r="N47" s="23">
        <v>773.1</v>
      </c>
      <c r="O47" s="23"/>
      <c r="P47" s="23">
        <f>N47+O47</f>
        <v>773.1</v>
      </c>
      <c r="Q47" s="23">
        <v>0</v>
      </c>
      <c r="R47" s="23">
        <v>0</v>
      </c>
      <c r="S47" s="23">
        <v>0</v>
      </c>
      <c r="T47" s="23">
        <v>0</v>
      </c>
      <c r="U47" s="8">
        <v>0</v>
      </c>
      <c r="V47" s="8">
        <v>0</v>
      </c>
      <c r="W47" s="8">
        <v>0</v>
      </c>
      <c r="X47" s="7">
        <f t="shared" si="11"/>
        <v>0</v>
      </c>
    </row>
    <row r="48" spans="1:24" ht="38.25" customHeight="1">
      <c r="A48" s="57" t="s">
        <v>66</v>
      </c>
      <c r="B48" s="57"/>
      <c r="C48" s="57"/>
      <c r="D48" s="57"/>
      <c r="E48" s="29"/>
      <c r="F48" s="29"/>
      <c r="G48" s="30">
        <f t="shared" ref="G48" si="24">SUM(G49:G51)</f>
        <v>998590.7</v>
      </c>
      <c r="H48" s="30">
        <f>H49+H50+H51</f>
        <v>-22949.7</v>
      </c>
      <c r="I48" s="30">
        <f>I49+I50+I51+I52</f>
        <v>1004703.9999999999</v>
      </c>
      <c r="J48" s="30">
        <f t="shared" ref="J48:T48" si="25">J49+J50+J51+J52</f>
        <v>-29062.400000000001</v>
      </c>
      <c r="K48" s="30">
        <f t="shared" si="25"/>
        <v>975641.59999999986</v>
      </c>
      <c r="L48" s="30">
        <f t="shared" si="25"/>
        <v>156365.29999999999</v>
      </c>
      <c r="M48" s="30">
        <f t="shared" si="25"/>
        <v>17000</v>
      </c>
      <c r="N48" s="30">
        <f t="shared" si="25"/>
        <v>255028.90000000002</v>
      </c>
      <c r="O48" s="30">
        <f t="shared" si="25"/>
        <v>194895.10000000003</v>
      </c>
      <c r="P48" s="30">
        <f t="shared" si="25"/>
        <v>449924.00000000006</v>
      </c>
      <c r="Q48" s="30">
        <f t="shared" si="25"/>
        <v>45004.7</v>
      </c>
      <c r="R48" s="30">
        <f t="shared" si="25"/>
        <v>0</v>
      </c>
      <c r="S48" s="30">
        <f t="shared" si="25"/>
        <v>45004.7</v>
      </c>
      <c r="T48" s="30">
        <f t="shared" si="25"/>
        <v>0</v>
      </c>
      <c r="U48" s="16">
        <f t="shared" ref="U48:X48" si="26">U49+U50+U51+U52</f>
        <v>0</v>
      </c>
      <c r="V48" s="16">
        <f t="shared" si="26"/>
        <v>0</v>
      </c>
      <c r="W48" s="16">
        <f t="shared" si="26"/>
        <v>0</v>
      </c>
      <c r="X48" s="16">
        <f t="shared" si="26"/>
        <v>0</v>
      </c>
    </row>
    <row r="49" spans="1:30" ht="154.5" customHeight="1" outlineLevel="1">
      <c r="A49" s="48" t="s">
        <v>166</v>
      </c>
      <c r="B49" s="22" t="s">
        <v>15</v>
      </c>
      <c r="C49" s="22" t="s">
        <v>23</v>
      </c>
      <c r="D49" s="22" t="s">
        <v>11</v>
      </c>
      <c r="E49" s="22" t="s">
        <v>25</v>
      </c>
      <c r="F49" s="22" t="s">
        <v>8</v>
      </c>
      <c r="G49" s="23">
        <v>574511.9</v>
      </c>
      <c r="H49" s="23"/>
      <c r="I49" s="23">
        <v>574511.9</v>
      </c>
      <c r="J49" s="23"/>
      <c r="K49" s="23">
        <v>574511.9</v>
      </c>
      <c r="L49" s="23">
        <v>64424.5</v>
      </c>
      <c r="M49" s="23">
        <v>17000</v>
      </c>
      <c r="N49" s="24">
        <f>L49+M49+32599.9</f>
        <v>114024.4</v>
      </c>
      <c r="O49" s="23"/>
      <c r="P49" s="24">
        <f t="shared" si="10"/>
        <v>114024.4</v>
      </c>
      <c r="Q49" s="23">
        <v>15000</v>
      </c>
      <c r="R49" s="23"/>
      <c r="S49" s="23">
        <v>15000</v>
      </c>
      <c r="T49" s="23">
        <v>0</v>
      </c>
      <c r="U49" s="8"/>
      <c r="V49" s="8">
        <v>0</v>
      </c>
      <c r="W49" s="8"/>
      <c r="X49" s="7">
        <f t="shared" si="11"/>
        <v>0</v>
      </c>
      <c r="Y49" s="2"/>
      <c r="Z49" s="2"/>
      <c r="AA49" s="2"/>
      <c r="AB49" s="2"/>
      <c r="AC49" s="2"/>
      <c r="AD49" s="2"/>
    </row>
    <row r="50" spans="1:30" ht="128.25" customHeight="1" outlineLevel="1">
      <c r="A50" s="48" t="s">
        <v>104</v>
      </c>
      <c r="B50" s="22" t="s">
        <v>32</v>
      </c>
      <c r="C50" s="22" t="s">
        <v>35</v>
      </c>
      <c r="D50" s="22" t="s">
        <v>33</v>
      </c>
      <c r="E50" s="22" t="s">
        <v>62</v>
      </c>
      <c r="F50" s="22" t="s">
        <v>31</v>
      </c>
      <c r="G50" s="23">
        <v>150078.79999999999</v>
      </c>
      <c r="H50" s="23"/>
      <c r="I50" s="23">
        <v>150078.79999999999</v>
      </c>
      <c r="J50" s="23"/>
      <c r="K50" s="23">
        <v>150078.79999999999</v>
      </c>
      <c r="L50" s="23">
        <v>21000</v>
      </c>
      <c r="M50" s="23"/>
      <c r="N50" s="24">
        <f>L50+M50+20000</f>
        <v>41000</v>
      </c>
      <c r="O50" s="23">
        <v>59003.3</v>
      </c>
      <c r="P50" s="24">
        <f t="shared" si="10"/>
        <v>100003.3</v>
      </c>
      <c r="Q50" s="23">
        <v>29986.7</v>
      </c>
      <c r="R50" s="23"/>
      <c r="S50" s="23">
        <v>29986.7</v>
      </c>
      <c r="T50" s="23">
        <v>0</v>
      </c>
      <c r="U50" s="8"/>
      <c r="V50" s="8">
        <v>0</v>
      </c>
      <c r="W50" s="8"/>
      <c r="X50" s="7">
        <f t="shared" si="11"/>
        <v>0</v>
      </c>
      <c r="Y50" s="2"/>
      <c r="Z50" s="2"/>
      <c r="AA50" s="2"/>
      <c r="AB50" s="2"/>
      <c r="AC50" s="2"/>
      <c r="AD50" s="2"/>
    </row>
    <row r="51" spans="1:30" ht="154.5" customHeight="1" outlineLevel="1">
      <c r="A51" s="48" t="s">
        <v>81</v>
      </c>
      <c r="B51" s="22" t="s">
        <v>51</v>
      </c>
      <c r="C51" s="22" t="s">
        <v>23</v>
      </c>
      <c r="D51" s="22" t="s">
        <v>11</v>
      </c>
      <c r="E51" s="22" t="s">
        <v>25</v>
      </c>
      <c r="F51" s="22" t="s">
        <v>8</v>
      </c>
      <c r="G51" s="23">
        <v>274000</v>
      </c>
      <c r="H51" s="23">
        <v>-22949.7</v>
      </c>
      <c r="I51" s="23">
        <f>G51+H51+3.8</f>
        <v>251054.09999999998</v>
      </c>
      <c r="J51" s="23">
        <f>-3.8+0.6</f>
        <v>-3.1999999999999997</v>
      </c>
      <c r="K51" s="23">
        <f>I51+J51</f>
        <v>251050.89999999997</v>
      </c>
      <c r="L51" s="23">
        <v>100000</v>
      </c>
      <c r="M51" s="23"/>
      <c r="N51" s="24">
        <f>L51+M51+3.8</f>
        <v>100003.8</v>
      </c>
      <c r="O51" s="23">
        <f>135895.7-3.8+0.6</f>
        <v>135892.50000000003</v>
      </c>
      <c r="P51" s="24">
        <f t="shared" si="10"/>
        <v>235896.30000000005</v>
      </c>
      <c r="Q51" s="23">
        <v>18</v>
      </c>
      <c r="R51" s="23"/>
      <c r="S51" s="23">
        <f>Q51+R51</f>
        <v>18</v>
      </c>
      <c r="T51" s="23">
        <v>0</v>
      </c>
      <c r="U51" s="8">
        <v>0</v>
      </c>
      <c r="V51" s="8">
        <v>0</v>
      </c>
      <c r="W51" s="8"/>
      <c r="X51" s="7">
        <f t="shared" si="11"/>
        <v>0</v>
      </c>
      <c r="Y51" s="2"/>
      <c r="Z51" s="2"/>
      <c r="AA51" s="2"/>
      <c r="AB51" s="2"/>
      <c r="AC51" s="2"/>
      <c r="AD51" s="2"/>
    </row>
    <row r="52" spans="1:30" ht="246" customHeight="1" outlineLevel="1">
      <c r="A52" s="48" t="s">
        <v>155</v>
      </c>
      <c r="B52" s="22" t="s">
        <v>156</v>
      </c>
      <c r="C52" s="22" t="s">
        <v>157</v>
      </c>
      <c r="D52" s="22" t="s">
        <v>11</v>
      </c>
      <c r="E52" s="22" t="s">
        <v>25</v>
      </c>
      <c r="F52" s="22" t="s">
        <v>158</v>
      </c>
      <c r="G52" s="31">
        <v>0</v>
      </c>
      <c r="H52" s="31">
        <v>29059.200000000001</v>
      </c>
      <c r="I52" s="23">
        <v>29059.200000000001</v>
      </c>
      <c r="J52" s="23">
        <f>-I52</f>
        <v>-29059.200000000001</v>
      </c>
      <c r="K52" s="23">
        <f>I52+J52</f>
        <v>0</v>
      </c>
      <c r="L52" s="24">
        <f t="shared" ref="L52" si="27">J52+K52</f>
        <v>-29059.200000000001</v>
      </c>
      <c r="M52" s="23">
        <v>0</v>
      </c>
      <c r="N52" s="23">
        <v>0.7</v>
      </c>
      <c r="O52" s="23">
        <v>-0.7</v>
      </c>
      <c r="P52" s="23">
        <f>O52+N52</f>
        <v>0</v>
      </c>
      <c r="Q52" s="23">
        <v>0</v>
      </c>
      <c r="R52" s="23">
        <v>0</v>
      </c>
      <c r="S52" s="24">
        <v>0</v>
      </c>
      <c r="T52" s="24">
        <v>0</v>
      </c>
      <c r="U52" s="8"/>
      <c r="V52" s="8"/>
      <c r="W52" s="8"/>
      <c r="X52" s="7"/>
      <c r="Y52" s="2"/>
      <c r="Z52" s="2"/>
      <c r="AA52" s="2"/>
      <c r="AB52" s="2"/>
      <c r="AC52" s="2"/>
      <c r="AD52" s="2"/>
    </row>
    <row r="53" spans="1:30" ht="40.5" customHeight="1">
      <c r="A53" s="57" t="s">
        <v>67</v>
      </c>
      <c r="B53" s="57"/>
      <c r="C53" s="57"/>
      <c r="D53" s="57"/>
      <c r="E53" s="29"/>
      <c r="F53" s="29"/>
      <c r="G53" s="30">
        <f t="shared" ref="G53" si="28">SUM(G54)</f>
        <v>2810533.8</v>
      </c>
      <c r="H53" s="30">
        <f>H54</f>
        <v>0</v>
      </c>
      <c r="I53" s="30">
        <f>I54</f>
        <v>2810533.8</v>
      </c>
      <c r="J53" s="30">
        <f>J54</f>
        <v>0</v>
      </c>
      <c r="K53" s="30">
        <f>K54</f>
        <v>2810533.8</v>
      </c>
      <c r="L53" s="30">
        <f>L54</f>
        <v>197721.2</v>
      </c>
      <c r="M53" s="30">
        <f t="shared" ref="M53:O53" si="29">M54</f>
        <v>0</v>
      </c>
      <c r="N53" s="24">
        <f t="shared" si="10"/>
        <v>197721.2</v>
      </c>
      <c r="O53" s="30">
        <f t="shared" si="29"/>
        <v>0</v>
      </c>
      <c r="P53" s="24">
        <f t="shared" si="10"/>
        <v>197721.2</v>
      </c>
      <c r="Q53" s="30">
        <v>0</v>
      </c>
      <c r="R53" s="30">
        <f>R54</f>
        <v>0</v>
      </c>
      <c r="S53" s="30">
        <v>0</v>
      </c>
      <c r="T53" s="30">
        <v>0</v>
      </c>
      <c r="U53" s="16">
        <f>U54</f>
        <v>0</v>
      </c>
      <c r="V53" s="16">
        <v>0</v>
      </c>
      <c r="W53" s="16">
        <f>W54</f>
        <v>0</v>
      </c>
      <c r="X53" s="7">
        <f t="shared" si="11"/>
        <v>0</v>
      </c>
      <c r="Y53" s="2"/>
      <c r="Z53" s="2"/>
      <c r="AA53" s="2"/>
      <c r="AB53" s="2"/>
      <c r="AC53" s="2"/>
      <c r="AD53" s="2"/>
    </row>
    <row r="54" spans="1:30" ht="169.5" customHeight="1">
      <c r="A54" s="48" t="s">
        <v>98</v>
      </c>
      <c r="B54" s="22" t="s">
        <v>10</v>
      </c>
      <c r="C54" s="22" t="s">
        <v>151</v>
      </c>
      <c r="D54" s="22" t="s">
        <v>11</v>
      </c>
      <c r="E54" s="22" t="s">
        <v>13</v>
      </c>
      <c r="F54" s="22" t="s">
        <v>12</v>
      </c>
      <c r="G54" s="23">
        <v>2810533.8</v>
      </c>
      <c r="H54" s="23"/>
      <c r="I54" s="23">
        <v>2810533.8</v>
      </c>
      <c r="J54" s="23"/>
      <c r="K54" s="23">
        <v>2810533.8</v>
      </c>
      <c r="L54" s="23">
        <v>197721.2</v>
      </c>
      <c r="M54" s="23"/>
      <c r="N54" s="24">
        <f t="shared" si="10"/>
        <v>197721.2</v>
      </c>
      <c r="O54" s="23"/>
      <c r="P54" s="24">
        <f t="shared" si="10"/>
        <v>197721.2</v>
      </c>
      <c r="Q54" s="23">
        <v>0</v>
      </c>
      <c r="R54" s="23">
        <v>0</v>
      </c>
      <c r="S54" s="23">
        <v>0</v>
      </c>
      <c r="T54" s="23">
        <v>0</v>
      </c>
      <c r="U54" s="8">
        <v>0</v>
      </c>
      <c r="V54" s="8">
        <v>0</v>
      </c>
      <c r="W54" s="8">
        <v>0</v>
      </c>
      <c r="X54" s="7">
        <f t="shared" si="11"/>
        <v>0</v>
      </c>
      <c r="Y54" s="2"/>
      <c r="Z54" s="2"/>
      <c r="AA54" s="2"/>
      <c r="AB54" s="2"/>
      <c r="AC54" s="2"/>
      <c r="AD54" s="2"/>
    </row>
    <row r="55" spans="1:30" ht="47.25" customHeight="1">
      <c r="A55" s="57" t="s">
        <v>68</v>
      </c>
      <c r="B55" s="57"/>
      <c r="C55" s="57"/>
      <c r="D55" s="57"/>
      <c r="E55" s="22"/>
      <c r="F55" s="22"/>
      <c r="G55" s="23">
        <f>G56+G57</f>
        <v>4650382</v>
      </c>
      <c r="H55" s="23">
        <f>H56+H57</f>
        <v>-332761.72899999999</v>
      </c>
      <c r="I55" s="23">
        <f>I56+I57</f>
        <v>4322011.6710000001</v>
      </c>
      <c r="J55" s="23">
        <f t="shared" ref="J55:T55" si="30">J56+J57</f>
        <v>0</v>
      </c>
      <c r="K55" s="23">
        <f t="shared" si="30"/>
        <v>4322011.6710000001</v>
      </c>
      <c r="L55" s="23">
        <f t="shared" si="30"/>
        <v>357421.2</v>
      </c>
      <c r="M55" s="23">
        <f t="shared" si="30"/>
        <v>0</v>
      </c>
      <c r="N55" s="23">
        <f t="shared" si="30"/>
        <v>357421.2</v>
      </c>
      <c r="O55" s="23">
        <f t="shared" si="30"/>
        <v>5116.5</v>
      </c>
      <c r="P55" s="23">
        <f t="shared" si="30"/>
        <v>362537.7</v>
      </c>
      <c r="Q55" s="23">
        <f t="shared" si="30"/>
        <v>0</v>
      </c>
      <c r="R55" s="23">
        <f t="shared" si="30"/>
        <v>0</v>
      </c>
      <c r="S55" s="23">
        <f t="shared" si="30"/>
        <v>0</v>
      </c>
      <c r="T55" s="23">
        <f t="shared" si="30"/>
        <v>0</v>
      </c>
      <c r="U55" s="8" t="e">
        <f>U56+U57+#REF!</f>
        <v>#REF!</v>
      </c>
      <c r="V55" s="8" t="e">
        <f>V56+V57+#REF!</f>
        <v>#REF!</v>
      </c>
      <c r="W55" s="8" t="e">
        <f>W56+W57+#REF!</f>
        <v>#REF!</v>
      </c>
      <c r="X55" s="8" t="e">
        <f>X56+X57+#REF!</f>
        <v>#REF!</v>
      </c>
      <c r="Y55" s="2"/>
      <c r="Z55" s="2"/>
      <c r="AA55" s="2"/>
      <c r="AB55" s="2"/>
      <c r="AC55" s="2"/>
      <c r="AD55" s="2"/>
    </row>
    <row r="56" spans="1:30" ht="217.5" customHeight="1" outlineLevel="1">
      <c r="A56" s="48" t="s">
        <v>99</v>
      </c>
      <c r="B56" s="22" t="s">
        <v>172</v>
      </c>
      <c r="C56" s="22" t="s">
        <v>17</v>
      </c>
      <c r="D56" s="22" t="s">
        <v>11</v>
      </c>
      <c r="E56" s="22" t="s">
        <v>16</v>
      </c>
      <c r="F56" s="22" t="s">
        <v>8</v>
      </c>
      <c r="G56" s="23">
        <v>3454942.9</v>
      </c>
      <c r="H56" s="23">
        <f>39734.201-348422.72-24073.21</f>
        <v>-332761.72899999999</v>
      </c>
      <c r="I56" s="23">
        <f>G56+H56+4391.4</f>
        <v>3126572.571</v>
      </c>
      <c r="J56" s="23"/>
      <c r="K56" s="23">
        <f>I56+J56</f>
        <v>3126572.571</v>
      </c>
      <c r="L56" s="23">
        <v>207421.2</v>
      </c>
      <c r="M56" s="23"/>
      <c r="N56" s="24">
        <f>L56+M56-92507.8</f>
        <v>114913.40000000001</v>
      </c>
      <c r="O56" s="23">
        <v>5116.5</v>
      </c>
      <c r="P56" s="24">
        <f t="shared" si="10"/>
        <v>120029.90000000001</v>
      </c>
      <c r="Q56" s="23">
        <v>0</v>
      </c>
      <c r="R56" s="23">
        <v>0</v>
      </c>
      <c r="S56" s="23">
        <v>0</v>
      </c>
      <c r="T56" s="23">
        <v>0</v>
      </c>
      <c r="U56" s="8">
        <v>0</v>
      </c>
      <c r="V56" s="8">
        <v>0</v>
      </c>
      <c r="W56" s="8">
        <v>0</v>
      </c>
      <c r="X56" s="7">
        <f t="shared" si="11"/>
        <v>0</v>
      </c>
      <c r="Y56" s="2"/>
      <c r="Z56" s="2"/>
      <c r="AA56" s="2"/>
      <c r="AB56" s="2"/>
      <c r="AC56" s="2"/>
      <c r="AD56" s="2"/>
    </row>
    <row r="57" spans="1:30" ht="229.5" customHeight="1" outlineLevel="1">
      <c r="A57" s="48" t="s">
        <v>180</v>
      </c>
      <c r="B57" s="22" t="s">
        <v>126</v>
      </c>
      <c r="C57" s="22" t="s">
        <v>61</v>
      </c>
      <c r="D57" s="22" t="s">
        <v>18</v>
      </c>
      <c r="E57" s="22" t="s">
        <v>19</v>
      </c>
      <c r="F57" s="22" t="s">
        <v>8</v>
      </c>
      <c r="G57" s="23">
        <v>1195439.1000000001</v>
      </c>
      <c r="H57" s="23"/>
      <c r="I57" s="23">
        <f>G57+H57</f>
        <v>1195439.1000000001</v>
      </c>
      <c r="J57" s="23"/>
      <c r="K57" s="23">
        <f>I57+J57</f>
        <v>1195439.1000000001</v>
      </c>
      <c r="L57" s="23">
        <v>150000</v>
      </c>
      <c r="M57" s="23"/>
      <c r="N57" s="24">
        <f>L57+M57+92507.8</f>
        <v>242507.8</v>
      </c>
      <c r="O57" s="23"/>
      <c r="P57" s="24">
        <f t="shared" si="10"/>
        <v>242507.8</v>
      </c>
      <c r="Q57" s="23">
        <v>0</v>
      </c>
      <c r="R57" s="23">
        <v>0</v>
      </c>
      <c r="S57" s="23">
        <v>0</v>
      </c>
      <c r="T57" s="23">
        <v>0</v>
      </c>
      <c r="U57" s="8">
        <v>0</v>
      </c>
      <c r="V57" s="8">
        <v>0</v>
      </c>
      <c r="W57" s="8">
        <v>0</v>
      </c>
      <c r="X57" s="7">
        <f t="shared" si="11"/>
        <v>0</v>
      </c>
      <c r="Y57" s="2"/>
      <c r="Z57" s="2"/>
      <c r="AA57" s="2"/>
      <c r="AB57" s="2"/>
      <c r="AC57" s="2"/>
      <c r="AD57" s="2"/>
    </row>
    <row r="58" spans="1:30" ht="48" customHeight="1">
      <c r="A58" s="57" t="s">
        <v>195</v>
      </c>
      <c r="B58" s="57"/>
      <c r="C58" s="57"/>
      <c r="D58" s="57"/>
      <c r="E58" s="22"/>
      <c r="F58" s="22"/>
      <c r="G58" s="30">
        <f t="shared" ref="G58" si="31">SUM(G59:G61)</f>
        <v>1000393.7</v>
      </c>
      <c r="H58" s="30">
        <f>H59+H60+H61</f>
        <v>0</v>
      </c>
      <c r="I58" s="30">
        <f>I59+I60+I61</f>
        <v>1000393.7</v>
      </c>
      <c r="J58" s="30">
        <f t="shared" ref="J58:S58" si="32">J59+J60+J61</f>
        <v>0</v>
      </c>
      <c r="K58" s="30">
        <f t="shared" si="32"/>
        <v>1000393.7</v>
      </c>
      <c r="L58" s="30">
        <f t="shared" si="32"/>
        <v>64800</v>
      </c>
      <c r="M58" s="30">
        <f t="shared" si="32"/>
        <v>0</v>
      </c>
      <c r="N58" s="30">
        <f t="shared" si="32"/>
        <v>64800</v>
      </c>
      <c r="O58" s="30">
        <f t="shared" si="32"/>
        <v>0</v>
      </c>
      <c r="P58" s="30">
        <f t="shared" si="32"/>
        <v>64800</v>
      </c>
      <c r="Q58" s="30">
        <f t="shared" si="32"/>
        <v>11390</v>
      </c>
      <c r="R58" s="30">
        <f t="shared" si="32"/>
        <v>0</v>
      </c>
      <c r="S58" s="30">
        <f t="shared" si="32"/>
        <v>11390</v>
      </c>
      <c r="T58" s="30">
        <f t="shared" ref="T58:X58" si="33">T59+T60+T61+T62</f>
        <v>0</v>
      </c>
      <c r="U58" s="16">
        <f t="shared" si="33"/>
        <v>0</v>
      </c>
      <c r="V58" s="16">
        <f t="shared" si="33"/>
        <v>0</v>
      </c>
      <c r="W58" s="16">
        <f t="shared" si="33"/>
        <v>0</v>
      </c>
      <c r="X58" s="16">
        <f t="shared" si="33"/>
        <v>0</v>
      </c>
      <c r="Y58" s="2"/>
      <c r="Z58" s="2"/>
      <c r="AA58" s="2"/>
      <c r="AB58" s="2"/>
      <c r="AC58" s="2"/>
      <c r="AD58" s="2"/>
    </row>
    <row r="59" spans="1:30" ht="137.25" customHeight="1" outlineLevel="1">
      <c r="A59" s="32" t="s">
        <v>69</v>
      </c>
      <c r="B59" s="22" t="s">
        <v>28</v>
      </c>
      <c r="C59" s="22" t="s">
        <v>35</v>
      </c>
      <c r="D59" s="22" t="s">
        <v>29</v>
      </c>
      <c r="E59" s="22" t="s">
        <v>53</v>
      </c>
      <c r="F59" s="22" t="s">
        <v>8</v>
      </c>
      <c r="G59" s="24">
        <v>291567.3</v>
      </c>
      <c r="H59" s="23"/>
      <c r="I59" s="23">
        <f>G59+H59</f>
        <v>291567.3</v>
      </c>
      <c r="J59" s="23"/>
      <c r="K59" s="23">
        <f>I59+J59</f>
        <v>291567.3</v>
      </c>
      <c r="L59" s="23">
        <v>26200</v>
      </c>
      <c r="M59" s="23"/>
      <c r="N59" s="24">
        <f t="shared" si="10"/>
        <v>26200</v>
      </c>
      <c r="O59" s="23"/>
      <c r="P59" s="24">
        <f t="shared" si="10"/>
        <v>26200</v>
      </c>
      <c r="Q59" s="23">
        <v>10000</v>
      </c>
      <c r="R59" s="23"/>
      <c r="S59" s="23">
        <v>10000</v>
      </c>
      <c r="T59" s="23">
        <v>0</v>
      </c>
      <c r="U59" s="8"/>
      <c r="V59" s="8">
        <v>0</v>
      </c>
      <c r="W59" s="8"/>
      <c r="X59" s="7">
        <f t="shared" si="11"/>
        <v>0</v>
      </c>
      <c r="Y59" s="2"/>
      <c r="Z59" s="2"/>
      <c r="AA59" s="2"/>
      <c r="AB59" s="2"/>
      <c r="AC59" s="2"/>
      <c r="AD59" s="2"/>
    </row>
    <row r="60" spans="1:30" ht="150" customHeight="1" outlineLevel="1">
      <c r="A60" s="48" t="s">
        <v>93</v>
      </c>
      <c r="B60" s="22" t="s">
        <v>30</v>
      </c>
      <c r="C60" s="22" t="s">
        <v>35</v>
      </c>
      <c r="D60" s="22" t="s">
        <v>29</v>
      </c>
      <c r="E60" s="22" t="s">
        <v>53</v>
      </c>
      <c r="F60" s="22" t="s">
        <v>8</v>
      </c>
      <c r="G60" s="24">
        <v>581588.69999999995</v>
      </c>
      <c r="H60" s="23"/>
      <c r="I60" s="23">
        <f t="shared" ref="I60:K61" si="34">G60+H60</f>
        <v>581588.69999999995</v>
      </c>
      <c r="J60" s="23"/>
      <c r="K60" s="23">
        <f t="shared" si="34"/>
        <v>581588.69999999995</v>
      </c>
      <c r="L60" s="23">
        <v>38600</v>
      </c>
      <c r="M60" s="23"/>
      <c r="N60" s="24">
        <f t="shared" si="10"/>
        <v>38600</v>
      </c>
      <c r="O60" s="23"/>
      <c r="P60" s="24">
        <f t="shared" si="10"/>
        <v>38600</v>
      </c>
      <c r="Q60" s="23">
        <v>0</v>
      </c>
      <c r="R60" s="23">
        <v>0</v>
      </c>
      <c r="S60" s="23">
        <v>0</v>
      </c>
      <c r="T60" s="23">
        <v>0</v>
      </c>
      <c r="U60" s="8">
        <v>0</v>
      </c>
      <c r="V60" s="8">
        <v>0</v>
      </c>
      <c r="W60" s="8">
        <v>0</v>
      </c>
      <c r="X60" s="7">
        <f t="shared" si="11"/>
        <v>0</v>
      </c>
      <c r="Y60" s="2"/>
      <c r="Z60" s="2"/>
      <c r="AA60" s="2"/>
      <c r="AB60" s="2"/>
      <c r="AC60" s="2"/>
      <c r="AD60" s="2"/>
    </row>
    <row r="61" spans="1:30" ht="151.5" customHeight="1" outlineLevel="1">
      <c r="A61" s="48" t="s">
        <v>94</v>
      </c>
      <c r="B61" s="26" t="s">
        <v>121</v>
      </c>
      <c r="C61" s="22" t="s">
        <v>6</v>
      </c>
      <c r="D61" s="22" t="s">
        <v>29</v>
      </c>
      <c r="E61" s="22" t="s">
        <v>52</v>
      </c>
      <c r="F61" s="22" t="s">
        <v>91</v>
      </c>
      <c r="G61" s="24">
        <v>127237.7</v>
      </c>
      <c r="H61" s="23"/>
      <c r="I61" s="23">
        <f t="shared" si="34"/>
        <v>127237.7</v>
      </c>
      <c r="J61" s="23"/>
      <c r="K61" s="23">
        <f t="shared" si="34"/>
        <v>127237.7</v>
      </c>
      <c r="L61" s="23">
        <v>0</v>
      </c>
      <c r="M61" s="23"/>
      <c r="N61" s="24">
        <f t="shared" si="10"/>
        <v>0</v>
      </c>
      <c r="O61" s="23"/>
      <c r="P61" s="24">
        <f t="shared" si="10"/>
        <v>0</v>
      </c>
      <c r="Q61" s="23">
        <v>1390</v>
      </c>
      <c r="R61" s="23"/>
      <c r="S61" s="23">
        <v>1390</v>
      </c>
      <c r="T61" s="23">
        <v>0</v>
      </c>
      <c r="U61" s="8"/>
      <c r="V61" s="8">
        <v>0</v>
      </c>
      <c r="W61" s="8"/>
      <c r="X61" s="7">
        <f t="shared" si="11"/>
        <v>0</v>
      </c>
      <c r="Y61" s="2"/>
      <c r="Z61" s="2"/>
      <c r="AA61" s="2"/>
      <c r="AB61" s="2"/>
      <c r="AC61" s="2"/>
      <c r="AD61" s="2"/>
    </row>
    <row r="62" spans="1:30" ht="234.75" hidden="1" customHeight="1" outlineLevel="1">
      <c r="A62" s="48"/>
      <c r="B62" s="22"/>
      <c r="C62" s="22"/>
      <c r="D62" s="22"/>
      <c r="E62" s="22"/>
      <c r="F62" s="22"/>
      <c r="G62" s="24"/>
      <c r="H62" s="23"/>
      <c r="I62" s="23"/>
      <c r="J62" s="24"/>
      <c r="K62" s="23"/>
      <c r="L62" s="23"/>
      <c r="M62" s="23"/>
      <c r="N62" s="24"/>
      <c r="O62" s="24"/>
      <c r="P62" s="24"/>
      <c r="Q62" s="23"/>
      <c r="R62" s="23"/>
      <c r="S62" s="23"/>
      <c r="T62" s="23"/>
      <c r="U62" s="8"/>
      <c r="V62" s="8"/>
      <c r="W62" s="8"/>
      <c r="X62" s="7"/>
      <c r="Y62" s="2"/>
      <c r="Z62" s="2"/>
      <c r="AA62" s="2"/>
      <c r="AB62" s="2"/>
      <c r="AC62" s="2"/>
      <c r="AD62" s="2"/>
    </row>
    <row r="63" spans="1:30" ht="40.5" customHeight="1">
      <c r="A63" s="57" t="s">
        <v>70</v>
      </c>
      <c r="B63" s="57"/>
      <c r="C63" s="57"/>
      <c r="D63" s="57"/>
      <c r="E63" s="29"/>
      <c r="F63" s="29"/>
      <c r="G63" s="30">
        <f>SUM(G64:G72)</f>
        <v>1994151.7999999998</v>
      </c>
      <c r="H63" s="30">
        <f>H64+H65+H66+H67+H68+H69+H70+H71+H72</f>
        <v>-18851.099999999999</v>
      </c>
      <c r="I63" s="30">
        <f>I64+I65+I66+I67+I68+I69+I70+I71+I72</f>
        <v>1960700.6999999997</v>
      </c>
      <c r="J63" s="30">
        <f t="shared" ref="J63:T63" si="35">J64+J65+J66+J67+J68+J69+J70+J71+J72</f>
        <v>-12285.099999999999</v>
      </c>
      <c r="K63" s="30">
        <f t="shared" si="35"/>
        <v>1948415.5999999999</v>
      </c>
      <c r="L63" s="30">
        <f t="shared" si="35"/>
        <v>493815.1</v>
      </c>
      <c r="M63" s="30">
        <f t="shared" si="35"/>
        <v>-47264</v>
      </c>
      <c r="N63" s="30">
        <f t="shared" si="35"/>
        <v>441751.1</v>
      </c>
      <c r="O63" s="30">
        <f t="shared" si="35"/>
        <v>-29866.5</v>
      </c>
      <c r="P63" s="30">
        <f t="shared" si="35"/>
        <v>411884.6</v>
      </c>
      <c r="Q63" s="30">
        <f t="shared" si="35"/>
        <v>324776.60000000003</v>
      </c>
      <c r="R63" s="30">
        <f t="shared" si="35"/>
        <v>18200</v>
      </c>
      <c r="S63" s="30">
        <f t="shared" si="35"/>
        <v>342976.60000000003</v>
      </c>
      <c r="T63" s="30">
        <f t="shared" si="35"/>
        <v>330578.7</v>
      </c>
      <c r="U63" s="16">
        <f>U64+U65+U66+U67+U68+U69+U70+U71+U72</f>
        <v>0</v>
      </c>
      <c r="V63" s="16">
        <v>330578.7</v>
      </c>
      <c r="W63" s="16">
        <f>W64+W65+W66+W67+W68+W69+W70+W71+W72</f>
        <v>0</v>
      </c>
      <c r="X63" s="7">
        <f t="shared" si="11"/>
        <v>330578.7</v>
      </c>
      <c r="Y63" s="2"/>
      <c r="Z63" s="2"/>
      <c r="AA63" s="2"/>
      <c r="AB63" s="2"/>
      <c r="AC63" s="2"/>
      <c r="AD63" s="2"/>
    </row>
    <row r="64" spans="1:30" ht="191.25" customHeight="1" outlineLevel="1">
      <c r="A64" s="33" t="s">
        <v>9</v>
      </c>
      <c r="B64" s="22" t="s">
        <v>84</v>
      </c>
      <c r="C64" s="22" t="s">
        <v>6</v>
      </c>
      <c r="D64" s="22" t="s">
        <v>7</v>
      </c>
      <c r="E64" s="22" t="s">
        <v>71</v>
      </c>
      <c r="F64" s="22" t="s">
        <v>8</v>
      </c>
      <c r="G64" s="24">
        <v>190401</v>
      </c>
      <c r="H64" s="24">
        <v>-33531.1</v>
      </c>
      <c r="I64" s="24">
        <f>G64+H64</f>
        <v>156869.9</v>
      </c>
      <c r="J64" s="24"/>
      <c r="K64" s="24">
        <f>I64+J64</f>
        <v>156869.9</v>
      </c>
      <c r="L64" s="24">
        <v>124458</v>
      </c>
      <c r="M64" s="24">
        <v>-33531.1</v>
      </c>
      <c r="N64" s="24">
        <f t="shared" si="10"/>
        <v>90926.9</v>
      </c>
      <c r="O64" s="24"/>
      <c r="P64" s="24">
        <f t="shared" si="10"/>
        <v>90926.9</v>
      </c>
      <c r="Q64" s="24">
        <v>0</v>
      </c>
      <c r="R64" s="24">
        <v>0</v>
      </c>
      <c r="S64" s="24">
        <v>0</v>
      </c>
      <c r="T64" s="24">
        <v>0</v>
      </c>
      <c r="U64" s="7">
        <v>0</v>
      </c>
      <c r="V64" s="7">
        <v>0</v>
      </c>
      <c r="W64" s="7">
        <v>0</v>
      </c>
      <c r="X64" s="7">
        <f t="shared" si="11"/>
        <v>0</v>
      </c>
      <c r="Y64" s="2"/>
      <c r="Z64" s="2"/>
      <c r="AA64" s="2"/>
      <c r="AB64" s="2"/>
      <c r="AC64" s="2"/>
      <c r="AD64" s="2"/>
    </row>
    <row r="65" spans="1:35" ht="151.5" customHeight="1" outlineLevel="1">
      <c r="A65" s="48" t="s">
        <v>72</v>
      </c>
      <c r="B65" s="22" t="s">
        <v>105</v>
      </c>
      <c r="C65" s="22" t="s">
        <v>24</v>
      </c>
      <c r="D65" s="22" t="s">
        <v>7</v>
      </c>
      <c r="E65" s="22" t="s">
        <v>3</v>
      </c>
      <c r="F65" s="22" t="s">
        <v>22</v>
      </c>
      <c r="G65" s="24">
        <v>919310.1</v>
      </c>
      <c r="H65" s="24"/>
      <c r="I65" s="24">
        <v>919310.1</v>
      </c>
      <c r="J65" s="24"/>
      <c r="K65" s="24">
        <v>919310.1</v>
      </c>
      <c r="L65" s="24">
        <v>1444</v>
      </c>
      <c r="M65" s="24"/>
      <c r="N65" s="24">
        <f t="shared" si="10"/>
        <v>1444</v>
      </c>
      <c r="O65" s="24"/>
      <c r="P65" s="24">
        <f t="shared" si="10"/>
        <v>1444</v>
      </c>
      <c r="Q65" s="24">
        <v>163642.5</v>
      </c>
      <c r="R65" s="24"/>
      <c r="S65" s="24">
        <v>163642.5</v>
      </c>
      <c r="T65" s="24">
        <v>174578.7</v>
      </c>
      <c r="U65" s="7"/>
      <c r="V65" s="7">
        <v>174578.7</v>
      </c>
      <c r="W65" s="7"/>
      <c r="X65" s="7">
        <f t="shared" si="11"/>
        <v>174578.7</v>
      </c>
      <c r="Y65" s="2"/>
      <c r="Z65" s="2"/>
      <c r="AA65" s="2"/>
      <c r="AB65" s="2"/>
      <c r="AC65" s="2"/>
      <c r="AD65" s="2"/>
    </row>
    <row r="66" spans="1:35" ht="142.5" customHeight="1" outlineLevel="1">
      <c r="A66" s="48" t="s">
        <v>54</v>
      </c>
      <c r="B66" s="22" t="s">
        <v>26</v>
      </c>
      <c r="C66" s="22" t="s">
        <v>36</v>
      </c>
      <c r="D66" s="22" t="s">
        <v>7</v>
      </c>
      <c r="E66" s="22" t="s">
        <v>63</v>
      </c>
      <c r="F66" s="22" t="s">
        <v>27</v>
      </c>
      <c r="G66" s="24">
        <v>480000</v>
      </c>
      <c r="H66" s="24"/>
      <c r="I66" s="24">
        <v>480000</v>
      </c>
      <c r="J66" s="24"/>
      <c r="K66" s="24">
        <v>480000</v>
      </c>
      <c r="L66" s="24">
        <v>150000</v>
      </c>
      <c r="M66" s="24"/>
      <c r="N66" s="24">
        <f t="shared" si="10"/>
        <v>150000</v>
      </c>
      <c r="O66" s="24"/>
      <c r="P66" s="24">
        <f t="shared" si="10"/>
        <v>150000</v>
      </c>
      <c r="Q66" s="24">
        <v>150000</v>
      </c>
      <c r="R66" s="24"/>
      <c r="S66" s="24">
        <v>150000</v>
      </c>
      <c r="T66" s="24">
        <v>156000</v>
      </c>
      <c r="U66" s="7"/>
      <c r="V66" s="7">
        <v>156000</v>
      </c>
      <c r="W66" s="7"/>
      <c r="X66" s="7">
        <f t="shared" si="11"/>
        <v>156000</v>
      </c>
    </row>
    <row r="67" spans="1:35" ht="235.5" customHeight="1" outlineLevel="1">
      <c r="A67" s="34" t="s">
        <v>122</v>
      </c>
      <c r="B67" s="22" t="s">
        <v>42</v>
      </c>
      <c r="C67" s="22" t="s">
        <v>101</v>
      </c>
      <c r="D67" s="22" t="s">
        <v>7</v>
      </c>
      <c r="E67" s="22" t="s">
        <v>63</v>
      </c>
      <c r="F67" s="22" t="s">
        <v>46</v>
      </c>
      <c r="G67" s="24">
        <v>30358.9</v>
      </c>
      <c r="H67" s="24"/>
      <c r="I67" s="24">
        <v>30358.9</v>
      </c>
      <c r="J67" s="24">
        <v>-4565.2</v>
      </c>
      <c r="K67" s="24">
        <f>I67+J67</f>
        <v>25793.7</v>
      </c>
      <c r="L67" s="24">
        <v>19400</v>
      </c>
      <c r="M67" s="24"/>
      <c r="N67" s="24">
        <f t="shared" si="10"/>
        <v>19400</v>
      </c>
      <c r="O67" s="24">
        <v>-16572.8</v>
      </c>
      <c r="P67" s="24">
        <f t="shared" si="10"/>
        <v>2827.2000000000007</v>
      </c>
      <c r="Q67" s="24">
        <v>9438.9</v>
      </c>
      <c r="R67" s="24">
        <v>12238</v>
      </c>
      <c r="S67" s="24">
        <f>Q67+R67</f>
        <v>21676.9</v>
      </c>
      <c r="T67" s="24">
        <v>0</v>
      </c>
      <c r="U67" s="7"/>
      <c r="V67" s="7">
        <v>0</v>
      </c>
      <c r="W67" s="7"/>
      <c r="X67" s="7">
        <f t="shared" si="11"/>
        <v>0</v>
      </c>
    </row>
    <row r="68" spans="1:35" ht="228" customHeight="1" outlineLevel="1">
      <c r="A68" s="48" t="s">
        <v>192</v>
      </c>
      <c r="B68" s="22" t="s">
        <v>42</v>
      </c>
      <c r="C68" s="22" t="s">
        <v>101</v>
      </c>
      <c r="D68" s="22" t="s">
        <v>7</v>
      </c>
      <c r="E68" s="22" t="s">
        <v>63</v>
      </c>
      <c r="F68" s="22" t="s">
        <v>46</v>
      </c>
      <c r="G68" s="24">
        <v>17155.2</v>
      </c>
      <c r="H68" s="24">
        <v>14600</v>
      </c>
      <c r="I68" s="24">
        <v>17155.2</v>
      </c>
      <c r="J68" s="24">
        <v>-7719.9</v>
      </c>
      <c r="K68" s="24">
        <f>I68+J68</f>
        <v>9435.3000000000011</v>
      </c>
      <c r="L68" s="24">
        <v>19400</v>
      </c>
      <c r="M68" s="24"/>
      <c r="N68" s="24">
        <v>14600</v>
      </c>
      <c r="O68" s="24">
        <v>-13293.7</v>
      </c>
      <c r="P68" s="24">
        <f t="shared" ref="P68" si="36">N68+O68</f>
        <v>1306.2999999999993</v>
      </c>
      <c r="Q68" s="24">
        <v>1695.2</v>
      </c>
      <c r="R68" s="24">
        <v>5962</v>
      </c>
      <c r="S68" s="24">
        <f>Q68+R68</f>
        <v>7657.2</v>
      </c>
      <c r="T68" s="24">
        <v>0</v>
      </c>
      <c r="U68" s="7"/>
      <c r="V68" s="7">
        <v>0</v>
      </c>
      <c r="W68" s="7"/>
      <c r="X68" s="7">
        <f t="shared" si="11"/>
        <v>0</v>
      </c>
    </row>
    <row r="69" spans="1:35" ht="156.6" customHeight="1" outlineLevel="1">
      <c r="A69" s="35" t="s">
        <v>123</v>
      </c>
      <c r="B69" s="26" t="s">
        <v>42</v>
      </c>
      <c r="C69" s="26" t="s">
        <v>113</v>
      </c>
      <c r="D69" s="26" t="s">
        <v>7</v>
      </c>
      <c r="E69" s="22" t="s">
        <v>3</v>
      </c>
      <c r="F69" s="26" t="s">
        <v>20</v>
      </c>
      <c r="G69" s="26">
        <v>114.4</v>
      </c>
      <c r="H69" s="24">
        <v>80</v>
      </c>
      <c r="I69" s="36">
        <f>G69+H69</f>
        <v>194.4</v>
      </c>
      <c r="J69" s="24"/>
      <c r="K69" s="36">
        <f>I69+J69</f>
        <v>194.4</v>
      </c>
      <c r="L69" s="24">
        <v>114.4</v>
      </c>
      <c r="M69" s="24">
        <v>80</v>
      </c>
      <c r="N69" s="24">
        <f t="shared" si="10"/>
        <v>194.4</v>
      </c>
      <c r="O69" s="24"/>
      <c r="P69" s="24">
        <f t="shared" si="10"/>
        <v>194.4</v>
      </c>
      <c r="Q69" s="24">
        <v>0</v>
      </c>
      <c r="R69" s="24">
        <v>0</v>
      </c>
      <c r="S69" s="24">
        <v>0</v>
      </c>
      <c r="T69" s="24">
        <v>0</v>
      </c>
      <c r="U69" s="7">
        <v>0</v>
      </c>
      <c r="V69" s="7">
        <v>0</v>
      </c>
      <c r="W69" s="7">
        <v>0</v>
      </c>
      <c r="X69" s="7">
        <f t="shared" si="11"/>
        <v>0</v>
      </c>
    </row>
    <row r="70" spans="1:35" ht="170.45" customHeight="1" outlineLevel="1">
      <c r="A70" s="37" t="s">
        <v>124</v>
      </c>
      <c r="B70" s="26" t="s">
        <v>42</v>
      </c>
      <c r="C70" s="26" t="s">
        <v>113</v>
      </c>
      <c r="D70" s="26" t="s">
        <v>7</v>
      </c>
      <c r="E70" s="22" t="s">
        <v>3</v>
      </c>
      <c r="F70" s="38" t="s">
        <v>20</v>
      </c>
      <c r="G70" s="39">
        <v>4967.3999999999996</v>
      </c>
      <c r="H70" s="39"/>
      <c r="I70" s="39">
        <v>4967.3999999999996</v>
      </c>
      <c r="J70" s="39"/>
      <c r="K70" s="39">
        <v>4967.3999999999996</v>
      </c>
      <c r="L70" s="39">
        <v>390.6</v>
      </c>
      <c r="M70" s="24"/>
      <c r="N70" s="24">
        <f t="shared" si="10"/>
        <v>390.6</v>
      </c>
      <c r="O70" s="24"/>
      <c r="P70" s="24">
        <f t="shared" si="10"/>
        <v>390.6</v>
      </c>
      <c r="Q70" s="24">
        <v>0</v>
      </c>
      <c r="R70" s="24">
        <v>0</v>
      </c>
      <c r="S70" s="24">
        <v>0</v>
      </c>
      <c r="T70" s="24">
        <v>0</v>
      </c>
      <c r="U70" s="7">
        <v>0</v>
      </c>
      <c r="V70" s="7">
        <v>0</v>
      </c>
      <c r="W70" s="7">
        <v>0</v>
      </c>
      <c r="X70" s="7">
        <f t="shared" si="11"/>
        <v>0</v>
      </c>
    </row>
    <row r="71" spans="1:35" ht="157.15" customHeight="1" outlineLevel="1">
      <c r="A71" s="48" t="s">
        <v>114</v>
      </c>
      <c r="B71" s="22" t="s">
        <v>127</v>
      </c>
      <c r="C71" s="26" t="s">
        <v>113</v>
      </c>
      <c r="D71" s="26" t="s">
        <v>7</v>
      </c>
      <c r="E71" s="22" t="s">
        <v>3</v>
      </c>
      <c r="F71" s="22" t="s">
        <v>8</v>
      </c>
      <c r="G71" s="24">
        <v>66770.5</v>
      </c>
      <c r="H71" s="24"/>
      <c r="I71" s="24">
        <v>66770.5</v>
      </c>
      <c r="J71" s="24"/>
      <c r="K71" s="24">
        <v>66770.5</v>
      </c>
      <c r="L71" s="24">
        <v>1644.1</v>
      </c>
      <c r="M71" s="24"/>
      <c r="N71" s="24">
        <f t="shared" si="10"/>
        <v>1644.1</v>
      </c>
      <c r="O71" s="24"/>
      <c r="P71" s="24">
        <f t="shared" si="10"/>
        <v>1644.1</v>
      </c>
      <c r="Q71" s="24">
        <v>0</v>
      </c>
      <c r="R71" s="24">
        <v>0</v>
      </c>
      <c r="S71" s="24">
        <v>0</v>
      </c>
      <c r="T71" s="24">
        <v>0</v>
      </c>
      <c r="U71" s="7">
        <v>0</v>
      </c>
      <c r="V71" s="7">
        <v>0</v>
      </c>
      <c r="W71" s="7">
        <v>0</v>
      </c>
      <c r="X71" s="7">
        <f t="shared" si="11"/>
        <v>0</v>
      </c>
    </row>
    <row r="72" spans="1:35" ht="152.44999999999999" customHeight="1" outlineLevel="1">
      <c r="A72" s="48" t="s">
        <v>115</v>
      </c>
      <c r="B72" s="22" t="s">
        <v>116</v>
      </c>
      <c r="C72" s="26" t="s">
        <v>113</v>
      </c>
      <c r="D72" s="26" t="s">
        <v>7</v>
      </c>
      <c r="E72" s="22" t="s">
        <v>3</v>
      </c>
      <c r="F72" s="22" t="s">
        <v>8</v>
      </c>
      <c r="G72" s="24">
        <v>285074.3</v>
      </c>
      <c r="H72" s="24"/>
      <c r="I72" s="24">
        <v>285074.3</v>
      </c>
      <c r="J72" s="24"/>
      <c r="K72" s="24">
        <v>285074.3</v>
      </c>
      <c r="L72" s="24">
        <v>176964</v>
      </c>
      <c r="M72" s="24">
        <v>-13812.9</v>
      </c>
      <c r="N72" s="24">
        <f t="shared" si="10"/>
        <v>163151.1</v>
      </c>
      <c r="O72" s="24"/>
      <c r="P72" s="24">
        <f t="shared" si="10"/>
        <v>163151.1</v>
      </c>
      <c r="Q72" s="24">
        <v>0</v>
      </c>
      <c r="R72" s="24">
        <v>0</v>
      </c>
      <c r="S72" s="24">
        <v>0</v>
      </c>
      <c r="T72" s="24">
        <v>0</v>
      </c>
      <c r="U72" s="7">
        <v>0</v>
      </c>
      <c r="V72" s="7">
        <v>0</v>
      </c>
      <c r="W72" s="7">
        <v>0</v>
      </c>
      <c r="X72" s="7">
        <f t="shared" si="11"/>
        <v>0</v>
      </c>
    </row>
    <row r="73" spans="1:35" ht="59.25" customHeight="1">
      <c r="A73" s="57" t="s">
        <v>73</v>
      </c>
      <c r="B73" s="57"/>
      <c r="C73" s="57"/>
      <c r="D73" s="57"/>
      <c r="E73" s="40"/>
      <c r="F73" s="40"/>
      <c r="G73" s="30">
        <f>G76+G75+G80</f>
        <v>279507.05</v>
      </c>
      <c r="H73" s="30">
        <f>H74+H76+H80</f>
        <v>0</v>
      </c>
      <c r="I73" s="30">
        <f>I74+I76+I80+I83</f>
        <v>408421.75</v>
      </c>
      <c r="J73" s="30">
        <f t="shared" ref="J73:T73" si="37">J74+J76+J80+J83</f>
        <v>0</v>
      </c>
      <c r="K73" s="30">
        <f t="shared" si="37"/>
        <v>408421.75</v>
      </c>
      <c r="L73" s="30">
        <f t="shared" si="37"/>
        <v>80606.900000000009</v>
      </c>
      <c r="M73" s="30">
        <f t="shared" si="37"/>
        <v>2000</v>
      </c>
      <c r="N73" s="30">
        <f t="shared" si="37"/>
        <v>82606.899999999994</v>
      </c>
      <c r="O73" s="30">
        <f t="shared" si="37"/>
        <v>0</v>
      </c>
      <c r="P73" s="30">
        <f t="shared" si="37"/>
        <v>82606.899999999994</v>
      </c>
      <c r="Q73" s="30">
        <f t="shared" si="37"/>
        <v>20000</v>
      </c>
      <c r="R73" s="30">
        <f t="shared" si="37"/>
        <v>0</v>
      </c>
      <c r="S73" s="30">
        <f t="shared" si="37"/>
        <v>20000</v>
      </c>
      <c r="T73" s="30">
        <f t="shared" si="37"/>
        <v>20000</v>
      </c>
      <c r="U73" s="16">
        <f>U74+U76+U80</f>
        <v>0</v>
      </c>
      <c r="V73" s="8">
        <f>T73+U73</f>
        <v>20000</v>
      </c>
      <c r="W73" s="16">
        <f>W74+W76+W80</f>
        <v>0</v>
      </c>
      <c r="X73" s="7">
        <f t="shared" si="11"/>
        <v>20000</v>
      </c>
    </row>
    <row r="74" spans="1:35" ht="25.5" customHeight="1">
      <c r="A74" s="57" t="s">
        <v>47</v>
      </c>
      <c r="B74" s="77"/>
      <c r="C74" s="77"/>
      <c r="D74" s="77"/>
      <c r="E74" s="40"/>
      <c r="F74" s="40"/>
      <c r="G74" s="30">
        <f t="shared" ref="G74" si="38">G75</f>
        <v>121674.15</v>
      </c>
      <c r="H74" s="30">
        <v>0</v>
      </c>
      <c r="I74" s="30">
        <f>I75</f>
        <v>121674.15</v>
      </c>
      <c r="J74" s="30">
        <v>0</v>
      </c>
      <c r="K74" s="30">
        <f>K75</f>
        <v>121674.15</v>
      </c>
      <c r="L74" s="30">
        <f>L75</f>
        <v>0</v>
      </c>
      <c r="M74" s="30">
        <f t="shared" ref="M74:O74" si="39">M75</f>
        <v>0</v>
      </c>
      <c r="N74" s="24">
        <f t="shared" si="10"/>
        <v>0</v>
      </c>
      <c r="O74" s="30">
        <f t="shared" si="39"/>
        <v>0</v>
      </c>
      <c r="P74" s="24">
        <f t="shared" si="10"/>
        <v>0</v>
      </c>
      <c r="Q74" s="30">
        <v>20000</v>
      </c>
      <c r="R74" s="30">
        <f>R75</f>
        <v>0</v>
      </c>
      <c r="S74" s="30">
        <v>20000</v>
      </c>
      <c r="T74" s="30">
        <f>T75</f>
        <v>20000</v>
      </c>
      <c r="U74" s="16">
        <f>U75</f>
        <v>0</v>
      </c>
      <c r="V74" s="8">
        <f>T74+U74</f>
        <v>20000</v>
      </c>
      <c r="W74" s="16">
        <f>W75</f>
        <v>0</v>
      </c>
      <c r="X74" s="7">
        <f t="shared" si="11"/>
        <v>20000</v>
      </c>
    </row>
    <row r="75" spans="1:35" ht="135.75" customHeight="1">
      <c r="A75" s="48" t="s">
        <v>106</v>
      </c>
      <c r="B75" s="22" t="s">
        <v>32</v>
      </c>
      <c r="C75" s="22" t="s">
        <v>35</v>
      </c>
      <c r="D75" s="22" t="s">
        <v>33</v>
      </c>
      <c r="E75" s="22" t="s">
        <v>74</v>
      </c>
      <c r="F75" s="22" t="s">
        <v>43</v>
      </c>
      <c r="G75" s="23">
        <v>121674.15</v>
      </c>
      <c r="H75" s="23">
        <v>0</v>
      </c>
      <c r="I75" s="23">
        <v>121674.15</v>
      </c>
      <c r="J75" s="23">
        <v>0</v>
      </c>
      <c r="K75" s="23">
        <v>121674.15</v>
      </c>
      <c r="L75" s="23">
        <v>0</v>
      </c>
      <c r="M75" s="23"/>
      <c r="N75" s="24">
        <f t="shared" si="10"/>
        <v>0</v>
      </c>
      <c r="O75" s="23"/>
      <c r="P75" s="24">
        <f t="shared" si="10"/>
        <v>0</v>
      </c>
      <c r="Q75" s="23">
        <v>20000</v>
      </c>
      <c r="R75" s="23"/>
      <c r="S75" s="23">
        <v>20000</v>
      </c>
      <c r="T75" s="23">
        <v>20000</v>
      </c>
      <c r="U75" s="8"/>
      <c r="V75" s="8">
        <f>T75+U75</f>
        <v>20000</v>
      </c>
      <c r="W75" s="8"/>
      <c r="X75" s="7">
        <f t="shared" si="11"/>
        <v>20000</v>
      </c>
    </row>
    <row r="76" spans="1:35" ht="54.75" customHeight="1">
      <c r="A76" s="57" t="s">
        <v>48</v>
      </c>
      <c r="B76" s="57"/>
      <c r="C76" s="57"/>
      <c r="D76" s="57"/>
      <c r="E76" s="40"/>
      <c r="F76" s="40"/>
      <c r="G76" s="30">
        <f t="shared" ref="G76" si="40">SUM(G77:G79)</f>
        <v>128786.3</v>
      </c>
      <c r="H76" s="30">
        <f>H77+H78+H79</f>
        <v>0</v>
      </c>
      <c r="I76" s="30">
        <f>I77+I78+I79</f>
        <v>128786.3</v>
      </c>
      <c r="J76" s="30">
        <f t="shared" ref="J76:T76" si="41">J77+J78+J79</f>
        <v>0</v>
      </c>
      <c r="K76" s="30">
        <f t="shared" si="41"/>
        <v>128786.3</v>
      </c>
      <c r="L76" s="30">
        <f t="shared" si="41"/>
        <v>78606.900000000009</v>
      </c>
      <c r="M76" s="30">
        <f t="shared" si="41"/>
        <v>0</v>
      </c>
      <c r="N76" s="30">
        <f t="shared" si="41"/>
        <v>78606.899999999994</v>
      </c>
      <c r="O76" s="30">
        <f t="shared" si="41"/>
        <v>0</v>
      </c>
      <c r="P76" s="30">
        <f t="shared" si="41"/>
        <v>78606.899999999994</v>
      </c>
      <c r="Q76" s="30">
        <f t="shared" si="41"/>
        <v>0</v>
      </c>
      <c r="R76" s="30">
        <f t="shared" si="41"/>
        <v>0</v>
      </c>
      <c r="S76" s="30">
        <f t="shared" si="41"/>
        <v>0</v>
      </c>
      <c r="T76" s="30">
        <f t="shared" si="41"/>
        <v>0</v>
      </c>
      <c r="U76" s="16">
        <f>U77+U78+U79</f>
        <v>0</v>
      </c>
      <c r="V76" s="16">
        <v>0</v>
      </c>
      <c r="W76" s="16">
        <f>W77+W78+W79</f>
        <v>0</v>
      </c>
      <c r="X76" s="7">
        <f t="shared" si="11"/>
        <v>0</v>
      </c>
    </row>
    <row r="77" spans="1:35" ht="153.75" customHeight="1" outlineLevel="1">
      <c r="A77" s="48" t="s">
        <v>82</v>
      </c>
      <c r="B77" s="22" t="s">
        <v>107</v>
      </c>
      <c r="C77" s="22" t="s">
        <v>23</v>
      </c>
      <c r="D77" s="22" t="s">
        <v>7</v>
      </c>
      <c r="E77" s="22" t="s">
        <v>3</v>
      </c>
      <c r="F77" s="22" t="s">
        <v>20</v>
      </c>
      <c r="G77" s="24">
        <v>66806.3</v>
      </c>
      <c r="H77" s="24"/>
      <c r="I77" s="24">
        <f>G77+H77</f>
        <v>66806.3</v>
      </c>
      <c r="J77" s="24"/>
      <c r="K77" s="24">
        <f>I77+J77</f>
        <v>66806.3</v>
      </c>
      <c r="L77" s="24">
        <v>40711</v>
      </c>
      <c r="M77" s="24"/>
      <c r="N77" s="24">
        <f>L77+M77+500.6</f>
        <v>41211.599999999999</v>
      </c>
      <c r="O77" s="24"/>
      <c r="P77" s="24">
        <f t="shared" si="10"/>
        <v>41211.599999999999</v>
      </c>
      <c r="Q77" s="25">
        <v>0</v>
      </c>
      <c r="R77" s="25">
        <v>0</v>
      </c>
      <c r="S77" s="25">
        <v>0</v>
      </c>
      <c r="T77" s="25">
        <v>0</v>
      </c>
      <c r="U77" s="17">
        <v>0</v>
      </c>
      <c r="V77" s="17">
        <v>0</v>
      </c>
      <c r="W77" s="17">
        <v>0</v>
      </c>
      <c r="X77" s="7">
        <f t="shared" si="11"/>
        <v>0</v>
      </c>
    </row>
    <row r="78" spans="1:35" ht="150.75" customHeight="1" outlineLevel="1">
      <c r="A78" s="32" t="s">
        <v>86</v>
      </c>
      <c r="B78" s="27" t="s">
        <v>108</v>
      </c>
      <c r="C78" s="22" t="s">
        <v>23</v>
      </c>
      <c r="D78" s="22" t="s">
        <v>7</v>
      </c>
      <c r="E78" s="22" t="s">
        <v>3</v>
      </c>
      <c r="F78" s="22" t="s">
        <v>20</v>
      </c>
      <c r="G78" s="41">
        <v>48104.5</v>
      </c>
      <c r="H78" s="41"/>
      <c r="I78" s="24">
        <f t="shared" ref="I78:K79" si="42">G78+H78</f>
        <v>48104.5</v>
      </c>
      <c r="J78" s="41"/>
      <c r="K78" s="24">
        <f t="shared" si="42"/>
        <v>48104.5</v>
      </c>
      <c r="L78" s="41">
        <v>27973.1</v>
      </c>
      <c r="M78" s="24"/>
      <c r="N78" s="24">
        <f>L78+M78+1306.6</f>
        <v>29279.699999999997</v>
      </c>
      <c r="O78" s="24"/>
      <c r="P78" s="24">
        <f t="shared" si="10"/>
        <v>29279.699999999997</v>
      </c>
      <c r="Q78" s="25">
        <v>0</v>
      </c>
      <c r="R78" s="25">
        <v>0</v>
      </c>
      <c r="S78" s="25">
        <v>0</v>
      </c>
      <c r="T78" s="25">
        <v>0</v>
      </c>
      <c r="U78" s="17">
        <v>0</v>
      </c>
      <c r="V78" s="17">
        <v>0</v>
      </c>
      <c r="W78" s="17">
        <v>0</v>
      </c>
      <c r="X78" s="7">
        <f t="shared" si="11"/>
        <v>0</v>
      </c>
    </row>
    <row r="79" spans="1:35" ht="159.75" customHeight="1" outlineLevel="1">
      <c r="A79" s="35" t="s">
        <v>83</v>
      </c>
      <c r="B79" s="27" t="s">
        <v>109</v>
      </c>
      <c r="C79" s="22" t="s">
        <v>23</v>
      </c>
      <c r="D79" s="22" t="s">
        <v>7</v>
      </c>
      <c r="E79" s="22" t="s">
        <v>3</v>
      </c>
      <c r="F79" s="22" t="s">
        <v>20</v>
      </c>
      <c r="G79" s="41">
        <v>13875.5</v>
      </c>
      <c r="H79" s="41"/>
      <c r="I79" s="24">
        <f t="shared" si="42"/>
        <v>13875.5</v>
      </c>
      <c r="J79" s="41"/>
      <c r="K79" s="24">
        <f t="shared" si="42"/>
        <v>13875.5</v>
      </c>
      <c r="L79" s="41">
        <v>9922.8000000000011</v>
      </c>
      <c r="M79" s="24"/>
      <c r="N79" s="24">
        <f>L79+M79-1807.2</f>
        <v>8115.6000000000013</v>
      </c>
      <c r="O79" s="24"/>
      <c r="P79" s="24">
        <f t="shared" si="10"/>
        <v>8115.6000000000013</v>
      </c>
      <c r="Q79" s="25">
        <v>0</v>
      </c>
      <c r="R79" s="25">
        <v>0</v>
      </c>
      <c r="S79" s="25">
        <v>0</v>
      </c>
      <c r="T79" s="25">
        <v>0</v>
      </c>
      <c r="U79" s="17">
        <v>0</v>
      </c>
      <c r="V79" s="17">
        <v>0</v>
      </c>
      <c r="W79" s="17">
        <v>0</v>
      </c>
      <c r="X79" s="7">
        <f t="shared" si="11"/>
        <v>0</v>
      </c>
      <c r="AE79" s="1"/>
      <c r="AF79" s="1"/>
      <c r="AG79" s="1"/>
      <c r="AH79" s="1"/>
      <c r="AI79" s="1"/>
    </row>
    <row r="80" spans="1:35" ht="21" customHeight="1">
      <c r="A80" s="57" t="s">
        <v>95</v>
      </c>
      <c r="B80" s="57"/>
      <c r="C80" s="57"/>
      <c r="D80" s="57"/>
      <c r="E80" s="57"/>
      <c r="F80" s="57"/>
      <c r="G80" s="41">
        <f t="shared" ref="G80" si="43">SUM(G81:G82)</f>
        <v>29046.6</v>
      </c>
      <c r="H80" s="41">
        <f>H81+H82</f>
        <v>0</v>
      </c>
      <c r="I80" s="41">
        <f>I81+I82</f>
        <v>29046.6</v>
      </c>
      <c r="J80" s="41">
        <f>J81+J82</f>
        <v>0</v>
      </c>
      <c r="K80" s="41">
        <f>K81+K82</f>
        <v>29046.6</v>
      </c>
      <c r="L80" s="41">
        <f>L81+L82</f>
        <v>2000</v>
      </c>
      <c r="M80" s="41">
        <f t="shared" ref="M80:O80" si="44">M81+M82</f>
        <v>0</v>
      </c>
      <c r="N80" s="24">
        <f t="shared" si="10"/>
        <v>2000</v>
      </c>
      <c r="O80" s="41">
        <f t="shared" si="44"/>
        <v>0</v>
      </c>
      <c r="P80" s="24">
        <f t="shared" si="10"/>
        <v>2000</v>
      </c>
      <c r="Q80" s="41">
        <v>0</v>
      </c>
      <c r="R80" s="41">
        <f>R81+R82</f>
        <v>0</v>
      </c>
      <c r="S80" s="41">
        <v>0</v>
      </c>
      <c r="T80" s="41">
        <v>0</v>
      </c>
      <c r="U80" s="18">
        <f>U81+U82</f>
        <v>0</v>
      </c>
      <c r="V80" s="18">
        <v>0</v>
      </c>
      <c r="W80" s="18">
        <f>W81+W82</f>
        <v>0</v>
      </c>
      <c r="X80" s="7">
        <f t="shared" si="11"/>
        <v>0</v>
      </c>
      <c r="AE80" s="1"/>
      <c r="AF80" s="1"/>
      <c r="AG80" s="1"/>
      <c r="AH80" s="1"/>
      <c r="AI80" s="1"/>
    </row>
    <row r="81" spans="1:35" ht="148.5" customHeight="1" outlineLevel="1">
      <c r="A81" s="35" t="s">
        <v>102</v>
      </c>
      <c r="B81" s="27" t="s">
        <v>110</v>
      </c>
      <c r="C81" s="22" t="s">
        <v>35</v>
      </c>
      <c r="D81" s="22" t="s">
        <v>18</v>
      </c>
      <c r="E81" s="22" t="s">
        <v>96</v>
      </c>
      <c r="F81" s="22" t="s">
        <v>20</v>
      </c>
      <c r="G81" s="41">
        <v>10900</v>
      </c>
      <c r="H81" s="41"/>
      <c r="I81" s="41">
        <f>G81+H81</f>
        <v>10900</v>
      </c>
      <c r="J81" s="41"/>
      <c r="K81" s="41">
        <f>I81+J81</f>
        <v>10900</v>
      </c>
      <c r="L81" s="41">
        <v>630</v>
      </c>
      <c r="M81" s="41"/>
      <c r="N81" s="24">
        <f t="shared" si="10"/>
        <v>630</v>
      </c>
      <c r="O81" s="41"/>
      <c r="P81" s="24">
        <f t="shared" si="10"/>
        <v>630</v>
      </c>
      <c r="Q81" s="25">
        <v>0</v>
      </c>
      <c r="R81" s="25">
        <v>0</v>
      </c>
      <c r="S81" s="25">
        <v>0</v>
      </c>
      <c r="T81" s="25">
        <v>0</v>
      </c>
      <c r="U81" s="17">
        <v>0</v>
      </c>
      <c r="V81" s="17">
        <v>0</v>
      </c>
      <c r="W81" s="17">
        <v>0</v>
      </c>
      <c r="X81" s="7">
        <f t="shared" si="11"/>
        <v>0</v>
      </c>
      <c r="AE81" s="1"/>
      <c r="AF81" s="1"/>
      <c r="AG81" s="1"/>
      <c r="AH81" s="1"/>
      <c r="AI81" s="1"/>
    </row>
    <row r="82" spans="1:35" ht="146.25" customHeight="1" outlineLevel="1">
      <c r="A82" s="35" t="s">
        <v>97</v>
      </c>
      <c r="B82" s="27" t="s">
        <v>111</v>
      </c>
      <c r="C82" s="22" t="s">
        <v>35</v>
      </c>
      <c r="D82" s="22" t="s">
        <v>18</v>
      </c>
      <c r="E82" s="22" t="s">
        <v>65</v>
      </c>
      <c r="F82" s="22" t="s">
        <v>20</v>
      </c>
      <c r="G82" s="41">
        <v>18146.599999999999</v>
      </c>
      <c r="H82" s="41"/>
      <c r="I82" s="41">
        <f>G82+H82</f>
        <v>18146.599999999999</v>
      </c>
      <c r="J82" s="41"/>
      <c r="K82" s="41">
        <f>I82+J82</f>
        <v>18146.599999999999</v>
      </c>
      <c r="L82" s="41">
        <v>1370</v>
      </c>
      <c r="M82" s="41"/>
      <c r="N82" s="24">
        <f t="shared" si="10"/>
        <v>1370</v>
      </c>
      <c r="O82" s="41"/>
      <c r="P82" s="24">
        <f t="shared" si="10"/>
        <v>1370</v>
      </c>
      <c r="Q82" s="25">
        <v>0</v>
      </c>
      <c r="R82" s="25">
        <v>0</v>
      </c>
      <c r="S82" s="25">
        <v>0</v>
      </c>
      <c r="T82" s="25">
        <v>0</v>
      </c>
      <c r="U82" s="17">
        <v>0</v>
      </c>
      <c r="V82" s="17">
        <v>0</v>
      </c>
      <c r="W82" s="17">
        <v>0</v>
      </c>
      <c r="X82" s="7">
        <f t="shared" si="11"/>
        <v>0</v>
      </c>
      <c r="AE82" s="1"/>
      <c r="AF82" s="1"/>
      <c r="AG82" s="1"/>
      <c r="AH82" s="1"/>
      <c r="AI82" s="1"/>
    </row>
    <row r="83" spans="1:35" ht="22.5" customHeight="1" outlineLevel="1">
      <c r="A83" s="70" t="s">
        <v>146</v>
      </c>
      <c r="B83" s="71"/>
      <c r="C83" s="71"/>
      <c r="D83" s="71"/>
      <c r="E83" s="71"/>
      <c r="F83" s="72"/>
      <c r="G83" s="41"/>
      <c r="H83" s="41"/>
      <c r="I83" s="41">
        <f>I84</f>
        <v>128914.7</v>
      </c>
      <c r="J83" s="41"/>
      <c r="K83" s="41">
        <f>K84</f>
        <v>128914.7</v>
      </c>
      <c r="L83" s="41">
        <f t="shared" ref="L83:T83" si="45">L84</f>
        <v>0</v>
      </c>
      <c r="M83" s="41">
        <f t="shared" si="45"/>
        <v>2000</v>
      </c>
      <c r="N83" s="24">
        <f t="shared" si="45"/>
        <v>2000</v>
      </c>
      <c r="O83" s="41">
        <f t="shared" si="45"/>
        <v>0</v>
      </c>
      <c r="P83" s="24">
        <f t="shared" si="45"/>
        <v>2000</v>
      </c>
      <c r="Q83" s="25">
        <f t="shared" si="45"/>
        <v>0</v>
      </c>
      <c r="R83" s="25">
        <f t="shared" si="45"/>
        <v>0</v>
      </c>
      <c r="S83" s="25">
        <f t="shared" si="45"/>
        <v>0</v>
      </c>
      <c r="T83" s="25">
        <f t="shared" si="45"/>
        <v>0</v>
      </c>
      <c r="U83" s="17"/>
      <c r="V83" s="17"/>
      <c r="W83" s="17">
        <f t="shared" ref="W83" si="46">W84</f>
        <v>0</v>
      </c>
      <c r="X83" s="7">
        <f t="shared" si="11"/>
        <v>0</v>
      </c>
      <c r="AE83" s="1"/>
      <c r="AF83" s="1"/>
      <c r="AG83" s="1"/>
      <c r="AH83" s="1"/>
      <c r="AI83" s="1"/>
    </row>
    <row r="84" spans="1:35" ht="138" customHeight="1" outlineLevel="1">
      <c r="A84" s="35" t="s">
        <v>147</v>
      </c>
      <c r="B84" s="27" t="s">
        <v>148</v>
      </c>
      <c r="C84" s="22" t="s">
        <v>35</v>
      </c>
      <c r="D84" s="22" t="s">
        <v>11</v>
      </c>
      <c r="E84" s="22" t="s">
        <v>65</v>
      </c>
      <c r="F84" s="22" t="s">
        <v>149</v>
      </c>
      <c r="G84" s="41"/>
      <c r="H84" s="41"/>
      <c r="I84" s="41">
        <v>128914.7</v>
      </c>
      <c r="J84" s="41"/>
      <c r="K84" s="41">
        <v>128914.7</v>
      </c>
      <c r="L84" s="41"/>
      <c r="M84" s="41">
        <v>2000</v>
      </c>
      <c r="N84" s="24">
        <v>2000</v>
      </c>
      <c r="O84" s="41"/>
      <c r="P84" s="24">
        <v>2000</v>
      </c>
      <c r="Q84" s="25">
        <v>0</v>
      </c>
      <c r="R84" s="25"/>
      <c r="S84" s="24">
        <v>0</v>
      </c>
      <c r="T84" s="25">
        <v>0</v>
      </c>
      <c r="U84" s="17"/>
      <c r="V84" s="17"/>
      <c r="W84" s="17"/>
      <c r="X84" s="7">
        <f t="shared" si="11"/>
        <v>0</v>
      </c>
      <c r="AE84" s="1"/>
      <c r="AF84" s="1"/>
      <c r="AG84" s="1"/>
      <c r="AH84" s="1"/>
      <c r="AI84" s="1"/>
    </row>
    <row r="85" spans="1:35" s="11" customFormat="1" ht="63" customHeight="1">
      <c r="A85" s="68" t="s">
        <v>75</v>
      </c>
      <c r="B85" s="69"/>
      <c r="C85" s="69"/>
      <c r="D85" s="69"/>
      <c r="E85" s="42"/>
      <c r="F85" s="42"/>
      <c r="G85" s="43">
        <f>SUM(G86:G88)</f>
        <v>515133</v>
      </c>
      <c r="H85" s="43">
        <f t="shared" ref="H85" si="47">SUM(H86:H88)</f>
        <v>0</v>
      </c>
      <c r="I85" s="43">
        <f>SUM(I86:I88)</f>
        <v>512628</v>
      </c>
      <c r="J85" s="43">
        <f t="shared" ref="J85:T85" si="48">SUM(J86:J88)</f>
        <v>450</v>
      </c>
      <c r="K85" s="43">
        <f t="shared" si="48"/>
        <v>513078</v>
      </c>
      <c r="L85" s="43">
        <f t="shared" si="48"/>
        <v>32951.299999999996</v>
      </c>
      <c r="M85" s="43">
        <f t="shared" si="48"/>
        <v>0</v>
      </c>
      <c r="N85" s="43">
        <f t="shared" si="48"/>
        <v>33493.699999999997</v>
      </c>
      <c r="O85" s="43">
        <f t="shared" si="48"/>
        <v>25214.799999999999</v>
      </c>
      <c r="P85" s="43">
        <f t="shared" si="48"/>
        <v>58708.499999999993</v>
      </c>
      <c r="Q85" s="43">
        <f t="shared" si="48"/>
        <v>69680.800000000003</v>
      </c>
      <c r="R85" s="43">
        <f t="shared" si="48"/>
        <v>0</v>
      </c>
      <c r="S85" s="43">
        <f t="shared" si="48"/>
        <v>69680.800000000003</v>
      </c>
      <c r="T85" s="43">
        <f t="shared" si="48"/>
        <v>69680.800000000003</v>
      </c>
      <c r="U85" s="19">
        <f t="shared" ref="U85:X85" si="49">SUM(U86:U88)</f>
        <v>0</v>
      </c>
      <c r="V85" s="19">
        <f t="shared" si="49"/>
        <v>69680.800000000003</v>
      </c>
      <c r="W85" s="19">
        <f t="shared" si="49"/>
        <v>0</v>
      </c>
      <c r="X85" s="19">
        <f t="shared" si="49"/>
        <v>69680.800000000003</v>
      </c>
      <c r="Y85" s="10"/>
      <c r="Z85" s="10"/>
      <c r="AA85" s="10"/>
      <c r="AB85" s="10"/>
      <c r="AC85" s="10"/>
      <c r="AD85" s="10"/>
    </row>
    <row r="86" spans="1:35" s="11" customFormat="1" ht="138.75" customHeight="1" outlineLevel="1">
      <c r="A86" s="48" t="s">
        <v>76</v>
      </c>
      <c r="B86" s="44" t="s">
        <v>44</v>
      </c>
      <c r="C86" s="22" t="s">
        <v>6</v>
      </c>
      <c r="D86" s="22" t="s">
        <v>11</v>
      </c>
      <c r="E86" s="22" t="s">
        <v>16</v>
      </c>
      <c r="F86" s="22" t="s">
        <v>178</v>
      </c>
      <c r="G86" s="41">
        <v>345409</v>
      </c>
      <c r="H86" s="41"/>
      <c r="I86" s="41">
        <f>345409-1727</f>
        <v>343682</v>
      </c>
      <c r="J86" s="41"/>
      <c r="K86" s="41">
        <f>I86+J86</f>
        <v>343682</v>
      </c>
      <c r="L86" s="41">
        <v>31668.6</v>
      </c>
      <c r="M86" s="41"/>
      <c r="N86" s="24">
        <f t="shared" si="10"/>
        <v>31668.6</v>
      </c>
      <c r="O86" s="41">
        <f>12764.8+12000</f>
        <v>24764.799999999999</v>
      </c>
      <c r="P86" s="24">
        <f t="shared" si="10"/>
        <v>56433.399999999994</v>
      </c>
      <c r="Q86" s="25">
        <v>0</v>
      </c>
      <c r="R86" s="25">
        <v>0</v>
      </c>
      <c r="S86" s="25">
        <v>0</v>
      </c>
      <c r="T86" s="25">
        <v>0</v>
      </c>
      <c r="U86" s="17">
        <v>0</v>
      </c>
      <c r="V86" s="17">
        <v>0</v>
      </c>
      <c r="W86" s="17">
        <v>0</v>
      </c>
      <c r="X86" s="7">
        <f t="shared" si="11"/>
        <v>0</v>
      </c>
      <c r="Y86" s="10"/>
      <c r="Z86" s="10"/>
      <c r="AA86" s="10"/>
      <c r="AB86" s="10"/>
      <c r="AC86" s="10"/>
      <c r="AD86" s="10"/>
    </row>
    <row r="87" spans="1:35" s="11" customFormat="1" ht="132" customHeight="1" outlineLevel="1">
      <c r="A87" s="46" t="s">
        <v>125</v>
      </c>
      <c r="B87" s="50" t="s">
        <v>42</v>
      </c>
      <c r="C87" s="22" t="s">
        <v>6</v>
      </c>
      <c r="D87" s="22" t="s">
        <v>11</v>
      </c>
      <c r="E87" s="22" t="s">
        <v>16</v>
      </c>
      <c r="F87" s="22" t="s">
        <v>179</v>
      </c>
      <c r="G87" s="25">
        <v>167029.29999999999</v>
      </c>
      <c r="H87" s="25"/>
      <c r="I87" s="25">
        <f>167029.3-835.2</f>
        <v>166194.09999999998</v>
      </c>
      <c r="J87" s="25"/>
      <c r="K87" s="25">
        <f>I87+J87</f>
        <v>166194.09999999998</v>
      </c>
      <c r="L87" s="25">
        <v>0</v>
      </c>
      <c r="M87" s="25">
        <v>0</v>
      </c>
      <c r="N87" s="24">
        <f t="shared" si="10"/>
        <v>0</v>
      </c>
      <c r="O87" s="25">
        <v>0</v>
      </c>
      <c r="P87" s="24">
        <f t="shared" si="10"/>
        <v>0</v>
      </c>
      <c r="Q87" s="41">
        <v>69680.800000000003</v>
      </c>
      <c r="R87" s="41"/>
      <c r="S87" s="41">
        <v>69680.800000000003</v>
      </c>
      <c r="T87" s="41">
        <v>69680.800000000003</v>
      </c>
      <c r="U87" s="18"/>
      <c r="V87" s="18">
        <v>69680.800000000003</v>
      </c>
      <c r="W87" s="18"/>
      <c r="X87" s="7">
        <f t="shared" si="11"/>
        <v>69680.800000000003</v>
      </c>
      <c r="Y87" s="10"/>
      <c r="Z87" s="10"/>
      <c r="AA87" s="10"/>
      <c r="AB87" s="10"/>
      <c r="AC87" s="10"/>
      <c r="AD87" s="10"/>
    </row>
    <row r="88" spans="1:35" s="11" customFormat="1" ht="348.75" customHeight="1" outlineLevel="1">
      <c r="A88" s="46" t="s">
        <v>168</v>
      </c>
      <c r="B88" s="50" t="s">
        <v>42</v>
      </c>
      <c r="C88" s="22" t="s">
        <v>6</v>
      </c>
      <c r="D88" s="22" t="s">
        <v>11</v>
      </c>
      <c r="E88" s="22" t="s">
        <v>16</v>
      </c>
      <c r="F88" s="22" t="s">
        <v>27</v>
      </c>
      <c r="G88" s="25">
        <v>2694.7</v>
      </c>
      <c r="H88" s="25"/>
      <c r="I88" s="25">
        <f>2694.7+57.2</f>
        <v>2751.8999999999996</v>
      </c>
      <c r="J88" s="25">
        <v>450</v>
      </c>
      <c r="K88" s="25">
        <f>I88+J88</f>
        <v>3201.8999999999996</v>
      </c>
      <c r="L88" s="25">
        <v>1282.7</v>
      </c>
      <c r="M88" s="25"/>
      <c r="N88" s="24">
        <f>L88+M88+542.4</f>
        <v>1825.1</v>
      </c>
      <c r="O88" s="25">
        <v>450</v>
      </c>
      <c r="P88" s="24">
        <f>N88+O88</f>
        <v>2275.1</v>
      </c>
      <c r="Q88" s="25">
        <v>0</v>
      </c>
      <c r="R88" s="25">
        <v>0</v>
      </c>
      <c r="S88" s="25">
        <v>0</v>
      </c>
      <c r="T88" s="25">
        <v>0</v>
      </c>
      <c r="U88" s="17">
        <v>0</v>
      </c>
      <c r="V88" s="17">
        <v>0</v>
      </c>
      <c r="W88" s="17">
        <v>0</v>
      </c>
      <c r="X88" s="7">
        <f t="shared" si="11"/>
        <v>0</v>
      </c>
      <c r="Y88" s="10"/>
      <c r="Z88" s="10"/>
      <c r="AA88" s="10"/>
      <c r="AB88" s="10"/>
      <c r="AC88" s="10"/>
      <c r="AD88" s="10"/>
    </row>
    <row r="89" spans="1:35" s="11" customFormat="1" ht="92.25" customHeight="1">
      <c r="A89" s="68" t="s">
        <v>77</v>
      </c>
      <c r="B89" s="69"/>
      <c r="C89" s="69"/>
      <c r="D89" s="69"/>
      <c r="E89" s="42"/>
      <c r="F89" s="42"/>
      <c r="G89" s="43">
        <f>G90+G91</f>
        <v>132363.09999999998</v>
      </c>
      <c r="H89" s="43">
        <f t="shared" ref="H89" si="50">H90+H91</f>
        <v>0</v>
      </c>
      <c r="I89" s="43">
        <f>I90+I91+I92</f>
        <v>261464.59999999998</v>
      </c>
      <c r="J89" s="43">
        <f t="shared" ref="J89:T89" si="51">J90+J91+J92</f>
        <v>0</v>
      </c>
      <c r="K89" s="43">
        <f t="shared" si="51"/>
        <v>261464.59999999998</v>
      </c>
      <c r="L89" s="43">
        <f t="shared" si="51"/>
        <v>129145.3</v>
      </c>
      <c r="M89" s="43">
        <f t="shared" si="51"/>
        <v>0</v>
      </c>
      <c r="N89" s="43">
        <f t="shared" si="51"/>
        <v>43.8</v>
      </c>
      <c r="O89" s="43">
        <f t="shared" si="51"/>
        <v>0</v>
      </c>
      <c r="P89" s="43">
        <f t="shared" si="51"/>
        <v>43.8</v>
      </c>
      <c r="Q89" s="43">
        <f t="shared" si="51"/>
        <v>62796.4</v>
      </c>
      <c r="R89" s="43">
        <f t="shared" si="51"/>
        <v>0</v>
      </c>
      <c r="S89" s="43">
        <f t="shared" si="51"/>
        <v>62796.4</v>
      </c>
      <c r="T89" s="43">
        <f t="shared" si="51"/>
        <v>75206.8</v>
      </c>
      <c r="U89" s="19">
        <f t="shared" ref="U89:X89" si="52">U90+U91+U92</f>
        <v>0</v>
      </c>
      <c r="V89" s="19">
        <f t="shared" si="52"/>
        <v>22838.2</v>
      </c>
      <c r="W89" s="19">
        <f t="shared" si="52"/>
        <v>0</v>
      </c>
      <c r="X89" s="19">
        <f t="shared" si="52"/>
        <v>75206.8</v>
      </c>
      <c r="Y89" s="10"/>
      <c r="Z89" s="10"/>
      <c r="AA89" s="10"/>
      <c r="AB89" s="10"/>
      <c r="AC89" s="10"/>
      <c r="AD89" s="10"/>
    </row>
    <row r="90" spans="1:35" s="11" customFormat="1" ht="135" customHeight="1" outlineLevel="1">
      <c r="A90" s="48" t="s">
        <v>100</v>
      </c>
      <c r="B90" s="22" t="s">
        <v>50</v>
      </c>
      <c r="C90" s="22" t="s">
        <v>35</v>
      </c>
      <c r="D90" s="22" t="s">
        <v>33</v>
      </c>
      <c r="E90" s="22" t="s">
        <v>78</v>
      </c>
      <c r="F90" s="22" t="s">
        <v>43</v>
      </c>
      <c r="G90" s="25">
        <v>63797.7</v>
      </c>
      <c r="H90" s="25"/>
      <c r="I90" s="25">
        <v>63797.7</v>
      </c>
      <c r="J90" s="25"/>
      <c r="K90" s="25">
        <v>63797.7</v>
      </c>
      <c r="L90" s="25">
        <v>0</v>
      </c>
      <c r="M90" s="25"/>
      <c r="N90" s="24">
        <f t="shared" si="10"/>
        <v>0</v>
      </c>
      <c r="O90" s="25"/>
      <c r="P90" s="24">
        <f t="shared" si="10"/>
        <v>0</v>
      </c>
      <c r="Q90" s="25">
        <f>15295-5000</f>
        <v>10295</v>
      </c>
      <c r="R90" s="25"/>
      <c r="S90" s="25">
        <f>Q90+R90</f>
        <v>10295</v>
      </c>
      <c r="T90" s="25">
        <v>22838.2</v>
      </c>
      <c r="U90" s="17"/>
      <c r="V90" s="17">
        <v>22838.2</v>
      </c>
      <c r="W90" s="17"/>
      <c r="X90" s="7">
        <f t="shared" si="11"/>
        <v>22838.2</v>
      </c>
      <c r="Y90" s="10"/>
      <c r="Z90" s="10"/>
      <c r="AA90" s="10"/>
      <c r="AB90" s="10"/>
      <c r="AC90" s="10"/>
      <c r="AD90" s="10"/>
    </row>
    <row r="91" spans="1:35" s="11" customFormat="1" ht="162.75" customHeight="1" outlineLevel="1">
      <c r="A91" s="48" t="s">
        <v>117</v>
      </c>
      <c r="B91" s="22" t="s">
        <v>118</v>
      </c>
      <c r="C91" s="22" t="s">
        <v>23</v>
      </c>
      <c r="D91" s="22" t="s">
        <v>33</v>
      </c>
      <c r="E91" s="22" t="s">
        <v>16</v>
      </c>
      <c r="F91" s="22" t="s">
        <v>119</v>
      </c>
      <c r="G91" s="25">
        <v>68565.399999999994</v>
      </c>
      <c r="H91" s="25"/>
      <c r="I91" s="25">
        <v>68565.399999999994</v>
      </c>
      <c r="J91" s="25"/>
      <c r="K91" s="25">
        <v>68565.399999999994</v>
      </c>
      <c r="L91" s="25">
        <v>43.8</v>
      </c>
      <c r="M91" s="25"/>
      <c r="N91" s="24">
        <f t="shared" si="10"/>
        <v>43.8</v>
      </c>
      <c r="O91" s="25"/>
      <c r="P91" s="24">
        <f t="shared" si="10"/>
        <v>43.8</v>
      </c>
      <c r="Q91" s="25">
        <v>0</v>
      </c>
      <c r="R91" s="25">
        <v>0</v>
      </c>
      <c r="S91" s="25">
        <v>0</v>
      </c>
      <c r="T91" s="25">
        <v>0</v>
      </c>
      <c r="U91" s="17">
        <v>0</v>
      </c>
      <c r="V91" s="17">
        <v>0</v>
      </c>
      <c r="W91" s="17">
        <v>0</v>
      </c>
      <c r="X91" s="7">
        <f t="shared" si="11"/>
        <v>0</v>
      </c>
      <c r="Y91" s="10"/>
      <c r="Z91" s="10"/>
      <c r="AA91" s="10"/>
      <c r="AB91" s="10"/>
      <c r="AC91" s="10"/>
      <c r="AD91" s="10"/>
    </row>
    <row r="92" spans="1:35" s="11" customFormat="1" ht="164.25" customHeight="1" outlineLevel="1">
      <c r="A92" s="48" t="s">
        <v>167</v>
      </c>
      <c r="B92" s="22" t="s">
        <v>159</v>
      </c>
      <c r="C92" s="22" t="s">
        <v>35</v>
      </c>
      <c r="D92" s="22" t="s">
        <v>33</v>
      </c>
      <c r="E92" s="22" t="s">
        <v>160</v>
      </c>
      <c r="F92" s="22" t="s">
        <v>31</v>
      </c>
      <c r="G92" s="25">
        <v>0</v>
      </c>
      <c r="H92" s="25">
        <v>129101.46</v>
      </c>
      <c r="I92" s="25">
        <v>129101.5</v>
      </c>
      <c r="J92" s="25"/>
      <c r="K92" s="25">
        <f>I92+J92</f>
        <v>129101.5</v>
      </c>
      <c r="L92" s="24">
        <f t="shared" ref="L92" si="53">J92+K92</f>
        <v>129101.5</v>
      </c>
      <c r="M92" s="25">
        <v>0</v>
      </c>
      <c r="N92" s="25"/>
      <c r="O92" s="25"/>
      <c r="P92" s="25">
        <f>N92+O92</f>
        <v>0</v>
      </c>
      <c r="Q92" s="25">
        <v>52501.4</v>
      </c>
      <c r="R92" s="25"/>
      <c r="S92" s="25">
        <f>Q92+R92</f>
        <v>52501.4</v>
      </c>
      <c r="T92" s="25">
        <v>52368.6</v>
      </c>
      <c r="U92" s="17"/>
      <c r="V92" s="17"/>
      <c r="W92" s="17"/>
      <c r="X92" s="7">
        <f>T92+W92</f>
        <v>52368.6</v>
      </c>
      <c r="Y92" s="10"/>
      <c r="Z92" s="10"/>
      <c r="AA92" s="10"/>
      <c r="AB92" s="10"/>
      <c r="AC92" s="10"/>
      <c r="AD92" s="10"/>
    </row>
    <row r="93" spans="1:35" s="11" customFormat="1" ht="52.5" customHeight="1">
      <c r="A93" s="68" t="s">
        <v>112</v>
      </c>
      <c r="B93" s="69"/>
      <c r="C93" s="69"/>
      <c r="D93" s="69"/>
      <c r="E93" s="42"/>
      <c r="F93" s="42"/>
      <c r="G93" s="43">
        <f t="shared" ref="G93" si="54">G94</f>
        <v>82464.67</v>
      </c>
      <c r="H93" s="43">
        <f>H94</f>
        <v>0</v>
      </c>
      <c r="I93" s="43">
        <f>I94+I95</f>
        <v>82464.67</v>
      </c>
      <c r="J93" s="43">
        <f t="shared" ref="J93:T93" si="55">J94+J95</f>
        <v>19660</v>
      </c>
      <c r="K93" s="43">
        <f t="shared" si="55"/>
        <v>102124.67</v>
      </c>
      <c r="L93" s="43">
        <f t="shared" si="55"/>
        <v>0</v>
      </c>
      <c r="M93" s="43">
        <f t="shared" si="55"/>
        <v>0</v>
      </c>
      <c r="N93" s="43">
        <f t="shared" si="55"/>
        <v>0</v>
      </c>
      <c r="O93" s="43">
        <f t="shared" si="55"/>
        <v>2960</v>
      </c>
      <c r="P93" s="43">
        <f t="shared" si="55"/>
        <v>2960</v>
      </c>
      <c r="Q93" s="43">
        <f t="shared" si="55"/>
        <v>33810.5</v>
      </c>
      <c r="R93" s="43">
        <f t="shared" si="55"/>
        <v>0</v>
      </c>
      <c r="S93" s="43">
        <f t="shared" si="55"/>
        <v>33810.5</v>
      </c>
      <c r="T93" s="43">
        <f t="shared" si="55"/>
        <v>33810.5</v>
      </c>
      <c r="U93" s="19">
        <f>U94</f>
        <v>0</v>
      </c>
      <c r="V93" s="19">
        <v>33810.5</v>
      </c>
      <c r="W93" s="19">
        <f>W94</f>
        <v>0</v>
      </c>
      <c r="X93" s="7">
        <f t="shared" si="11"/>
        <v>33810.5</v>
      </c>
      <c r="Y93" s="10"/>
      <c r="Z93" s="10"/>
      <c r="AA93" s="10"/>
      <c r="AB93" s="10"/>
      <c r="AC93" s="10"/>
      <c r="AD93" s="10"/>
    </row>
    <row r="94" spans="1:35" s="11" customFormat="1" ht="155.25" customHeight="1">
      <c r="A94" s="46" t="s">
        <v>103</v>
      </c>
      <c r="B94" s="28" t="s">
        <v>80</v>
      </c>
      <c r="C94" s="22" t="s">
        <v>35</v>
      </c>
      <c r="D94" s="22" t="s">
        <v>18</v>
      </c>
      <c r="E94" s="22" t="s">
        <v>63</v>
      </c>
      <c r="F94" s="22" t="s">
        <v>43</v>
      </c>
      <c r="G94" s="25">
        <v>82464.67</v>
      </c>
      <c r="H94" s="25"/>
      <c r="I94" s="25">
        <v>82464.67</v>
      </c>
      <c r="J94" s="25"/>
      <c r="K94" s="25">
        <v>82464.67</v>
      </c>
      <c r="L94" s="25">
        <v>0</v>
      </c>
      <c r="M94" s="25"/>
      <c r="N94" s="24">
        <v>0</v>
      </c>
      <c r="O94" s="25"/>
      <c r="P94" s="24">
        <v>0</v>
      </c>
      <c r="Q94" s="25">
        <v>33810.5</v>
      </c>
      <c r="R94" s="25"/>
      <c r="S94" s="25">
        <v>33810.5</v>
      </c>
      <c r="T94" s="25">
        <v>33810.5</v>
      </c>
      <c r="U94" s="17"/>
      <c r="V94" s="17">
        <v>33810.5</v>
      </c>
      <c r="W94" s="17"/>
      <c r="X94" s="7">
        <f t="shared" si="11"/>
        <v>33810.5</v>
      </c>
      <c r="Y94" s="10"/>
      <c r="Z94" s="10"/>
      <c r="AA94" s="10"/>
      <c r="AB94" s="10"/>
      <c r="AC94" s="10"/>
      <c r="AD94" s="10"/>
    </row>
    <row r="95" spans="1:35" s="11" customFormat="1" ht="203.25" customHeight="1">
      <c r="A95" s="46" t="s">
        <v>190</v>
      </c>
      <c r="B95" s="28" t="s">
        <v>191</v>
      </c>
      <c r="C95" s="22" t="s">
        <v>35</v>
      </c>
      <c r="D95" s="22" t="s">
        <v>18</v>
      </c>
      <c r="E95" s="22" t="s">
        <v>188</v>
      </c>
      <c r="F95" s="22" t="s">
        <v>189</v>
      </c>
      <c r="G95" s="25"/>
      <c r="H95" s="25"/>
      <c r="I95" s="25"/>
      <c r="J95" s="25">
        <v>19660</v>
      </c>
      <c r="K95" s="25">
        <f>I95+J95</f>
        <v>19660</v>
      </c>
      <c r="L95" s="25"/>
      <c r="M95" s="25"/>
      <c r="N95" s="24"/>
      <c r="O95" s="25">
        <v>2960</v>
      </c>
      <c r="P95" s="24">
        <f>N95+O95</f>
        <v>2960</v>
      </c>
      <c r="Q95" s="25"/>
      <c r="R95" s="25"/>
      <c r="S95" s="24">
        <v>0</v>
      </c>
      <c r="T95" s="24">
        <v>0</v>
      </c>
      <c r="U95" s="20"/>
      <c r="V95" s="20"/>
      <c r="W95" s="17"/>
      <c r="X95" s="7"/>
      <c r="Y95" s="10"/>
      <c r="Z95" s="10"/>
      <c r="AA95" s="10"/>
      <c r="AB95" s="10"/>
      <c r="AC95" s="10"/>
      <c r="AD95" s="10"/>
    </row>
    <row r="96" spans="1:35" s="11" customFormat="1" ht="64.5" customHeight="1">
      <c r="A96" s="68" t="s">
        <v>171</v>
      </c>
      <c r="B96" s="69"/>
      <c r="C96" s="69"/>
      <c r="D96" s="69"/>
      <c r="E96" s="22"/>
      <c r="F96" s="22"/>
      <c r="G96" s="25">
        <f>G97</f>
        <v>0</v>
      </c>
      <c r="H96" s="25">
        <f t="shared" ref="H96:T96" si="56">H97</f>
        <v>6700</v>
      </c>
      <c r="I96" s="25">
        <f t="shared" si="56"/>
        <v>6700</v>
      </c>
      <c r="J96" s="25">
        <f t="shared" si="56"/>
        <v>0</v>
      </c>
      <c r="K96" s="25">
        <f t="shared" si="56"/>
        <v>6700</v>
      </c>
      <c r="L96" s="25">
        <f t="shared" si="56"/>
        <v>0</v>
      </c>
      <c r="M96" s="25">
        <f t="shared" si="56"/>
        <v>6700</v>
      </c>
      <c r="N96" s="25">
        <f t="shared" si="56"/>
        <v>6700</v>
      </c>
      <c r="O96" s="25">
        <f t="shared" si="56"/>
        <v>0</v>
      </c>
      <c r="P96" s="25">
        <f t="shared" si="56"/>
        <v>6700</v>
      </c>
      <c r="Q96" s="25">
        <f t="shared" si="56"/>
        <v>0</v>
      </c>
      <c r="R96" s="25">
        <f t="shared" si="56"/>
        <v>0</v>
      </c>
      <c r="S96" s="25">
        <f t="shared" si="56"/>
        <v>0</v>
      </c>
      <c r="T96" s="25">
        <f t="shared" si="56"/>
        <v>0</v>
      </c>
      <c r="U96" s="20"/>
      <c r="V96" s="20"/>
      <c r="W96" s="17">
        <f t="shared" ref="W96" si="57">W97</f>
        <v>0</v>
      </c>
      <c r="X96" s="7">
        <f t="shared" si="11"/>
        <v>0</v>
      </c>
      <c r="Y96" s="10"/>
      <c r="Z96" s="10"/>
      <c r="AA96" s="10"/>
      <c r="AB96" s="10"/>
      <c r="AC96" s="10"/>
      <c r="AD96" s="10"/>
    </row>
    <row r="97" spans="1:30" s="11" customFormat="1" ht="166.5" customHeight="1">
      <c r="A97" s="46" t="s">
        <v>169</v>
      </c>
      <c r="B97" s="28" t="s">
        <v>144</v>
      </c>
      <c r="C97" s="22" t="s">
        <v>23</v>
      </c>
      <c r="D97" s="22" t="s">
        <v>33</v>
      </c>
      <c r="E97" s="22" t="s">
        <v>16</v>
      </c>
      <c r="F97" s="22" t="s">
        <v>145</v>
      </c>
      <c r="G97" s="25"/>
      <c r="H97" s="25">
        <v>6700</v>
      </c>
      <c r="I97" s="25">
        <f>H97</f>
        <v>6700</v>
      </c>
      <c r="J97" s="25"/>
      <c r="K97" s="25">
        <f>I97+J97</f>
        <v>6700</v>
      </c>
      <c r="L97" s="25"/>
      <c r="M97" s="25">
        <v>6700</v>
      </c>
      <c r="N97" s="24">
        <f>M97</f>
        <v>6700</v>
      </c>
      <c r="O97" s="25"/>
      <c r="P97" s="24">
        <f>N97+O97</f>
        <v>6700</v>
      </c>
      <c r="Q97" s="25"/>
      <c r="R97" s="25"/>
      <c r="S97" s="24">
        <v>0</v>
      </c>
      <c r="T97" s="24">
        <v>0</v>
      </c>
      <c r="U97" s="20"/>
      <c r="V97" s="20"/>
      <c r="W97" s="17"/>
      <c r="X97" s="7">
        <f t="shared" si="11"/>
        <v>0</v>
      </c>
      <c r="Y97" s="10"/>
      <c r="Z97" s="10"/>
      <c r="AA97" s="10"/>
      <c r="AB97" s="10"/>
      <c r="AC97" s="10"/>
      <c r="AD97" s="10"/>
    </row>
    <row r="98" spans="1:30" s="11" customFormat="1" ht="56.25" customHeight="1">
      <c r="A98" s="66" t="s">
        <v>200</v>
      </c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21"/>
      <c r="V98" s="10"/>
      <c r="W98" s="10"/>
      <c r="X98" s="10"/>
      <c r="Y98" s="10"/>
      <c r="Z98" s="10"/>
      <c r="AA98" s="10"/>
      <c r="AB98" s="10"/>
      <c r="AC98" s="10"/>
      <c r="AD98" s="10"/>
    </row>
    <row r="99" spans="1:30" s="11" customFormat="1" ht="17.25" customHeight="1">
      <c r="A99" s="45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12"/>
      <c r="V99" s="10"/>
      <c r="W99" s="10"/>
      <c r="X99" s="10"/>
      <c r="Y99" s="10"/>
      <c r="Z99" s="10"/>
      <c r="AA99" s="10"/>
      <c r="AB99" s="10"/>
      <c r="AC99" s="10"/>
      <c r="AD99" s="10"/>
    </row>
    <row r="100" spans="1:30" s="11" customFormat="1" ht="15.75">
      <c r="A100" s="45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12"/>
      <c r="V100" s="10"/>
      <c r="W100" s="10"/>
      <c r="X100" s="10"/>
      <c r="Y100" s="10"/>
      <c r="Z100" s="10"/>
      <c r="AA100" s="10"/>
      <c r="AB100" s="10"/>
      <c r="AC100" s="10"/>
      <c r="AD100" s="10"/>
    </row>
    <row r="101" spans="1:30" s="11" customFormat="1" ht="15.75">
      <c r="A101" s="45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12"/>
      <c r="V101" s="10"/>
      <c r="W101" s="10"/>
      <c r="X101" s="10"/>
      <c r="Y101" s="10"/>
      <c r="Z101" s="10"/>
      <c r="AA101" s="10"/>
      <c r="AB101" s="10"/>
      <c r="AC101" s="10"/>
      <c r="AD101" s="10"/>
    </row>
    <row r="102" spans="1:30" s="11" customFormat="1" ht="15.75">
      <c r="A102" s="45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12"/>
      <c r="V102" s="10"/>
      <c r="W102" s="10"/>
      <c r="X102" s="10"/>
      <c r="Y102" s="10"/>
      <c r="Z102" s="10"/>
      <c r="AA102" s="10"/>
      <c r="AB102" s="10"/>
      <c r="AC102" s="10"/>
      <c r="AD102" s="10"/>
    </row>
    <row r="103" spans="1:30" s="11" customFormat="1" ht="36.75" customHeight="1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</row>
    <row r="104" spans="1:30" s="11" customFormat="1" ht="30" customHeight="1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</row>
    <row r="105" spans="1:30" s="11" customFormat="1" ht="15.7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0"/>
      <c r="W105" s="10"/>
      <c r="X105" s="10"/>
      <c r="Y105" s="10"/>
      <c r="Z105" s="10"/>
      <c r="AA105" s="10"/>
      <c r="AB105" s="10"/>
      <c r="AC105" s="10"/>
      <c r="AD105" s="10"/>
    </row>
    <row r="106" spans="1:30" s="11" customFormat="1" ht="16.5" customHeight="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0"/>
      <c r="W106" s="10"/>
      <c r="X106" s="10"/>
      <c r="Y106" s="10"/>
      <c r="Z106" s="10"/>
      <c r="AA106" s="10"/>
      <c r="AB106" s="10"/>
      <c r="AC106" s="10"/>
      <c r="AD106" s="10"/>
    </row>
    <row r="107" spans="1:30" s="11" customFormat="1" ht="15.7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0"/>
      <c r="W107" s="10"/>
      <c r="X107" s="10"/>
      <c r="Y107" s="10"/>
      <c r="Z107" s="10"/>
      <c r="AA107" s="10"/>
      <c r="AB107" s="10"/>
      <c r="AC107" s="10"/>
      <c r="AD107" s="10"/>
    </row>
    <row r="108" spans="1:30" s="11" customFormat="1" ht="15.7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0"/>
      <c r="W108" s="10"/>
      <c r="X108" s="10"/>
      <c r="Y108" s="10"/>
      <c r="Z108" s="10"/>
      <c r="AA108" s="10"/>
      <c r="AB108" s="10"/>
      <c r="AC108" s="10"/>
      <c r="AD108" s="10"/>
    </row>
    <row r="109" spans="1:30" s="11" customFormat="1" ht="15.7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0"/>
      <c r="W109" s="10"/>
      <c r="X109" s="10"/>
      <c r="Y109" s="10"/>
      <c r="Z109" s="10"/>
      <c r="AA109" s="10"/>
      <c r="AB109" s="10"/>
      <c r="AC109" s="10"/>
      <c r="AD109" s="10"/>
    </row>
    <row r="110" spans="1:30" ht="15.7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13"/>
      <c r="R110" s="13"/>
      <c r="S110" s="13"/>
      <c r="T110" s="9"/>
      <c r="U110" s="9"/>
    </row>
    <row r="111" spans="1:30" ht="15.7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2"/>
      <c r="W111" s="2"/>
      <c r="X111" s="2"/>
      <c r="Y111" s="2"/>
      <c r="Z111" s="2"/>
      <c r="AA111" s="2"/>
      <c r="AB111" s="2"/>
      <c r="AC111" s="2"/>
      <c r="AD111" s="2"/>
    </row>
    <row r="112" spans="1:30" ht="15.7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2"/>
      <c r="W112" s="2"/>
      <c r="X112" s="2"/>
      <c r="Y112" s="2"/>
      <c r="Z112" s="2"/>
      <c r="AA112" s="2"/>
      <c r="AB112" s="2"/>
      <c r="AC112" s="2"/>
      <c r="AD112" s="2"/>
    </row>
  </sheetData>
  <mergeCells count="51">
    <mergeCell ref="A20:V20"/>
    <mergeCell ref="A85:D85"/>
    <mergeCell ref="E22:E23"/>
    <mergeCell ref="A25:D25"/>
    <mergeCell ref="A48:D48"/>
    <mergeCell ref="B22:B23"/>
    <mergeCell ref="C22:C23"/>
    <mergeCell ref="A74:D74"/>
    <mergeCell ref="A22:A23"/>
    <mergeCell ref="A26:D26"/>
    <mergeCell ref="A27:D27"/>
    <mergeCell ref="A80:F80"/>
    <mergeCell ref="A55:D55"/>
    <mergeCell ref="A63:D63"/>
    <mergeCell ref="A44:D44"/>
    <mergeCell ref="A73:D73"/>
    <mergeCell ref="A76:D76"/>
    <mergeCell ref="A98:T98"/>
    <mergeCell ref="A104:T104"/>
    <mergeCell ref="A89:D89"/>
    <mergeCell ref="A93:D93"/>
    <mergeCell ref="A103:T103"/>
    <mergeCell ref="A96:D96"/>
    <mergeCell ref="A83:F83"/>
    <mergeCell ref="A58:D58"/>
    <mergeCell ref="A53:D53"/>
    <mergeCell ref="A38:D38"/>
    <mergeCell ref="A37:D37"/>
    <mergeCell ref="Q22:Q23"/>
    <mergeCell ref="G22:G23"/>
    <mergeCell ref="A33:D33"/>
    <mergeCell ref="J22:J23"/>
    <mergeCell ref="K22:K23"/>
    <mergeCell ref="O22:O23"/>
    <mergeCell ref="P22:P23"/>
    <mergeCell ref="A35:D35"/>
    <mergeCell ref="A21:T21"/>
    <mergeCell ref="H22:H23"/>
    <mergeCell ref="F22:F23"/>
    <mergeCell ref="D22:D23"/>
    <mergeCell ref="T22:T23"/>
    <mergeCell ref="R22:R23"/>
    <mergeCell ref="S22:S23"/>
    <mergeCell ref="L22:L23"/>
    <mergeCell ref="W22:W23"/>
    <mergeCell ref="X22:X23"/>
    <mergeCell ref="U22:U23"/>
    <mergeCell ref="V22:V23"/>
    <mergeCell ref="I22:I23"/>
    <mergeCell ref="M22:M23"/>
    <mergeCell ref="N22:N23"/>
  </mergeCells>
  <phoneticPr fontId="5" type="noConversion"/>
  <printOptions horizontalCentered="1"/>
  <pageMargins left="0.39370078740157483" right="0.39370078740157483" top="0.78740157480314965" bottom="0.59055118110236227" header="0.31496062992125984" footer="0.31496062992125984"/>
  <pageSetup paperSize="9" scale="75" fitToHeight="25" orientation="landscape" horizontalDpi="4294967295" verticalDpi="4294967295" r:id="rId1"/>
  <headerFooter>
    <oddFooter>&amp;C&amp;P</oddFooter>
  </headerFooter>
  <rowBreaks count="3" manualBreakCount="3">
    <brk id="32" max="16383" man="1"/>
    <brk id="47" max="16383" man="1"/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Долгопольский Александр Олегович</dc:creator>
  <cp:lastModifiedBy>minfin user</cp:lastModifiedBy>
  <cp:lastPrinted>2017-10-27T21:00:17Z</cp:lastPrinted>
  <dcterms:created xsi:type="dcterms:W3CDTF">2014-05-08T06:25:05Z</dcterms:created>
  <dcterms:modified xsi:type="dcterms:W3CDTF">2017-10-27T21:12:23Z</dcterms:modified>
</cp:coreProperties>
</file>