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510" windowWidth="11340" windowHeight="6375"/>
  </bookViews>
  <sheets>
    <sheet name="2018" sheetId="1" r:id="rId1"/>
    <sheet name="2019" sheetId="2" r:id="rId2"/>
    <sheet name="2020" sheetId="4" r:id="rId3"/>
  </sheets>
  <definedNames>
    <definedName name="_xlnm._FilterDatabase" localSheetId="0" hidden="1">'2018'!$A$8:$Y$233</definedName>
    <definedName name="_xlnm.Print_Titles" localSheetId="0">'2018'!$9:$10</definedName>
    <definedName name="_xlnm.Print_Titles" localSheetId="1">'2019'!$6:$7</definedName>
    <definedName name="_xlnm.Print_Titles" localSheetId="2">'2020'!$6:$7</definedName>
  </definedNames>
  <calcPr calcId="125725"/>
</workbook>
</file>

<file path=xl/calcChain.xml><?xml version="1.0" encoding="utf-8"?>
<calcChain xmlns="http://schemas.openxmlformats.org/spreadsheetml/2006/main">
  <c r="Q14" i="4"/>
  <c r="Q24"/>
  <c r="Q32"/>
  <c r="Q41"/>
  <c r="Q52"/>
  <c r="Q55"/>
  <c r="Q69"/>
  <c r="Q73"/>
  <c r="Q81"/>
  <c r="Q83"/>
  <c r="Q86"/>
  <c r="Q89"/>
  <c r="Q91"/>
  <c r="Q97"/>
  <c r="Q109"/>
  <c r="Q127"/>
  <c r="Q150"/>
  <c r="Q155"/>
  <c r="Q169"/>
  <c r="Q187"/>
  <c r="Q195"/>
  <c r="Q202"/>
  <c r="Q226"/>
  <c r="P14"/>
  <c r="P24"/>
  <c r="P32"/>
  <c r="P41"/>
  <c r="P52"/>
  <c r="P55"/>
  <c r="P69"/>
  <c r="P73"/>
  <c r="P81"/>
  <c r="P83"/>
  <c r="P86"/>
  <c r="P89"/>
  <c r="P91"/>
  <c r="P97"/>
  <c r="P109"/>
  <c r="P127"/>
  <c r="P150"/>
  <c r="P155"/>
  <c r="P169"/>
  <c r="P187"/>
  <c r="P195"/>
  <c r="P202"/>
  <c r="P226"/>
  <c r="O14"/>
  <c r="O24"/>
  <c r="O32"/>
  <c r="O41"/>
  <c r="O52"/>
  <c r="O55"/>
  <c r="O69"/>
  <c r="O73"/>
  <c r="O81"/>
  <c r="O83"/>
  <c r="O86"/>
  <c r="O89"/>
  <c r="O91"/>
  <c r="O97"/>
  <c r="O109"/>
  <c r="O127"/>
  <c r="O150"/>
  <c r="O155"/>
  <c r="O169"/>
  <c r="O187"/>
  <c r="O195"/>
  <c r="O202"/>
  <c r="O226"/>
  <c r="N14"/>
  <c r="N24"/>
  <c r="N32"/>
  <c r="N41"/>
  <c r="N52"/>
  <c r="N55"/>
  <c r="N69"/>
  <c r="N73"/>
  <c r="N81"/>
  <c r="N83"/>
  <c r="N86"/>
  <c r="N89"/>
  <c r="N91"/>
  <c r="N97"/>
  <c r="N109"/>
  <c r="N127"/>
  <c r="N150"/>
  <c r="N155"/>
  <c r="N169"/>
  <c r="N187"/>
  <c r="N195"/>
  <c r="N202"/>
  <c r="N226"/>
  <c r="Q14" i="2"/>
  <c r="Q24"/>
  <c r="Q32"/>
  <c r="Q41"/>
  <c r="Q52"/>
  <c r="Q55"/>
  <c r="Q69"/>
  <c r="Q73"/>
  <c r="Q81"/>
  <c r="Q83"/>
  <c r="Q86"/>
  <c r="Q89"/>
  <c r="Q91"/>
  <c r="Q97"/>
  <c r="Q109"/>
  <c r="Q127"/>
  <c r="Q150"/>
  <c r="Q155"/>
  <c r="Q169"/>
  <c r="Q187"/>
  <c r="Q195"/>
  <c r="Q202"/>
  <c r="Q226"/>
  <c r="P14"/>
  <c r="P24"/>
  <c r="P32"/>
  <c r="P41"/>
  <c r="P52"/>
  <c r="P55"/>
  <c r="P69"/>
  <c r="P73"/>
  <c r="P81"/>
  <c r="P83"/>
  <c r="P86"/>
  <c r="P89"/>
  <c r="P91"/>
  <c r="P97"/>
  <c r="P109"/>
  <c r="P127"/>
  <c r="P150"/>
  <c r="P155"/>
  <c r="P169"/>
  <c r="P187"/>
  <c r="P195"/>
  <c r="P202"/>
  <c r="P226"/>
  <c r="O14"/>
  <c r="O24"/>
  <c r="O32"/>
  <c r="O41"/>
  <c r="O52"/>
  <c r="O55"/>
  <c r="O69"/>
  <c r="O73"/>
  <c r="O81"/>
  <c r="O83"/>
  <c r="O86"/>
  <c r="O89"/>
  <c r="O91"/>
  <c r="O97"/>
  <c r="O109"/>
  <c r="O127"/>
  <c r="O150"/>
  <c r="O155"/>
  <c r="O169"/>
  <c r="O187"/>
  <c r="O195"/>
  <c r="O202"/>
  <c r="O226"/>
  <c r="N14"/>
  <c r="N24"/>
  <c r="R24" s="1"/>
  <c r="N32"/>
  <c r="N41"/>
  <c r="N52"/>
  <c r="N55"/>
  <c r="N69"/>
  <c r="N73"/>
  <c r="R73" s="1"/>
  <c r="N81"/>
  <c r="N83"/>
  <c r="R83" s="1"/>
  <c r="N86"/>
  <c r="N89"/>
  <c r="R89" s="1"/>
  <c r="N91"/>
  <c r="N97"/>
  <c r="N109"/>
  <c r="N127"/>
  <c r="R127" s="1"/>
  <c r="N150"/>
  <c r="N155"/>
  <c r="R155" s="1"/>
  <c r="N169"/>
  <c r="R169" s="1"/>
  <c r="N187"/>
  <c r="R187" s="1"/>
  <c r="N195"/>
  <c r="N202"/>
  <c r="N226"/>
  <c r="R86" l="1"/>
  <c r="R32"/>
  <c r="R41"/>
  <c r="R195"/>
  <c r="R91"/>
  <c r="R52"/>
  <c r="R202"/>
  <c r="R97"/>
  <c r="R55"/>
  <c r="R226"/>
  <c r="R109"/>
  <c r="R69"/>
  <c r="R150"/>
  <c r="R81"/>
  <c r="R14"/>
  <c r="T230" i="1"/>
  <c r="S230"/>
  <c r="R230"/>
  <c r="Q230"/>
  <c r="T17"/>
  <c r="T27"/>
  <c r="T28"/>
  <c r="T29"/>
  <c r="T30"/>
  <c r="T31"/>
  <c r="T32"/>
  <c r="T33"/>
  <c r="T34"/>
  <c r="T35"/>
  <c r="T37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70"/>
  <c r="T72"/>
  <c r="T76"/>
  <c r="T77"/>
  <c r="T78"/>
  <c r="T80"/>
  <c r="T81"/>
  <c r="T82"/>
  <c r="T83"/>
  <c r="T84"/>
  <c r="T86"/>
  <c r="T89"/>
  <c r="T90"/>
  <c r="T91"/>
  <c r="T92"/>
  <c r="T93"/>
  <c r="T94"/>
  <c r="T95"/>
  <c r="T96"/>
  <c r="T98"/>
  <c r="T99"/>
  <c r="T100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41"/>
  <c r="T148"/>
  <c r="T153"/>
  <c r="T154"/>
  <c r="T155"/>
  <c r="T157"/>
  <c r="T158"/>
  <c r="T159"/>
  <c r="T160"/>
  <c r="T161"/>
  <c r="T162"/>
  <c r="T164"/>
  <c r="T165"/>
  <c r="T166"/>
  <c r="T167"/>
  <c r="T169"/>
  <c r="T170"/>
  <c r="T171"/>
  <c r="T172"/>
  <c r="T173"/>
  <c r="T174"/>
  <c r="T175"/>
  <c r="T176"/>
  <c r="T178"/>
  <c r="T179"/>
  <c r="T181"/>
  <c r="T183"/>
  <c r="T184"/>
  <c r="T185"/>
  <c r="T186"/>
  <c r="T187"/>
  <c r="T188"/>
  <c r="T189"/>
  <c r="T190"/>
  <c r="T191"/>
  <c r="T194"/>
  <c r="T195"/>
  <c r="T196"/>
  <c r="T197"/>
  <c r="T198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12"/>
  <c r="S17"/>
  <c r="S27"/>
  <c r="S28"/>
  <c r="S29"/>
  <c r="S30"/>
  <c r="S31"/>
  <c r="S32"/>
  <c r="S33"/>
  <c r="S34"/>
  <c r="S35"/>
  <c r="S37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70"/>
  <c r="S72"/>
  <c r="S76"/>
  <c r="S77"/>
  <c r="S78"/>
  <c r="S80"/>
  <c r="S81"/>
  <c r="S82"/>
  <c r="S83"/>
  <c r="S84"/>
  <c r="S86"/>
  <c r="S89"/>
  <c r="S90"/>
  <c r="S91"/>
  <c r="S92"/>
  <c r="S93"/>
  <c r="S94"/>
  <c r="S95"/>
  <c r="S96"/>
  <c r="S98"/>
  <c r="S99"/>
  <c r="S100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41"/>
  <c r="S148"/>
  <c r="S153"/>
  <c r="S154"/>
  <c r="S155"/>
  <c r="S157"/>
  <c r="S158"/>
  <c r="S159"/>
  <c r="S160"/>
  <c r="S161"/>
  <c r="S162"/>
  <c r="S164"/>
  <c r="S165"/>
  <c r="S166"/>
  <c r="S167"/>
  <c r="S169"/>
  <c r="S170"/>
  <c r="S171"/>
  <c r="S172"/>
  <c r="S173"/>
  <c r="S174"/>
  <c r="S175"/>
  <c r="S176"/>
  <c r="S178"/>
  <c r="S179"/>
  <c r="S181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12"/>
  <c r="R17"/>
  <c r="R27"/>
  <c r="R35"/>
  <c r="R43"/>
  <c r="R44"/>
  <c r="R45"/>
  <c r="R53"/>
  <c r="R55"/>
  <c r="R56"/>
  <c r="R58"/>
  <c r="R61"/>
  <c r="R69"/>
  <c r="R70"/>
  <c r="R71"/>
  <c r="R72"/>
  <c r="R74"/>
  <c r="R76"/>
  <c r="R83"/>
  <c r="R84"/>
  <c r="R86"/>
  <c r="R88"/>
  <c r="R89"/>
  <c r="R91"/>
  <c r="R92"/>
  <c r="R93"/>
  <c r="R94"/>
  <c r="R99"/>
  <c r="R100"/>
  <c r="R108"/>
  <c r="R109"/>
  <c r="R112"/>
  <c r="R116"/>
  <c r="R117"/>
  <c r="R125"/>
  <c r="R126"/>
  <c r="R127"/>
  <c r="R128"/>
  <c r="R130"/>
  <c r="R151"/>
  <c r="R153"/>
  <c r="R157"/>
  <c r="R158"/>
  <c r="R170"/>
  <c r="R172"/>
  <c r="R188"/>
  <c r="R189"/>
  <c r="R190"/>
  <c r="R198"/>
  <c r="R205"/>
  <c r="R227"/>
  <c r="R228"/>
  <c r="R229"/>
  <c r="Q13"/>
  <c r="Q14"/>
  <c r="Q15"/>
  <c r="Q16"/>
  <c r="Q17"/>
  <c r="Q18"/>
  <c r="Q19"/>
  <c r="Q20"/>
  <c r="Q21"/>
  <c r="Q22"/>
  <c r="Q23"/>
  <c r="Q24"/>
  <c r="Q25"/>
  <c r="Q26"/>
  <c r="Q27"/>
  <c r="Q30"/>
  <c r="Q31"/>
  <c r="Q32"/>
  <c r="Q33"/>
  <c r="Q34"/>
  <c r="Q35"/>
  <c r="Q36"/>
  <c r="Q37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R14" i="4" l="1"/>
  <c r="R24"/>
  <c r="R32"/>
  <c r="R41"/>
  <c r="R52"/>
  <c r="R69"/>
  <c r="R73"/>
  <c r="R81"/>
  <c r="R83"/>
  <c r="R89"/>
  <c r="R91"/>
  <c r="R97"/>
  <c r="R109"/>
  <c r="R127"/>
  <c r="R150"/>
  <c r="R155"/>
  <c r="R169"/>
  <c r="R187"/>
  <c r="R195"/>
  <c r="R202"/>
  <c r="R226"/>
  <c r="I14" i="2"/>
  <c r="I24"/>
  <c r="I32"/>
  <c r="I35"/>
  <c r="I40"/>
  <c r="I41"/>
  <c r="I42"/>
  <c r="I50"/>
  <c r="I52"/>
  <c r="I53"/>
  <c r="I55"/>
  <c r="I58"/>
  <c r="I66"/>
  <c r="I67"/>
  <c r="I68"/>
  <c r="I69"/>
  <c r="I71"/>
  <c r="I73"/>
  <c r="I80"/>
  <c r="I81"/>
  <c r="I83"/>
  <c r="I85"/>
  <c r="I86"/>
  <c r="I88"/>
  <c r="I89"/>
  <c r="I90"/>
  <c r="I91"/>
  <c r="I96"/>
  <c r="I97"/>
  <c r="I105"/>
  <c r="I106"/>
  <c r="I109"/>
  <c r="I113"/>
  <c r="I114"/>
  <c r="I122"/>
  <c r="I123"/>
  <c r="I124"/>
  <c r="I125"/>
  <c r="I127"/>
  <c r="I148"/>
  <c r="I150"/>
  <c r="I154"/>
  <c r="I155"/>
  <c r="I167"/>
  <c r="I169"/>
  <c r="I185"/>
  <c r="I186"/>
  <c r="I187"/>
  <c r="I195"/>
  <c r="I202"/>
  <c r="I224"/>
  <c r="I225"/>
  <c r="I226"/>
  <c r="I227"/>
  <c r="U17" i="1"/>
  <c r="U27"/>
  <c r="U35"/>
  <c r="U43"/>
  <c r="U44"/>
  <c r="U45"/>
  <c r="U53"/>
  <c r="U55"/>
  <c r="U56"/>
  <c r="U58"/>
  <c r="U70"/>
  <c r="U72"/>
  <c r="U76"/>
  <c r="U83"/>
  <c r="U84"/>
  <c r="U86"/>
  <c r="U89"/>
  <c r="U91"/>
  <c r="U92"/>
  <c r="U93"/>
  <c r="U94"/>
  <c r="U99"/>
  <c r="U100"/>
  <c r="U112"/>
  <c r="U116"/>
  <c r="U117"/>
  <c r="U125"/>
  <c r="U126"/>
  <c r="U127"/>
  <c r="U128"/>
  <c r="U130"/>
  <c r="U153"/>
  <c r="U157"/>
  <c r="U158"/>
  <c r="U170"/>
  <c r="U172"/>
  <c r="U188"/>
  <c r="U189"/>
  <c r="U190"/>
  <c r="U198"/>
  <c r="U205"/>
  <c r="U227"/>
  <c r="U228"/>
  <c r="U229"/>
  <c r="U230"/>
  <c r="R86" i="4" l="1"/>
  <c r="R55"/>
  <c r="J67" i="2"/>
  <c r="L67"/>
  <c r="M67" s="1"/>
  <c r="L67" i="4" s="1"/>
  <c r="M67" s="1"/>
  <c r="J80" i="2"/>
  <c r="L80"/>
  <c r="M80" s="1"/>
  <c r="L80" i="4" s="1"/>
  <c r="M80" s="1"/>
  <c r="N80" i="2" l="1"/>
  <c r="O80"/>
  <c r="O67"/>
  <c r="N67"/>
  <c r="K80"/>
  <c r="K67"/>
  <c r="I80" i="4"/>
  <c r="I67"/>
  <c r="I83" i="1"/>
  <c r="Q80" i="2" l="1"/>
  <c r="P80"/>
  <c r="Q67"/>
  <c r="P67"/>
  <c r="J80" i="4"/>
  <c r="J67"/>
  <c r="I70" i="1"/>
  <c r="R80" i="2" l="1"/>
  <c r="R67"/>
  <c r="O67" i="4"/>
  <c r="N67"/>
  <c r="O80"/>
  <c r="N80"/>
  <c r="K67"/>
  <c r="K80"/>
  <c r="L71" i="1"/>
  <c r="N163"/>
  <c r="N79"/>
  <c r="N60"/>
  <c r="N74"/>
  <c r="N73"/>
  <c r="N36"/>
  <c r="T74" l="1"/>
  <c r="S74"/>
  <c r="U74" s="1"/>
  <c r="S163"/>
  <c r="T163"/>
  <c r="S36"/>
  <c r="T36"/>
  <c r="S79"/>
  <c r="T79"/>
  <c r="Q67" i="4"/>
  <c r="P67"/>
  <c r="Q80"/>
  <c r="P80"/>
  <c r="F206"/>
  <c r="F206" i="2"/>
  <c r="I206" s="1"/>
  <c r="F208"/>
  <c r="I208" s="1"/>
  <c r="J160" i="1"/>
  <c r="J161"/>
  <c r="J162"/>
  <c r="J163"/>
  <c r="J164"/>
  <c r="J165"/>
  <c r="J167"/>
  <c r="J168"/>
  <c r="J169"/>
  <c r="J170"/>
  <c r="J171"/>
  <c r="J159"/>
  <c r="J78"/>
  <c r="J79"/>
  <c r="J80"/>
  <c r="J81"/>
  <c r="J82"/>
  <c r="J77"/>
  <c r="J74"/>
  <c r="J73"/>
  <c r="J66"/>
  <c r="J67"/>
  <c r="J68"/>
  <c r="J65"/>
  <c r="J60"/>
  <c r="J61"/>
  <c r="J59"/>
  <c r="J36"/>
  <c r="J37"/>
  <c r="J38"/>
  <c r="J39"/>
  <c r="J40"/>
  <c r="J41"/>
  <c r="J42"/>
  <c r="J43"/>
  <c r="R67" i="4" l="1"/>
  <c r="R80"/>
  <c r="I224"/>
  <c r="I225"/>
  <c r="I185" l="1"/>
  <c r="I186"/>
  <c r="I188" i="1"/>
  <c r="I122" i="4"/>
  <c r="I123"/>
  <c r="I124"/>
  <c r="I125"/>
  <c r="I128" i="1"/>
  <c r="I127"/>
  <c r="I126"/>
  <c r="I125"/>
  <c r="I105" i="4"/>
  <c r="I106"/>
  <c r="I109" i="1"/>
  <c r="I108"/>
  <c r="I71" i="4"/>
  <c r="I68"/>
  <c r="I58"/>
  <c r="I40" l="1"/>
  <c r="I228" i="1"/>
  <c r="I227"/>
  <c r="J111" l="1"/>
  <c r="J110"/>
  <c r="L194" l="1"/>
  <c r="L195"/>
  <c r="L196"/>
  <c r="L197"/>
  <c r="L191"/>
  <c r="K193"/>
  <c r="L193" s="1"/>
  <c r="K192"/>
  <c r="L192" s="1"/>
  <c r="L122"/>
  <c r="L123"/>
  <c r="L124"/>
  <c r="L119"/>
  <c r="L120"/>
  <c r="L121"/>
  <c r="K115"/>
  <c r="K114"/>
  <c r="L114" s="1"/>
  <c r="L113"/>
  <c r="L118"/>
  <c r="K117"/>
  <c r="L117" s="1"/>
  <c r="K116"/>
  <c r="L116" s="1"/>
  <c r="L115"/>
  <c r="L201"/>
  <c r="L202"/>
  <c r="L203"/>
  <c r="K200"/>
  <c r="L200" s="1"/>
  <c r="K199"/>
  <c r="L199" s="1"/>
  <c r="J224" i="2"/>
  <c r="L224"/>
  <c r="M224" s="1"/>
  <c r="L224" i="4" s="1"/>
  <c r="M224" s="1"/>
  <c r="J225" i="2"/>
  <c r="L225"/>
  <c r="M225" s="1"/>
  <c r="L225" i="4" s="1"/>
  <c r="M225" s="1"/>
  <c r="L207" i="1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06"/>
  <c r="L155"/>
  <c r="L156"/>
  <c r="L154"/>
  <c r="L99"/>
  <c r="L96"/>
  <c r="L97"/>
  <c r="L95"/>
  <c r="L90"/>
  <c r="L46"/>
  <c r="L47"/>
  <c r="L48"/>
  <c r="L49"/>
  <c r="L50"/>
  <c r="L51"/>
  <c r="L52"/>
  <c r="L45"/>
  <c r="K29"/>
  <c r="L29" s="1"/>
  <c r="K28"/>
  <c r="O225" i="2" l="1"/>
  <c r="N225"/>
  <c r="O224"/>
  <c r="N224"/>
  <c r="K225"/>
  <c r="K224"/>
  <c r="L28" i="1"/>
  <c r="J72" i="2"/>
  <c r="L71"/>
  <c r="M71" s="1"/>
  <c r="L71" i="4" s="1"/>
  <c r="M71" s="1"/>
  <c r="J71" i="2"/>
  <c r="J68"/>
  <c r="J66"/>
  <c r="J65"/>
  <c r="J64"/>
  <c r="J63"/>
  <c r="J62"/>
  <c r="J61"/>
  <c r="J60"/>
  <c r="J59"/>
  <c r="J58"/>
  <c r="J56"/>
  <c r="L31"/>
  <c r="M31" s="1"/>
  <c r="J31"/>
  <c r="L30"/>
  <c r="M30" s="1"/>
  <c r="J30"/>
  <c r="L29"/>
  <c r="M29" s="1"/>
  <c r="J29"/>
  <c r="L28"/>
  <c r="M28" s="1"/>
  <c r="J28"/>
  <c r="L27"/>
  <c r="M27" s="1"/>
  <c r="J27"/>
  <c r="L26"/>
  <c r="M26" s="1"/>
  <c r="J26"/>
  <c r="L25"/>
  <c r="M25" s="1"/>
  <c r="J25"/>
  <c r="L40"/>
  <c r="M40" s="1"/>
  <c r="L40" i="4" s="1"/>
  <c r="M40" s="1"/>
  <c r="J40" i="2"/>
  <c r="L39"/>
  <c r="M39" s="1"/>
  <c r="L39" i="4" s="1"/>
  <c r="M39" s="1"/>
  <c r="J39" i="2"/>
  <c r="L38"/>
  <c r="M38" s="1"/>
  <c r="L38" i="4" s="1"/>
  <c r="M38" s="1"/>
  <c r="J38" i="2"/>
  <c r="L37"/>
  <c r="M37" s="1"/>
  <c r="L37" i="4" s="1"/>
  <c r="M37" s="1"/>
  <c r="J37" i="2"/>
  <c r="L36"/>
  <c r="M36" s="1"/>
  <c r="L36" i="4" s="1"/>
  <c r="M36" s="1"/>
  <c r="L35" i="2"/>
  <c r="M35" s="1"/>
  <c r="L35" i="4" s="1"/>
  <c r="M35" s="1"/>
  <c r="J35" i="2"/>
  <c r="L34"/>
  <c r="M34" s="1"/>
  <c r="L34" i="4" s="1"/>
  <c r="M34" s="1"/>
  <c r="J34" i="2"/>
  <c r="L33"/>
  <c r="M33" s="1"/>
  <c r="L33" i="4" s="1"/>
  <c r="M33" s="1"/>
  <c r="J33" i="2"/>
  <c r="N33" l="1"/>
  <c r="N34"/>
  <c r="O35"/>
  <c r="N35"/>
  <c r="O71"/>
  <c r="N71"/>
  <c r="Q224"/>
  <c r="P224"/>
  <c r="R224" s="1"/>
  <c r="N37"/>
  <c r="N38"/>
  <c r="N39"/>
  <c r="O40"/>
  <c r="N40"/>
  <c r="N27"/>
  <c r="N28"/>
  <c r="N29"/>
  <c r="N30"/>
  <c r="N31"/>
  <c r="Q225"/>
  <c r="P225"/>
  <c r="J224" i="4"/>
  <c r="J225"/>
  <c r="K72" i="2"/>
  <c r="K71"/>
  <c r="K59"/>
  <c r="K61"/>
  <c r="K63"/>
  <c r="K65"/>
  <c r="K68"/>
  <c r="K33"/>
  <c r="J33" i="4" s="1"/>
  <c r="K37" i="2"/>
  <c r="K25"/>
  <c r="K29"/>
  <c r="K56"/>
  <c r="K58"/>
  <c r="K60"/>
  <c r="K62"/>
  <c r="K64"/>
  <c r="K66"/>
  <c r="K35"/>
  <c r="K39"/>
  <c r="K27"/>
  <c r="K31"/>
  <c r="K26"/>
  <c r="K28"/>
  <c r="K30"/>
  <c r="K34"/>
  <c r="K38"/>
  <c r="K40"/>
  <c r="L185"/>
  <c r="M185" s="1"/>
  <c r="L185" i="4" s="1"/>
  <c r="M185" s="1"/>
  <c r="J185" i="2"/>
  <c r="J106"/>
  <c r="J105"/>
  <c r="L125"/>
  <c r="M125" s="1"/>
  <c r="L125" i="4" s="1"/>
  <c r="M125" s="1"/>
  <c r="J125" i="2"/>
  <c r="L124"/>
  <c r="M124" s="1"/>
  <c r="L124" i="4" s="1"/>
  <c r="M124" s="1"/>
  <c r="J124" i="2"/>
  <c r="L123"/>
  <c r="M123" s="1"/>
  <c r="L123" i="4" s="1"/>
  <c r="M123" s="1"/>
  <c r="J123" i="2"/>
  <c r="L122"/>
  <c r="M122" s="1"/>
  <c r="L122" i="4" s="1"/>
  <c r="M122" s="1"/>
  <c r="J122" i="2"/>
  <c r="R225" l="1"/>
  <c r="N33" i="4"/>
  <c r="N224"/>
  <c r="O224"/>
  <c r="O225"/>
  <c r="N225"/>
  <c r="Q38" i="2"/>
  <c r="P38"/>
  <c r="Q30"/>
  <c r="P30"/>
  <c r="Q26"/>
  <c r="P26"/>
  <c r="Q31"/>
  <c r="P31"/>
  <c r="Q39"/>
  <c r="P39"/>
  <c r="Q29"/>
  <c r="P29"/>
  <c r="Q37"/>
  <c r="P37"/>
  <c r="O122"/>
  <c r="N122"/>
  <c r="O123"/>
  <c r="N123"/>
  <c r="O124"/>
  <c r="N124"/>
  <c r="O125"/>
  <c r="N125"/>
  <c r="O185"/>
  <c r="N185"/>
  <c r="Q40"/>
  <c r="P40"/>
  <c r="Q34"/>
  <c r="P34"/>
  <c r="Q28"/>
  <c r="P28"/>
  <c r="Q27"/>
  <c r="P27"/>
  <c r="Q35"/>
  <c r="P35"/>
  <c r="Q25"/>
  <c r="P25"/>
  <c r="Q33"/>
  <c r="P33"/>
  <c r="Q71"/>
  <c r="P71"/>
  <c r="J71" i="4"/>
  <c r="J72"/>
  <c r="K225"/>
  <c r="K224"/>
  <c r="J38"/>
  <c r="J40"/>
  <c r="K40" s="1"/>
  <c r="J34"/>
  <c r="J68"/>
  <c r="J37"/>
  <c r="J58"/>
  <c r="J39"/>
  <c r="K33"/>
  <c r="J35"/>
  <c r="K122" i="2"/>
  <c r="K185"/>
  <c r="K106"/>
  <c r="K105"/>
  <c r="K124"/>
  <c r="K123"/>
  <c r="K125"/>
  <c r="R71" l="1"/>
  <c r="R35"/>
  <c r="R40"/>
  <c r="Q40" i="4"/>
  <c r="P40"/>
  <c r="Q33"/>
  <c r="P33"/>
  <c r="N39"/>
  <c r="N37"/>
  <c r="N34"/>
  <c r="N38"/>
  <c r="Q225"/>
  <c r="P225"/>
  <c r="O71"/>
  <c r="N71"/>
  <c r="O35"/>
  <c r="N35"/>
  <c r="O40"/>
  <c r="N40"/>
  <c r="Q224"/>
  <c r="P224"/>
  <c r="Q125" i="2"/>
  <c r="P125"/>
  <c r="Q124"/>
  <c r="P124"/>
  <c r="Q122"/>
  <c r="P122"/>
  <c r="Q123"/>
  <c r="P123"/>
  <c r="Q185"/>
  <c r="P185"/>
  <c r="K71" i="4"/>
  <c r="K34"/>
  <c r="J123"/>
  <c r="K72"/>
  <c r="J125"/>
  <c r="J105"/>
  <c r="J106"/>
  <c r="K38"/>
  <c r="K37"/>
  <c r="J124"/>
  <c r="J185"/>
  <c r="J122"/>
  <c r="K68"/>
  <c r="K58"/>
  <c r="K35"/>
  <c r="K39"/>
  <c r="P13" i="1"/>
  <c r="T13" l="1"/>
  <c r="S13"/>
  <c r="R225" i="4"/>
  <c r="R123" i="2"/>
  <c r="R124"/>
  <c r="R185"/>
  <c r="R122"/>
  <c r="R125"/>
  <c r="Q39" i="4"/>
  <c r="P39"/>
  <c r="O122"/>
  <c r="N122"/>
  <c r="N124"/>
  <c r="O124"/>
  <c r="Q38"/>
  <c r="P38"/>
  <c r="Q34"/>
  <c r="P34"/>
  <c r="Q35"/>
  <c r="P35"/>
  <c r="O185"/>
  <c r="N185"/>
  <c r="Q37"/>
  <c r="P37"/>
  <c r="O125"/>
  <c r="N125"/>
  <c r="O123"/>
  <c r="N123"/>
  <c r="Q71"/>
  <c r="P71"/>
  <c r="R224"/>
  <c r="R40"/>
  <c r="K105"/>
  <c r="K106"/>
  <c r="K125"/>
  <c r="K123"/>
  <c r="K185"/>
  <c r="K122"/>
  <c r="K124"/>
  <c r="J34" i="1"/>
  <c r="J33"/>
  <c r="J32"/>
  <c r="J31"/>
  <c r="J30"/>
  <c r="J188"/>
  <c r="J187"/>
  <c r="J186"/>
  <c r="J185"/>
  <c r="J184"/>
  <c r="J183"/>
  <c r="J182"/>
  <c r="J181"/>
  <c r="J180"/>
  <c r="J179"/>
  <c r="J178"/>
  <c r="J177"/>
  <c r="J176"/>
  <c r="J175"/>
  <c r="J174"/>
  <c r="J173"/>
  <c r="J14"/>
  <c r="J13"/>
  <c r="J150"/>
  <c r="J149"/>
  <c r="J148"/>
  <c r="J147"/>
  <c r="J142"/>
  <c r="J141"/>
  <c r="J140"/>
  <c r="J139"/>
  <c r="J136"/>
  <c r="J135"/>
  <c r="J134"/>
  <c r="J133"/>
  <c r="J132"/>
  <c r="J131"/>
  <c r="J127"/>
  <c r="J126"/>
  <c r="J125"/>
  <c r="P71"/>
  <c r="P69"/>
  <c r="J69"/>
  <c r="I69"/>
  <c r="P61"/>
  <c r="F42"/>
  <c r="I74"/>
  <c r="I61"/>
  <c r="J230"/>
  <c r="J204"/>
  <c r="J189"/>
  <c r="J157"/>
  <c r="L152"/>
  <c r="K152"/>
  <c r="J151"/>
  <c r="J128"/>
  <c r="J129"/>
  <c r="P109"/>
  <c r="P108"/>
  <c r="J109"/>
  <c r="J108"/>
  <c r="J98"/>
  <c r="J93"/>
  <c r="J91"/>
  <c r="J88"/>
  <c r="J15"/>
  <c r="J56"/>
  <c r="J54"/>
  <c r="J53"/>
  <c r="L57"/>
  <c r="K57"/>
  <c r="I71"/>
  <c r="N156"/>
  <c r="P97"/>
  <c r="L88" i="2"/>
  <c r="M88" s="1"/>
  <c r="L88" i="4" s="1"/>
  <c r="M88" s="1"/>
  <c r="P147" i="1"/>
  <c r="P132"/>
  <c r="N177"/>
  <c r="N182"/>
  <c r="N180"/>
  <c r="N168"/>
  <c r="J70" i="2"/>
  <c r="J57"/>
  <c r="J36"/>
  <c r="G38" i="1"/>
  <c r="S38" s="1"/>
  <c r="F38"/>
  <c r="R38" s="1"/>
  <c r="E38"/>
  <c r="Q38" s="1"/>
  <c r="L25" i="4"/>
  <c r="M25" s="1"/>
  <c r="L29"/>
  <c r="L42" i="2"/>
  <c r="L43"/>
  <c r="M43" s="1"/>
  <c r="L43" i="4" s="1"/>
  <c r="L44" i="2"/>
  <c r="M44" s="1"/>
  <c r="L44" i="4" s="1"/>
  <c r="L45" i="2"/>
  <c r="M45" s="1"/>
  <c r="L45" i="4" s="1"/>
  <c r="M45" s="1"/>
  <c r="L46" i="2"/>
  <c r="L47"/>
  <c r="M47" s="1"/>
  <c r="L47" i="4" s="1"/>
  <c r="M47" s="1"/>
  <c r="L48" i="2"/>
  <c r="L49"/>
  <c r="M49" s="1"/>
  <c r="L49" i="4" s="1"/>
  <c r="M49" s="1"/>
  <c r="L50" i="2"/>
  <c r="M50" s="1"/>
  <c r="L51"/>
  <c r="M51" s="1"/>
  <c r="L51" i="4" s="1"/>
  <c r="M51" s="1"/>
  <c r="L53" i="2"/>
  <c r="L54"/>
  <c r="M54" s="1"/>
  <c r="L54" i="4" s="1"/>
  <c r="M54" s="1"/>
  <c r="L74" i="2"/>
  <c r="M74" s="1"/>
  <c r="L75"/>
  <c r="M75" s="1"/>
  <c r="L75" i="4" s="1"/>
  <c r="M75" s="1"/>
  <c r="L76" i="2"/>
  <c r="M76" s="1"/>
  <c r="L76" i="4" s="1"/>
  <c r="M76" s="1"/>
  <c r="L77" i="2"/>
  <c r="M77" s="1"/>
  <c r="L77" i="4" s="1"/>
  <c r="M77" s="1"/>
  <c r="L78" i="2"/>
  <c r="M78" s="1"/>
  <c r="L78" i="4" s="1"/>
  <c r="M78" s="1"/>
  <c r="L79" i="2"/>
  <c r="L87"/>
  <c r="M87" s="1"/>
  <c r="L87" i="4" s="1"/>
  <c r="L90" i="2"/>
  <c r="L92"/>
  <c r="L93"/>
  <c r="M93" s="1"/>
  <c r="L95"/>
  <c r="L96"/>
  <c r="M96" s="1"/>
  <c r="L96" i="4" s="1"/>
  <c r="M96" s="1"/>
  <c r="L110" i="2"/>
  <c r="M110" s="1"/>
  <c r="L110" i="4" s="1"/>
  <c r="M110" s="1"/>
  <c r="L111" i="2"/>
  <c r="M111" s="1"/>
  <c r="L111" i="4" s="1"/>
  <c r="M111" s="1"/>
  <c r="L112" i="2"/>
  <c r="M112" s="1"/>
  <c r="L112" i="4" s="1"/>
  <c r="M112" s="1"/>
  <c r="L113" i="2"/>
  <c r="M113" s="1"/>
  <c r="L113" i="4" s="1"/>
  <c r="M113" s="1"/>
  <c r="L114" i="2"/>
  <c r="M114" s="1"/>
  <c r="L114" i="4" s="1"/>
  <c r="M114" s="1"/>
  <c r="L115" i="2"/>
  <c r="M115" s="1"/>
  <c r="L115" i="4" s="1"/>
  <c r="M115" s="1"/>
  <c r="L116" i="2"/>
  <c r="M116" s="1"/>
  <c r="L116" i="4" s="1"/>
  <c r="M116" s="1"/>
  <c r="L117" i="2"/>
  <c r="M117" s="1"/>
  <c r="L117" i="4" s="1"/>
  <c r="M117" s="1"/>
  <c r="L118" i="2"/>
  <c r="M118" s="1"/>
  <c r="L118" i="4" s="1"/>
  <c r="M118" s="1"/>
  <c r="L119" i="2"/>
  <c r="M119" s="1"/>
  <c r="L119" i="4" s="1"/>
  <c r="M119" s="1"/>
  <c r="L120" i="2"/>
  <c r="M120" s="1"/>
  <c r="L120" i="4" s="1"/>
  <c r="M120" s="1"/>
  <c r="L121" i="2"/>
  <c r="M121" s="1"/>
  <c r="L121" i="4" s="1"/>
  <c r="M121" s="1"/>
  <c r="L126" i="2"/>
  <c r="M126" s="1"/>
  <c r="L126" i="4" s="1"/>
  <c r="M126" s="1"/>
  <c r="L152" i="2"/>
  <c r="M152" s="1"/>
  <c r="L152" i="4" s="1"/>
  <c r="M152" s="1"/>
  <c r="L153" i="2"/>
  <c r="L154"/>
  <c r="M154" s="1"/>
  <c r="L154" i="4" s="1"/>
  <c r="M154" s="1"/>
  <c r="L156" i="2"/>
  <c r="M156" s="1"/>
  <c r="L156" i="4" s="1"/>
  <c r="M156" s="1"/>
  <c r="L157" i="2"/>
  <c r="M157" s="1"/>
  <c r="L157" i="4" s="1"/>
  <c r="M157" s="1"/>
  <c r="L158" i="2"/>
  <c r="M158" s="1"/>
  <c r="L158" i="4" s="1"/>
  <c r="M158" s="1"/>
  <c r="L159" i="2"/>
  <c r="M159" s="1"/>
  <c r="L159" i="4" s="1"/>
  <c r="L160" i="2"/>
  <c r="M160" s="1"/>
  <c r="L160" i="4" s="1"/>
  <c r="M160" s="1"/>
  <c r="L161" i="2"/>
  <c r="M161" s="1"/>
  <c r="L161" i="4" s="1"/>
  <c r="L162" i="2"/>
  <c r="M162" s="1"/>
  <c r="L162" i="4" s="1"/>
  <c r="M162" s="1"/>
  <c r="L163" i="2"/>
  <c r="M163" s="1"/>
  <c r="L163" i="4" s="1"/>
  <c r="L164" i="2"/>
  <c r="M164" s="1"/>
  <c r="L164" i="4" s="1"/>
  <c r="L165" i="2"/>
  <c r="M165" s="1"/>
  <c r="L165" i="4" s="1"/>
  <c r="L166" i="2"/>
  <c r="M166" s="1"/>
  <c r="L166" i="4" s="1"/>
  <c r="M166" s="1"/>
  <c r="L167" i="2"/>
  <c r="L168"/>
  <c r="M168" s="1"/>
  <c r="L168" i="4" s="1"/>
  <c r="M168" s="1"/>
  <c r="L170" i="2"/>
  <c r="M170" s="1"/>
  <c r="L170" i="4" s="1"/>
  <c r="M170" s="1"/>
  <c r="L171" i="2"/>
  <c r="M171" s="1"/>
  <c r="L171" i="4" s="1"/>
  <c r="L172" i="2"/>
  <c r="M172" s="1"/>
  <c r="L173"/>
  <c r="M173" s="1"/>
  <c r="L173" i="4" s="1"/>
  <c r="M173" s="1"/>
  <c r="L174" i="2"/>
  <c r="L175"/>
  <c r="M175" s="1"/>
  <c r="L175" i="4" s="1"/>
  <c r="M175" s="1"/>
  <c r="L176" i="2"/>
  <c r="M176" s="1"/>
  <c r="L176" i="4" s="1"/>
  <c r="M176" s="1"/>
  <c r="L177" i="2"/>
  <c r="M177" s="1"/>
  <c r="L177" i="4" s="1"/>
  <c r="M177" s="1"/>
  <c r="L178" i="2"/>
  <c r="M178" s="1"/>
  <c r="L178" i="4" s="1"/>
  <c r="M178" s="1"/>
  <c r="L179" i="2"/>
  <c r="M179" s="1"/>
  <c r="L179" i="4" s="1"/>
  <c r="L180" i="2"/>
  <c r="M180" s="1"/>
  <c r="L180" i="4" s="1"/>
  <c r="M180" s="1"/>
  <c r="L181" i="2"/>
  <c r="M181" s="1"/>
  <c r="L182"/>
  <c r="M182" s="1"/>
  <c r="L182" i="4" s="1"/>
  <c r="M182" s="1"/>
  <c r="L183" i="2"/>
  <c r="M183" s="1"/>
  <c r="L183" i="4" s="1"/>
  <c r="L184" i="2"/>
  <c r="M184" s="1"/>
  <c r="L184" i="4" s="1"/>
  <c r="M184" s="1"/>
  <c r="L186" i="2"/>
  <c r="M186" s="1"/>
  <c r="L186" i="4" s="1"/>
  <c r="M186" s="1"/>
  <c r="L188" i="2"/>
  <c r="M188" s="1"/>
  <c r="L188" i="4" s="1"/>
  <c r="M188" s="1"/>
  <c r="L189" i="2"/>
  <c r="M189" s="1"/>
  <c r="L189" i="4" s="1"/>
  <c r="M189" s="1"/>
  <c r="L190" i="2"/>
  <c r="M190" s="1"/>
  <c r="L190" i="4" s="1"/>
  <c r="M190" s="1"/>
  <c r="L191" i="2"/>
  <c r="M191" s="1"/>
  <c r="L191" i="4" s="1"/>
  <c r="M191" s="1"/>
  <c r="L192" i="2"/>
  <c r="M192" s="1"/>
  <c r="L192" i="4" s="1"/>
  <c r="M192" s="1"/>
  <c r="L193" i="2"/>
  <c r="M193" s="1"/>
  <c r="L193" i="4" s="1"/>
  <c r="M193" s="1"/>
  <c r="L194" i="2"/>
  <c r="M194" s="1"/>
  <c r="L194" i="4" s="1"/>
  <c r="L196" i="2"/>
  <c r="M196" s="1"/>
  <c r="L197"/>
  <c r="M197" s="1"/>
  <c r="L197" i="4" s="1"/>
  <c r="M197" s="1"/>
  <c r="L198" i="2"/>
  <c r="M198" s="1"/>
  <c r="L198" i="4" s="1"/>
  <c r="M198" s="1"/>
  <c r="L199" i="2"/>
  <c r="M199" s="1"/>
  <c r="L199" i="4" s="1"/>
  <c r="L200" i="2"/>
  <c r="M200" s="1"/>
  <c r="L200" i="4" s="1"/>
  <c r="L201" i="2"/>
  <c r="M201" s="1"/>
  <c r="L201" i="4" s="1"/>
  <c r="L203" i="2"/>
  <c r="L204"/>
  <c r="M204" s="1"/>
  <c r="L204" i="4" s="1"/>
  <c r="M204" s="1"/>
  <c r="L205" i="2"/>
  <c r="M205" s="1"/>
  <c r="L205" i="4" s="1"/>
  <c r="M205" s="1"/>
  <c r="L206" i="2"/>
  <c r="M206" s="1"/>
  <c r="L206" i="4" s="1"/>
  <c r="L207" i="2"/>
  <c r="M207" s="1"/>
  <c r="L207" i="4" s="1"/>
  <c r="L208" i="2"/>
  <c r="M208" s="1"/>
  <c r="L208" i="4" s="1"/>
  <c r="M208" s="1"/>
  <c r="L209" i="2"/>
  <c r="M209" s="1"/>
  <c r="L209" i="4" s="1"/>
  <c r="L210" i="2"/>
  <c r="M210" s="1"/>
  <c r="L210" i="4" s="1"/>
  <c r="M210" s="1"/>
  <c r="L211" i="2"/>
  <c r="M211" s="1"/>
  <c r="L211" i="4" s="1"/>
  <c r="M211" s="1"/>
  <c r="L212" i="2"/>
  <c r="M212" s="1"/>
  <c r="L212" i="4" s="1"/>
  <c r="M212" s="1"/>
  <c r="L213" i="2"/>
  <c r="M213" s="1"/>
  <c r="L213" i="4" s="1"/>
  <c r="M213" s="1"/>
  <c r="L214" i="2"/>
  <c r="M214" s="1"/>
  <c r="L214" i="4" s="1"/>
  <c r="L215" i="2"/>
  <c r="M215" s="1"/>
  <c r="L216"/>
  <c r="M216" s="1"/>
  <c r="L216" i="4" s="1"/>
  <c r="M216" s="1"/>
  <c r="L217" i="2"/>
  <c r="M217" s="1"/>
  <c r="L217" i="4" s="1"/>
  <c r="M217" s="1"/>
  <c r="L218" i="2"/>
  <c r="M218" s="1"/>
  <c r="L218" i="4" s="1"/>
  <c r="L219" i="2"/>
  <c r="M219" s="1"/>
  <c r="L219" i="4" s="1"/>
  <c r="L220" i="2"/>
  <c r="M220" s="1"/>
  <c r="L220" i="4" s="1"/>
  <c r="M220" s="1"/>
  <c r="L221" i="2"/>
  <c r="M221" s="1"/>
  <c r="L221" i="4" s="1"/>
  <c r="M221" s="1"/>
  <c r="L222" i="2"/>
  <c r="M222" s="1"/>
  <c r="L222" i="4" s="1"/>
  <c r="M222" s="1"/>
  <c r="L223" i="2"/>
  <c r="M223" s="1"/>
  <c r="L223" i="4" s="1"/>
  <c r="L227" i="2"/>
  <c r="M227" s="1"/>
  <c r="L227" i="4" s="1"/>
  <c r="J10" i="2"/>
  <c r="J11"/>
  <c r="J12"/>
  <c r="J13"/>
  <c r="J15"/>
  <c r="J16"/>
  <c r="J17"/>
  <c r="J18"/>
  <c r="J19"/>
  <c r="J20"/>
  <c r="J21"/>
  <c r="J22"/>
  <c r="J23"/>
  <c r="J42"/>
  <c r="J45"/>
  <c r="J46"/>
  <c r="J47"/>
  <c r="J48"/>
  <c r="J49"/>
  <c r="J50"/>
  <c r="J51"/>
  <c r="J53"/>
  <c r="J54"/>
  <c r="J56" i="4"/>
  <c r="J59"/>
  <c r="J61"/>
  <c r="J62"/>
  <c r="J66"/>
  <c r="J74" i="2"/>
  <c r="J75"/>
  <c r="J77"/>
  <c r="J78"/>
  <c r="J79"/>
  <c r="J82"/>
  <c r="J84"/>
  <c r="J85"/>
  <c r="J87"/>
  <c r="J88"/>
  <c r="J90"/>
  <c r="J92"/>
  <c r="J93"/>
  <c r="J94"/>
  <c r="J95"/>
  <c r="J96"/>
  <c r="J98"/>
  <c r="J99"/>
  <c r="J100"/>
  <c r="J101"/>
  <c r="J102"/>
  <c r="J103"/>
  <c r="J104"/>
  <c r="J107"/>
  <c r="J108"/>
  <c r="J110"/>
  <c r="J111"/>
  <c r="J112"/>
  <c r="J113"/>
  <c r="J114"/>
  <c r="J115"/>
  <c r="J116"/>
  <c r="J117"/>
  <c r="J118"/>
  <c r="J119"/>
  <c r="J120"/>
  <c r="J121"/>
  <c r="J126"/>
  <c r="J128"/>
  <c r="J129"/>
  <c r="J130"/>
  <c r="J131"/>
  <c r="J132"/>
  <c r="J133"/>
  <c r="J134"/>
  <c r="J135"/>
  <c r="J136"/>
  <c r="J137"/>
  <c r="J138"/>
  <c r="J139"/>
  <c r="J140"/>
  <c r="J144"/>
  <c r="J145"/>
  <c r="J146"/>
  <c r="J147"/>
  <c r="J148"/>
  <c r="J149"/>
  <c r="J151"/>
  <c r="J152"/>
  <c r="J153"/>
  <c r="J154"/>
  <c r="J156"/>
  <c r="J157"/>
  <c r="J159"/>
  <c r="J160"/>
  <c r="J161"/>
  <c r="J162"/>
  <c r="J163"/>
  <c r="J164"/>
  <c r="J165"/>
  <c r="J166"/>
  <c r="J167"/>
  <c r="J168"/>
  <c r="J170"/>
  <c r="J171"/>
  <c r="J172"/>
  <c r="J173"/>
  <c r="J174"/>
  <c r="J175"/>
  <c r="J176"/>
  <c r="J178"/>
  <c r="J179"/>
  <c r="J180"/>
  <c r="J181"/>
  <c r="J182"/>
  <c r="J183"/>
  <c r="J184"/>
  <c r="J186"/>
  <c r="J188"/>
  <c r="J189"/>
  <c r="J190"/>
  <c r="J191"/>
  <c r="J192"/>
  <c r="J193"/>
  <c r="J194"/>
  <c r="J196"/>
  <c r="J197"/>
  <c r="J198"/>
  <c r="J199"/>
  <c r="J200"/>
  <c r="J201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7"/>
  <c r="J9"/>
  <c r="P133" i="1"/>
  <c r="P134"/>
  <c r="P135"/>
  <c r="P136"/>
  <c r="P137"/>
  <c r="P138"/>
  <c r="P139"/>
  <c r="P140"/>
  <c r="L138" i="2"/>
  <c r="M138" s="1"/>
  <c r="L138" i="4" s="1"/>
  <c r="M138" s="1"/>
  <c r="P142" i="1"/>
  <c r="P143"/>
  <c r="P144"/>
  <c r="P145"/>
  <c r="P146"/>
  <c r="L144" i="2"/>
  <c r="L145"/>
  <c r="M145" s="1"/>
  <c r="L145" i="4" s="1"/>
  <c r="M145" s="1"/>
  <c r="P149" i="1"/>
  <c r="P150"/>
  <c r="P151"/>
  <c r="P152"/>
  <c r="P131"/>
  <c r="P102"/>
  <c r="P103"/>
  <c r="P104"/>
  <c r="P105"/>
  <c r="T105" s="1"/>
  <c r="P106"/>
  <c r="P107"/>
  <c r="P110"/>
  <c r="P111"/>
  <c r="P101"/>
  <c r="P88"/>
  <c r="P87"/>
  <c r="P85"/>
  <c r="P60"/>
  <c r="P62"/>
  <c r="P63"/>
  <c r="P64"/>
  <c r="P65"/>
  <c r="P66"/>
  <c r="P67"/>
  <c r="P68"/>
  <c r="P73"/>
  <c r="P75"/>
  <c r="P59"/>
  <c r="P19"/>
  <c r="P20"/>
  <c r="P21"/>
  <c r="P22"/>
  <c r="P23"/>
  <c r="P24"/>
  <c r="P25"/>
  <c r="P26"/>
  <c r="P18"/>
  <c r="P14"/>
  <c r="P15"/>
  <c r="P16"/>
  <c r="F223" i="4"/>
  <c r="I223" s="1"/>
  <c r="F222"/>
  <c r="I222" s="1"/>
  <c r="F221"/>
  <c r="F220"/>
  <c r="I220" s="1"/>
  <c r="F219"/>
  <c r="I219" s="1"/>
  <c r="F218"/>
  <c r="I218" s="1"/>
  <c r="F217"/>
  <c r="F216"/>
  <c r="I216" s="1"/>
  <c r="F215"/>
  <c r="I215" s="1"/>
  <c r="F214"/>
  <c r="I214" s="1"/>
  <c r="F213"/>
  <c r="F212"/>
  <c r="I212" s="1"/>
  <c r="F211"/>
  <c r="I211" s="1"/>
  <c r="F210"/>
  <c r="I210" s="1"/>
  <c r="F209"/>
  <c r="I209" s="1"/>
  <c r="F208"/>
  <c r="I208" s="1"/>
  <c r="F207"/>
  <c r="I206"/>
  <c r="F205"/>
  <c r="I205" s="1"/>
  <c r="F204"/>
  <c r="I204" s="1"/>
  <c r="F203"/>
  <c r="I203" s="1"/>
  <c r="F201"/>
  <c r="I201" s="1"/>
  <c r="F200"/>
  <c r="I200" s="1"/>
  <c r="F199"/>
  <c r="I199" s="1"/>
  <c r="F198"/>
  <c r="I198" s="1"/>
  <c r="H197"/>
  <c r="F197"/>
  <c r="H196"/>
  <c r="F196"/>
  <c r="E196"/>
  <c r="F194"/>
  <c r="F193"/>
  <c r="I193" s="1"/>
  <c r="F192"/>
  <c r="I192" s="1"/>
  <c r="F191"/>
  <c r="I191" s="1"/>
  <c r="H190"/>
  <c r="F190"/>
  <c r="H189"/>
  <c r="F189"/>
  <c r="F188"/>
  <c r="I188" s="1"/>
  <c r="F184"/>
  <c r="I184" s="1"/>
  <c r="F183"/>
  <c r="I183" s="1"/>
  <c r="F182"/>
  <c r="I182" s="1"/>
  <c r="F181"/>
  <c r="I181" s="1"/>
  <c r="F180"/>
  <c r="F179"/>
  <c r="I179" s="1"/>
  <c r="F178"/>
  <c r="I178" s="1"/>
  <c r="F177"/>
  <c r="F176"/>
  <c r="I176" s="1"/>
  <c r="F175"/>
  <c r="I175" s="1"/>
  <c r="F174"/>
  <c r="I174" s="1"/>
  <c r="F173"/>
  <c r="I173" s="1"/>
  <c r="F172"/>
  <c r="I172" s="1"/>
  <c r="F171"/>
  <c r="I171" s="1"/>
  <c r="F170"/>
  <c r="I170" s="1"/>
  <c r="F168"/>
  <c r="I168" s="1"/>
  <c r="F166"/>
  <c r="I166" s="1"/>
  <c r="F165"/>
  <c r="I165" s="1"/>
  <c r="F164"/>
  <c r="I164" s="1"/>
  <c r="F163"/>
  <c r="I163" s="1"/>
  <c r="F162"/>
  <c r="I162" s="1"/>
  <c r="F161"/>
  <c r="I161" s="1"/>
  <c r="F160"/>
  <c r="I160" s="1"/>
  <c r="F159"/>
  <c r="I159" s="1"/>
  <c r="F158"/>
  <c r="I158" s="1"/>
  <c r="F157"/>
  <c r="F156"/>
  <c r="I156" s="1"/>
  <c r="F153"/>
  <c r="I153" s="1"/>
  <c r="F152"/>
  <c r="I152" s="1"/>
  <c r="F151"/>
  <c r="I151" s="1"/>
  <c r="H149"/>
  <c r="G149"/>
  <c r="F149"/>
  <c r="E149"/>
  <c r="F147"/>
  <c r="F146"/>
  <c r="I146" s="1"/>
  <c r="F145"/>
  <c r="I145" s="1"/>
  <c r="F144"/>
  <c r="I144" s="1"/>
  <c r="G143"/>
  <c r="H143" s="1"/>
  <c r="F143"/>
  <c r="H142"/>
  <c r="F142"/>
  <c r="G141"/>
  <c r="F141"/>
  <c r="H140"/>
  <c r="F140"/>
  <c r="F139"/>
  <c r="I139" s="1"/>
  <c r="F138"/>
  <c r="I138" s="1"/>
  <c r="F137"/>
  <c r="I137" s="1"/>
  <c r="F136"/>
  <c r="I136" s="1"/>
  <c r="F135"/>
  <c r="I135" s="1"/>
  <c r="F134"/>
  <c r="I134" s="1"/>
  <c r="F133"/>
  <c r="I133" s="1"/>
  <c r="F132"/>
  <c r="F131"/>
  <c r="I131" s="1"/>
  <c r="F130"/>
  <c r="I130" s="1"/>
  <c r="F129"/>
  <c r="F128"/>
  <c r="I128" s="1"/>
  <c r="F126"/>
  <c r="I126" s="1"/>
  <c r="F121"/>
  <c r="I121" s="1"/>
  <c r="F120"/>
  <c r="E120"/>
  <c r="F119"/>
  <c r="I119" s="1"/>
  <c r="F118"/>
  <c r="I118" s="1"/>
  <c r="F117"/>
  <c r="F116"/>
  <c r="I116" s="1"/>
  <c r="F115"/>
  <c r="I115" s="1"/>
  <c r="I114"/>
  <c r="F112"/>
  <c r="I112" s="1"/>
  <c r="F111"/>
  <c r="F110"/>
  <c r="F108"/>
  <c r="I108" s="1"/>
  <c r="F107"/>
  <c r="I107" s="1"/>
  <c r="F104"/>
  <c r="F103"/>
  <c r="I103" s="1"/>
  <c r="G102"/>
  <c r="F102"/>
  <c r="F101"/>
  <c r="I101" s="1"/>
  <c r="F100"/>
  <c r="I100" s="1"/>
  <c r="F99"/>
  <c r="I99" s="1"/>
  <c r="F98"/>
  <c r="I98" s="1"/>
  <c r="F95"/>
  <c r="I95" s="1"/>
  <c r="F94"/>
  <c r="I94" s="1"/>
  <c r="F93"/>
  <c r="I93" s="1"/>
  <c r="F92"/>
  <c r="I92" s="1"/>
  <c r="F87"/>
  <c r="I87" s="1"/>
  <c r="F84"/>
  <c r="F82"/>
  <c r="I82" s="1"/>
  <c r="F79"/>
  <c r="F78"/>
  <c r="I78" s="1"/>
  <c r="F77"/>
  <c r="F76"/>
  <c r="I76" s="1"/>
  <c r="F75"/>
  <c r="F74"/>
  <c r="I74" s="1"/>
  <c r="F72"/>
  <c r="I72" s="1"/>
  <c r="F70"/>
  <c r="I70" s="1"/>
  <c r="F65"/>
  <c r="F64"/>
  <c r="I64" s="1"/>
  <c r="F63"/>
  <c r="I63" s="1"/>
  <c r="F62"/>
  <c r="I62" s="1"/>
  <c r="F61"/>
  <c r="F60"/>
  <c r="I60" s="1"/>
  <c r="F59"/>
  <c r="F57"/>
  <c r="I57" s="1"/>
  <c r="F56"/>
  <c r="F54"/>
  <c r="I54" s="1"/>
  <c r="F51"/>
  <c r="F49"/>
  <c r="I49" s="1"/>
  <c r="F48"/>
  <c r="F47"/>
  <c r="I47" s="1"/>
  <c r="F46"/>
  <c r="F45"/>
  <c r="I45" s="1"/>
  <c r="F44"/>
  <c r="F43"/>
  <c r="I43" s="1"/>
  <c r="I42"/>
  <c r="F39"/>
  <c r="O39" s="1"/>
  <c r="F38"/>
  <c r="O38" s="1"/>
  <c r="F37"/>
  <c r="O37" s="1"/>
  <c r="F36"/>
  <c r="I36" s="1"/>
  <c r="I35"/>
  <c r="F34"/>
  <c r="F33"/>
  <c r="F31"/>
  <c r="F30"/>
  <c r="I30" s="1"/>
  <c r="F29"/>
  <c r="F28"/>
  <c r="I28" s="1"/>
  <c r="F27"/>
  <c r="I27" s="1"/>
  <c r="F26"/>
  <c r="E26"/>
  <c r="F25"/>
  <c r="E25"/>
  <c r="F23"/>
  <c r="I23" s="1"/>
  <c r="F22"/>
  <c r="I22" s="1"/>
  <c r="F21"/>
  <c r="I21" s="1"/>
  <c r="F20"/>
  <c r="F19"/>
  <c r="I19" s="1"/>
  <c r="F18"/>
  <c r="I18" s="1"/>
  <c r="F17"/>
  <c r="I17" s="1"/>
  <c r="F16"/>
  <c r="I16" s="1"/>
  <c r="F15"/>
  <c r="I15" s="1"/>
  <c r="F13"/>
  <c r="I13" s="1"/>
  <c r="F12"/>
  <c r="I12" s="1"/>
  <c r="F11"/>
  <c r="I11" s="1"/>
  <c r="F10"/>
  <c r="I10" s="1"/>
  <c r="F9"/>
  <c r="E9"/>
  <c r="E228" s="1"/>
  <c r="F223" i="2"/>
  <c r="I223" s="1"/>
  <c r="F222"/>
  <c r="I222" s="1"/>
  <c r="F221"/>
  <c r="I221" s="1"/>
  <c r="F220"/>
  <c r="I220" s="1"/>
  <c r="F219"/>
  <c r="I219" s="1"/>
  <c r="F218"/>
  <c r="I218" s="1"/>
  <c r="F217"/>
  <c r="I217" s="1"/>
  <c r="F216"/>
  <c r="I216" s="1"/>
  <c r="F215"/>
  <c r="I215" s="1"/>
  <c r="F214"/>
  <c r="I214" s="1"/>
  <c r="F213"/>
  <c r="I213" s="1"/>
  <c r="F212"/>
  <c r="I212" s="1"/>
  <c r="F211"/>
  <c r="I211" s="1"/>
  <c r="F210"/>
  <c r="I210" s="1"/>
  <c r="F209"/>
  <c r="I209" s="1"/>
  <c r="F207"/>
  <c r="I207" s="1"/>
  <c r="F205"/>
  <c r="I205" s="1"/>
  <c r="F204"/>
  <c r="I204" s="1"/>
  <c r="F203"/>
  <c r="I203" s="1"/>
  <c r="F201"/>
  <c r="I201" s="1"/>
  <c r="F200"/>
  <c r="I200" s="1"/>
  <c r="F199"/>
  <c r="I199" s="1"/>
  <c r="F198"/>
  <c r="I198" s="1"/>
  <c r="H197"/>
  <c r="F197"/>
  <c r="H196"/>
  <c r="F196"/>
  <c r="E196"/>
  <c r="F194"/>
  <c r="I194" s="1"/>
  <c r="F193"/>
  <c r="I193" s="1"/>
  <c r="F192"/>
  <c r="I192" s="1"/>
  <c r="F191"/>
  <c r="I191" s="1"/>
  <c r="H190"/>
  <c r="F190"/>
  <c r="H189"/>
  <c r="F189"/>
  <c r="F188"/>
  <c r="I188" s="1"/>
  <c r="F184"/>
  <c r="I184" s="1"/>
  <c r="F183"/>
  <c r="I183" s="1"/>
  <c r="F182"/>
  <c r="I182" s="1"/>
  <c r="F181"/>
  <c r="I181" s="1"/>
  <c r="F180"/>
  <c r="I180" s="1"/>
  <c r="F179"/>
  <c r="I179" s="1"/>
  <c r="F178"/>
  <c r="I178" s="1"/>
  <c r="F177"/>
  <c r="I177" s="1"/>
  <c r="F176"/>
  <c r="I176" s="1"/>
  <c r="F175"/>
  <c r="I175" s="1"/>
  <c r="F174"/>
  <c r="I174" s="1"/>
  <c r="F173"/>
  <c r="I173" s="1"/>
  <c r="F172"/>
  <c r="I172" s="1"/>
  <c r="F171"/>
  <c r="I171" s="1"/>
  <c r="F170"/>
  <c r="I170" s="1"/>
  <c r="F168"/>
  <c r="I168" s="1"/>
  <c r="F166"/>
  <c r="I166" s="1"/>
  <c r="F165"/>
  <c r="I165" s="1"/>
  <c r="F164"/>
  <c r="I164" s="1"/>
  <c r="F163"/>
  <c r="I163" s="1"/>
  <c r="F162"/>
  <c r="I162" s="1"/>
  <c r="F161"/>
  <c r="I161" s="1"/>
  <c r="F160"/>
  <c r="I160" s="1"/>
  <c r="F159"/>
  <c r="I159" s="1"/>
  <c r="F158"/>
  <c r="I158" s="1"/>
  <c r="F157"/>
  <c r="I157" s="1"/>
  <c r="F156"/>
  <c r="I156" s="1"/>
  <c r="F153"/>
  <c r="I153" s="1"/>
  <c r="F152"/>
  <c r="I152" s="1"/>
  <c r="F151"/>
  <c r="I151" s="1"/>
  <c r="H149"/>
  <c r="G149"/>
  <c r="F149"/>
  <c r="E149"/>
  <c r="F147"/>
  <c r="I147" s="1"/>
  <c r="F146"/>
  <c r="I146" s="1"/>
  <c r="F145"/>
  <c r="I145" s="1"/>
  <c r="F144"/>
  <c r="I144" s="1"/>
  <c r="G143"/>
  <c r="H143" s="1"/>
  <c r="F143"/>
  <c r="H142"/>
  <c r="F142"/>
  <c r="G141"/>
  <c r="H141" s="1"/>
  <c r="F141"/>
  <c r="H140"/>
  <c r="H228" s="1"/>
  <c r="F140"/>
  <c r="F139"/>
  <c r="I139" s="1"/>
  <c r="F138"/>
  <c r="I138" s="1"/>
  <c r="F137"/>
  <c r="I137" s="1"/>
  <c r="F136"/>
  <c r="I136" s="1"/>
  <c r="F135"/>
  <c r="I135" s="1"/>
  <c r="F134"/>
  <c r="I134" s="1"/>
  <c r="F133"/>
  <c r="I133" s="1"/>
  <c r="F132"/>
  <c r="I132" s="1"/>
  <c r="F131"/>
  <c r="I131" s="1"/>
  <c r="F130"/>
  <c r="I130" s="1"/>
  <c r="F129"/>
  <c r="I129" s="1"/>
  <c r="F128"/>
  <c r="I128" s="1"/>
  <c r="F126"/>
  <c r="I126" s="1"/>
  <c r="F121"/>
  <c r="I121" s="1"/>
  <c r="F120"/>
  <c r="E120"/>
  <c r="F119"/>
  <c r="I119" s="1"/>
  <c r="F118"/>
  <c r="I118" s="1"/>
  <c r="F117"/>
  <c r="I117" s="1"/>
  <c r="F116"/>
  <c r="I116" s="1"/>
  <c r="F115"/>
  <c r="I115" s="1"/>
  <c r="F112"/>
  <c r="I112" s="1"/>
  <c r="F111"/>
  <c r="I111" s="1"/>
  <c r="F110"/>
  <c r="I110" s="1"/>
  <c r="F108"/>
  <c r="I108" s="1"/>
  <c r="F107"/>
  <c r="I107" s="1"/>
  <c r="F104"/>
  <c r="I104" s="1"/>
  <c r="F103"/>
  <c r="I103" s="1"/>
  <c r="G102"/>
  <c r="G228" s="1"/>
  <c r="F102"/>
  <c r="F101"/>
  <c r="I101" s="1"/>
  <c r="F100"/>
  <c r="I100" s="1"/>
  <c r="F99"/>
  <c r="I99" s="1"/>
  <c r="F98"/>
  <c r="I98" s="1"/>
  <c r="F95"/>
  <c r="I95" s="1"/>
  <c r="F94"/>
  <c r="I94" s="1"/>
  <c r="F93"/>
  <c r="I93" s="1"/>
  <c r="F92"/>
  <c r="I92" s="1"/>
  <c r="F87"/>
  <c r="I87" s="1"/>
  <c r="F84"/>
  <c r="I84" s="1"/>
  <c r="F82"/>
  <c r="I82" s="1"/>
  <c r="F79"/>
  <c r="I79" s="1"/>
  <c r="F78"/>
  <c r="I78" s="1"/>
  <c r="F77"/>
  <c r="I77" s="1"/>
  <c r="F76"/>
  <c r="I76" s="1"/>
  <c r="F75"/>
  <c r="I75" s="1"/>
  <c r="F74"/>
  <c r="I74" s="1"/>
  <c r="F72"/>
  <c r="I72" s="1"/>
  <c r="F70"/>
  <c r="I70" s="1"/>
  <c r="F65"/>
  <c r="I65" s="1"/>
  <c r="F64"/>
  <c r="I64" s="1"/>
  <c r="F63"/>
  <c r="I63" s="1"/>
  <c r="F62"/>
  <c r="I62" s="1"/>
  <c r="F61"/>
  <c r="I61" s="1"/>
  <c r="F60"/>
  <c r="I60" s="1"/>
  <c r="F59"/>
  <c r="I59" s="1"/>
  <c r="F57"/>
  <c r="I57" s="1"/>
  <c r="F56"/>
  <c r="I56" s="1"/>
  <c r="F54"/>
  <c r="I54" s="1"/>
  <c r="F51"/>
  <c r="I51" s="1"/>
  <c r="F49"/>
  <c r="I49" s="1"/>
  <c r="F48"/>
  <c r="I48" s="1"/>
  <c r="F47"/>
  <c r="I47" s="1"/>
  <c r="F46"/>
  <c r="I46" s="1"/>
  <c r="F45"/>
  <c r="I45" s="1"/>
  <c r="F44"/>
  <c r="I44" s="1"/>
  <c r="F43"/>
  <c r="I43" s="1"/>
  <c r="F39"/>
  <c r="O39" s="1"/>
  <c r="R39" s="1"/>
  <c r="F38"/>
  <c r="O38" s="1"/>
  <c r="R38" s="1"/>
  <c r="F37"/>
  <c r="O37" s="1"/>
  <c r="R37" s="1"/>
  <c r="F36"/>
  <c r="I36" s="1"/>
  <c r="F34"/>
  <c r="O34" s="1"/>
  <c r="R34" s="1"/>
  <c r="F33"/>
  <c r="O33" s="1"/>
  <c r="R33" s="1"/>
  <c r="F31"/>
  <c r="O31" s="1"/>
  <c r="R31" s="1"/>
  <c r="F30"/>
  <c r="O30" s="1"/>
  <c r="R30" s="1"/>
  <c r="F29"/>
  <c r="O29" s="1"/>
  <c r="R29" s="1"/>
  <c r="F28"/>
  <c r="O28" s="1"/>
  <c r="R28" s="1"/>
  <c r="F27"/>
  <c r="O27" s="1"/>
  <c r="R27" s="1"/>
  <c r="F26"/>
  <c r="O26" s="1"/>
  <c r="E26"/>
  <c r="N26" s="1"/>
  <c r="F25"/>
  <c r="O25" s="1"/>
  <c r="E25"/>
  <c r="N25" s="1"/>
  <c r="F23"/>
  <c r="I23" s="1"/>
  <c r="F22"/>
  <c r="I22" s="1"/>
  <c r="F21"/>
  <c r="I21" s="1"/>
  <c r="F20"/>
  <c r="I20" s="1"/>
  <c r="F19"/>
  <c r="I19" s="1"/>
  <c r="F18"/>
  <c r="I18" s="1"/>
  <c r="F17"/>
  <c r="I17" s="1"/>
  <c r="F16"/>
  <c r="I16" s="1"/>
  <c r="F15"/>
  <c r="I15" s="1"/>
  <c r="F13"/>
  <c r="I13" s="1"/>
  <c r="F12"/>
  <c r="I12" s="1"/>
  <c r="F11"/>
  <c r="I11" s="1"/>
  <c r="F10"/>
  <c r="I10" s="1"/>
  <c r="F9"/>
  <c r="E9"/>
  <c r="F140" i="1"/>
  <c r="R140" s="1"/>
  <c r="F226"/>
  <c r="F171"/>
  <c r="E123"/>
  <c r="Q123" s="1"/>
  <c r="I227" i="4"/>
  <c r="I177"/>
  <c r="I167"/>
  <c r="I157"/>
  <c r="I154"/>
  <c r="I148"/>
  <c r="I132"/>
  <c r="I117"/>
  <c r="I113"/>
  <c r="I111"/>
  <c r="I109"/>
  <c r="I104"/>
  <c r="I97"/>
  <c r="I96"/>
  <c r="I91"/>
  <c r="I90"/>
  <c r="I89"/>
  <c r="I88"/>
  <c r="I86"/>
  <c r="I85"/>
  <c r="I83"/>
  <c r="I81"/>
  <c r="I73"/>
  <c r="I69"/>
  <c r="I66"/>
  <c r="I53"/>
  <c r="V52"/>
  <c r="U52"/>
  <c r="T52"/>
  <c r="S52"/>
  <c r="I50"/>
  <c r="I38"/>
  <c r="I29"/>
  <c r="V8"/>
  <c r="U8"/>
  <c r="T8"/>
  <c r="V52" i="2"/>
  <c r="U52"/>
  <c r="T52"/>
  <c r="S52"/>
  <c r="V8"/>
  <c r="U8"/>
  <c r="T8"/>
  <c r="F141" i="1"/>
  <c r="F110"/>
  <c r="R110" s="1"/>
  <c r="F187"/>
  <c r="F185"/>
  <c r="F184"/>
  <c r="F186"/>
  <c r="F191"/>
  <c r="F113"/>
  <c r="F201"/>
  <c r="F159"/>
  <c r="F21"/>
  <c r="R21" s="1"/>
  <c r="F31"/>
  <c r="F32"/>
  <c r="F59"/>
  <c r="R59" s="1"/>
  <c r="F15"/>
  <c r="R15" s="1"/>
  <c r="F175"/>
  <c r="F207"/>
  <c r="F214"/>
  <c r="F216"/>
  <c r="F223"/>
  <c r="F200"/>
  <c r="R200" s="1"/>
  <c r="F199"/>
  <c r="R199" s="1"/>
  <c r="F101"/>
  <c r="R101" s="1"/>
  <c r="F173"/>
  <c r="F142"/>
  <c r="R142" s="1"/>
  <c r="F131"/>
  <c r="R131" s="1"/>
  <c r="F134"/>
  <c r="R134" s="1"/>
  <c r="F135"/>
  <c r="R135" s="1"/>
  <c r="F97"/>
  <c r="R97" s="1"/>
  <c r="F183"/>
  <c r="F13"/>
  <c r="F174"/>
  <c r="F179"/>
  <c r="I20" i="4"/>
  <c r="I44"/>
  <c r="I46"/>
  <c r="I48"/>
  <c r="I51"/>
  <c r="I56"/>
  <c r="I59"/>
  <c r="I61"/>
  <c r="I65"/>
  <c r="I75"/>
  <c r="I77"/>
  <c r="I79"/>
  <c r="I84"/>
  <c r="I110"/>
  <c r="I129"/>
  <c r="I147"/>
  <c r="I180"/>
  <c r="I194"/>
  <c r="I207"/>
  <c r="I213"/>
  <c r="I217"/>
  <c r="I221"/>
  <c r="W11" i="1"/>
  <c r="X11"/>
  <c r="Y11"/>
  <c r="E12"/>
  <c r="F12"/>
  <c r="R12" s="1"/>
  <c r="F14"/>
  <c r="R14" s="1"/>
  <c r="F16"/>
  <c r="R16" s="1"/>
  <c r="F18"/>
  <c r="R18" s="1"/>
  <c r="F19"/>
  <c r="R19" s="1"/>
  <c r="F20"/>
  <c r="R20" s="1"/>
  <c r="F22"/>
  <c r="R22" s="1"/>
  <c r="F23"/>
  <c r="R23" s="1"/>
  <c r="F24"/>
  <c r="R24" s="1"/>
  <c r="F25"/>
  <c r="R25" s="1"/>
  <c r="F26"/>
  <c r="R26" s="1"/>
  <c r="E28"/>
  <c r="F28"/>
  <c r="R28" s="1"/>
  <c r="E29"/>
  <c r="F29"/>
  <c r="R29" s="1"/>
  <c r="F30"/>
  <c r="F33"/>
  <c r="F34"/>
  <c r="F36"/>
  <c r="F37"/>
  <c r="F39"/>
  <c r="F40"/>
  <c r="F41"/>
  <c r="F46"/>
  <c r="F47"/>
  <c r="F48"/>
  <c r="F49"/>
  <c r="F50"/>
  <c r="F51"/>
  <c r="F52"/>
  <c r="I53"/>
  <c r="F54"/>
  <c r="I56"/>
  <c r="F57"/>
  <c r="F60"/>
  <c r="R60" s="1"/>
  <c r="F62"/>
  <c r="R62" s="1"/>
  <c r="F63"/>
  <c r="R63" s="1"/>
  <c r="F64"/>
  <c r="R64" s="1"/>
  <c r="F65"/>
  <c r="R65" s="1"/>
  <c r="F66"/>
  <c r="R66" s="1"/>
  <c r="F67"/>
  <c r="R67" s="1"/>
  <c r="F68"/>
  <c r="R68" s="1"/>
  <c r="I72"/>
  <c r="F73"/>
  <c r="R73" s="1"/>
  <c r="F75"/>
  <c r="R75" s="1"/>
  <c r="I76"/>
  <c r="F77"/>
  <c r="F78"/>
  <c r="F79"/>
  <c r="F80"/>
  <c r="F81"/>
  <c r="F82"/>
  <c r="I84"/>
  <c r="F85"/>
  <c r="R85" s="1"/>
  <c r="I86"/>
  <c r="F87"/>
  <c r="R87" s="1"/>
  <c r="I88"/>
  <c r="I89"/>
  <c r="F90"/>
  <c r="I91"/>
  <c r="I92"/>
  <c r="I93"/>
  <c r="I94"/>
  <c r="F95"/>
  <c r="R95" s="1"/>
  <c r="F96"/>
  <c r="I97"/>
  <c r="F98"/>
  <c r="I99"/>
  <c r="I100"/>
  <c r="F102"/>
  <c r="R102" s="1"/>
  <c r="F103"/>
  <c r="R103" s="1"/>
  <c r="F104"/>
  <c r="R104" s="1"/>
  <c r="F105"/>
  <c r="R105" s="1"/>
  <c r="G105"/>
  <c r="S105" s="1"/>
  <c r="F106"/>
  <c r="R106" s="1"/>
  <c r="F107"/>
  <c r="R107" s="1"/>
  <c r="F111"/>
  <c r="R111" s="1"/>
  <c r="I112"/>
  <c r="I113"/>
  <c r="F114"/>
  <c r="R114" s="1"/>
  <c r="F115"/>
  <c r="I116"/>
  <c r="F118"/>
  <c r="F119"/>
  <c r="F120"/>
  <c r="F121"/>
  <c r="F122"/>
  <c r="F123"/>
  <c r="R123" s="1"/>
  <c r="F124"/>
  <c r="F129"/>
  <c r="F132"/>
  <c r="R132" s="1"/>
  <c r="F133"/>
  <c r="R133" s="1"/>
  <c r="F136"/>
  <c r="R136" s="1"/>
  <c r="F137"/>
  <c r="R137" s="1"/>
  <c r="F138"/>
  <c r="R138" s="1"/>
  <c r="F139"/>
  <c r="R139" s="1"/>
  <c r="F143"/>
  <c r="R143" s="1"/>
  <c r="H143"/>
  <c r="F144"/>
  <c r="R144" s="1"/>
  <c r="G144"/>
  <c r="S144" s="1"/>
  <c r="F145"/>
  <c r="R145" s="1"/>
  <c r="H145"/>
  <c r="F146"/>
  <c r="R146" s="1"/>
  <c r="G146"/>
  <c r="S146" s="1"/>
  <c r="F147"/>
  <c r="R147" s="1"/>
  <c r="F148"/>
  <c r="F149"/>
  <c r="R149" s="1"/>
  <c r="F150"/>
  <c r="R150" s="1"/>
  <c r="I151"/>
  <c r="E152"/>
  <c r="Q152" s="1"/>
  <c r="F152"/>
  <c r="R152" s="1"/>
  <c r="G152"/>
  <c r="S152" s="1"/>
  <c r="H152"/>
  <c r="F154"/>
  <c r="F155"/>
  <c r="F156"/>
  <c r="R156" s="1"/>
  <c r="I157"/>
  <c r="I159"/>
  <c r="F160"/>
  <c r="F161"/>
  <c r="F162"/>
  <c r="F163"/>
  <c r="F164"/>
  <c r="F165"/>
  <c r="F166"/>
  <c r="F167"/>
  <c r="F168"/>
  <c r="R168" s="1"/>
  <c r="F169"/>
  <c r="I170"/>
  <c r="I171"/>
  <c r="I175"/>
  <c r="F176"/>
  <c r="F177"/>
  <c r="R177" s="1"/>
  <c r="F178"/>
  <c r="F180"/>
  <c r="R180" s="1"/>
  <c r="F181"/>
  <c r="F182"/>
  <c r="R182" s="1"/>
  <c r="I186"/>
  <c r="I189"/>
  <c r="F192"/>
  <c r="H192"/>
  <c r="T192" s="1"/>
  <c r="F193"/>
  <c r="H193"/>
  <c r="T193" s="1"/>
  <c r="F194"/>
  <c r="F195"/>
  <c r="F196"/>
  <c r="F197"/>
  <c r="E199"/>
  <c r="H199"/>
  <c r="T199" s="1"/>
  <c r="H200"/>
  <c r="T200" s="1"/>
  <c r="F202"/>
  <c r="F203"/>
  <c r="F204"/>
  <c r="F206"/>
  <c r="F208"/>
  <c r="F209"/>
  <c r="F210"/>
  <c r="F211"/>
  <c r="F212"/>
  <c r="F213"/>
  <c r="F215"/>
  <c r="F217"/>
  <c r="F218"/>
  <c r="F219"/>
  <c r="F220"/>
  <c r="I220" s="1"/>
  <c r="F221"/>
  <c r="F222"/>
  <c r="I223"/>
  <c r="F224"/>
  <c r="F225"/>
  <c r="I230"/>
  <c r="I107"/>
  <c r="I51"/>
  <c r="I50"/>
  <c r="I39"/>
  <c r="L19" i="2"/>
  <c r="M19" s="1"/>
  <c r="L19" i="4" s="1"/>
  <c r="M19" s="1"/>
  <c r="J44" i="2"/>
  <c r="J43"/>
  <c r="J29" i="4"/>
  <c r="I201" i="1"/>
  <c r="I184"/>
  <c r="I31" i="4"/>
  <c r="H141"/>
  <c r="I40" i="1"/>
  <c r="I191"/>
  <c r="I37"/>
  <c r="I21"/>
  <c r="I34" i="4"/>
  <c r="I13" i="1"/>
  <c r="I216"/>
  <c r="I15"/>
  <c r="L21" i="2"/>
  <c r="M21" s="1"/>
  <c r="L21" i="4" s="1"/>
  <c r="M21" s="1"/>
  <c r="L147" i="2"/>
  <c r="M147" s="1"/>
  <c r="L147" i="4" s="1"/>
  <c r="M147" s="1"/>
  <c r="L135" i="2"/>
  <c r="M135" s="1"/>
  <c r="L135" i="4" s="1"/>
  <c r="M135" s="1"/>
  <c r="L20" i="2"/>
  <c r="M20" s="1"/>
  <c r="L20" i="4" s="1"/>
  <c r="M20" s="1"/>
  <c r="L139" i="2"/>
  <c r="M139" s="1"/>
  <c r="L139" i="4" s="1"/>
  <c r="M139" s="1"/>
  <c r="I36" i="1"/>
  <c r="I18"/>
  <c r="I104"/>
  <c r="I117"/>
  <c r="I141"/>
  <c r="I66"/>
  <c r="I63"/>
  <c r="I29"/>
  <c r="I179"/>
  <c r="I131"/>
  <c r="I142"/>
  <c r="I32"/>
  <c r="K113" i="2"/>
  <c r="I16" i="1"/>
  <c r="I19"/>
  <c r="I22"/>
  <c r="I207"/>
  <c r="I195"/>
  <c r="I183"/>
  <c r="I134"/>
  <c r="I119"/>
  <c r="I101"/>
  <c r="I81"/>
  <c r="I79"/>
  <c r="I59"/>
  <c r="L28" i="4"/>
  <c r="L26"/>
  <c r="M26" s="1"/>
  <c r="H38" i="1"/>
  <c r="T38" s="1"/>
  <c r="J158" i="2"/>
  <c r="J177"/>
  <c r="L129"/>
  <c r="M129" s="1"/>
  <c r="J142"/>
  <c r="L151"/>
  <c r="I124" i="1"/>
  <c r="I41"/>
  <c r="I24"/>
  <c r="I226"/>
  <c r="L9" i="2"/>
  <c r="L12"/>
  <c r="L10"/>
  <c r="L98"/>
  <c r="L107"/>
  <c r="M107" s="1"/>
  <c r="L107" i="4" s="1"/>
  <c r="M107" s="1"/>
  <c r="L103" i="2"/>
  <c r="M103" s="1"/>
  <c r="L101"/>
  <c r="M101" s="1"/>
  <c r="L101" i="4" s="1"/>
  <c r="M101" s="1"/>
  <c r="L99" i="2"/>
  <c r="M99" s="1"/>
  <c r="L99" i="4" s="1"/>
  <c r="M99" s="1"/>
  <c r="L82" i="2"/>
  <c r="M82" s="1"/>
  <c r="L82" i="4" s="1"/>
  <c r="L148" i="2"/>
  <c r="M148" s="1"/>
  <c r="L133"/>
  <c r="L130"/>
  <c r="I68" i="1"/>
  <c r="I60"/>
  <c r="I136"/>
  <c r="I73"/>
  <c r="I212"/>
  <c r="M92" i="2"/>
  <c r="J30" i="4"/>
  <c r="J31"/>
  <c r="I197" i="1"/>
  <c r="I43"/>
  <c r="I48"/>
  <c r="I77"/>
  <c r="I96"/>
  <c r="I148"/>
  <c r="I98"/>
  <c r="I187"/>
  <c r="J28" i="4"/>
  <c r="I218" i="1"/>
  <c r="G231"/>
  <c r="I87"/>
  <c r="I47"/>
  <c r="I62"/>
  <c r="I139"/>
  <c r="I152"/>
  <c r="I215"/>
  <c r="I52"/>
  <c r="I33"/>
  <c r="I30"/>
  <c r="I115"/>
  <c r="I23"/>
  <c r="I174"/>
  <c r="I46"/>
  <c r="I78"/>
  <c r="I82"/>
  <c r="I102"/>
  <c r="I122"/>
  <c r="I150"/>
  <c r="I196"/>
  <c r="I224"/>
  <c r="I165"/>
  <c r="I199"/>
  <c r="I214"/>
  <c r="I185"/>
  <c r="I42"/>
  <c r="R225" l="1"/>
  <c r="U225" s="1"/>
  <c r="R221"/>
  <c r="U221" s="1"/>
  <c r="R217"/>
  <c r="U217" s="1"/>
  <c r="R211"/>
  <c r="U211" s="1"/>
  <c r="R206"/>
  <c r="U206" s="1"/>
  <c r="R196"/>
  <c r="U196" s="1"/>
  <c r="R193"/>
  <c r="U193" s="1"/>
  <c r="R178"/>
  <c r="U178" s="1"/>
  <c r="R167"/>
  <c r="U167" s="1"/>
  <c r="R163"/>
  <c r="U163" s="1"/>
  <c r="R154"/>
  <c r="U154" s="1"/>
  <c r="R148"/>
  <c r="U148" s="1"/>
  <c r="R129"/>
  <c r="U129" s="1"/>
  <c r="R121"/>
  <c r="U121" s="1"/>
  <c r="R80"/>
  <c r="U80" s="1"/>
  <c r="R57"/>
  <c r="U57" s="1"/>
  <c r="R52"/>
  <c r="U52" s="1"/>
  <c r="R48"/>
  <c r="U48" s="1"/>
  <c r="R40"/>
  <c r="U40" s="1"/>
  <c r="R34"/>
  <c r="U34" s="1"/>
  <c r="Q29"/>
  <c r="U29" s="1"/>
  <c r="R179"/>
  <c r="U179" s="1"/>
  <c r="R207"/>
  <c r="U207" s="1"/>
  <c r="R32"/>
  <c r="U32" s="1"/>
  <c r="R201"/>
  <c r="U201" s="1"/>
  <c r="R184"/>
  <c r="U184" s="1"/>
  <c r="R141"/>
  <c r="U141" s="1"/>
  <c r="T18"/>
  <c r="S18"/>
  <c r="S23"/>
  <c r="T23"/>
  <c r="S19"/>
  <c r="T19"/>
  <c r="S68"/>
  <c r="T68"/>
  <c r="S64"/>
  <c r="T64"/>
  <c r="T85"/>
  <c r="S85"/>
  <c r="S111"/>
  <c r="T111"/>
  <c r="S131"/>
  <c r="T131"/>
  <c r="T149"/>
  <c r="S149"/>
  <c r="T145"/>
  <c r="S145"/>
  <c r="T137"/>
  <c r="S137"/>
  <c r="T133"/>
  <c r="S133"/>
  <c r="T177"/>
  <c r="S177"/>
  <c r="T97"/>
  <c r="S97"/>
  <c r="T109"/>
  <c r="S109"/>
  <c r="R42"/>
  <c r="U42" s="1"/>
  <c r="T69"/>
  <c r="S69"/>
  <c r="R222"/>
  <c r="U222" s="1"/>
  <c r="R218"/>
  <c r="U218" s="1"/>
  <c r="R212"/>
  <c r="U212" s="1"/>
  <c r="R208"/>
  <c r="U208" s="1"/>
  <c r="R202"/>
  <c r="U202" s="1"/>
  <c r="R197"/>
  <c r="U197" s="1"/>
  <c r="R164"/>
  <c r="U164" s="1"/>
  <c r="R160"/>
  <c r="U160" s="1"/>
  <c r="R155"/>
  <c r="U155" s="1"/>
  <c r="R122"/>
  <c r="U122" s="1"/>
  <c r="R118"/>
  <c r="U118" s="1"/>
  <c r="R98"/>
  <c r="U98" s="1"/>
  <c r="R90"/>
  <c r="U90" s="1"/>
  <c r="R81"/>
  <c r="U81" s="1"/>
  <c r="R77"/>
  <c r="U77" s="1"/>
  <c r="R49"/>
  <c r="U49" s="1"/>
  <c r="R41"/>
  <c r="U41" s="1"/>
  <c r="R36"/>
  <c r="U36" s="1"/>
  <c r="R183"/>
  <c r="U183" s="1"/>
  <c r="R214"/>
  <c r="U214" s="1"/>
  <c r="R159"/>
  <c r="U159" s="1"/>
  <c r="R186"/>
  <c r="U186" s="1"/>
  <c r="T14"/>
  <c r="S14"/>
  <c r="S24"/>
  <c r="T24"/>
  <c r="S20"/>
  <c r="T20"/>
  <c r="S73"/>
  <c r="T73"/>
  <c r="T65"/>
  <c r="S65"/>
  <c r="T60"/>
  <c r="S60"/>
  <c r="T101"/>
  <c r="S101"/>
  <c r="T106"/>
  <c r="S106"/>
  <c r="T102"/>
  <c r="S102"/>
  <c r="T150"/>
  <c r="S150"/>
  <c r="T142"/>
  <c r="S142"/>
  <c r="T138"/>
  <c r="S138"/>
  <c r="T134"/>
  <c r="S134"/>
  <c r="T182"/>
  <c r="S182"/>
  <c r="S108"/>
  <c r="T108"/>
  <c r="U219"/>
  <c r="R219"/>
  <c r="U213"/>
  <c r="R213"/>
  <c r="U209"/>
  <c r="R209"/>
  <c r="U203"/>
  <c r="R203"/>
  <c r="U199"/>
  <c r="Q199"/>
  <c r="U194"/>
  <c r="R194"/>
  <c r="U192"/>
  <c r="R192"/>
  <c r="U181"/>
  <c r="R181"/>
  <c r="U176"/>
  <c r="R176"/>
  <c r="U169"/>
  <c r="R169"/>
  <c r="U165"/>
  <c r="R165"/>
  <c r="U161"/>
  <c r="R161"/>
  <c r="U119"/>
  <c r="R119"/>
  <c r="U82"/>
  <c r="R82"/>
  <c r="U78"/>
  <c r="R78"/>
  <c r="U54"/>
  <c r="R54"/>
  <c r="U50"/>
  <c r="R50"/>
  <c r="U46"/>
  <c r="R46"/>
  <c r="U37"/>
  <c r="R37"/>
  <c r="U30"/>
  <c r="R30"/>
  <c r="U28"/>
  <c r="Q28"/>
  <c r="U12"/>
  <c r="Q12"/>
  <c r="U13"/>
  <c r="R13"/>
  <c r="U216"/>
  <c r="R216"/>
  <c r="U191"/>
  <c r="R191"/>
  <c r="U187"/>
  <c r="R187"/>
  <c r="U226"/>
  <c r="R226"/>
  <c r="S15"/>
  <c r="T15"/>
  <c r="T25"/>
  <c r="S25"/>
  <c r="T21"/>
  <c r="S21"/>
  <c r="S75"/>
  <c r="T75"/>
  <c r="T66"/>
  <c r="S66"/>
  <c r="T62"/>
  <c r="S62"/>
  <c r="S88"/>
  <c r="T88"/>
  <c r="S107"/>
  <c r="T107"/>
  <c r="S103"/>
  <c r="T103"/>
  <c r="S151"/>
  <c r="T151"/>
  <c r="S143"/>
  <c r="T143"/>
  <c r="S139"/>
  <c r="T139"/>
  <c r="S135"/>
  <c r="T135"/>
  <c r="S180"/>
  <c r="T180"/>
  <c r="S147"/>
  <c r="T147"/>
  <c r="I222"/>
  <c r="I164"/>
  <c r="U224"/>
  <c r="R224"/>
  <c r="U220"/>
  <c r="R220"/>
  <c r="U215"/>
  <c r="R215"/>
  <c r="U210"/>
  <c r="R210"/>
  <c r="U204"/>
  <c r="R204"/>
  <c r="U195"/>
  <c r="R195"/>
  <c r="U166"/>
  <c r="R166"/>
  <c r="U162"/>
  <c r="R162"/>
  <c r="U124"/>
  <c r="R124"/>
  <c r="U120"/>
  <c r="R120"/>
  <c r="U115"/>
  <c r="R115"/>
  <c r="U96"/>
  <c r="R96"/>
  <c r="U79"/>
  <c r="R79"/>
  <c r="U51"/>
  <c r="R51"/>
  <c r="U47"/>
  <c r="R47"/>
  <c r="U39"/>
  <c r="R39"/>
  <c r="U33"/>
  <c r="R33"/>
  <c r="U174"/>
  <c r="R174"/>
  <c r="U173"/>
  <c r="R173"/>
  <c r="U223"/>
  <c r="R223"/>
  <c r="U175"/>
  <c r="R175"/>
  <c r="U31"/>
  <c r="R31"/>
  <c r="U113"/>
  <c r="R113"/>
  <c r="U185"/>
  <c r="R185"/>
  <c r="U171"/>
  <c r="R171"/>
  <c r="S16"/>
  <c r="T16"/>
  <c r="T26"/>
  <c r="S26"/>
  <c r="T22"/>
  <c r="S22"/>
  <c r="S59"/>
  <c r="T59"/>
  <c r="S67"/>
  <c r="T67"/>
  <c r="S63"/>
  <c r="T63"/>
  <c r="S87"/>
  <c r="T87"/>
  <c r="T110"/>
  <c r="S110"/>
  <c r="S104"/>
  <c r="T104"/>
  <c r="S140"/>
  <c r="T140"/>
  <c r="S136"/>
  <c r="T136"/>
  <c r="S168"/>
  <c r="T168"/>
  <c r="S132"/>
  <c r="T132"/>
  <c r="S156"/>
  <c r="T156"/>
  <c r="T61"/>
  <c r="S61"/>
  <c r="S71"/>
  <c r="T71"/>
  <c r="T152"/>
  <c r="O34" i="4"/>
  <c r="R34" s="1"/>
  <c r="O33"/>
  <c r="R33" s="1"/>
  <c r="R35"/>
  <c r="R39"/>
  <c r="R37"/>
  <c r="R38"/>
  <c r="O29"/>
  <c r="N29"/>
  <c r="Q124"/>
  <c r="P124"/>
  <c r="Q185"/>
  <c r="P185"/>
  <c r="Q125"/>
  <c r="P125"/>
  <c r="O28"/>
  <c r="N28"/>
  <c r="Q122"/>
  <c r="P122"/>
  <c r="Q123"/>
  <c r="P123"/>
  <c r="N158" i="2"/>
  <c r="O158"/>
  <c r="Q113"/>
  <c r="P113"/>
  <c r="O44"/>
  <c r="N44"/>
  <c r="I189"/>
  <c r="I190"/>
  <c r="I196"/>
  <c r="O227"/>
  <c r="N227"/>
  <c r="O222"/>
  <c r="N222"/>
  <c r="O220"/>
  <c r="N220"/>
  <c r="O218"/>
  <c r="N218"/>
  <c r="N216"/>
  <c r="O216"/>
  <c r="O214"/>
  <c r="N214"/>
  <c r="N212"/>
  <c r="O212"/>
  <c r="O210"/>
  <c r="N210"/>
  <c r="N208"/>
  <c r="O208"/>
  <c r="O206"/>
  <c r="N206"/>
  <c r="N204"/>
  <c r="O204"/>
  <c r="O201"/>
  <c r="N201"/>
  <c r="O199"/>
  <c r="N199"/>
  <c r="O197"/>
  <c r="N197"/>
  <c r="O194"/>
  <c r="N194"/>
  <c r="N192"/>
  <c r="O192"/>
  <c r="O190"/>
  <c r="N190"/>
  <c r="O188"/>
  <c r="N188"/>
  <c r="O184"/>
  <c r="N184"/>
  <c r="O182"/>
  <c r="N182"/>
  <c r="O180"/>
  <c r="N180"/>
  <c r="N178"/>
  <c r="O178"/>
  <c r="O175"/>
  <c r="N175"/>
  <c r="O173"/>
  <c r="N173"/>
  <c r="O171"/>
  <c r="N171"/>
  <c r="N168"/>
  <c r="O168"/>
  <c r="O166"/>
  <c r="N166"/>
  <c r="O164"/>
  <c r="N164"/>
  <c r="O162"/>
  <c r="N162"/>
  <c r="O160"/>
  <c r="N160"/>
  <c r="O157"/>
  <c r="N157"/>
  <c r="O154"/>
  <c r="N154"/>
  <c r="N152"/>
  <c r="O152"/>
  <c r="O147"/>
  <c r="N147"/>
  <c r="O145"/>
  <c r="N145"/>
  <c r="N138"/>
  <c r="O138"/>
  <c r="O130"/>
  <c r="N130"/>
  <c r="O121"/>
  <c r="N121"/>
  <c r="O119"/>
  <c r="N119"/>
  <c r="O117"/>
  <c r="N117"/>
  <c r="O115"/>
  <c r="N115"/>
  <c r="O113"/>
  <c r="N113"/>
  <c r="O111"/>
  <c r="N111"/>
  <c r="O98"/>
  <c r="N98"/>
  <c r="O95"/>
  <c r="N95"/>
  <c r="O93"/>
  <c r="N93"/>
  <c r="N90"/>
  <c r="O90"/>
  <c r="O87"/>
  <c r="N87"/>
  <c r="O79"/>
  <c r="N79"/>
  <c r="O77"/>
  <c r="N77"/>
  <c r="N74"/>
  <c r="O74"/>
  <c r="N54"/>
  <c r="O54"/>
  <c r="O51"/>
  <c r="N51"/>
  <c r="O49"/>
  <c r="N49"/>
  <c r="O47"/>
  <c r="N47"/>
  <c r="O45"/>
  <c r="N45"/>
  <c r="O21"/>
  <c r="N21"/>
  <c r="O19"/>
  <c r="N19"/>
  <c r="N12"/>
  <c r="O12"/>
  <c r="O10"/>
  <c r="N10"/>
  <c r="O36"/>
  <c r="N36"/>
  <c r="R71" i="4"/>
  <c r="O177" i="2"/>
  <c r="N177"/>
  <c r="O43"/>
  <c r="N43"/>
  <c r="R25"/>
  <c r="R26"/>
  <c r="O9"/>
  <c r="N9"/>
  <c r="O223"/>
  <c r="N223"/>
  <c r="O221"/>
  <c r="N221"/>
  <c r="O219"/>
  <c r="N219"/>
  <c r="O217"/>
  <c r="N217"/>
  <c r="O215"/>
  <c r="N215"/>
  <c r="O213"/>
  <c r="N213"/>
  <c r="O211"/>
  <c r="N211"/>
  <c r="O209"/>
  <c r="N209"/>
  <c r="O207"/>
  <c r="N207"/>
  <c r="O205"/>
  <c r="N205"/>
  <c r="O203"/>
  <c r="N203"/>
  <c r="N200"/>
  <c r="O200"/>
  <c r="O198"/>
  <c r="N198"/>
  <c r="N196"/>
  <c r="O196"/>
  <c r="O193"/>
  <c r="N193"/>
  <c r="O191"/>
  <c r="N191"/>
  <c r="O189"/>
  <c r="N189"/>
  <c r="O186"/>
  <c r="N186"/>
  <c r="O183"/>
  <c r="N183"/>
  <c r="O181"/>
  <c r="N181"/>
  <c r="O179"/>
  <c r="N179"/>
  <c r="O176"/>
  <c r="N176"/>
  <c r="O174"/>
  <c r="N174"/>
  <c r="O172"/>
  <c r="N172"/>
  <c r="O170"/>
  <c r="N170"/>
  <c r="O167"/>
  <c r="N167"/>
  <c r="O165"/>
  <c r="N165"/>
  <c r="O163"/>
  <c r="N163"/>
  <c r="O161"/>
  <c r="N161"/>
  <c r="O159"/>
  <c r="N159"/>
  <c r="O156"/>
  <c r="N156"/>
  <c r="O153"/>
  <c r="N153"/>
  <c r="O151"/>
  <c r="N151"/>
  <c r="N148"/>
  <c r="O148"/>
  <c r="N144"/>
  <c r="O144"/>
  <c r="O139"/>
  <c r="N139"/>
  <c r="O135"/>
  <c r="N135"/>
  <c r="O133"/>
  <c r="N133"/>
  <c r="O129"/>
  <c r="N129"/>
  <c r="N126"/>
  <c r="O126"/>
  <c r="O120"/>
  <c r="N120"/>
  <c r="O118"/>
  <c r="N118"/>
  <c r="N116"/>
  <c r="O116"/>
  <c r="O114"/>
  <c r="N114"/>
  <c r="O112"/>
  <c r="N112"/>
  <c r="O110"/>
  <c r="N110"/>
  <c r="O107"/>
  <c r="N107"/>
  <c r="O103"/>
  <c r="N103"/>
  <c r="O101"/>
  <c r="N101"/>
  <c r="O99"/>
  <c r="N99"/>
  <c r="O96"/>
  <c r="N96"/>
  <c r="O92"/>
  <c r="N92"/>
  <c r="O88"/>
  <c r="N88"/>
  <c r="O82"/>
  <c r="N82"/>
  <c r="O78"/>
  <c r="N78"/>
  <c r="O75"/>
  <c r="N75"/>
  <c r="O53"/>
  <c r="N53"/>
  <c r="O50"/>
  <c r="N50"/>
  <c r="O48"/>
  <c r="N48"/>
  <c r="O46"/>
  <c r="N46"/>
  <c r="O42"/>
  <c r="N42"/>
  <c r="N20"/>
  <c r="O20"/>
  <c r="H146" i="1"/>
  <c r="T146" s="1"/>
  <c r="U146" s="1"/>
  <c r="I114"/>
  <c r="U114"/>
  <c r="I95"/>
  <c r="U95"/>
  <c r="U200"/>
  <c r="U123"/>
  <c r="E228" i="2"/>
  <c r="I9"/>
  <c r="I28"/>
  <c r="I30"/>
  <c r="I33"/>
  <c r="I38"/>
  <c r="U15" i="1"/>
  <c r="U18"/>
  <c r="U25"/>
  <c r="U23"/>
  <c r="U21"/>
  <c r="U68"/>
  <c r="U66"/>
  <c r="U64"/>
  <c r="U62"/>
  <c r="U85"/>
  <c r="U107"/>
  <c r="U151"/>
  <c r="L142" i="2"/>
  <c r="M142" s="1"/>
  <c r="L142" i="4" s="1"/>
  <c r="M142" s="1"/>
  <c r="U139" i="1"/>
  <c r="U137"/>
  <c r="U133"/>
  <c r="K54" i="2"/>
  <c r="J54" i="4" s="1"/>
  <c r="U177" i="1"/>
  <c r="U97"/>
  <c r="U109"/>
  <c r="U69"/>
  <c r="R124" i="4"/>
  <c r="U180" i="1"/>
  <c r="U149"/>
  <c r="U147"/>
  <c r="U145"/>
  <c r="U143"/>
  <c r="U111"/>
  <c r="U105"/>
  <c r="U103"/>
  <c r="U75"/>
  <c r="U19"/>
  <c r="U135"/>
  <c r="U131"/>
  <c r="F228" i="2"/>
  <c r="I25"/>
  <c r="I26"/>
  <c r="I27"/>
  <c r="I29"/>
  <c r="I31"/>
  <c r="I34"/>
  <c r="I37"/>
  <c r="I39"/>
  <c r="I102"/>
  <c r="I120"/>
  <c r="I140"/>
  <c r="I141"/>
  <c r="I142"/>
  <c r="I143"/>
  <c r="I149"/>
  <c r="I197"/>
  <c r="U16" i="1"/>
  <c r="U14"/>
  <c r="U26"/>
  <c r="U24"/>
  <c r="U22"/>
  <c r="U20"/>
  <c r="U59"/>
  <c r="U73"/>
  <c r="U67"/>
  <c r="U65"/>
  <c r="U63"/>
  <c r="U60"/>
  <c r="U87"/>
  <c r="U101"/>
  <c r="U110"/>
  <c r="U106"/>
  <c r="U104"/>
  <c r="U102"/>
  <c r="U152"/>
  <c r="U150"/>
  <c r="L143" i="2"/>
  <c r="M143" s="1"/>
  <c r="L143" i="4" s="1"/>
  <c r="M143" s="1"/>
  <c r="L141" i="2"/>
  <c r="M141" s="1"/>
  <c r="L141" i="4" s="1"/>
  <c r="M141" s="1"/>
  <c r="U142" i="1"/>
  <c r="U140"/>
  <c r="U138"/>
  <c r="U136"/>
  <c r="U134"/>
  <c r="U38"/>
  <c r="U168"/>
  <c r="U182"/>
  <c r="U132"/>
  <c r="U156"/>
  <c r="U108"/>
  <c r="U71"/>
  <c r="I123"/>
  <c r="Q231"/>
  <c r="I120" i="4"/>
  <c r="I142"/>
  <c r="J113"/>
  <c r="I162" i="1"/>
  <c r="I67"/>
  <c r="I65"/>
  <c r="I49"/>
  <c r="I26"/>
  <c r="L13" i="2"/>
  <c r="M13" s="1"/>
  <c r="L13" i="4" s="1"/>
  <c r="M13" s="1"/>
  <c r="L23" i="2"/>
  <c r="M23" s="1"/>
  <c r="L23" i="4" s="1"/>
  <c r="M23" s="1"/>
  <c r="L56" i="2"/>
  <c r="M56" s="1"/>
  <c r="L70"/>
  <c r="O70" s="1"/>
  <c r="L64"/>
  <c r="L62"/>
  <c r="L60"/>
  <c r="M60" s="1"/>
  <c r="L57"/>
  <c r="O57" s="1"/>
  <c r="L149"/>
  <c r="M149" s="1"/>
  <c r="L149" i="4" s="1"/>
  <c r="M149" s="1"/>
  <c r="K9" i="2"/>
  <c r="K61" i="4"/>
  <c r="K56"/>
  <c r="J141" i="2"/>
  <c r="L231" i="1"/>
  <c r="K28" i="4"/>
  <c r="K31"/>
  <c r="J143" i="2"/>
  <c r="I38" i="1"/>
  <c r="I176"/>
  <c r="I163"/>
  <c r="I133"/>
  <c r="I54"/>
  <c r="I34"/>
  <c r="I14"/>
  <c r="L15" i="2"/>
  <c r="N15" s="1"/>
  <c r="L22"/>
  <c r="M22" s="1"/>
  <c r="L22" i="4" s="1"/>
  <c r="M22" s="1"/>
  <c r="L18" i="2"/>
  <c r="M18" s="1"/>
  <c r="L18" i="4" s="1"/>
  <c r="M18" s="1"/>
  <c r="L16" i="2"/>
  <c r="O16" s="1"/>
  <c r="L72"/>
  <c r="L65"/>
  <c r="L63"/>
  <c r="L61"/>
  <c r="L59"/>
  <c r="L85"/>
  <c r="O85" s="1"/>
  <c r="L108"/>
  <c r="O108" s="1"/>
  <c r="L102"/>
  <c r="O102" s="1"/>
  <c r="L100"/>
  <c r="N100" s="1"/>
  <c r="L128"/>
  <c r="M128" s="1"/>
  <c r="L128" i="4" s="1"/>
  <c r="M128" s="1"/>
  <c r="L140" i="2"/>
  <c r="M140" s="1"/>
  <c r="L140" i="4" s="1"/>
  <c r="M140" s="1"/>
  <c r="L136" i="2"/>
  <c r="N136" s="1"/>
  <c r="L132"/>
  <c r="M132" s="1"/>
  <c r="L132" i="4" s="1"/>
  <c r="M132" s="1"/>
  <c r="K59"/>
  <c r="L68" i="2"/>
  <c r="K30" i="4"/>
  <c r="I217" i="1"/>
  <c r="I167"/>
  <c r="I161"/>
  <c r="I169"/>
  <c r="I193"/>
  <c r="I202"/>
  <c r="I168"/>
  <c r="I204"/>
  <c r="I26" i="4"/>
  <c r="K142" i="2"/>
  <c r="K158"/>
  <c r="K214"/>
  <c r="K210"/>
  <c r="K154"/>
  <c r="K149"/>
  <c r="K145"/>
  <c r="K136"/>
  <c r="K134"/>
  <c r="K119"/>
  <c r="K111"/>
  <c r="K104"/>
  <c r="K102"/>
  <c r="K100"/>
  <c r="K98"/>
  <c r="K95"/>
  <c r="K93"/>
  <c r="K90"/>
  <c r="K87"/>
  <c r="K84"/>
  <c r="K79"/>
  <c r="K49"/>
  <c r="K45"/>
  <c r="K23"/>
  <c r="K21"/>
  <c r="K19"/>
  <c r="K15"/>
  <c r="K12"/>
  <c r="K10"/>
  <c r="K57"/>
  <c r="K221"/>
  <c r="K217"/>
  <c r="K211"/>
  <c r="K207"/>
  <c r="K203"/>
  <c r="K198"/>
  <c r="K191"/>
  <c r="K176"/>
  <c r="K174"/>
  <c r="K172"/>
  <c r="K170"/>
  <c r="K167"/>
  <c r="K165"/>
  <c r="K163"/>
  <c r="K161"/>
  <c r="K159"/>
  <c r="K156"/>
  <c r="K153"/>
  <c r="K151"/>
  <c r="K148"/>
  <c r="K146"/>
  <c r="K144"/>
  <c r="K139"/>
  <c r="K135"/>
  <c r="K133"/>
  <c r="K129"/>
  <c r="K103"/>
  <c r="K101"/>
  <c r="K85"/>
  <c r="K78"/>
  <c r="K75"/>
  <c r="K53"/>
  <c r="K50"/>
  <c r="K48"/>
  <c r="K46"/>
  <c r="K42"/>
  <c r="K22"/>
  <c r="K20"/>
  <c r="K16"/>
  <c r="K11"/>
  <c r="K70"/>
  <c r="I12" i="1"/>
  <c r="I138"/>
  <c r="G228" i="4"/>
  <c r="I197"/>
  <c r="I33"/>
  <c r="I141"/>
  <c r="K231" i="1"/>
  <c r="J57"/>
  <c r="J231" s="1"/>
  <c r="I213"/>
  <c r="I120"/>
  <c r="I147"/>
  <c r="I155"/>
  <c r="I194"/>
  <c r="I200"/>
  <c r="I118"/>
  <c r="I211"/>
  <c r="I64"/>
  <c r="I25"/>
  <c r="I103"/>
  <c r="I90"/>
  <c r="I20"/>
  <c r="I9" i="4"/>
  <c r="I140" i="1"/>
  <c r="I31"/>
  <c r="L17" i="2"/>
  <c r="M17" s="1"/>
  <c r="L17" i="4" s="1"/>
  <c r="L84" i="2"/>
  <c r="O84" s="1"/>
  <c r="L137"/>
  <c r="M137" s="1"/>
  <c r="L137" i="4" s="1"/>
  <c r="L131" i="2"/>
  <c r="M131" s="1"/>
  <c r="L131" i="4" s="1"/>
  <c r="M131" s="1"/>
  <c r="J76" i="2"/>
  <c r="L94"/>
  <c r="M94" s="1"/>
  <c r="L94" i="4" s="1"/>
  <c r="M94" s="1"/>
  <c r="I189"/>
  <c r="I149"/>
  <c r="I143"/>
  <c r="I28" i="1"/>
  <c r="I192"/>
  <c r="I219"/>
  <c r="F231"/>
  <c r="I106"/>
  <c r="I129"/>
  <c r="I85"/>
  <c r="I25" i="4"/>
  <c r="I102"/>
  <c r="J152" i="1"/>
  <c r="I203"/>
  <c r="I206"/>
  <c r="I210"/>
  <c r="I105"/>
  <c r="I39" i="4"/>
  <c r="I196"/>
  <c r="I221" i="1"/>
  <c r="I209"/>
  <c r="I154"/>
  <c r="I146"/>
  <c r="I160"/>
  <c r="I149"/>
  <c r="I80"/>
  <c r="I180"/>
  <c r="I156"/>
  <c r="I173"/>
  <c r="I110"/>
  <c r="I75"/>
  <c r="F228" i="4"/>
  <c r="I140"/>
  <c r="I190"/>
  <c r="K36" i="2"/>
  <c r="L58"/>
  <c r="L66"/>
  <c r="I37" i="4"/>
  <c r="L106" i="2"/>
  <c r="L104"/>
  <c r="N104" s="1"/>
  <c r="K186"/>
  <c r="K200"/>
  <c r="K213"/>
  <c r="K17"/>
  <c r="M203"/>
  <c r="L203" i="4" s="1"/>
  <c r="M203" s="1"/>
  <c r="L105" i="2"/>
  <c r="L50" i="4"/>
  <c r="M50" s="1"/>
  <c r="L134" i="2"/>
  <c r="M134" s="1"/>
  <c r="L134" i="4" s="1"/>
  <c r="L146" i="2"/>
  <c r="M146" s="1"/>
  <c r="K223"/>
  <c r="K219"/>
  <c r="K215"/>
  <c r="K209"/>
  <c r="K196"/>
  <c r="K183"/>
  <c r="K181"/>
  <c r="K179"/>
  <c r="K137"/>
  <c r="K131"/>
  <c r="K126"/>
  <c r="K116"/>
  <c r="K114"/>
  <c r="K108"/>
  <c r="M53"/>
  <c r="L53" i="4" s="1"/>
  <c r="M53" s="1"/>
  <c r="M48" i="2"/>
  <c r="L48" i="4" s="1"/>
  <c r="M48" s="1"/>
  <c r="M42" i="2"/>
  <c r="L42" i="4" s="1"/>
  <c r="M42" s="1"/>
  <c r="M151" i="2"/>
  <c r="K120"/>
  <c r="K189"/>
  <c r="K193"/>
  <c r="K205"/>
  <c r="M46"/>
  <c r="K118"/>
  <c r="L215" i="4"/>
  <c r="M215" s="1"/>
  <c r="M12" i="2"/>
  <c r="L12" i="4" s="1"/>
  <c r="M12" s="1"/>
  <c r="H228"/>
  <c r="M165"/>
  <c r="J65"/>
  <c r="L172"/>
  <c r="K201" i="2"/>
  <c r="K130"/>
  <c r="K94"/>
  <c r="K74"/>
  <c r="M174"/>
  <c r="M167"/>
  <c r="M95"/>
  <c r="M90"/>
  <c r="M79"/>
  <c r="K47"/>
  <c r="K51"/>
  <c r="K197"/>
  <c r="M9"/>
  <c r="L9" i="4" s="1"/>
  <c r="M9" s="1"/>
  <c r="K177" i="2"/>
  <c r="K44"/>
  <c r="M44" i="4"/>
  <c r="J60"/>
  <c r="M200"/>
  <c r="M163"/>
  <c r="J64"/>
  <c r="J63"/>
  <c r="L181"/>
  <c r="M133" i="2"/>
  <c r="M144"/>
  <c r="K227"/>
  <c r="K222"/>
  <c r="K220"/>
  <c r="K216"/>
  <c r="K206"/>
  <c r="K199"/>
  <c r="K194"/>
  <c r="K192"/>
  <c r="K190"/>
  <c r="K188"/>
  <c r="K184"/>
  <c r="K182"/>
  <c r="K180"/>
  <c r="K178"/>
  <c r="K175"/>
  <c r="K173"/>
  <c r="K171"/>
  <c r="K168"/>
  <c r="K166"/>
  <c r="K164"/>
  <c r="K162"/>
  <c r="K160"/>
  <c r="K157"/>
  <c r="K147"/>
  <c r="K140"/>
  <c r="K132"/>
  <c r="K128"/>
  <c r="K121"/>
  <c r="K117"/>
  <c r="K115"/>
  <c r="K112"/>
  <c r="K107"/>
  <c r="K99"/>
  <c r="K96"/>
  <c r="K88"/>
  <c r="K82"/>
  <c r="M227" i="4"/>
  <c r="K110" i="2"/>
  <c r="K138"/>
  <c r="K152"/>
  <c r="K204"/>
  <c r="K208"/>
  <c r="K218"/>
  <c r="K92"/>
  <c r="K212"/>
  <c r="K43"/>
  <c r="K77"/>
  <c r="K18"/>
  <c r="K13"/>
  <c r="M153"/>
  <c r="L153" i="4" s="1"/>
  <c r="M153" s="1"/>
  <c r="L148"/>
  <c r="M148" s="1"/>
  <c r="L129"/>
  <c r="M159"/>
  <c r="M161"/>
  <c r="L74"/>
  <c r="L196"/>
  <c r="L92"/>
  <c r="I208" i="1"/>
  <c r="I137"/>
  <c r="I182"/>
  <c r="I132"/>
  <c r="I166"/>
  <c r="I45"/>
  <c r="I225"/>
  <c r="I177"/>
  <c r="H144"/>
  <c r="H231" s="1"/>
  <c r="I57"/>
  <c r="I121"/>
  <c r="I178"/>
  <c r="I111"/>
  <c r="I181"/>
  <c r="I143"/>
  <c r="I145"/>
  <c r="I135"/>
  <c r="E231"/>
  <c r="L11" i="2"/>
  <c r="O11" s="1"/>
  <c r="M218" i="4"/>
  <c r="M29"/>
  <c r="M164"/>
  <c r="M130" i="2"/>
  <c r="L130" i="4" s="1"/>
  <c r="M98" i="2"/>
  <c r="M214" i="4"/>
  <c r="M43"/>
  <c r="L103"/>
  <c r="M201"/>
  <c r="M219"/>
  <c r="K62"/>
  <c r="M209"/>
  <c r="L93"/>
  <c r="K66"/>
  <c r="M179"/>
  <c r="M171"/>
  <c r="M82"/>
  <c r="M206"/>
  <c r="M194"/>
  <c r="M207"/>
  <c r="M223"/>
  <c r="M199"/>
  <c r="M87"/>
  <c r="K29"/>
  <c r="M183"/>
  <c r="J27"/>
  <c r="M28"/>
  <c r="J25"/>
  <c r="J26"/>
  <c r="L27"/>
  <c r="L31"/>
  <c r="O31" s="1"/>
  <c r="L30"/>
  <c r="O30" s="1"/>
  <c r="M10" i="2"/>
  <c r="L10" i="4" s="1"/>
  <c r="M10" s="1"/>
  <c r="T144" i="1" l="1"/>
  <c r="R122" i="4"/>
  <c r="M16" i="2"/>
  <c r="L16" i="4" s="1"/>
  <c r="M100" i="2"/>
  <c r="L100" i="4" s="1"/>
  <c r="R123"/>
  <c r="R185"/>
  <c r="R125"/>
  <c r="R113" i="2"/>
  <c r="M70"/>
  <c r="Q70" s="1"/>
  <c r="Q29" i="4"/>
  <c r="P29"/>
  <c r="O25"/>
  <c r="N25"/>
  <c r="O27"/>
  <c r="N27"/>
  <c r="Q28"/>
  <c r="P28"/>
  <c r="O113"/>
  <c r="N113"/>
  <c r="N31"/>
  <c r="N30"/>
  <c r="O26"/>
  <c r="N26"/>
  <c r="O54"/>
  <c r="N54"/>
  <c r="Q18" i="2"/>
  <c r="P18"/>
  <c r="Q43"/>
  <c r="P43"/>
  <c r="Q92"/>
  <c r="P92"/>
  <c r="Q208"/>
  <c r="P208"/>
  <c r="Q152"/>
  <c r="P152"/>
  <c r="Q110"/>
  <c r="P110"/>
  <c r="Q82"/>
  <c r="P82"/>
  <c r="Q96"/>
  <c r="P96"/>
  <c r="Q107"/>
  <c r="P107"/>
  <c r="Q115"/>
  <c r="P115"/>
  <c r="Q121"/>
  <c r="P121"/>
  <c r="Q132"/>
  <c r="P132"/>
  <c r="Q147"/>
  <c r="P147"/>
  <c r="Q160"/>
  <c r="P160"/>
  <c r="Q164"/>
  <c r="P164"/>
  <c r="Q168"/>
  <c r="P168"/>
  <c r="Q173"/>
  <c r="P173"/>
  <c r="Q178"/>
  <c r="P178"/>
  <c r="Q182"/>
  <c r="P182"/>
  <c r="Q188"/>
  <c r="P188"/>
  <c r="Q192"/>
  <c r="P192"/>
  <c r="Q199"/>
  <c r="P199"/>
  <c r="Q216"/>
  <c r="P216"/>
  <c r="Q222"/>
  <c r="P222"/>
  <c r="Q44"/>
  <c r="P44"/>
  <c r="Q51"/>
  <c r="P51"/>
  <c r="P94"/>
  <c r="Q94"/>
  <c r="Q201"/>
  <c r="P201"/>
  <c r="Q193"/>
  <c r="P193"/>
  <c r="Q120"/>
  <c r="P120"/>
  <c r="Q114"/>
  <c r="P114"/>
  <c r="Q126"/>
  <c r="P126"/>
  <c r="Q137"/>
  <c r="P137"/>
  <c r="Q181"/>
  <c r="P181"/>
  <c r="Q196"/>
  <c r="P196"/>
  <c r="Q215"/>
  <c r="P215"/>
  <c r="Q223"/>
  <c r="P223"/>
  <c r="O105"/>
  <c r="N105"/>
  <c r="Q60"/>
  <c r="P60"/>
  <c r="Q17"/>
  <c r="P17"/>
  <c r="Q200"/>
  <c r="P200"/>
  <c r="Q56"/>
  <c r="P56"/>
  <c r="N66"/>
  <c r="O66"/>
  <c r="Q36"/>
  <c r="P36"/>
  <c r="O76"/>
  <c r="N76"/>
  <c r="Q20"/>
  <c r="P20"/>
  <c r="Q42"/>
  <c r="P42"/>
  <c r="Q48"/>
  <c r="P48"/>
  <c r="Q53"/>
  <c r="P53"/>
  <c r="P78"/>
  <c r="Q78"/>
  <c r="Q101"/>
  <c r="P101"/>
  <c r="Q129"/>
  <c r="P129"/>
  <c r="Q135"/>
  <c r="P135"/>
  <c r="Q144"/>
  <c r="P144"/>
  <c r="Q148"/>
  <c r="P148"/>
  <c r="Q153"/>
  <c r="P153"/>
  <c r="Q159"/>
  <c r="P159"/>
  <c r="Q163"/>
  <c r="P163"/>
  <c r="Q167"/>
  <c r="P167"/>
  <c r="Q172"/>
  <c r="P172"/>
  <c r="Q176"/>
  <c r="P176"/>
  <c r="Q198"/>
  <c r="P198"/>
  <c r="Q207"/>
  <c r="P207"/>
  <c r="Q217"/>
  <c r="P217"/>
  <c r="Q12"/>
  <c r="P12"/>
  <c r="Q19"/>
  <c r="P19"/>
  <c r="Q23"/>
  <c r="P23"/>
  <c r="Q49"/>
  <c r="P49"/>
  <c r="Q90"/>
  <c r="P90"/>
  <c r="Q95"/>
  <c r="P95"/>
  <c r="Q119"/>
  <c r="P119"/>
  <c r="Q149"/>
  <c r="P149"/>
  <c r="Q210"/>
  <c r="P210"/>
  <c r="Q158"/>
  <c r="P158"/>
  <c r="N61"/>
  <c r="O61"/>
  <c r="N65"/>
  <c r="O65"/>
  <c r="Q9"/>
  <c r="P9"/>
  <c r="N62"/>
  <c r="O62"/>
  <c r="Q54"/>
  <c r="P54"/>
  <c r="N57"/>
  <c r="N11"/>
  <c r="N13"/>
  <c r="N16"/>
  <c r="N18"/>
  <c r="N22"/>
  <c r="N85"/>
  <c r="O94"/>
  <c r="N131"/>
  <c r="N137"/>
  <c r="N146"/>
  <c r="N142"/>
  <c r="N70"/>
  <c r="O15"/>
  <c r="O17"/>
  <c r="O23"/>
  <c r="N84"/>
  <c r="O100"/>
  <c r="N102"/>
  <c r="O104"/>
  <c r="N108"/>
  <c r="O128"/>
  <c r="O132"/>
  <c r="N134"/>
  <c r="O136"/>
  <c r="O140"/>
  <c r="O149"/>
  <c r="Q13"/>
  <c r="P13"/>
  <c r="Q77"/>
  <c r="P77"/>
  <c r="Q212"/>
  <c r="P212"/>
  <c r="Q218"/>
  <c r="P218"/>
  <c r="Q204"/>
  <c r="P204"/>
  <c r="Q138"/>
  <c r="P138"/>
  <c r="Q88"/>
  <c r="P88"/>
  <c r="Q99"/>
  <c r="P99"/>
  <c r="Q112"/>
  <c r="P112"/>
  <c r="Q117"/>
  <c r="P117"/>
  <c r="Q128"/>
  <c r="P128"/>
  <c r="Q140"/>
  <c r="P140"/>
  <c r="Q157"/>
  <c r="P157"/>
  <c r="Q162"/>
  <c r="P162"/>
  <c r="Q166"/>
  <c r="P166"/>
  <c r="Q171"/>
  <c r="P171"/>
  <c r="Q175"/>
  <c r="P175"/>
  <c r="Q180"/>
  <c r="P180"/>
  <c r="Q184"/>
  <c r="P184"/>
  <c r="Q190"/>
  <c r="P190"/>
  <c r="Q194"/>
  <c r="P194"/>
  <c r="Q206"/>
  <c r="P206"/>
  <c r="Q220"/>
  <c r="P220"/>
  <c r="Q227"/>
  <c r="P227"/>
  <c r="Q177"/>
  <c r="P177"/>
  <c r="Q197"/>
  <c r="P197"/>
  <c r="Q47"/>
  <c r="P47"/>
  <c r="P74"/>
  <c r="Q74"/>
  <c r="Q130"/>
  <c r="P130"/>
  <c r="Q118"/>
  <c r="P118"/>
  <c r="Q205"/>
  <c r="P205"/>
  <c r="Q189"/>
  <c r="P189"/>
  <c r="Q116"/>
  <c r="P116"/>
  <c r="Q131"/>
  <c r="P131"/>
  <c r="Q179"/>
  <c r="P179"/>
  <c r="Q183"/>
  <c r="P183"/>
  <c r="Q209"/>
  <c r="P209"/>
  <c r="Q219"/>
  <c r="P219"/>
  <c r="Q213"/>
  <c r="P213"/>
  <c r="Q186"/>
  <c r="P186"/>
  <c r="N106"/>
  <c r="O106"/>
  <c r="N58"/>
  <c r="O58"/>
  <c r="P70"/>
  <c r="Q22"/>
  <c r="P22"/>
  <c r="Q46"/>
  <c r="P46"/>
  <c r="Q50"/>
  <c r="P50"/>
  <c r="Q75"/>
  <c r="P75"/>
  <c r="Q103"/>
  <c r="P103"/>
  <c r="Q133"/>
  <c r="P133"/>
  <c r="Q139"/>
  <c r="P139"/>
  <c r="Q146"/>
  <c r="P146"/>
  <c r="Q151"/>
  <c r="P151"/>
  <c r="Q156"/>
  <c r="P156"/>
  <c r="Q161"/>
  <c r="P161"/>
  <c r="Q165"/>
  <c r="P165"/>
  <c r="Q170"/>
  <c r="P170"/>
  <c r="Q174"/>
  <c r="P174"/>
  <c r="Q191"/>
  <c r="P191"/>
  <c r="Q203"/>
  <c r="P203"/>
  <c r="Q211"/>
  <c r="P211"/>
  <c r="Q221"/>
  <c r="P221"/>
  <c r="Q10"/>
  <c r="P10"/>
  <c r="Q21"/>
  <c r="P21"/>
  <c r="Q45"/>
  <c r="P45"/>
  <c r="Q79"/>
  <c r="P79"/>
  <c r="Q87"/>
  <c r="P87"/>
  <c r="Q93"/>
  <c r="P93"/>
  <c r="Q98"/>
  <c r="P98"/>
  <c r="Q111"/>
  <c r="P111"/>
  <c r="Q134"/>
  <c r="P134"/>
  <c r="Q145"/>
  <c r="P145"/>
  <c r="Q154"/>
  <c r="P154"/>
  <c r="Q214"/>
  <c r="P214"/>
  <c r="Q142"/>
  <c r="P142"/>
  <c r="N68"/>
  <c r="O68"/>
  <c r="N59"/>
  <c r="O59"/>
  <c r="N63"/>
  <c r="O63"/>
  <c r="N72"/>
  <c r="O72"/>
  <c r="O143"/>
  <c r="N143"/>
  <c r="O141"/>
  <c r="N141"/>
  <c r="N60"/>
  <c r="O60"/>
  <c r="N64"/>
  <c r="O64"/>
  <c r="N56"/>
  <c r="O56"/>
  <c r="O13"/>
  <c r="O18"/>
  <c r="O22"/>
  <c r="N94"/>
  <c r="O131"/>
  <c r="O137"/>
  <c r="O146"/>
  <c r="O142"/>
  <c r="N17"/>
  <c r="N23"/>
  <c r="N128"/>
  <c r="N132"/>
  <c r="O134"/>
  <c r="N140"/>
  <c r="N149"/>
  <c r="R194"/>
  <c r="J42" i="4"/>
  <c r="K42" s="1"/>
  <c r="J101"/>
  <c r="J153"/>
  <c r="K153" s="1"/>
  <c r="J176"/>
  <c r="J217"/>
  <c r="K217" s="1"/>
  <c r="J12"/>
  <c r="J23"/>
  <c r="K23" s="1"/>
  <c r="J210"/>
  <c r="K54"/>
  <c r="M61" i="2"/>
  <c r="L61" i="4" s="1"/>
  <c r="M65" i="2"/>
  <c r="L65" i="4" s="1"/>
  <c r="M65" s="1"/>
  <c r="J9"/>
  <c r="M62" i="2"/>
  <c r="L62" i="4" s="1"/>
  <c r="U61" i="1"/>
  <c r="U88"/>
  <c r="J213" i="4"/>
  <c r="K213" s="1"/>
  <c r="J22"/>
  <c r="K22" s="1"/>
  <c r="J50"/>
  <c r="K50" s="1"/>
  <c r="J214"/>
  <c r="K214" s="1"/>
  <c r="M63" i="2"/>
  <c r="L63" i="4" s="1"/>
  <c r="O63" s="1"/>
  <c r="K143" i="2"/>
  <c r="J143" i="4" s="1"/>
  <c r="M64" i="2"/>
  <c r="K113" i="4"/>
  <c r="U144" i="1"/>
  <c r="M15" i="2"/>
  <c r="P15" s="1"/>
  <c r="M84"/>
  <c r="Q84" s="1"/>
  <c r="M57"/>
  <c r="Q57" s="1"/>
  <c r="M85"/>
  <c r="P85" s="1"/>
  <c r="M102"/>
  <c r="P102" s="1"/>
  <c r="M136"/>
  <c r="L136" i="4" s="1"/>
  <c r="S231" i="1"/>
  <c r="R231"/>
  <c r="J139" i="4"/>
  <c r="J211"/>
  <c r="J10"/>
  <c r="K10" s="1"/>
  <c r="J21"/>
  <c r="J79"/>
  <c r="J111"/>
  <c r="M59" i="2"/>
  <c r="M72"/>
  <c r="L72" i="4" s="1"/>
  <c r="J207"/>
  <c r="J49"/>
  <c r="J119"/>
  <c r="M68" i="2"/>
  <c r="T231" i="1"/>
  <c r="X231" s="1"/>
  <c r="S228" i="2" s="1"/>
  <c r="M108"/>
  <c r="L108" i="4" s="1"/>
  <c r="M108" s="1"/>
  <c r="J13"/>
  <c r="J77"/>
  <c r="J99"/>
  <c r="J117"/>
  <c r="J180"/>
  <c r="K64"/>
  <c r="J74"/>
  <c r="J130"/>
  <c r="J120"/>
  <c r="J108"/>
  <c r="J116"/>
  <c r="J131"/>
  <c r="J183"/>
  <c r="J17"/>
  <c r="J200"/>
  <c r="J11"/>
  <c r="J20"/>
  <c r="J48"/>
  <c r="J53"/>
  <c r="J78"/>
  <c r="J129"/>
  <c r="J135"/>
  <c r="J144"/>
  <c r="J148"/>
  <c r="J159"/>
  <c r="J163"/>
  <c r="J167"/>
  <c r="J172"/>
  <c r="J198"/>
  <c r="J19"/>
  <c r="J84"/>
  <c r="J90"/>
  <c r="J95"/>
  <c r="J100"/>
  <c r="J104"/>
  <c r="J136"/>
  <c r="J149"/>
  <c r="J142"/>
  <c r="K141" i="2"/>
  <c r="K27" i="4"/>
  <c r="J43"/>
  <c r="J92"/>
  <c r="J121"/>
  <c r="J178"/>
  <c r="K63"/>
  <c r="J47"/>
  <c r="J94"/>
  <c r="K65"/>
  <c r="J118"/>
  <c r="J205"/>
  <c r="J189"/>
  <c r="J114"/>
  <c r="J126"/>
  <c r="J137"/>
  <c r="J181"/>
  <c r="J215"/>
  <c r="J186"/>
  <c r="J70"/>
  <c r="J16"/>
  <c r="J46"/>
  <c r="J75"/>
  <c r="J85"/>
  <c r="J103"/>
  <c r="J133"/>
  <c r="J146"/>
  <c r="J151"/>
  <c r="J161"/>
  <c r="J165"/>
  <c r="J170"/>
  <c r="J174"/>
  <c r="J191"/>
  <c r="J203"/>
  <c r="J221"/>
  <c r="J15"/>
  <c r="J45"/>
  <c r="J87"/>
  <c r="J93"/>
  <c r="J98"/>
  <c r="J102"/>
  <c r="J134"/>
  <c r="J145"/>
  <c r="J154"/>
  <c r="J158"/>
  <c r="J201"/>
  <c r="J51"/>
  <c r="L174"/>
  <c r="M174" s="1"/>
  <c r="K76" i="2"/>
  <c r="I228" i="4"/>
  <c r="I228" i="2"/>
  <c r="M106"/>
  <c r="M66"/>
  <c r="M58"/>
  <c r="J36" i="4"/>
  <c r="J209"/>
  <c r="M104" i="2"/>
  <c r="P104" s="1"/>
  <c r="J197" i="4"/>
  <c r="L90"/>
  <c r="M90" s="1"/>
  <c r="J156"/>
  <c r="L146"/>
  <c r="K117"/>
  <c r="L60"/>
  <c r="O60" s="1"/>
  <c r="J112"/>
  <c r="J175"/>
  <c r="J173"/>
  <c r="L95"/>
  <c r="J110"/>
  <c r="J115"/>
  <c r="M105" i="2"/>
  <c r="L151" i="4"/>
  <c r="L46"/>
  <c r="J212"/>
  <c r="M137"/>
  <c r="J193"/>
  <c r="J179"/>
  <c r="J196"/>
  <c r="J219"/>
  <c r="J223"/>
  <c r="M196"/>
  <c r="M129"/>
  <c r="J177"/>
  <c r="L79"/>
  <c r="L167"/>
  <c r="M172"/>
  <c r="J44"/>
  <c r="K60"/>
  <c r="M130"/>
  <c r="J208"/>
  <c r="J138"/>
  <c r="L56"/>
  <c r="J107"/>
  <c r="J132"/>
  <c r="J157"/>
  <c r="J160"/>
  <c r="J162"/>
  <c r="J164"/>
  <c r="J166"/>
  <c r="J168"/>
  <c r="J171"/>
  <c r="J184"/>
  <c r="J188"/>
  <c r="J206"/>
  <c r="J220"/>
  <c r="J222"/>
  <c r="L144"/>
  <c r="L133"/>
  <c r="M181"/>
  <c r="M11" i="2"/>
  <c r="Q11" s="1"/>
  <c r="J18" i="4"/>
  <c r="J218"/>
  <c r="J204"/>
  <c r="J152"/>
  <c r="J82"/>
  <c r="J88"/>
  <c r="J96"/>
  <c r="J128"/>
  <c r="J140"/>
  <c r="J147"/>
  <c r="J182"/>
  <c r="J190"/>
  <c r="J192"/>
  <c r="J194"/>
  <c r="J199"/>
  <c r="J216"/>
  <c r="J227"/>
  <c r="I144" i="1"/>
  <c r="I231" s="1"/>
  <c r="M92" i="4"/>
  <c r="M74"/>
  <c r="L98"/>
  <c r="J57"/>
  <c r="M93"/>
  <c r="M103"/>
  <c r="L102"/>
  <c r="M134"/>
  <c r="L85"/>
  <c r="M27"/>
  <c r="K25"/>
  <c r="K26"/>
  <c r="M31"/>
  <c r="Q31" s="1"/>
  <c r="M30"/>
  <c r="Q30" s="1"/>
  <c r="M17"/>
  <c r="R74" i="2" l="1"/>
  <c r="R162"/>
  <c r="R117"/>
  <c r="R77"/>
  <c r="R48"/>
  <c r="R208"/>
  <c r="R79"/>
  <c r="R29" i="4"/>
  <c r="R207" i="2"/>
  <c r="R167"/>
  <c r="R148"/>
  <c r="R101"/>
  <c r="R42"/>
  <c r="R196"/>
  <c r="R114"/>
  <c r="R216"/>
  <c r="R164"/>
  <c r="R121"/>
  <c r="R82"/>
  <c r="R145"/>
  <c r="R93"/>
  <c r="R158"/>
  <c r="R198"/>
  <c r="R163"/>
  <c r="R144"/>
  <c r="R78"/>
  <c r="R120"/>
  <c r="R201"/>
  <c r="R45"/>
  <c r="R90"/>
  <c r="R12"/>
  <c r="R176"/>
  <c r="R159"/>
  <c r="R135"/>
  <c r="R53"/>
  <c r="R200"/>
  <c r="R193"/>
  <c r="R147"/>
  <c r="R107"/>
  <c r="R171"/>
  <c r="R199"/>
  <c r="R178"/>
  <c r="R110"/>
  <c r="R116"/>
  <c r="R130"/>
  <c r="R175"/>
  <c r="R157"/>
  <c r="R92"/>
  <c r="R182"/>
  <c r="L84" i="4"/>
  <c r="M84" s="1"/>
  <c r="R206" i="2"/>
  <c r="R154"/>
  <c r="R51"/>
  <c r="R197"/>
  <c r="R180"/>
  <c r="R115"/>
  <c r="R43"/>
  <c r="R205"/>
  <c r="R166"/>
  <c r="R227"/>
  <c r="R190"/>
  <c r="R218"/>
  <c r="R19"/>
  <c r="R213"/>
  <c r="R184"/>
  <c r="R88"/>
  <c r="R98"/>
  <c r="R95"/>
  <c r="R20"/>
  <c r="Q16"/>
  <c r="R16" s="1"/>
  <c r="R47"/>
  <c r="R212"/>
  <c r="R181"/>
  <c r="R160"/>
  <c r="R179"/>
  <c r="R220"/>
  <c r="R214"/>
  <c r="R210"/>
  <c r="P16"/>
  <c r="L15" i="4"/>
  <c r="M15" s="1"/>
  <c r="P100" i="2"/>
  <c r="R111"/>
  <c r="Q100"/>
  <c r="R9"/>
  <c r="R21"/>
  <c r="R140"/>
  <c r="R54"/>
  <c r="R119"/>
  <c r="R49"/>
  <c r="R217"/>
  <c r="R172"/>
  <c r="R153"/>
  <c r="R129"/>
  <c r="R36"/>
  <c r="R215"/>
  <c r="R126"/>
  <c r="R222"/>
  <c r="R188"/>
  <c r="R168"/>
  <c r="R96"/>
  <c r="R28" i="4"/>
  <c r="R87" i="2"/>
  <c r="R10"/>
  <c r="R191"/>
  <c r="R161"/>
  <c r="R139"/>
  <c r="R50"/>
  <c r="R223"/>
  <c r="R44"/>
  <c r="R192"/>
  <c r="R173"/>
  <c r="R152"/>
  <c r="R132"/>
  <c r="R203"/>
  <c r="R165"/>
  <c r="R75"/>
  <c r="R186"/>
  <c r="R183"/>
  <c r="R189"/>
  <c r="R99"/>
  <c r="R17"/>
  <c r="R211"/>
  <c r="R170"/>
  <c r="R151"/>
  <c r="R103"/>
  <c r="R209"/>
  <c r="R177"/>
  <c r="R112"/>
  <c r="R204"/>
  <c r="R149"/>
  <c r="R221"/>
  <c r="R174"/>
  <c r="R156"/>
  <c r="R133"/>
  <c r="R46"/>
  <c r="R219"/>
  <c r="R118"/>
  <c r="R138"/>
  <c r="L70" i="4"/>
  <c r="N70" s="1"/>
  <c r="R128" i="2"/>
  <c r="R23"/>
  <c r="R94"/>
  <c r="Q42" i="4"/>
  <c r="P42"/>
  <c r="Q213"/>
  <c r="P213"/>
  <c r="Q10"/>
  <c r="P10"/>
  <c r="Q22"/>
  <c r="P22"/>
  <c r="Q23"/>
  <c r="P23"/>
  <c r="Q25"/>
  <c r="P25"/>
  <c r="N216"/>
  <c r="O216"/>
  <c r="N194"/>
  <c r="O194"/>
  <c r="O190"/>
  <c r="N190"/>
  <c r="O147"/>
  <c r="N147"/>
  <c r="O128"/>
  <c r="N128"/>
  <c r="O88"/>
  <c r="N88"/>
  <c r="O152"/>
  <c r="N152"/>
  <c r="N218"/>
  <c r="O218"/>
  <c r="N220"/>
  <c r="O220"/>
  <c r="N188"/>
  <c r="O188"/>
  <c r="O171"/>
  <c r="N171"/>
  <c r="N166"/>
  <c r="O166"/>
  <c r="N162"/>
  <c r="O162"/>
  <c r="O157"/>
  <c r="N157"/>
  <c r="O107"/>
  <c r="N107"/>
  <c r="N138"/>
  <c r="O138"/>
  <c r="O44"/>
  <c r="N44"/>
  <c r="O177"/>
  <c r="N177"/>
  <c r="O219"/>
  <c r="N219"/>
  <c r="O179"/>
  <c r="N179"/>
  <c r="O115"/>
  <c r="N115"/>
  <c r="O175"/>
  <c r="N175"/>
  <c r="O72"/>
  <c r="N72"/>
  <c r="O36"/>
  <c r="N36"/>
  <c r="O51"/>
  <c r="N51"/>
  <c r="O158"/>
  <c r="N158"/>
  <c r="O145"/>
  <c r="N145"/>
  <c r="O102"/>
  <c r="N102"/>
  <c r="O93"/>
  <c r="N93"/>
  <c r="O45"/>
  <c r="N45"/>
  <c r="O221"/>
  <c r="N221"/>
  <c r="O191"/>
  <c r="N191"/>
  <c r="N170"/>
  <c r="O170"/>
  <c r="O161"/>
  <c r="N161"/>
  <c r="N146"/>
  <c r="O146"/>
  <c r="O103"/>
  <c r="N103"/>
  <c r="O75"/>
  <c r="N75"/>
  <c r="O16"/>
  <c r="N16"/>
  <c r="O186"/>
  <c r="N186"/>
  <c r="O62"/>
  <c r="N62"/>
  <c r="O181"/>
  <c r="N181"/>
  <c r="N126"/>
  <c r="O126"/>
  <c r="O189"/>
  <c r="N189"/>
  <c r="O118"/>
  <c r="N118"/>
  <c r="O94"/>
  <c r="N94"/>
  <c r="Q217"/>
  <c r="P217"/>
  <c r="N178"/>
  <c r="O178"/>
  <c r="Q50"/>
  <c r="P50"/>
  <c r="O43"/>
  <c r="N43"/>
  <c r="O149"/>
  <c r="N149"/>
  <c r="O95"/>
  <c r="N95"/>
  <c r="N198"/>
  <c r="O198"/>
  <c r="O167"/>
  <c r="N167"/>
  <c r="O159"/>
  <c r="N159"/>
  <c r="O144"/>
  <c r="N144"/>
  <c r="O129"/>
  <c r="N129"/>
  <c r="O53"/>
  <c r="N53"/>
  <c r="O20"/>
  <c r="N20"/>
  <c r="N200"/>
  <c r="O200"/>
  <c r="O183"/>
  <c r="N183"/>
  <c r="N116"/>
  <c r="O116"/>
  <c r="N120"/>
  <c r="O120"/>
  <c r="O74"/>
  <c r="N74"/>
  <c r="O180"/>
  <c r="N180"/>
  <c r="O99"/>
  <c r="N99"/>
  <c r="O13"/>
  <c r="N13"/>
  <c r="O143"/>
  <c r="N143"/>
  <c r="O49"/>
  <c r="N49"/>
  <c r="O111"/>
  <c r="N111"/>
  <c r="O21"/>
  <c r="N21"/>
  <c r="O211"/>
  <c r="N211"/>
  <c r="N214"/>
  <c r="O214"/>
  <c r="O22"/>
  <c r="N22"/>
  <c r="O9"/>
  <c r="N9"/>
  <c r="N210"/>
  <c r="O210"/>
  <c r="O12"/>
  <c r="N12"/>
  <c r="N176"/>
  <c r="O176"/>
  <c r="O101"/>
  <c r="N101"/>
  <c r="P31"/>
  <c r="R31" s="1"/>
  <c r="N65"/>
  <c r="N60"/>
  <c r="N63"/>
  <c r="P30"/>
  <c r="R30" s="1"/>
  <c r="Q26"/>
  <c r="P26"/>
  <c r="O61"/>
  <c r="N61"/>
  <c r="O227"/>
  <c r="N227"/>
  <c r="O199"/>
  <c r="N199"/>
  <c r="N192"/>
  <c r="O192"/>
  <c r="N182"/>
  <c r="O182"/>
  <c r="O140"/>
  <c r="N140"/>
  <c r="O96"/>
  <c r="N96"/>
  <c r="O82"/>
  <c r="N82"/>
  <c r="N204"/>
  <c r="O204"/>
  <c r="O18"/>
  <c r="N18"/>
  <c r="N222"/>
  <c r="O222"/>
  <c r="N206"/>
  <c r="O206"/>
  <c r="N184"/>
  <c r="O184"/>
  <c r="O168"/>
  <c r="N168"/>
  <c r="O164"/>
  <c r="N164"/>
  <c r="N160"/>
  <c r="O160"/>
  <c r="N132"/>
  <c r="O132"/>
  <c r="O56"/>
  <c r="N56"/>
  <c r="N208"/>
  <c r="O208"/>
  <c r="O223"/>
  <c r="N223"/>
  <c r="O196"/>
  <c r="N196"/>
  <c r="O193"/>
  <c r="N193"/>
  <c r="N212"/>
  <c r="O212"/>
  <c r="O110"/>
  <c r="N110"/>
  <c r="O173"/>
  <c r="N173"/>
  <c r="O112"/>
  <c r="N112"/>
  <c r="Q117"/>
  <c r="P117"/>
  <c r="N156"/>
  <c r="O156"/>
  <c r="O197"/>
  <c r="N197"/>
  <c r="O209"/>
  <c r="N209"/>
  <c r="O201"/>
  <c r="N201"/>
  <c r="N154"/>
  <c r="O154"/>
  <c r="O134"/>
  <c r="N134"/>
  <c r="O98"/>
  <c r="N98"/>
  <c r="O87"/>
  <c r="N87"/>
  <c r="O203"/>
  <c r="N203"/>
  <c r="O174"/>
  <c r="N174"/>
  <c r="O165"/>
  <c r="N165"/>
  <c r="O151"/>
  <c r="N151"/>
  <c r="O133"/>
  <c r="N133"/>
  <c r="O85"/>
  <c r="N85"/>
  <c r="O46"/>
  <c r="N46"/>
  <c r="O215"/>
  <c r="N215"/>
  <c r="O137"/>
  <c r="N137"/>
  <c r="N114"/>
  <c r="O114"/>
  <c r="O205"/>
  <c r="N205"/>
  <c r="Q65"/>
  <c r="P65"/>
  <c r="O47"/>
  <c r="N47"/>
  <c r="O121"/>
  <c r="N121"/>
  <c r="O92"/>
  <c r="N92"/>
  <c r="Q27"/>
  <c r="P27"/>
  <c r="N142"/>
  <c r="O142"/>
  <c r="N136"/>
  <c r="O136"/>
  <c r="O100"/>
  <c r="N100"/>
  <c r="O90"/>
  <c r="N90"/>
  <c r="O19"/>
  <c r="N19"/>
  <c r="N172"/>
  <c r="O172"/>
  <c r="O163"/>
  <c r="N163"/>
  <c r="N148"/>
  <c r="O148"/>
  <c r="O135"/>
  <c r="N135"/>
  <c r="O78"/>
  <c r="N78"/>
  <c r="O48"/>
  <c r="N48"/>
  <c r="O17"/>
  <c r="N17"/>
  <c r="O131"/>
  <c r="N131"/>
  <c r="O108"/>
  <c r="N108"/>
  <c r="N130"/>
  <c r="O130"/>
  <c r="O117"/>
  <c r="N117"/>
  <c r="O77"/>
  <c r="N77"/>
  <c r="Q153"/>
  <c r="P153"/>
  <c r="Q214"/>
  <c r="P214"/>
  <c r="O119"/>
  <c r="N119"/>
  <c r="O207"/>
  <c r="N207"/>
  <c r="O79"/>
  <c r="N79"/>
  <c r="O10"/>
  <c r="N10"/>
  <c r="O139"/>
  <c r="N139"/>
  <c r="Q113"/>
  <c r="P113"/>
  <c r="O50"/>
  <c r="N50"/>
  <c r="O213"/>
  <c r="N213"/>
  <c r="Q54"/>
  <c r="P54"/>
  <c r="O23"/>
  <c r="N23"/>
  <c r="O217"/>
  <c r="N217"/>
  <c r="O153"/>
  <c r="N153"/>
  <c r="O42"/>
  <c r="N42"/>
  <c r="O65"/>
  <c r="Q105" i="2"/>
  <c r="P105"/>
  <c r="Q66"/>
  <c r="P66"/>
  <c r="Q76"/>
  <c r="P76"/>
  <c r="Q141"/>
  <c r="P141"/>
  <c r="Q68"/>
  <c r="P68"/>
  <c r="P72"/>
  <c r="Q72"/>
  <c r="Q143"/>
  <c r="P143"/>
  <c r="Q62"/>
  <c r="P62"/>
  <c r="Q61"/>
  <c r="P61"/>
  <c r="R56"/>
  <c r="R60"/>
  <c r="Q102"/>
  <c r="R102" s="1"/>
  <c r="Q15"/>
  <c r="R15" s="1"/>
  <c r="Q85"/>
  <c r="R85" s="1"/>
  <c r="P108"/>
  <c r="R134"/>
  <c r="R142"/>
  <c r="R131"/>
  <c r="R22"/>
  <c r="P136"/>
  <c r="Q104"/>
  <c r="R104" s="1"/>
  <c r="P84"/>
  <c r="R84" s="1"/>
  <c r="P57"/>
  <c r="R57" s="1"/>
  <c r="P11"/>
  <c r="R11" s="1"/>
  <c r="Q58"/>
  <c r="P58"/>
  <c r="Q106"/>
  <c r="P106"/>
  <c r="Q59"/>
  <c r="P59"/>
  <c r="Q64"/>
  <c r="P64"/>
  <c r="Q63"/>
  <c r="P63"/>
  <c r="Q65"/>
  <c r="P65"/>
  <c r="Q108"/>
  <c r="R70"/>
  <c r="R146"/>
  <c r="R137"/>
  <c r="R18"/>
  <c r="R13"/>
  <c r="Q136"/>
  <c r="K201" i="4"/>
  <c r="K116"/>
  <c r="K120"/>
  <c r="K180"/>
  <c r="K13"/>
  <c r="K143"/>
  <c r="K207"/>
  <c r="L59"/>
  <c r="M59" s="1"/>
  <c r="K79"/>
  <c r="L64"/>
  <c r="K12"/>
  <c r="K9"/>
  <c r="K210"/>
  <c r="K126"/>
  <c r="K118"/>
  <c r="K94"/>
  <c r="K101"/>
  <c r="K121"/>
  <c r="K176"/>
  <c r="L68"/>
  <c r="M68" s="1"/>
  <c r="K211"/>
  <c r="L57"/>
  <c r="M57" s="1"/>
  <c r="K21"/>
  <c r="K139"/>
  <c r="K111"/>
  <c r="K119"/>
  <c r="K49"/>
  <c r="L104"/>
  <c r="O104" s="1"/>
  <c r="U231" i="1"/>
  <c r="W231" s="1"/>
  <c r="Y231" s="1"/>
  <c r="K215" i="4"/>
  <c r="K114"/>
  <c r="K205"/>
  <c r="K47"/>
  <c r="K178"/>
  <c r="M63"/>
  <c r="P63" s="1"/>
  <c r="K196"/>
  <c r="K156"/>
  <c r="K154"/>
  <c r="K134"/>
  <c r="K98"/>
  <c r="K87"/>
  <c r="K15"/>
  <c r="K203"/>
  <c r="K174"/>
  <c r="K165"/>
  <c r="K151"/>
  <c r="K133"/>
  <c r="K85"/>
  <c r="K46"/>
  <c r="K70"/>
  <c r="K137"/>
  <c r="K43"/>
  <c r="K149"/>
  <c r="K104"/>
  <c r="K95"/>
  <c r="K84"/>
  <c r="K198"/>
  <c r="K167"/>
  <c r="K159"/>
  <c r="K144"/>
  <c r="K129"/>
  <c r="K53"/>
  <c r="K20"/>
  <c r="K200"/>
  <c r="K183"/>
  <c r="K130"/>
  <c r="K51"/>
  <c r="K158"/>
  <c r="K145"/>
  <c r="K102"/>
  <c r="K93"/>
  <c r="K45"/>
  <c r="K221"/>
  <c r="K191"/>
  <c r="K170"/>
  <c r="K161"/>
  <c r="K146"/>
  <c r="K103"/>
  <c r="K75"/>
  <c r="K16"/>
  <c r="K186"/>
  <c r="M62"/>
  <c r="K181"/>
  <c r="K189"/>
  <c r="K92"/>
  <c r="J141"/>
  <c r="K142"/>
  <c r="K136"/>
  <c r="K100"/>
  <c r="K90"/>
  <c r="K19"/>
  <c r="K172"/>
  <c r="K163"/>
  <c r="K148"/>
  <c r="K135"/>
  <c r="K78"/>
  <c r="K48"/>
  <c r="K11"/>
  <c r="K17"/>
  <c r="K131"/>
  <c r="K108"/>
  <c r="K74"/>
  <c r="K99"/>
  <c r="K77"/>
  <c r="N228" i="2"/>
  <c r="J76" i="4"/>
  <c r="K212"/>
  <c r="M46"/>
  <c r="O228" i="2"/>
  <c r="L58" i="4"/>
  <c r="L106"/>
  <c r="K36"/>
  <c r="L66"/>
  <c r="K209"/>
  <c r="M146"/>
  <c r="K173"/>
  <c r="K197"/>
  <c r="K175"/>
  <c r="M95"/>
  <c r="L105"/>
  <c r="M72"/>
  <c r="M60"/>
  <c r="P60" s="1"/>
  <c r="K110"/>
  <c r="M151"/>
  <c r="K115"/>
  <c r="K112"/>
  <c r="K177"/>
  <c r="K219"/>
  <c r="K193"/>
  <c r="L11"/>
  <c r="M11" s="1"/>
  <c r="K223"/>
  <c r="K179"/>
  <c r="K44"/>
  <c r="M167"/>
  <c r="M79"/>
  <c r="K216"/>
  <c r="K199"/>
  <c r="K190"/>
  <c r="K182"/>
  <c r="K147"/>
  <c r="K82"/>
  <c r="K18"/>
  <c r="M133"/>
  <c r="M100"/>
  <c r="K222"/>
  <c r="K220"/>
  <c r="K188"/>
  <c r="K171"/>
  <c r="K166"/>
  <c r="K162"/>
  <c r="K107"/>
  <c r="M56"/>
  <c r="K138"/>
  <c r="K227"/>
  <c r="K194"/>
  <c r="K192"/>
  <c r="K140"/>
  <c r="K128"/>
  <c r="K96"/>
  <c r="K88"/>
  <c r="K152"/>
  <c r="K204"/>
  <c r="K218"/>
  <c r="M144"/>
  <c r="K206"/>
  <c r="K184"/>
  <c r="K168"/>
  <c r="K164"/>
  <c r="K160"/>
  <c r="K157"/>
  <c r="K132"/>
  <c r="K208"/>
  <c r="M61"/>
  <c r="M98"/>
  <c r="K57"/>
  <c r="M102"/>
  <c r="M85"/>
  <c r="M16"/>
  <c r="M136"/>
  <c r="N84" l="1"/>
  <c r="O84"/>
  <c r="R72" i="2"/>
  <c r="R100"/>
  <c r="R66"/>
  <c r="R61"/>
  <c r="R65"/>
  <c r="N15" i="4"/>
  <c r="R26"/>
  <c r="R108" i="2"/>
  <c r="R68"/>
  <c r="R153" i="4"/>
  <c r="R214"/>
  <c r="R62" i="2"/>
  <c r="R105"/>
  <c r="R113" i="4"/>
  <c r="R136" i="2"/>
  <c r="R143"/>
  <c r="R76"/>
  <c r="R54" i="4"/>
  <c r="O15"/>
  <c r="R217"/>
  <c r="R141" i="2"/>
  <c r="R65" i="4"/>
  <c r="R25"/>
  <c r="R42"/>
  <c r="R27"/>
  <c r="R64" i="2"/>
  <c r="R23" i="4"/>
  <c r="M70"/>
  <c r="Q70" s="1"/>
  <c r="R22"/>
  <c r="R58" i="2"/>
  <c r="R106"/>
  <c r="R63"/>
  <c r="R59"/>
  <c r="O70" i="4"/>
  <c r="Q59"/>
  <c r="P59"/>
  <c r="Q208"/>
  <c r="P208"/>
  <c r="Q164"/>
  <c r="P164"/>
  <c r="Q88"/>
  <c r="P88"/>
  <c r="Q192"/>
  <c r="P192"/>
  <c r="Q57"/>
  <c r="P57"/>
  <c r="Q61"/>
  <c r="P61"/>
  <c r="Q132"/>
  <c r="P132"/>
  <c r="Q160"/>
  <c r="P160"/>
  <c r="Q168"/>
  <c r="P168"/>
  <c r="Q206"/>
  <c r="P206"/>
  <c r="Q218"/>
  <c r="P218"/>
  <c r="Q152"/>
  <c r="P152"/>
  <c r="Q96"/>
  <c r="P96"/>
  <c r="Q140"/>
  <c r="P140"/>
  <c r="Q194"/>
  <c r="P194"/>
  <c r="Q138"/>
  <c r="P138"/>
  <c r="Q107"/>
  <c r="P107"/>
  <c r="Q166"/>
  <c r="P166"/>
  <c r="Q188"/>
  <c r="P188"/>
  <c r="Q222"/>
  <c r="P222"/>
  <c r="Q82"/>
  <c r="P82"/>
  <c r="Q182"/>
  <c r="P182"/>
  <c r="Q199"/>
  <c r="P199"/>
  <c r="Q179"/>
  <c r="P179"/>
  <c r="Q219"/>
  <c r="P219"/>
  <c r="Q112"/>
  <c r="P112"/>
  <c r="Q72"/>
  <c r="P72"/>
  <c r="Q197"/>
  <c r="P197"/>
  <c r="O66"/>
  <c r="N66"/>
  <c r="Q68"/>
  <c r="P68"/>
  <c r="O58"/>
  <c r="N58"/>
  <c r="O76"/>
  <c r="N76"/>
  <c r="Q77"/>
  <c r="P77"/>
  <c r="Q74"/>
  <c r="P74"/>
  <c r="Q131"/>
  <c r="P131"/>
  <c r="Q11"/>
  <c r="P11"/>
  <c r="Q78"/>
  <c r="P78"/>
  <c r="Q148"/>
  <c r="P148"/>
  <c r="Q172"/>
  <c r="P172"/>
  <c r="Q90"/>
  <c r="P90"/>
  <c r="Q136"/>
  <c r="P136"/>
  <c r="O141"/>
  <c r="N141"/>
  <c r="Q189"/>
  <c r="P189"/>
  <c r="Q62"/>
  <c r="P62"/>
  <c r="Q16"/>
  <c r="P16"/>
  <c r="Q103"/>
  <c r="P103"/>
  <c r="Q161"/>
  <c r="P161"/>
  <c r="Q191"/>
  <c r="P191"/>
  <c r="R191" s="1"/>
  <c r="Q45"/>
  <c r="P45"/>
  <c r="Q102"/>
  <c r="P102"/>
  <c r="Q158"/>
  <c r="P158"/>
  <c r="Q130"/>
  <c r="P130"/>
  <c r="R130" s="1"/>
  <c r="Q200"/>
  <c r="P200"/>
  <c r="Q53"/>
  <c r="P53"/>
  <c r="Q144"/>
  <c r="P144"/>
  <c r="Q167"/>
  <c r="P167"/>
  <c r="Q84"/>
  <c r="P84"/>
  <c r="Q43"/>
  <c r="P43"/>
  <c r="Q85"/>
  <c r="P85"/>
  <c r="Q151"/>
  <c r="P151"/>
  <c r="Q174"/>
  <c r="P174"/>
  <c r="Q15"/>
  <c r="P15"/>
  <c r="Q98"/>
  <c r="P98"/>
  <c r="Q154"/>
  <c r="P154"/>
  <c r="Q196"/>
  <c r="P196"/>
  <c r="Q178"/>
  <c r="P178"/>
  <c r="Q205"/>
  <c r="P205"/>
  <c r="Q215"/>
  <c r="P215"/>
  <c r="Q119"/>
  <c r="P119"/>
  <c r="Q139"/>
  <c r="P139"/>
  <c r="Q176"/>
  <c r="P176"/>
  <c r="Q101"/>
  <c r="P101"/>
  <c r="Q118"/>
  <c r="P118"/>
  <c r="Q210"/>
  <c r="P210"/>
  <c r="Q12"/>
  <c r="P12"/>
  <c r="Q79"/>
  <c r="P79"/>
  <c r="Q207"/>
  <c r="P207"/>
  <c r="Q13"/>
  <c r="P13"/>
  <c r="Q120"/>
  <c r="P120"/>
  <c r="Q201"/>
  <c r="P201"/>
  <c r="O11"/>
  <c r="Q63"/>
  <c r="R63" s="1"/>
  <c r="Q60"/>
  <c r="R60" s="1"/>
  <c r="N104"/>
  <c r="N57"/>
  <c r="Q157"/>
  <c r="P157"/>
  <c r="Q184"/>
  <c r="P184"/>
  <c r="Q204"/>
  <c r="P204"/>
  <c r="Q128"/>
  <c r="P128"/>
  <c r="Q227"/>
  <c r="P227"/>
  <c r="Q56"/>
  <c r="P56"/>
  <c r="Q162"/>
  <c r="P162"/>
  <c r="Q171"/>
  <c r="P171"/>
  <c r="Q220"/>
  <c r="P220"/>
  <c r="Q18"/>
  <c r="P18"/>
  <c r="Q147"/>
  <c r="P147"/>
  <c r="Q190"/>
  <c r="P190"/>
  <c r="Q216"/>
  <c r="P216"/>
  <c r="Q44"/>
  <c r="P44"/>
  <c r="Q223"/>
  <c r="P223"/>
  <c r="Q193"/>
  <c r="P193"/>
  <c r="Q177"/>
  <c r="P177"/>
  <c r="Q115"/>
  <c r="P115"/>
  <c r="Q110"/>
  <c r="P110"/>
  <c r="O105"/>
  <c r="N105"/>
  <c r="Q175"/>
  <c r="P175"/>
  <c r="Q173"/>
  <c r="P173"/>
  <c r="Q209"/>
  <c r="P209"/>
  <c r="Q36"/>
  <c r="P36"/>
  <c r="O106"/>
  <c r="N106"/>
  <c r="Q212"/>
  <c r="P212"/>
  <c r="Q99"/>
  <c r="P99"/>
  <c r="Q108"/>
  <c r="P108"/>
  <c r="Q17"/>
  <c r="P17"/>
  <c r="Q48"/>
  <c r="P48"/>
  <c r="Q135"/>
  <c r="P135"/>
  <c r="Q163"/>
  <c r="P163"/>
  <c r="Q19"/>
  <c r="P19"/>
  <c r="Q100"/>
  <c r="P100"/>
  <c r="Q142"/>
  <c r="P142"/>
  <c r="Q92"/>
  <c r="P92"/>
  <c r="Q181"/>
  <c r="P181"/>
  <c r="Q186"/>
  <c r="P186"/>
  <c r="Q75"/>
  <c r="P75"/>
  <c r="Q146"/>
  <c r="P146"/>
  <c r="Q170"/>
  <c r="P170"/>
  <c r="Q221"/>
  <c r="P221"/>
  <c r="Q93"/>
  <c r="P93"/>
  <c r="Q145"/>
  <c r="P145"/>
  <c r="Q51"/>
  <c r="P51"/>
  <c r="Q183"/>
  <c r="P183"/>
  <c r="Q20"/>
  <c r="P20"/>
  <c r="Q129"/>
  <c r="P129"/>
  <c r="Q159"/>
  <c r="P159"/>
  <c r="Q198"/>
  <c r="P198"/>
  <c r="Q95"/>
  <c r="P95"/>
  <c r="Q149"/>
  <c r="P149"/>
  <c r="Q137"/>
  <c r="P137"/>
  <c r="Q46"/>
  <c r="P46"/>
  <c r="Q133"/>
  <c r="P133"/>
  <c r="Q165"/>
  <c r="P165"/>
  <c r="Q203"/>
  <c r="P203"/>
  <c r="Q87"/>
  <c r="P87"/>
  <c r="Q134"/>
  <c r="P134"/>
  <c r="Q156"/>
  <c r="P156"/>
  <c r="Q47"/>
  <c r="P47"/>
  <c r="Q114"/>
  <c r="P114"/>
  <c r="Q49"/>
  <c r="P49"/>
  <c r="Q111"/>
  <c r="P111"/>
  <c r="Q21"/>
  <c r="P21"/>
  <c r="Q211"/>
  <c r="P211"/>
  <c r="O68"/>
  <c r="N68"/>
  <c r="Q121"/>
  <c r="P121"/>
  <c r="Q94"/>
  <c r="P94"/>
  <c r="Q126"/>
  <c r="P126"/>
  <c r="Q9"/>
  <c r="P9"/>
  <c r="O64"/>
  <c r="N64"/>
  <c r="O59"/>
  <c r="N59"/>
  <c r="Q143"/>
  <c r="P143"/>
  <c r="Q180"/>
  <c r="P180"/>
  <c r="Q116"/>
  <c r="P116"/>
  <c r="N11"/>
  <c r="O57"/>
  <c r="R117"/>
  <c r="R213"/>
  <c r="R50"/>
  <c r="M64"/>
  <c r="R10"/>
  <c r="R85"/>
  <c r="R222"/>
  <c r="R192"/>
  <c r="R138"/>
  <c r="M104"/>
  <c r="Q104" s="1"/>
  <c r="K141"/>
  <c r="K76"/>
  <c r="P228" i="2"/>
  <c r="M66" i="4"/>
  <c r="M106"/>
  <c r="M58"/>
  <c r="M105"/>
  <c r="Q228" i="2"/>
  <c r="R163" i="4" l="1"/>
  <c r="P70"/>
  <c r="R70" s="1"/>
  <c r="R12"/>
  <c r="R167"/>
  <c r="R90"/>
  <c r="R146"/>
  <c r="R133"/>
  <c r="R137"/>
  <c r="R135"/>
  <c r="R223"/>
  <c r="R147"/>
  <c r="R204"/>
  <c r="R156"/>
  <c r="R108"/>
  <c r="R161"/>
  <c r="R194"/>
  <c r="R116"/>
  <c r="R121"/>
  <c r="R111"/>
  <c r="R165"/>
  <c r="R149"/>
  <c r="R36"/>
  <c r="R190"/>
  <c r="R171"/>
  <c r="R176"/>
  <c r="R205"/>
  <c r="R98"/>
  <c r="R62"/>
  <c r="R197"/>
  <c r="R179"/>
  <c r="R152"/>
  <c r="R160"/>
  <c r="R21"/>
  <c r="R47"/>
  <c r="R203"/>
  <c r="R159"/>
  <c r="R51"/>
  <c r="R170"/>
  <c r="R181"/>
  <c r="R157"/>
  <c r="R206"/>
  <c r="R103"/>
  <c r="R102"/>
  <c r="R209"/>
  <c r="R129"/>
  <c r="R145"/>
  <c r="R92"/>
  <c r="R193"/>
  <c r="R128"/>
  <c r="R158"/>
  <c r="R72"/>
  <c r="R188"/>
  <c r="R166"/>
  <c r="R20"/>
  <c r="R15"/>
  <c r="R49"/>
  <c r="R19"/>
  <c r="R17"/>
  <c r="R175"/>
  <c r="R177"/>
  <c r="R216"/>
  <c r="R220"/>
  <c r="R227"/>
  <c r="R144"/>
  <c r="R199"/>
  <c r="R139"/>
  <c r="R215"/>
  <c r="R219"/>
  <c r="R131"/>
  <c r="R132"/>
  <c r="R126"/>
  <c r="R114"/>
  <c r="R196"/>
  <c r="R174"/>
  <c r="R53"/>
  <c r="R154"/>
  <c r="R84"/>
  <c r="R16"/>
  <c r="R168"/>
  <c r="R87"/>
  <c r="R183"/>
  <c r="R186"/>
  <c r="R48"/>
  <c r="R115"/>
  <c r="R18"/>
  <c r="R119"/>
  <c r="R43"/>
  <c r="R148"/>
  <c r="R112"/>
  <c r="R182"/>
  <c r="R140"/>
  <c r="R164"/>
  <c r="R180"/>
  <c r="R134"/>
  <c r="R95"/>
  <c r="R93"/>
  <c r="R75"/>
  <c r="R142"/>
  <c r="R99"/>
  <c r="R110"/>
  <c r="R162"/>
  <c r="R178"/>
  <c r="R189"/>
  <c r="R172"/>
  <c r="R218"/>
  <c r="R88"/>
  <c r="R101"/>
  <c r="R151"/>
  <c r="R45"/>
  <c r="R78"/>
  <c r="R107"/>
  <c r="R211"/>
  <c r="R46"/>
  <c r="R221"/>
  <c r="R212"/>
  <c r="R44"/>
  <c r="R56"/>
  <c r="R200"/>
  <c r="R136"/>
  <c r="R82"/>
  <c r="R96"/>
  <c r="R208"/>
  <c r="R198"/>
  <c r="R100"/>
  <c r="R173"/>
  <c r="R184"/>
  <c r="R94"/>
  <c r="Q105"/>
  <c r="P105"/>
  <c r="Q141"/>
  <c r="P141"/>
  <c r="Q58"/>
  <c r="P58"/>
  <c r="Q66"/>
  <c r="P66"/>
  <c r="Q76"/>
  <c r="P76"/>
  <c r="P104"/>
  <c r="R104" s="1"/>
  <c r="Q106"/>
  <c r="P106"/>
  <c r="P64"/>
  <c r="Q64"/>
  <c r="U228" i="2"/>
  <c r="S228" i="4" s="1"/>
  <c r="R74"/>
  <c r="R77"/>
  <c r="R61"/>
  <c r="R201"/>
  <c r="R120"/>
  <c r="R13"/>
  <c r="R207"/>
  <c r="R79"/>
  <c r="R9"/>
  <c r="R143"/>
  <c r="R210"/>
  <c r="R118"/>
  <c r="R59"/>
  <c r="R68"/>
  <c r="R57"/>
  <c r="R11"/>
  <c r="R228" i="2"/>
  <c r="T228" s="1"/>
  <c r="N228" i="4"/>
  <c r="O228"/>
  <c r="R64" l="1"/>
  <c r="R105"/>
  <c r="R141"/>
  <c r="V228" i="2"/>
  <c r="R58" i="4"/>
  <c r="R106"/>
  <c r="R76"/>
  <c r="R66"/>
  <c r="P228"/>
  <c r="Q228"/>
  <c r="U228" s="1"/>
  <c r="R228" l="1"/>
  <c r="T228" s="1"/>
  <c r="V228" s="1"/>
</calcChain>
</file>

<file path=xl/comments1.xml><?xml version="1.0" encoding="utf-8"?>
<comments xmlns="http://schemas.openxmlformats.org/spreadsheetml/2006/main">
  <authors>
    <author>lubovtsova</author>
  </authors>
  <commentList>
    <comment ref="I194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полезный отпуск увеличился в связи с включением доп. домов, агентсво не меняет значения п.о. в  связи с установлением долгосрочных тарифов</t>
        </r>
      </text>
    </comment>
    <comment ref="V231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план декабрь 2017 по плановому  расчету на 2017 год  с учетом факта 1 пг</t>
        </r>
      </text>
    </comment>
  </commentList>
</comments>
</file>

<file path=xl/sharedStrings.xml><?xml version="1.0" encoding="utf-8"?>
<sst xmlns="http://schemas.openxmlformats.org/spreadsheetml/2006/main" count="1976" uniqueCount="471">
  <si>
    <t>Поселение</t>
  </si>
  <si>
    <t>Уточнение</t>
  </si>
  <si>
    <t>1 кв.</t>
  </si>
  <si>
    <t>2 кв.</t>
  </si>
  <si>
    <t>3 кв.</t>
  </si>
  <si>
    <t>4 кв.</t>
  </si>
  <si>
    <t>год</t>
  </si>
  <si>
    <t>ИНН</t>
  </si>
  <si>
    <t>Предприятие</t>
  </si>
  <si>
    <t>2910005075</t>
  </si>
  <si>
    <t>ООО "Т-Сервис"</t>
  </si>
  <si>
    <t>МО "Верхнетоемский муниципальный район"</t>
  </si>
  <si>
    <t>МО "Пучужское"</t>
  </si>
  <si>
    <t>2908004701</t>
  </si>
  <si>
    <t>ООО "МПМК"</t>
  </si>
  <si>
    <t>МО "Верхнетоемское"</t>
  </si>
  <si>
    <t>2908003698</t>
  </si>
  <si>
    <t>ООО "Кондратовское"</t>
  </si>
  <si>
    <t>МО "Афанасьевское"</t>
  </si>
  <si>
    <t>2908004966</t>
  </si>
  <si>
    <t>ООО "Удар"</t>
  </si>
  <si>
    <t>МО "Двинское"</t>
  </si>
  <si>
    <t>2901179251</t>
  </si>
  <si>
    <t>АО "АрхоблЭнерго"</t>
  </si>
  <si>
    <t>2909002320</t>
  </si>
  <si>
    <t>ООО "Ильинск ЖКХ"</t>
  </si>
  <si>
    <t>МО "Вилегодский муниципальный район"</t>
  </si>
  <si>
    <t>МО "Ильинское"</t>
  </si>
  <si>
    <t>с. Ильинско-Подомское, ул. Мелиоративная, д. 7</t>
  </si>
  <si>
    <t>с. Ильинско-Подомское, ул. Советская, д. 1, ул. Кедрова, д. 21, фл. 1</t>
  </si>
  <si>
    <t>2909001076</t>
  </si>
  <si>
    <t>ООО "Управдом" (Вилегодский район)</t>
  </si>
  <si>
    <t>МО "Никольское"</t>
  </si>
  <si>
    <t>2909003010</t>
  </si>
  <si>
    <t>ООО "ЖКХ Регион"</t>
  </si>
  <si>
    <t>МО "Селянское"</t>
  </si>
  <si>
    <t>2909003179</t>
  </si>
  <si>
    <t>ООО "Лето"</t>
  </si>
  <si>
    <t>2909003034</t>
  </si>
  <si>
    <t>ООО "Вилегодск ЖКХ"</t>
  </si>
  <si>
    <t>МО "Вилегодское"</t>
  </si>
  <si>
    <t>2909002440</t>
  </si>
  <si>
    <t>ООО "Павловск ЖКХ"</t>
  </si>
  <si>
    <t>МО "Павловское"</t>
  </si>
  <si>
    <t>МО "Виноградовский муниципальный район"</t>
  </si>
  <si>
    <t>МО "Шидровское"</t>
  </si>
  <si>
    <t>МО "Березниковское"</t>
  </si>
  <si>
    <t>2910004650</t>
  </si>
  <si>
    <t>ООО "Трансавто"</t>
  </si>
  <si>
    <t>2924005220</t>
  </si>
  <si>
    <t>ООО "УК "Весна"</t>
  </si>
  <si>
    <t>МО "Рочегодское"</t>
  </si>
  <si>
    <t>МО "Борецкое"</t>
  </si>
  <si>
    <t>2910004882</t>
  </si>
  <si>
    <t>ООО "Березниковское ТСП"</t>
  </si>
  <si>
    <t>2901248674</t>
  </si>
  <si>
    <t>ООО ПК "Энергия Севера"</t>
  </si>
  <si>
    <t>МО "Моржегорское"</t>
  </si>
  <si>
    <t>2911004331</t>
  </si>
  <si>
    <t>МУП МО "Каргопольский муниципальный район" "Печниково"</t>
  </si>
  <si>
    <t>МО "Каргопольский муниципальный район"</t>
  </si>
  <si>
    <t>МО "Печниковское"</t>
  </si>
  <si>
    <t>2911004420</t>
  </si>
  <si>
    <t>МУП МО "Каргопольский муниципальный район" "Архангело"</t>
  </si>
  <si>
    <t>МО "Приозерное"</t>
  </si>
  <si>
    <t>2911005649</t>
  </si>
  <si>
    <t>ООО "КТС"</t>
  </si>
  <si>
    <t>МО "Каргопольское"</t>
  </si>
  <si>
    <t>2911004349</t>
  </si>
  <si>
    <t>МУП МО "Каргопольский муниципальный район" "Усачево"</t>
  </si>
  <si>
    <t>2911004356</t>
  </si>
  <si>
    <t>МУП МО "Каргопольский муниципальный район" "Ошевенское"</t>
  </si>
  <si>
    <t>МО "Ошевенское"</t>
  </si>
  <si>
    <t>2911004405</t>
  </si>
  <si>
    <t>МУП МО "Каргопольский муниципальный район" "Казаково"</t>
  </si>
  <si>
    <t>2911004363</t>
  </si>
  <si>
    <t>МУП МО "Каргопольский муниципальный район" "Тихманьга"</t>
  </si>
  <si>
    <t>МО "Ухотское"</t>
  </si>
  <si>
    <t>2912006155</t>
  </si>
  <si>
    <t>МУП "Ерцевские теплосети"</t>
  </si>
  <si>
    <t>МО "Коношский муниципальный район"</t>
  </si>
  <si>
    <t>МО "Ерцевское"</t>
  </si>
  <si>
    <t>2912006268</t>
  </si>
  <si>
    <t>ООО "Коношский хлебозавод"</t>
  </si>
  <si>
    <t>МО "Коношское"</t>
  </si>
  <si>
    <t>2912004817</t>
  </si>
  <si>
    <t>МУП "Коношское благоустройство"</t>
  </si>
  <si>
    <t>2912006684</t>
  </si>
  <si>
    <t>ООО "Альянс"</t>
  </si>
  <si>
    <t>МО "Тавреньгское"</t>
  </si>
  <si>
    <t>2912006620</t>
  </si>
  <si>
    <t>ООО "Теплоэнерго"</t>
  </si>
  <si>
    <t>2912006733</t>
  </si>
  <si>
    <t>ООО "Кристалл"</t>
  </si>
  <si>
    <t>МО "Мирный"</t>
  </si>
  <si>
    <t>2904021456</t>
  </si>
  <si>
    <t>ООО "Удима"</t>
  </si>
  <si>
    <t>МО "Котласский муниципальный район"</t>
  </si>
  <si>
    <t>МО "Приводинское"</t>
  </si>
  <si>
    <t>2904021819</t>
  </si>
  <si>
    <t>ООО "Урал"</t>
  </si>
  <si>
    <t>МО "Черемушское"</t>
  </si>
  <si>
    <t>д. Курцево</t>
  </si>
  <si>
    <t>д. Куимиха</t>
  </si>
  <si>
    <t>МО "Шипицынское"</t>
  </si>
  <si>
    <t>2904022749</t>
  </si>
  <si>
    <t>ООО "Управдом Сервис"</t>
  </si>
  <si>
    <t>2914003174</t>
  </si>
  <si>
    <t>МП "Телеговское ЖКХ"</t>
  </si>
  <si>
    <t>МО "Красноборский муниципальный район"</t>
  </si>
  <si>
    <t>МО "Телеговское"</t>
  </si>
  <si>
    <t>МО "Алексеевское"</t>
  </si>
  <si>
    <t>2915004011</t>
  </si>
  <si>
    <t>ООО "Энергосфера"</t>
  </si>
  <si>
    <t>МО "Ленский муниципальный район"</t>
  </si>
  <si>
    <t>МО "Урдомское"</t>
  </si>
  <si>
    <t>2915003297</t>
  </si>
  <si>
    <t>Козьминское МУППЖКХ</t>
  </si>
  <si>
    <t>МО "Козьминское"</t>
  </si>
  <si>
    <t>2915004332</t>
  </si>
  <si>
    <t>ООО "РосГрупп"</t>
  </si>
  <si>
    <t>МО "Сойгинское"</t>
  </si>
  <si>
    <t>2901265172</t>
  </si>
  <si>
    <t>ООО "АГТС"</t>
  </si>
  <si>
    <t>МО "Сафроновское"</t>
  </si>
  <si>
    <t>МО "Лешуконский муниципальный район"</t>
  </si>
  <si>
    <t>МО "Мезенский муниципальный район"</t>
  </si>
  <si>
    <t>2925003747</t>
  </si>
  <si>
    <t>МУП "ЖЭУ"</t>
  </si>
  <si>
    <t>2906006277</t>
  </si>
  <si>
    <t>ОАО "Онега-Энергия"</t>
  </si>
  <si>
    <t>МО "Онежский муниципальный район"</t>
  </si>
  <si>
    <t>МО "Онежское"</t>
  </si>
  <si>
    <t>290604109003</t>
  </si>
  <si>
    <t>ИП Попов Михаил Александрович</t>
  </si>
  <si>
    <t>МО "Чекуевское"</t>
  </si>
  <si>
    <t>пос. Шомокша</t>
  </si>
  <si>
    <t>2906006238</t>
  </si>
  <si>
    <t>ООО "ПКТС"</t>
  </si>
  <si>
    <t>2919006299</t>
  </si>
  <si>
    <t>ООО "Сийское"</t>
  </si>
  <si>
    <t>МО "Пинежский муниципальный район"</t>
  </si>
  <si>
    <t>МО "Сийское"</t>
  </si>
  <si>
    <t>2901249879</t>
  </si>
  <si>
    <t>ООО "АльянсТеплоЭнерго"</t>
  </si>
  <si>
    <t>МО "Карпогорское"</t>
  </si>
  <si>
    <t>МО "Междуреченское"</t>
  </si>
  <si>
    <t>МО "Шилегское"</t>
  </si>
  <si>
    <t>МО "Сосновское"</t>
  </si>
  <si>
    <t>МО "Лавельское"</t>
  </si>
  <si>
    <t>МО "Кушкопальское"</t>
  </si>
  <si>
    <t>2919000794</t>
  </si>
  <si>
    <t>Пинежское МП ЖКХ</t>
  </si>
  <si>
    <t>МО "Пинежское"</t>
  </si>
  <si>
    <t>2920011448</t>
  </si>
  <si>
    <t>ООО "Уют-2"</t>
  </si>
  <si>
    <t>МО "Плесецкий муниципальный район"</t>
  </si>
  <si>
    <t>МО "Североонежское"</t>
  </si>
  <si>
    <t>МО "Оксовское"</t>
  </si>
  <si>
    <t>МО "Ярнемское"</t>
  </si>
  <si>
    <t>МО "Обозерское"</t>
  </si>
  <si>
    <t>2920015594</t>
  </si>
  <si>
    <t>ООО "Газпром теплоэнерго Плесецк"</t>
  </si>
  <si>
    <t>МО "Плесецкое"</t>
  </si>
  <si>
    <t>МО "Коневское"</t>
  </si>
  <si>
    <t>2920012988</t>
  </si>
  <si>
    <t>ООО "ПЖКХ"</t>
  </si>
  <si>
    <t>МО "Савинское"</t>
  </si>
  <si>
    <t>2920013847</t>
  </si>
  <si>
    <t>ООО "Северо-западная консалтинговая компания"</t>
  </si>
  <si>
    <t>2921011610</t>
  </si>
  <si>
    <t>ООО "Ресурс"</t>
  </si>
  <si>
    <t>МО "Приморский муниципальный район"</t>
  </si>
  <si>
    <t>МО "Боброво-Лявленское"</t>
  </si>
  <si>
    <t>2901252021</t>
  </si>
  <si>
    <t>ООО "Газпром теплоэнерго Архангельск"</t>
  </si>
  <si>
    <t>МО "Уемское"</t>
  </si>
  <si>
    <t>МО "Приморское"</t>
  </si>
  <si>
    <t>2921127075</t>
  </si>
  <si>
    <t>ООО "Ремэнерго 3"</t>
  </si>
  <si>
    <t>МО "Заостровское"</t>
  </si>
  <si>
    <t>2902066652</t>
  </si>
  <si>
    <t>ООО "Ремэнерго"</t>
  </si>
  <si>
    <t>МО "Катунинское"</t>
  </si>
  <si>
    <t>2921126730</t>
  </si>
  <si>
    <t>ООО "Помор"</t>
  </si>
  <si>
    <t>МО "Островное"</t>
  </si>
  <si>
    <t>с. Вознесенье и дер. Кяростров</t>
  </si>
  <si>
    <t>дер. Ластола</t>
  </si>
  <si>
    <t>дер. Пустошь</t>
  </si>
  <si>
    <t>2921011754</t>
  </si>
  <si>
    <t>ООО "Теплоснаб" (Приморский район)</t>
  </si>
  <si>
    <t>2921000738</t>
  </si>
  <si>
    <t>УЧРЕЖДЕНИЕ "БАЗОВЫЙ САНАТОРИЙ "БЕЛОМОРЬЕ"</t>
  </si>
  <si>
    <t>2921012050</t>
  </si>
  <si>
    <t>ООО "РЭП "СФЕРА"</t>
  </si>
  <si>
    <t>МО "Лисестровское"</t>
  </si>
  <si>
    <t>2901200792</t>
  </si>
  <si>
    <t>ООО "Архбиоэнерго"</t>
  </si>
  <si>
    <t>290216504405</t>
  </si>
  <si>
    <t>ИП Бородин Юрий Николаевич</t>
  </si>
  <si>
    <t>290222043671</t>
  </si>
  <si>
    <t>ИП Звягина Александра Владимировна</t>
  </si>
  <si>
    <t>МО "Соловецкое"</t>
  </si>
  <si>
    <t>2902046374</t>
  </si>
  <si>
    <t>СМУП "Белое озеро"</t>
  </si>
  <si>
    <t>МО "Северодвинск"</t>
  </si>
  <si>
    <t>2902065289</t>
  </si>
  <si>
    <t>АО "ПЖРЭП"</t>
  </si>
  <si>
    <t>с. Ненокса</t>
  </si>
  <si>
    <t>п. Водогон</t>
  </si>
  <si>
    <t>2922008497</t>
  </si>
  <si>
    <t>ООО "УТК"</t>
  </si>
  <si>
    <t>МО "Устьянский муниципальный район"</t>
  </si>
  <si>
    <t>МО "Октябрьское"</t>
  </si>
  <si>
    <t>2922007704</t>
  </si>
  <si>
    <t>ООО "ЖКХ Малодоры"</t>
  </si>
  <si>
    <t>МО "Малодорское"</t>
  </si>
  <si>
    <t>2922009194</t>
  </si>
  <si>
    <t>ООО УК "Жилуправление"</t>
  </si>
  <si>
    <t>МО "Ростовско-Минское"</t>
  </si>
  <si>
    <t>2922009317</t>
  </si>
  <si>
    <t>ООО "Шангальский ЖКС"</t>
  </si>
  <si>
    <t>МО "Шангальское"</t>
  </si>
  <si>
    <t>2922007013</t>
  </si>
  <si>
    <t>МУП "Бестужевское"</t>
  </si>
  <si>
    <t>МО "Бестужевское"</t>
  </si>
  <si>
    <t>2922007775</t>
  </si>
  <si>
    <t>ООО "Березник"</t>
  </si>
  <si>
    <t>МО "Березницкое"</t>
  </si>
  <si>
    <t>МО "Орловское"</t>
  </si>
  <si>
    <t>МО "Синицкое"</t>
  </si>
  <si>
    <t>2922006997</t>
  </si>
  <si>
    <t>МУП "Илезское"</t>
  </si>
  <si>
    <t>МО "Илезское"</t>
  </si>
  <si>
    <t>2922008803</t>
  </si>
  <si>
    <t>ООО "ТеплоСнаб" (Устьянский район)</t>
  </si>
  <si>
    <t>МО "Киземское"</t>
  </si>
  <si>
    <t>2901192407</t>
  </si>
  <si>
    <t>ООО "Северная Энергетическая Компания"</t>
  </si>
  <si>
    <t>МО "Холмогорский муниципальный район"</t>
  </si>
  <si>
    <t>МО "Луковецкое"</t>
  </si>
  <si>
    <t>2923007175</t>
  </si>
  <si>
    <t>ООО "КМ ТЭР"</t>
  </si>
  <si>
    <t>МО "Светлозерское"</t>
  </si>
  <si>
    <t>2923007344</t>
  </si>
  <si>
    <t>ООО "ТСП Холмогоры"</t>
  </si>
  <si>
    <t>МО "Холмогорское"</t>
  </si>
  <si>
    <t>2923006012</t>
  </si>
  <si>
    <t>ООО "Двина" (Холмогорский район)</t>
  </si>
  <si>
    <t>МО "Емецкое"</t>
  </si>
  <si>
    <t>с. Емецк, ул. Жолобова</t>
  </si>
  <si>
    <t>д. Погост, ул. Почтовая</t>
  </si>
  <si>
    <t>2923006245</t>
  </si>
  <si>
    <t>ООО "Емецкое ТСП"</t>
  </si>
  <si>
    <t>МО "Ракульское"</t>
  </si>
  <si>
    <t>2923007288</t>
  </si>
  <si>
    <t>МУП "Холмогорский ВОДОКАНАЛ"</t>
  </si>
  <si>
    <t>д. Анашкино</t>
  </si>
  <si>
    <t>с. Ломоносово и дер. Красное Село</t>
  </si>
  <si>
    <t>2923007104</t>
  </si>
  <si>
    <t>ООО "Пинега"</t>
  </si>
  <si>
    <t>МО "Белогорское"</t>
  </si>
  <si>
    <t>2923006541</t>
  </si>
  <si>
    <t>ООО "Холмогорское ТСП"</t>
  </si>
  <si>
    <t>2923007217</t>
  </si>
  <si>
    <t>ООО "Штиль"</t>
  </si>
  <si>
    <t>2901230116</t>
  </si>
  <si>
    <t>ООО "Фарватер"</t>
  </si>
  <si>
    <t>МО "Устьпинежское"</t>
  </si>
  <si>
    <t>МО "Матигорское"</t>
  </si>
  <si>
    <t>2924005452</t>
  </si>
  <si>
    <t>ООО "Уютный город"</t>
  </si>
  <si>
    <t>МО "Шенкурский муниципальный район"</t>
  </si>
  <si>
    <t>МО "Шенкурское"</t>
  </si>
  <si>
    <t>2924005075</t>
  </si>
  <si>
    <t>ООО "УК "Уютный город"</t>
  </si>
  <si>
    <t>МО "Федорогорское"</t>
  </si>
  <si>
    <t>МО "Ровдинское"</t>
  </si>
  <si>
    <t>МО "Шеговарское"</t>
  </si>
  <si>
    <t>с. Шеговары, ул. Центральная, д.68 а</t>
  </si>
  <si>
    <t>с. Шеговары, ул. Садовая, д.1</t>
  </si>
  <si>
    <t>МО "Няндомский муниципальный район"</t>
  </si>
  <si>
    <t>2921012042</t>
  </si>
  <si>
    <t>ООО "Соловки Электросбыт"</t>
  </si>
  <si>
    <t>МО "Няндомское"</t>
  </si>
  <si>
    <t>МО "Шалакушское"</t>
  </si>
  <si>
    <t>МО "Мошинское"</t>
  </si>
  <si>
    <t>2918009770</t>
  </si>
  <si>
    <t>ООО "Стройсервис"</t>
  </si>
  <si>
    <t>2918002171</t>
  </si>
  <si>
    <t>МУП "ШЛИТ" МО "Шалакушское"</t>
  </si>
  <si>
    <t>7708503727</t>
  </si>
  <si>
    <t>ОАО "РЖД" (Исакогорский участок)</t>
  </si>
  <si>
    <t>Всего</t>
  </si>
  <si>
    <t>МО "Вельский муниципальный район"</t>
  </si>
  <si>
    <t>ООО "Теплоресурс"</t>
  </si>
  <si>
    <t>МО "Попонаволоцкое"</t>
  </si>
  <si>
    <t>МО "Тегринское"</t>
  </si>
  <si>
    <t>2907010220</t>
  </si>
  <si>
    <t>МУП "Шадреньгское"</t>
  </si>
  <si>
    <t>МО "Шадреньгское"</t>
  </si>
  <si>
    <t>МО "Верхнеустькулойское"</t>
  </si>
  <si>
    <t>2907010325</t>
  </si>
  <si>
    <t>МО "Липовское"</t>
  </si>
  <si>
    <t>2907010540</t>
  </si>
  <si>
    <t>МО "Верхнешоношское"</t>
  </si>
  <si>
    <t>МО "Пуйское"</t>
  </si>
  <si>
    <t>2907015524</t>
  </si>
  <si>
    <t>ООО "Теплострой"</t>
  </si>
  <si>
    <t>МО "Низовское"</t>
  </si>
  <si>
    <t>МО "Солгинское"</t>
  </si>
  <si>
    <t>2907010396</t>
  </si>
  <si>
    <t>МУП "Хозьминское"</t>
  </si>
  <si>
    <t>МО "Хозьминское"</t>
  </si>
  <si>
    <t>2907016020</t>
  </si>
  <si>
    <t>МО "Благовещенское"</t>
  </si>
  <si>
    <t>2907013799</t>
  </si>
  <si>
    <t>ООО "ЖКХ Кокшеньга"</t>
  </si>
  <si>
    <t>МО "Ракуло-Кокшеньгское"</t>
  </si>
  <si>
    <t>МО "Судромское"</t>
  </si>
  <si>
    <t>МО "Муравьевское"</t>
  </si>
  <si>
    <t>2907011760</t>
  </si>
  <si>
    <t>ООО "Кулой ЖКХ"</t>
  </si>
  <si>
    <t>МО "Кулойское"</t>
  </si>
  <si>
    <t>МО "Вельское"</t>
  </si>
  <si>
    <t>2907000246</t>
  </si>
  <si>
    <t>Вельское ГОРПО</t>
  </si>
  <si>
    <t>2907014383</t>
  </si>
  <si>
    <t>ООО "Энерго-М"</t>
  </si>
  <si>
    <t>2907016013</t>
  </si>
  <si>
    <t>МО "Аргуновское"</t>
  </si>
  <si>
    <t>МО "Пакшеньгское"</t>
  </si>
  <si>
    <t>2907015570</t>
  </si>
  <si>
    <t>ООО "Теплосервис"</t>
  </si>
  <si>
    <t>МО "Город Архангельск"</t>
  </si>
  <si>
    <t>г. Архангельск</t>
  </si>
  <si>
    <t>ВСЕГО</t>
  </si>
  <si>
    <t>1 полугодие</t>
  </si>
  <si>
    <t>2 полугодие</t>
  </si>
  <si>
    <t>2912005994</t>
  </si>
  <si>
    <t>МУП "ТеплоСервис" Администрации МО "Подюжское"</t>
  </si>
  <si>
    <t>МО "Подюжское"</t>
  </si>
  <si>
    <t>2907017176</t>
  </si>
  <si>
    <t>ООО "Теплодом"</t>
  </si>
  <si>
    <t>ООО "ВГС"</t>
  </si>
  <si>
    <t>2907016905</t>
  </si>
  <si>
    <t>7802312751</t>
  </si>
  <si>
    <t>в/г 17</t>
  </si>
  <si>
    <t>МО "Котлас"</t>
  </si>
  <si>
    <t>в/г 8</t>
  </si>
  <si>
    <t>ОАО "РЖД" (Сольвычегодский участок)</t>
  </si>
  <si>
    <t>(Т) г. Сольвычегодск</t>
  </si>
  <si>
    <t>д. Григорово</t>
  </si>
  <si>
    <t>пос. Харитоново</t>
  </si>
  <si>
    <t>2901179252</t>
  </si>
  <si>
    <t>2901179253</t>
  </si>
  <si>
    <t>2901179254</t>
  </si>
  <si>
    <t>(в/г 9 поселок Савватия)</t>
  </si>
  <si>
    <t>ПАО "МРСК Северо-Запада"</t>
  </si>
  <si>
    <t>7736186950</t>
  </si>
  <si>
    <t>ООО "Газпром энерго"</t>
  </si>
  <si>
    <t>МО "Мезенское"</t>
  </si>
  <si>
    <t>военный городок №15</t>
  </si>
  <si>
    <t>МО "Новая Земля"</t>
  </si>
  <si>
    <t>МО "Малошуйское"</t>
  </si>
  <si>
    <t>2919004990</t>
  </si>
  <si>
    <t>ООО "Пинежьелес"</t>
  </si>
  <si>
    <t>В/Г № 7,48; 8</t>
  </si>
  <si>
    <t>в/г 50, 65, 142</t>
  </si>
  <si>
    <t>2922007060</t>
  </si>
  <si>
    <t>МУП "Плосское"</t>
  </si>
  <si>
    <t>МО "Плосское"</t>
  </si>
  <si>
    <t>МО "Ухтостровское"</t>
  </si>
  <si>
    <t>п. Рембуево в/г 74</t>
  </si>
  <si>
    <t>одноставочный тариф тепловую энергию, отпускаемую потребителям, в сулчае отутствия дифференциации тарифов по схеме подключения (без НДС),руб./Гкал</t>
  </si>
  <si>
    <t>одноставочный тариф на тепловую энергию, поставляемую населению на нужды теплоснабжения (без НДС), руб./Гкал</t>
  </si>
  <si>
    <t>Потребность в средствах субсидии, руб.</t>
  </si>
  <si>
    <t>ООО "АТЛАНТ"</t>
  </si>
  <si>
    <t>Волошское</t>
  </si>
  <si>
    <t>дер. Анциферовский Бор</t>
  </si>
  <si>
    <t>2922007180</t>
  </si>
  <si>
    <t>МУП Лихачевское</t>
  </si>
  <si>
    <t>МО Лихачевское</t>
  </si>
  <si>
    <t>МО "Талажское",             МО "Пертоминское"</t>
  </si>
  <si>
    <t>2909002321</t>
  </si>
  <si>
    <t>д. Кошкино</t>
  </si>
  <si>
    <t>МО "Лешуконский район"</t>
  </si>
  <si>
    <t>МО "Мезенский район"</t>
  </si>
  <si>
    <t>2922008063</t>
  </si>
  <si>
    <t>МУП "Дмитриевское"</t>
  </si>
  <si>
    <t>МО "Дмитриевское"</t>
  </si>
  <si>
    <t>МО " Коневское"</t>
  </si>
  <si>
    <t>г. Северодвинск</t>
  </si>
  <si>
    <t>Мо Новая земля</t>
  </si>
  <si>
    <t>в/г 6</t>
  </si>
  <si>
    <t xml:space="preserve">1 кв. </t>
  </si>
  <si>
    <t xml:space="preserve">2 кв. </t>
  </si>
  <si>
    <t xml:space="preserve">4 кв. 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</si>
  <si>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2018 году </t>
  </si>
  <si>
    <t>Плановый объем ресурса на 2018 г., Гкал</t>
  </si>
  <si>
    <t xml:space="preserve">Дебиторская (-), кредиторская (+) задолженность
 на 01.01.2018 г. </t>
  </si>
  <si>
    <t>декабрь 2018 г., руб. (36 % от объемов отпуска 4 квартала)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</si>
  <si>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2019 году </t>
  </si>
  <si>
    <t>Плановый объем ресурса на 2019 г., Гкал</t>
  </si>
  <si>
    <t xml:space="preserve">Дебиторская (-), кредиторская (+) задолженность
 на 01.01.2019 г. </t>
  </si>
  <si>
    <t>Потребность в средствах субсидии за январь - декабрь 2019 года с учетом дебиторской, кредиторской задолженности, руб.</t>
  </si>
  <si>
    <t>декабрь 2019 г., руб. (36 % от объемов отпуска 4 квартала)</t>
  </si>
  <si>
    <t xml:space="preserve">Плановый расчет потребности в средствах субсидии
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
в 2020 году </t>
  </si>
  <si>
    <t>Плановый объем ресурса на 2020 г., Гкал</t>
  </si>
  <si>
    <t xml:space="preserve">Дебиторская (-), кредиторская (+) задолженность
 на 01.01.2020 г. </t>
  </si>
  <si>
    <t>Потребность в средствах субсидии за январь - декабрь 2020 года с учетом дебиторской, кредиторской задолженности, руб.</t>
  </si>
  <si>
    <t>декабрь 2020 г., руб. (36 % от объемов отпуска 4 квартала)</t>
  </si>
  <si>
    <t>ООО "КРИСТАЛЛ"</t>
  </si>
  <si>
    <t>ФГБУ "ЦЖКУ" МО РФ</t>
  </si>
  <si>
    <t>7729314745</t>
  </si>
  <si>
    <t>в/г 50, 65</t>
  </si>
  <si>
    <t>в том числе:</t>
  </si>
  <si>
    <t>1-е полугодие</t>
  </si>
  <si>
    <t>2-е полугодие</t>
  </si>
  <si>
    <t>2919003788</t>
  </si>
  <si>
    <t>2919003805</t>
  </si>
  <si>
    <t>МБОУ "Сурская СОШ № 2"</t>
  </si>
  <si>
    <t>МБОУ  "Кеврольская ООШ  № 18 имени М.Ф. Теплова"</t>
  </si>
  <si>
    <t>МО "Кеврольское"</t>
  </si>
  <si>
    <t>МО "Сурское"</t>
  </si>
  <si>
    <t>2920004955</t>
  </si>
  <si>
    <t>МБОУ "Коневская школа"</t>
  </si>
  <si>
    <t>2911001370</t>
  </si>
  <si>
    <t>ГАПОУ АО «Каргопольский индустриальный техникум»</t>
  </si>
  <si>
    <t>МО «Каргопольское»</t>
  </si>
  <si>
    <t>2904025683</t>
  </si>
  <si>
    <t xml:space="preserve">МУП "ЖКХ Приводинское" </t>
  </si>
  <si>
    <t>МО «Приводинское»</t>
  </si>
  <si>
    <t>2913002410</t>
  </si>
  <si>
    <t>ГБПОУ АО «ШАТ»</t>
  </si>
  <si>
    <t>МО «Шипицынское»</t>
  </si>
  <si>
    <t>2914001089</t>
  </si>
  <si>
    <t>ГБУЗ АО «Санаторий имени М.Н. Фаворской»</t>
  </si>
  <si>
    <t>2920003694</t>
  </si>
  <si>
    <t>ФКУ ЛИУ-8 УФСИН России по Архангельской области</t>
  </si>
  <si>
    <t>2920003609</t>
  </si>
  <si>
    <t>ФКУ ИК-29 УФСИН России по Архангельской области</t>
  </si>
  <si>
    <t>2920008068</t>
  </si>
  <si>
    <t>ФКУ ОИУ ОУХД-2 УФСИН России по Архангельской области</t>
  </si>
  <si>
    <t>МО "Североонежское", МО " Ундозерское"</t>
  </si>
  <si>
    <t>2923002226</t>
  </si>
  <si>
    <t>ФКУ ИК-12 УФСИН России по Архангельской области</t>
  </si>
  <si>
    <t>2901221143</t>
  </si>
  <si>
    <t>ООО "Тельмица"</t>
  </si>
  <si>
    <t>МО "Волошское"</t>
  </si>
  <si>
    <t>2913003982</t>
  </si>
  <si>
    <t>ГАУЗ АО "Санаторий "Сольвычегодск"</t>
  </si>
  <si>
    <t>2907001458</t>
  </si>
  <si>
    <t>ФКУ ИК-14 УФСИН России по Архангельской области</t>
  </si>
  <si>
    <t>Муравьевское</t>
  </si>
  <si>
    <t>Годовой полезный отпуск (учтено в тарифе или предложение организации на новый ДПР)</t>
  </si>
  <si>
    <t>МО "Кенозерское" , МО Федовское?</t>
  </si>
  <si>
    <t>МО "Кенозерское"</t>
  </si>
  <si>
    <t>2904012719</t>
  </si>
  <si>
    <t>АО "Котласское ДРСУ"</t>
  </si>
  <si>
    <t>Потребность в средствах субсидии за январь - декабрь 2018 года с учетом дебиторской, кредиторской задолженности, руб.</t>
  </si>
  <si>
    <t>Потребность в средствах субсидии 2018 г. без декабря, руб.</t>
  </si>
  <si>
    <t>Потребность в средствах субсидии 2019 г. без декабря, руб.</t>
  </si>
  <si>
    <t>Потребность в средствах субсидии  2020 г. без декабря, руб.</t>
  </si>
  <si>
    <t>к пояснительной записке</t>
  </si>
  <si>
    <t>Приложение № 16</t>
  </si>
  <si>
    <t>Таблица № 1</t>
  </si>
  <si>
    <t>Таблица № 2</t>
  </si>
  <si>
    <t>Приложения № 16</t>
  </si>
  <si>
    <t>Таблица № 3</t>
  </si>
</sst>
</file>

<file path=xl/styles.xml><?xml version="1.0" encoding="utf-8"?>
<styleSheet xmlns="http://schemas.openxmlformats.org/spreadsheetml/2006/main">
  <numFmts count="56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.00_);_(* \(\ #,##0.00\ \);_(* &quot;-&quot;??_);_(\ @_ \)"/>
    <numFmt numFmtId="169" formatCode="#,##0.00_ ;\-#,##0.00\ "/>
    <numFmt numFmtId="170" formatCode="#,##0.000_ ;\-#,##0.000\ "/>
    <numFmt numFmtId="171" formatCode="0.000"/>
    <numFmt numFmtId="172" formatCode="#,##0.000"/>
    <numFmt numFmtId="173" formatCode="0.0"/>
    <numFmt numFmtId="174" formatCode="#,##0.0"/>
    <numFmt numFmtId="175" formatCode="0.0%"/>
    <numFmt numFmtId="176" formatCode="#,##0.00_ ;[Red]\-#,##0.00\ "/>
    <numFmt numFmtId="177" formatCode="#,##0.0000"/>
    <numFmt numFmtId="178" formatCode="_-* #,##0.00[$€-1]_-;\-* #,##0.00[$€-1]_-;_-* &quot;-&quot;??[$€-1]_-"/>
    <numFmt numFmtId="179" formatCode="0.0%_);\(0.0%\)"/>
    <numFmt numFmtId="180" formatCode="#,##0_);[Red]\(#,##0\)"/>
    <numFmt numFmtId="181" formatCode="#,##0;\(#,##0\)"/>
    <numFmt numFmtId="182" formatCode="_-* #,##0.00\ _$_-;\-* #,##0.00\ _$_-;_-* &quot;-&quot;??\ _$_-;_-@_-"/>
    <numFmt numFmtId="183" formatCode="#.##0\.00"/>
    <numFmt numFmtId="184" formatCode="#\.00"/>
    <numFmt numFmtId="185" formatCode="#\."/>
    <numFmt numFmtId="186" formatCode="_-* #,##0\ &quot;руб&quot;_-;\-* #,##0\ &quot;руб&quot;_-;_-* &quot;-&quot;\ &quot;руб&quot;_-;_-@_-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&quot;$&quot;#,##0_);[Red]\(&quot;$&quot;#,##0\)"/>
    <numFmt numFmtId="191" formatCode="\$#,##0\ ;\(\$#,##0\)"/>
    <numFmt numFmtId="192" formatCode="#,##0.000[$р.-419];\-#,##0.000[$р.-419]"/>
    <numFmt numFmtId="193" formatCode="_-* #,##0.0\ _$_-;\-* #,##0.0\ _$_-;_-* &quot;-&quot;??\ _$_-;_-@_-"/>
    <numFmt numFmtId="194" formatCode="#,##0.0_);\(#,##0.0\)"/>
    <numFmt numFmtId="195" formatCode="#,##0_ ;[Red]\-#,##0\ "/>
    <numFmt numFmtId="196" formatCode="#,##0_);[Blue]\(#,##0\)"/>
    <numFmt numFmtId="197" formatCode="_-* #,##0_-;\-* #,##0_-;_-* &quot;-&quot;_-;_-@_-"/>
    <numFmt numFmtId="198" formatCode="_-* #,##0.00_-;\-* #,##0.00_-;_-* &quot;-&quot;??_-;_-@_-"/>
    <numFmt numFmtId="199" formatCode="_ * #,##0_ ;_ * \-#,##0_ ;_ * &quot;-&quot;_ ;_ @_ "/>
    <numFmt numFmtId="200" formatCode="_ * #,##0.00_ ;_ * \-#,##0.00_ ;_ * &quot;-&quot;??_ ;_ @_ "/>
    <numFmt numFmtId="201" formatCode="#,##0__\ \ \ \ "/>
    <numFmt numFmtId="202" formatCode="_-&quot;£&quot;* #,##0_-;\-&quot;£&quot;* #,##0_-;_-&quot;£&quot;* &quot;-&quot;_-;_-@_-"/>
    <numFmt numFmtId="203" formatCode="_-&quot;£&quot;* #,##0.00_-;\-&quot;£&quot;* #,##0.00_-;_-&quot;£&quot;* &quot;-&quot;??_-;_-@_-"/>
    <numFmt numFmtId="204" formatCode="#,##0.00&quot;т.р.&quot;;\-#,##0.00&quot;т.р.&quot;"/>
    <numFmt numFmtId="205" formatCode="#,##0.0;[Red]#,##0.0"/>
    <numFmt numFmtId="206" formatCode="_-* #,##0_đ_._-;\-* #,##0_đ_._-;_-* &quot;-&quot;_đ_._-;_-@_-"/>
    <numFmt numFmtId="207" formatCode="_-* #,##0.00_đ_._-;\-* #,##0.00_đ_._-;_-* &quot;-&quot;??_đ_._-;_-@_-"/>
    <numFmt numFmtId="208" formatCode="\(#,##0.0\)"/>
    <numFmt numFmtId="209" formatCode="#,##0\ &quot;?.&quot;;\-#,##0\ &quot;?.&quot;"/>
    <numFmt numFmtId="210" formatCode="#,##0______;;&quot;------------      &quot;"/>
    <numFmt numFmtId="211" formatCode="&quot;$&quot;#,##0"/>
    <numFmt numFmtId="212" formatCode="_(&quot;$&quot;* #,##0.00_);_(&quot;$&quot;* \(#,##0.00\);_(&quot;$&quot;* &quot;-&quot;??_);_(@_)"/>
    <numFmt numFmtId="213" formatCode="0_)"/>
    <numFmt numFmtId="214" formatCode="_(* #,##0_);_(* \(#,##0\);_(* &quot;-&quot;_);_(@_)"/>
    <numFmt numFmtId="215" formatCode="_(* #,##0.00_);_(* \(#,##0.00\);_(* &quot;-&quot;??_);_(@_)"/>
    <numFmt numFmtId="216" formatCode="_-* #,##0.00\ _р_._-;\-* #,##0.00\ _р_._-;_-* &quot;-&quot;??\ _р_._-;_-@_-"/>
    <numFmt numFmtId="217" formatCode="_-* #,##0\ _$_-;\-* #,##0\ _$_-;_-* &quot;-&quot;\ _$_-;_-@_-"/>
    <numFmt numFmtId="218" formatCode="_(* #,##0.000_);_(* \(\ #,##0.000\ \);_(* &quot;-&quot;??_);_(\ @_ \)"/>
    <numFmt numFmtId="219" formatCode="_-* #,##0.000\ _₽_-;\-* #,##0.000\ _₽_-;_-* &quot;-&quot;???\ _₽_-;_-@_-"/>
  </numFmts>
  <fonts count="197">
    <font>
      <sz val="10"/>
      <name val="Tahoma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13"/>
      <color indexed="8"/>
      <name val="Times New Roman"/>
      <family val="2"/>
      <charset val="204"/>
    </font>
    <font>
      <sz val="13"/>
      <color indexed="9"/>
      <name val="Times New Roman"/>
      <family val="2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SimSun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b/>
      <sz val="10"/>
      <name val="SvobodaFWF"/>
    </font>
    <font>
      <sz val="6"/>
      <color indexed="16"/>
      <name val="Palatino"/>
      <family val="1"/>
    </font>
    <font>
      <b/>
      <sz val="12"/>
      <name val="NTHelvetica/Cyrillic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sz val="10"/>
      <name val="NTHelvetica/Cyrillic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sz val="13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3"/>
      <color indexed="63"/>
      <name val="Times New Roman"/>
      <family val="2"/>
      <charset val="204"/>
    </font>
    <font>
      <b/>
      <sz val="13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3"/>
      <color indexed="8"/>
      <name val="Times New Roman"/>
      <family val="2"/>
      <charset val="204"/>
    </font>
    <font>
      <b/>
      <sz val="13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3"/>
      <color indexed="60"/>
      <name val="Times New Roman"/>
      <family val="2"/>
      <charset val="204"/>
    </font>
    <font>
      <sz val="12"/>
      <name val="Arial Cyr"/>
      <family val="2"/>
      <charset val="204"/>
    </font>
    <font>
      <sz val="8"/>
      <name val="Arial"/>
      <family val="2"/>
    </font>
    <font>
      <sz val="10"/>
      <color indexed="64"/>
      <name val="Arial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b/>
      <i/>
      <sz val="10"/>
      <color indexed="10"/>
      <name val="Arial Cyr"/>
      <family val="2"/>
      <charset val="204"/>
    </font>
    <font>
      <sz val="13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3"/>
      <color indexed="23"/>
      <name val="Times New Roman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3"/>
      <color indexed="52"/>
      <name val="Times New Roman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sz val="13"/>
      <color indexed="10"/>
      <name val="Times New Roman"/>
      <family val="2"/>
      <charset val="204"/>
    </font>
    <font>
      <sz val="9"/>
      <name val="Arial Cyr"/>
      <charset val="204"/>
    </font>
    <font>
      <sz val="13"/>
      <color indexed="17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8"/>
      <color rgb="FFFF0000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8"/>
      <color rgb="FFFF0000"/>
      <name val="Tahoma"/>
      <family val="2"/>
      <charset val="204"/>
    </font>
    <font>
      <b/>
      <sz val="8"/>
      <color indexed="62"/>
      <name val="Tahoma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indexed="3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530">
    <xf numFmtId="0" fontId="0" fillId="0" borderId="0"/>
    <xf numFmtId="0" fontId="52" fillId="0" borderId="0"/>
    <xf numFmtId="178" fontId="52" fillId="0" borderId="0"/>
    <xf numFmtId="0" fontId="53" fillId="0" borderId="0"/>
    <xf numFmtId="0" fontId="48" fillId="0" borderId="0"/>
    <xf numFmtId="175" fontId="54" fillId="0" borderId="0">
      <alignment vertical="top"/>
    </xf>
    <xf numFmtId="175" fontId="55" fillId="0" borderId="0">
      <alignment vertical="top"/>
    </xf>
    <xf numFmtId="179" fontId="55" fillId="2" borderId="0">
      <alignment vertical="top"/>
    </xf>
    <xf numFmtId="179" fontId="55" fillId="2" borderId="0">
      <alignment vertical="top"/>
    </xf>
    <xf numFmtId="179" fontId="55" fillId="2" borderId="0">
      <alignment vertical="top"/>
    </xf>
    <xf numFmtId="179" fontId="55" fillId="2" borderId="0">
      <alignment vertical="top"/>
    </xf>
    <xf numFmtId="175" fontId="55" fillId="3" borderId="0">
      <alignment vertical="top"/>
    </xf>
    <xf numFmtId="175" fontId="55" fillId="3" borderId="0">
      <alignment vertical="top"/>
    </xf>
    <xf numFmtId="175" fontId="55" fillId="3" borderId="0">
      <alignment vertical="top"/>
    </xf>
    <xf numFmtId="175" fontId="55" fillId="3" borderId="0">
      <alignment vertical="top"/>
    </xf>
    <xf numFmtId="0" fontId="50" fillId="0" borderId="0"/>
    <xf numFmtId="40" fontId="56" fillId="0" borderId="0" applyFont="0" applyFill="0" applyBorder="0" applyAlignment="0" applyProtection="0"/>
    <xf numFmtId="0" fontId="57" fillId="0" borderId="0"/>
    <xf numFmtId="0" fontId="48" fillId="0" borderId="0"/>
    <xf numFmtId="0" fontId="48" fillId="0" borderId="0"/>
    <xf numFmtId="0" fontId="53" fillId="0" borderId="0"/>
    <xf numFmtId="0" fontId="50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81" fontId="48" fillId="4" borderId="1">
      <alignment wrapText="1"/>
      <protection locked="0"/>
    </xf>
    <xf numFmtId="181" fontId="48" fillId="4" borderId="1">
      <alignment wrapText="1"/>
      <protection locked="0"/>
    </xf>
    <xf numFmtId="181" fontId="48" fillId="4" borderId="1">
      <alignment wrapText="1"/>
      <protection locked="0"/>
    </xf>
    <xf numFmtId="181" fontId="48" fillId="4" borderId="1">
      <alignment wrapText="1"/>
      <protection locked="0"/>
    </xf>
    <xf numFmtId="181" fontId="48" fillId="4" borderId="1">
      <alignment wrapText="1"/>
      <protection locked="0"/>
    </xf>
    <xf numFmtId="0" fontId="126" fillId="5" borderId="2" applyNumberFormat="0">
      <alignment readingOrder="1"/>
      <protection locked="0"/>
    </xf>
    <xf numFmtId="0" fontId="52" fillId="0" borderId="0"/>
    <xf numFmtId="0" fontId="52" fillId="0" borderId="0"/>
    <xf numFmtId="0" fontId="52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178" fontId="53" fillId="0" borderId="0"/>
    <xf numFmtId="0" fontId="53" fillId="0" borderId="0"/>
    <xf numFmtId="178" fontId="53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8" fontId="53" fillId="0" borderId="0"/>
    <xf numFmtId="0" fontId="59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8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0" fontId="52" fillId="0" borderId="0"/>
    <xf numFmtId="0" fontId="52" fillId="0" borderId="0"/>
    <xf numFmtId="0" fontId="52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180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180" fontId="54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23" fillId="0" borderId="0"/>
    <xf numFmtId="0" fontId="52" fillId="0" borderId="0"/>
    <xf numFmtId="0" fontId="53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8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48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8" fontId="52" fillId="0" borderId="0"/>
    <xf numFmtId="0" fontId="52" fillId="0" borderId="0"/>
    <xf numFmtId="0" fontId="52" fillId="0" borderId="0"/>
    <xf numFmtId="0" fontId="52" fillId="0" borderId="0"/>
    <xf numFmtId="0" fontId="23" fillId="0" borderId="0"/>
    <xf numFmtId="0" fontId="53" fillId="0" borderId="0"/>
    <xf numFmtId="178" fontId="53" fillId="0" borderId="0"/>
    <xf numFmtId="182" fontId="23" fillId="0" borderId="0" applyFont="0" applyFill="0" applyBorder="0" applyAlignment="0" applyProtection="0"/>
    <xf numFmtId="183" fontId="61" fillId="0" borderId="0">
      <protection locked="0"/>
    </xf>
    <xf numFmtId="184" fontId="61" fillId="0" borderId="0">
      <protection locked="0"/>
    </xf>
    <xf numFmtId="166" fontId="60" fillId="0" borderId="0">
      <protection locked="0"/>
    </xf>
    <xf numFmtId="166" fontId="60" fillId="0" borderId="0">
      <protection locked="0"/>
    </xf>
    <xf numFmtId="166" fontId="60" fillId="0" borderId="0">
      <protection locked="0"/>
    </xf>
    <xf numFmtId="185" fontId="61" fillId="0" borderId="3">
      <protection locked="0"/>
    </xf>
    <xf numFmtId="0" fontId="62" fillId="0" borderId="0">
      <protection locked="0"/>
    </xf>
    <xf numFmtId="0" fontId="62" fillId="0" borderId="0">
      <protection locked="0"/>
    </xf>
    <xf numFmtId="0" fontId="60" fillId="0" borderId="3">
      <protection locked="0"/>
    </xf>
    <xf numFmtId="186" fontId="23" fillId="0" borderId="0">
      <alignment horizontal="center"/>
    </xf>
    <xf numFmtId="186" fontId="23" fillId="0" borderId="0">
      <alignment horizontal="center"/>
    </xf>
    <xf numFmtId="186" fontId="23" fillId="0" borderId="0">
      <alignment horizontal="center"/>
    </xf>
    <xf numFmtId="186" fontId="23" fillId="0" borderId="0">
      <alignment horizontal="center"/>
    </xf>
    <xf numFmtId="0" fontId="63" fillId="6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6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6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6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6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26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6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6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2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6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6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7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7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26" borderId="2" applyNumberFormat="0" applyAlignment="0"/>
    <xf numFmtId="0" fontId="59" fillId="0" borderId="0"/>
    <xf numFmtId="187" fontId="58" fillId="0" borderId="4">
      <protection locked="0"/>
    </xf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16" fillId="8" borderId="0" applyNumberFormat="0" applyBorder="0" applyAlignment="0" applyProtection="0"/>
    <xf numFmtId="10" fontId="68" fillId="0" borderId="0" applyNumberFormat="0" applyFill="0" applyBorder="0" applyAlignment="0"/>
    <xf numFmtId="0" fontId="69" fillId="0" borderId="0"/>
    <xf numFmtId="0" fontId="8" fillId="17" borderId="2" applyNumberFormat="0" applyAlignment="0" applyProtection="0"/>
    <xf numFmtId="0" fontId="3" fillId="0" borderId="2" applyNumberFormat="0" applyAlignment="0">
      <protection locked="0"/>
    </xf>
    <xf numFmtId="0" fontId="3" fillId="0" borderId="2" applyNumberFormat="0" applyAlignment="0">
      <protection locked="0"/>
    </xf>
    <xf numFmtId="0" fontId="13" fillId="27" borderId="5" applyNumberFormat="0" applyAlignment="0" applyProtection="0"/>
    <xf numFmtId="0" fontId="70" fillId="0" borderId="6">
      <alignment horizontal="left" vertical="center"/>
    </xf>
    <xf numFmtId="165" fontId="48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/>
    <xf numFmtId="167" fontId="48" fillId="0" borderId="0" applyFont="0" applyFill="0" applyBorder="0" applyAlignment="0" applyProtection="0"/>
    <xf numFmtId="3" fontId="72" fillId="0" borderId="0" applyFont="0" applyFill="0" applyBorder="0" applyAlignment="0" applyProtection="0"/>
    <xf numFmtId="187" fontId="73" fillId="28" borderId="4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166" fontId="48" fillId="0" borderId="0" applyFont="0" applyFill="0" applyBorder="0" applyAlignment="0" applyProtection="0"/>
    <xf numFmtId="191" fontId="72" fillId="0" borderId="0" applyFont="0" applyFill="0" applyBorder="0" applyAlignment="0" applyProtection="0"/>
    <xf numFmtId="174" fontId="43" fillId="4" borderId="0">
      <protection locked="0"/>
    </xf>
    <xf numFmtId="0" fontId="71" fillId="0" borderId="0" applyFill="0" applyBorder="0" applyProtection="0">
      <alignment vertical="center"/>
    </xf>
    <xf numFmtId="172" fontId="43" fillId="4" borderId="0">
      <protection locked="0"/>
    </xf>
    <xf numFmtId="177" fontId="43" fillId="4" borderId="0">
      <protection locked="0"/>
    </xf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14" fontId="74" fillId="0" borderId="0">
      <alignment vertical="top"/>
    </xf>
    <xf numFmtId="0" fontId="3" fillId="29" borderId="2" applyAlignment="0">
      <alignment horizontal="left" vertical="center"/>
    </xf>
    <xf numFmtId="192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0" fontId="71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180" fontId="76" fillId="0" borderId="0">
      <alignment vertical="top"/>
    </xf>
    <xf numFmtId="38" fontId="76" fillId="0" borderId="0">
      <alignment vertical="top"/>
    </xf>
    <xf numFmtId="38" fontId="76" fillId="0" borderId="0">
      <alignment vertical="top"/>
    </xf>
    <xf numFmtId="178" fontId="4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37" fontId="48" fillId="0" borderId="0"/>
    <xf numFmtId="0" fontId="4" fillId="0" borderId="0"/>
    <xf numFmtId="0" fontId="77" fillId="0" borderId="0"/>
    <xf numFmtId="0" fontId="186" fillId="0" borderId="0"/>
    <xf numFmtId="0" fontId="17" fillId="0" borderId="0" applyNumberFormat="0" applyFill="0" applyBorder="0" applyAlignment="0" applyProtection="0"/>
    <xf numFmtId="173" fontId="78" fillId="0" borderId="0" applyFill="0" applyBorder="0" applyAlignment="0" applyProtection="0"/>
    <xf numFmtId="173" fontId="54" fillId="0" borderId="0" applyFill="0" applyBorder="0" applyAlignment="0" applyProtection="0"/>
    <xf numFmtId="173" fontId="79" fillId="0" borderId="0" applyFill="0" applyBorder="0" applyAlignment="0" applyProtection="0"/>
    <xf numFmtId="173" fontId="80" fillId="0" borderId="0" applyFill="0" applyBorder="0" applyAlignment="0" applyProtection="0"/>
    <xf numFmtId="173" fontId="81" fillId="0" borderId="0" applyFill="0" applyBorder="0" applyAlignment="0" applyProtection="0"/>
    <xf numFmtId="173" fontId="82" fillId="0" borderId="0" applyFill="0" applyBorder="0" applyAlignment="0" applyProtection="0"/>
    <xf numFmtId="173" fontId="83" fillId="0" borderId="0" applyFill="0" applyBorder="0" applyAlignment="0" applyProtection="0"/>
    <xf numFmtId="2" fontId="72" fillId="0" borderId="0" applyFont="0" applyFill="0" applyBorder="0" applyAlignment="0" applyProtection="0"/>
    <xf numFmtId="0" fontId="84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Fill="0" applyBorder="0" applyProtection="0">
      <alignment horizontal="left"/>
    </xf>
    <xf numFmtId="0" fontId="3" fillId="9" borderId="2" applyNumberFormat="0" applyAlignment="0"/>
    <xf numFmtId="0" fontId="20" fillId="9" borderId="0" applyNumberFormat="0" applyBorder="0" applyAlignment="0" applyProtection="0"/>
    <xf numFmtId="175" fontId="87" fillId="3" borderId="6" applyNumberFormat="0" applyFont="0" applyBorder="0" applyAlignment="0" applyProtection="0"/>
    <xf numFmtId="0" fontId="71" fillId="0" borderId="0" applyFont="0" applyFill="0" applyBorder="0" applyAlignment="0" applyProtection="0">
      <alignment horizontal="right"/>
    </xf>
    <xf numFmtId="194" fontId="88" fillId="3" borderId="0" applyNumberFormat="0" applyFont="0" applyAlignment="0"/>
    <xf numFmtId="0" fontId="89" fillId="0" borderId="8" applyNumberFormat="0" applyBorder="0">
      <alignment horizontal="centerContinuous"/>
    </xf>
    <xf numFmtId="0" fontId="90" fillId="0" borderId="0" applyProtection="0">
      <alignment horizontal="right"/>
    </xf>
    <xf numFmtId="0" fontId="3" fillId="17" borderId="2" applyNumberFormat="0" applyAlignment="0"/>
    <xf numFmtId="0" fontId="91" fillId="0" borderId="0">
      <alignment horizontal="center"/>
    </xf>
    <xf numFmtId="0" fontId="91" fillId="30" borderId="0">
      <alignment horizontal="center"/>
    </xf>
    <xf numFmtId="0" fontId="92" fillId="0" borderId="0">
      <alignment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2" fontId="95" fillId="31" borderId="0" applyAlignment="0">
      <alignment horizontal="right"/>
      <protection locked="0"/>
    </xf>
    <xf numFmtId="180" fontId="96" fillId="0" borderId="0">
      <alignment vertical="top"/>
    </xf>
    <xf numFmtId="38" fontId="96" fillId="0" borderId="0">
      <alignment vertical="top"/>
    </xf>
    <xf numFmtId="38" fontId="96" fillId="0" borderId="0">
      <alignment vertical="top"/>
    </xf>
    <xf numFmtId="0" fontId="97" fillId="32" borderId="0"/>
    <xf numFmtId="0" fontId="46" fillId="33" borderId="0"/>
    <xf numFmtId="0" fontId="49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23" fillId="0" borderId="0"/>
    <xf numFmtId="187" fontId="99" fillId="0" borderId="0"/>
    <xf numFmtId="0" fontId="48" fillId="0" borderId="0"/>
    <xf numFmtId="0" fontId="100" fillId="0" borderId="0" applyNumberFormat="0" applyFill="0" applyBorder="0" applyAlignment="0" applyProtection="0">
      <alignment vertical="top"/>
      <protection locked="0"/>
    </xf>
    <xf numFmtId="195" fontId="101" fillId="0" borderId="6">
      <alignment horizontal="center" vertical="center" wrapText="1"/>
    </xf>
    <xf numFmtId="0" fontId="6" fillId="12" borderId="2" applyNumberFormat="0" applyAlignment="0" applyProtection="0"/>
    <xf numFmtId="0" fontId="102" fillId="0" borderId="0" applyFill="0" applyBorder="0" applyProtection="0">
      <alignment vertical="center"/>
    </xf>
    <xf numFmtId="0" fontId="102" fillId="0" borderId="0" applyFill="0" applyBorder="0" applyProtection="0">
      <alignment vertical="center"/>
    </xf>
    <xf numFmtId="0" fontId="102" fillId="0" borderId="0" applyFill="0" applyBorder="0" applyProtection="0">
      <alignment vertical="center"/>
    </xf>
    <xf numFmtId="0" fontId="102" fillId="0" borderId="0" applyFill="0" applyBorder="0" applyProtection="0">
      <alignment vertical="center"/>
    </xf>
    <xf numFmtId="180" fontId="55" fillId="0" borderId="0">
      <alignment vertical="top"/>
    </xf>
    <xf numFmtId="180" fontId="55" fillId="2" borderId="0">
      <alignment vertical="top"/>
    </xf>
    <xf numFmtId="38" fontId="55" fillId="2" borderId="0">
      <alignment vertical="top"/>
    </xf>
    <xf numFmtId="38" fontId="55" fillId="2" borderId="0">
      <alignment vertical="top"/>
    </xf>
    <xf numFmtId="38" fontId="55" fillId="0" borderId="0">
      <alignment vertical="top"/>
    </xf>
    <xf numFmtId="196" fontId="55" fillId="3" borderId="0">
      <alignment vertical="top"/>
    </xf>
    <xf numFmtId="38" fontId="55" fillId="0" borderId="0">
      <alignment vertical="top"/>
    </xf>
    <xf numFmtId="0" fontId="18" fillId="0" borderId="10" applyNumberFormat="0" applyFill="0" applyAlignment="0" applyProtection="0"/>
    <xf numFmtId="197" fontId="103" fillId="0" borderId="0" applyFont="0" applyFill="0" applyBorder="0" applyAlignment="0" applyProtection="0"/>
    <xf numFmtId="198" fontId="103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104" fillId="0" borderId="6">
      <alignment horizontal="right"/>
      <protection locked="0"/>
    </xf>
    <xf numFmtId="202" fontId="103" fillId="0" borderId="0" applyFont="0" applyFill="0" applyBorder="0" applyAlignment="0" applyProtection="0"/>
    <xf numFmtId="203" fontId="103" fillId="0" borderId="0" applyFont="0" applyFill="0" applyBorder="0" applyAlignment="0" applyProtection="0"/>
    <xf numFmtId="202" fontId="103" fillId="0" borderId="0" applyFont="0" applyFill="0" applyBorder="0" applyAlignment="0" applyProtection="0"/>
    <xf numFmtId="203" fontId="10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0" fontId="71" fillId="0" borderId="0" applyFill="0" applyBorder="0" applyProtection="0">
      <alignment vertical="center"/>
    </xf>
    <xf numFmtId="0" fontId="71" fillId="0" borderId="0" applyFont="0" applyFill="0" applyBorder="0" applyAlignment="0" applyProtection="0">
      <alignment horizontal="right"/>
    </xf>
    <xf numFmtId="3" fontId="23" fillId="0" borderId="11" applyFont="0" applyBorder="0">
      <alignment horizontal="center" vertical="center"/>
    </xf>
    <xf numFmtId="0" fontId="15" fillId="34" borderId="0" applyNumberFormat="0" applyBorder="0" applyAlignment="0" applyProtection="0"/>
    <xf numFmtId="0" fontId="63" fillId="0" borderId="12"/>
    <xf numFmtId="0" fontId="105" fillId="0" borderId="0" applyNumberFormat="0" applyFill="0" applyBorder="0" applyAlignment="0" applyProtection="0"/>
    <xf numFmtId="204" fontId="23" fillId="0" borderId="0"/>
    <xf numFmtId="0" fontId="105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>
      <alignment horizontal="right"/>
    </xf>
    <xf numFmtId="0" fontId="23" fillId="0" borderId="0"/>
    <xf numFmtId="0" fontId="107" fillId="0" borderId="0"/>
    <xf numFmtId="0" fontId="71" fillId="0" borderId="0" applyFill="0" applyBorder="0" applyProtection="0">
      <alignment vertical="center"/>
    </xf>
    <xf numFmtId="0" fontId="108" fillId="0" borderId="0"/>
    <xf numFmtId="0" fontId="48" fillId="0" borderId="0"/>
    <xf numFmtId="0" fontId="52" fillId="0" borderId="0"/>
    <xf numFmtId="0" fontId="4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205" fontId="23" fillId="0" borderId="0" applyFont="0" applyAlignment="0">
      <alignment horizontal="center"/>
    </xf>
    <xf numFmtId="206" fontId="23" fillId="0" borderId="0" applyFont="0" applyFill="0" applyBorder="0" applyAlignment="0" applyProtection="0"/>
    <xf numFmtId="207" fontId="23" fillId="0" borderId="0" applyFont="0" applyFill="0" applyBorder="0" applyAlignment="0" applyProtection="0"/>
    <xf numFmtId="0" fontId="87" fillId="0" borderId="0"/>
    <xf numFmtId="208" fontId="87" fillId="0" borderId="0" applyFont="0" applyFill="0" applyBorder="0" applyAlignment="0" applyProtection="0"/>
    <xf numFmtId="209" fontId="87" fillId="0" borderId="0" applyFont="0" applyFill="0" applyBorder="0" applyAlignment="0" applyProtection="0"/>
    <xf numFmtId="0" fontId="7" fillId="17" borderId="14" applyNumberFormat="0" applyAlignment="0" applyProtection="0"/>
    <xf numFmtId="1" fontId="109" fillId="0" borderId="0" applyProtection="0">
      <alignment horizontal="right" vertical="center"/>
    </xf>
    <xf numFmtId="49" fontId="110" fillId="0" borderId="15" applyFill="0" applyProtection="0">
      <alignment vertical="center"/>
    </xf>
    <xf numFmtId="9" fontId="48" fillId="0" borderId="0" applyFont="0" applyFill="0" applyBorder="0" applyAlignment="0" applyProtection="0"/>
    <xf numFmtId="0" fontId="71" fillId="0" borderId="0" applyFill="0" applyBorder="0" applyProtection="0">
      <alignment vertical="center"/>
    </xf>
    <xf numFmtId="37" fontId="111" fillId="4" borderId="16"/>
    <xf numFmtId="37" fontId="111" fillId="4" borderId="16"/>
    <xf numFmtId="0" fontId="112" fillId="0" borderId="0" applyNumberFormat="0">
      <alignment horizontal="left"/>
    </xf>
    <xf numFmtId="210" fontId="113" fillId="0" borderId="17" applyBorder="0">
      <alignment horizontal="right"/>
      <protection locked="0"/>
    </xf>
    <xf numFmtId="49" fontId="114" fillId="0" borderId="6" applyNumberFormat="0">
      <alignment horizontal="left" vertical="center"/>
    </xf>
    <xf numFmtId="0" fontId="115" fillId="0" borderId="18">
      <alignment vertical="center"/>
    </xf>
    <xf numFmtId="4" fontId="116" fillId="4" borderId="14" applyNumberFormat="0" applyProtection="0">
      <alignment vertical="center"/>
    </xf>
    <xf numFmtId="4" fontId="117" fillId="4" borderId="14" applyNumberFormat="0" applyProtection="0">
      <alignment vertical="center"/>
    </xf>
    <xf numFmtId="4" fontId="116" fillId="4" borderId="14" applyNumberFormat="0" applyProtection="0">
      <alignment horizontal="left" vertical="center" indent="1"/>
    </xf>
    <xf numFmtId="4" fontId="116" fillId="4" borderId="14" applyNumberFormat="0" applyProtection="0">
      <alignment horizontal="left" vertical="center" indent="1"/>
    </xf>
    <xf numFmtId="0" fontId="48" fillId="5" borderId="14" applyNumberFormat="0" applyProtection="0">
      <alignment horizontal="left" vertical="center" indent="1"/>
    </xf>
    <xf numFmtId="4" fontId="116" fillId="36" borderId="14" applyNumberFormat="0" applyProtection="0">
      <alignment horizontal="right" vertical="center"/>
    </xf>
    <xf numFmtId="4" fontId="116" fillId="37" borderId="14" applyNumberFormat="0" applyProtection="0">
      <alignment horizontal="right" vertical="center"/>
    </xf>
    <xf numFmtId="4" fontId="116" fillId="38" borderId="14" applyNumberFormat="0" applyProtection="0">
      <alignment horizontal="right" vertical="center"/>
    </xf>
    <xf numFmtId="4" fontId="116" fillId="39" borderId="14" applyNumberFormat="0" applyProtection="0">
      <alignment horizontal="right" vertical="center"/>
    </xf>
    <xf numFmtId="4" fontId="116" fillId="40" borderId="14" applyNumberFormat="0" applyProtection="0">
      <alignment horizontal="right" vertical="center"/>
    </xf>
    <xf numFmtId="4" fontId="116" fillId="41" borderId="14" applyNumberFormat="0" applyProtection="0">
      <alignment horizontal="right" vertical="center"/>
    </xf>
    <xf numFmtId="4" fontId="116" fillId="42" borderId="14" applyNumberFormat="0" applyProtection="0">
      <alignment horizontal="right" vertical="center"/>
    </xf>
    <xf numFmtId="4" fontId="116" fillId="43" borderId="14" applyNumberFormat="0" applyProtection="0">
      <alignment horizontal="right" vertical="center"/>
    </xf>
    <xf numFmtId="4" fontId="116" fillId="44" borderId="14" applyNumberFormat="0" applyProtection="0">
      <alignment horizontal="right" vertical="center"/>
    </xf>
    <xf numFmtId="4" fontId="118" fillId="45" borderId="14" applyNumberFormat="0" applyProtection="0">
      <alignment horizontal="left" vertical="center" indent="1"/>
    </xf>
    <xf numFmtId="4" fontId="116" fillId="46" borderId="19" applyNumberFormat="0" applyProtection="0">
      <alignment horizontal="left" vertical="center" indent="1"/>
    </xf>
    <xf numFmtId="4" fontId="119" fillId="47" borderId="0" applyNumberFormat="0" applyProtection="0">
      <alignment horizontal="left" vertical="center" indent="1"/>
    </xf>
    <xf numFmtId="0" fontId="48" fillId="5" borderId="14" applyNumberFormat="0" applyProtection="0">
      <alignment horizontal="left" vertical="center" indent="1"/>
    </xf>
    <xf numFmtId="4" fontId="50" fillId="46" borderId="14" applyNumberFormat="0" applyProtection="0">
      <alignment horizontal="left" vertical="center" indent="1"/>
    </xf>
    <xf numFmtId="4" fontId="50" fillId="48" borderId="14" applyNumberFormat="0" applyProtection="0">
      <alignment horizontal="left" vertical="center" indent="1"/>
    </xf>
    <xf numFmtId="0" fontId="48" fillId="48" borderId="14" applyNumberFormat="0" applyProtection="0">
      <alignment horizontal="left" vertical="center" indent="1"/>
    </xf>
    <xf numFmtId="0" fontId="48" fillId="48" borderId="14" applyNumberFormat="0" applyProtection="0">
      <alignment horizontal="left" vertical="center" indent="1"/>
    </xf>
    <xf numFmtId="0" fontId="48" fillId="49" borderId="14" applyNumberFormat="0" applyProtection="0">
      <alignment horizontal="left" vertical="center" indent="1"/>
    </xf>
    <xf numFmtId="0" fontId="48" fillId="49" borderId="14" applyNumberFormat="0" applyProtection="0">
      <alignment horizontal="left" vertical="center" indent="1"/>
    </xf>
    <xf numFmtId="0" fontId="48" fillId="2" borderId="14" applyNumberFormat="0" applyProtection="0">
      <alignment horizontal="left" vertical="center" indent="1"/>
    </xf>
    <xf numFmtId="0" fontId="48" fillId="2" borderId="14" applyNumberFormat="0" applyProtection="0">
      <alignment horizontal="left" vertical="center" indent="1"/>
    </xf>
    <xf numFmtId="0" fontId="48" fillId="5" borderId="14" applyNumberFormat="0" applyProtection="0">
      <alignment horizontal="left" vertical="center" indent="1"/>
    </xf>
    <xf numFmtId="0" fontId="48" fillId="5" borderId="14" applyNumberFormat="0" applyProtection="0">
      <alignment horizontal="left" vertical="center" indent="1"/>
    </xf>
    <xf numFmtId="0" fontId="23" fillId="0" borderId="0"/>
    <xf numFmtId="4" fontId="116" fillId="50" borderId="14" applyNumberFormat="0" applyProtection="0">
      <alignment vertical="center"/>
    </xf>
    <xf numFmtId="4" fontId="117" fillId="50" borderId="14" applyNumberFormat="0" applyProtection="0">
      <alignment vertical="center"/>
    </xf>
    <xf numFmtId="4" fontId="116" fillId="50" borderId="14" applyNumberFormat="0" applyProtection="0">
      <alignment horizontal="left" vertical="center" indent="1"/>
    </xf>
    <xf numFmtId="4" fontId="116" fillId="50" borderId="14" applyNumberFormat="0" applyProtection="0">
      <alignment horizontal="left" vertical="center" indent="1"/>
    </xf>
    <xf numFmtId="4" fontId="116" fillId="46" borderId="14" applyNumberFormat="0" applyProtection="0">
      <alignment horizontal="right" vertical="center"/>
    </xf>
    <xf numFmtId="4" fontId="117" fillId="46" borderId="14" applyNumberFormat="0" applyProtection="0">
      <alignment horizontal="right" vertical="center"/>
    </xf>
    <xf numFmtId="0" fontId="48" fillId="5" borderId="14" applyNumberFormat="0" applyProtection="0">
      <alignment horizontal="left" vertical="center" indent="1"/>
    </xf>
    <xf numFmtId="0" fontId="48" fillId="5" borderId="14" applyNumberFormat="0" applyProtection="0">
      <alignment horizontal="left" vertical="center" indent="1"/>
    </xf>
    <xf numFmtId="0" fontId="120" fillId="0" borderId="0"/>
    <xf numFmtId="4" fontId="121" fillId="46" borderId="14" applyNumberFormat="0" applyProtection="0">
      <alignment horizontal="right" vertical="center"/>
    </xf>
    <xf numFmtId="0" fontId="122" fillId="0" borderId="0">
      <alignment horizontal="left" vertical="center" wrapText="1"/>
    </xf>
    <xf numFmtId="211" fontId="123" fillId="0" borderId="6">
      <alignment horizontal="left" vertical="center"/>
      <protection locked="0"/>
    </xf>
    <xf numFmtId="0" fontId="48" fillId="0" borderId="0"/>
    <xf numFmtId="0" fontId="52" fillId="0" borderId="0"/>
    <xf numFmtId="2" fontId="124" fillId="51" borderId="20" applyProtection="0"/>
    <xf numFmtId="2" fontId="124" fillId="51" borderId="20" applyProtection="0"/>
    <xf numFmtId="2" fontId="125" fillId="0" borderId="0" applyFill="0" applyBorder="0" applyProtection="0"/>
    <xf numFmtId="2" fontId="126" fillId="0" borderId="0" applyFill="0" applyBorder="0" applyProtection="0"/>
    <xf numFmtId="2" fontId="126" fillId="52" borderId="20" applyProtection="0"/>
    <xf numFmtId="2" fontId="126" fillId="53" borderId="20" applyProtection="0"/>
    <xf numFmtId="2" fontId="126" fillId="54" borderId="20" applyProtection="0"/>
    <xf numFmtId="2" fontId="126" fillId="54" borderId="20" applyProtection="0">
      <alignment horizontal="center"/>
    </xf>
    <xf numFmtId="2" fontId="126" fillId="53" borderId="20" applyProtection="0">
      <alignment horizontal="center"/>
    </xf>
    <xf numFmtId="0" fontId="127" fillId="0" borderId="0" applyBorder="0" applyProtection="0">
      <alignment vertical="center"/>
    </xf>
    <xf numFmtId="0" fontId="127" fillId="0" borderId="15" applyBorder="0" applyProtection="0">
      <alignment horizontal="right" vertical="center"/>
    </xf>
    <xf numFmtId="0" fontId="128" fillId="55" borderId="0" applyBorder="0" applyProtection="0">
      <alignment horizontal="centerContinuous" vertical="center"/>
    </xf>
    <xf numFmtId="0" fontId="128" fillId="56" borderId="15" applyBorder="0" applyProtection="0">
      <alignment horizontal="centerContinuous" vertical="center"/>
    </xf>
    <xf numFmtId="0" fontId="129" fillId="0" borderId="0"/>
    <xf numFmtId="180" fontId="130" fillId="57" borderId="0">
      <alignment horizontal="right" vertical="top"/>
    </xf>
    <xf numFmtId="38" fontId="130" fillId="57" borderId="0">
      <alignment horizontal="right" vertical="top"/>
    </xf>
    <xf numFmtId="38" fontId="130" fillId="57" borderId="0">
      <alignment horizontal="right" vertical="top"/>
    </xf>
    <xf numFmtId="0" fontId="108" fillId="0" borderId="0"/>
    <xf numFmtId="0" fontId="131" fillId="0" borderId="0" applyFill="0" applyBorder="0" applyProtection="0">
      <alignment horizontal="left"/>
    </xf>
    <xf numFmtId="0" fontId="86" fillId="0" borderId="21" applyFill="0" applyBorder="0" applyProtection="0">
      <alignment horizontal="left" vertical="top"/>
    </xf>
    <xf numFmtId="0" fontId="132" fillId="0" borderId="0">
      <alignment horizontal="centerContinuous"/>
    </xf>
    <xf numFmtId="4" fontId="4" fillId="58" borderId="0">
      <alignment horizontal="right"/>
    </xf>
    <xf numFmtId="4" fontId="4" fillId="58" borderId="0">
      <alignment horizontal="right"/>
    </xf>
    <xf numFmtId="0" fontId="133" fillId="0" borderId="21" applyFill="0" applyBorder="0" applyProtection="0"/>
    <xf numFmtId="0" fontId="133" fillId="0" borderId="0"/>
    <xf numFmtId="0" fontId="134" fillId="0" borderId="0" applyFill="0" applyBorder="0" applyProtection="0"/>
    <xf numFmtId="0" fontId="135" fillId="0" borderId="0"/>
    <xf numFmtId="0" fontId="14" fillId="0" borderId="0" applyNumberFormat="0" applyFill="0" applyBorder="0" applyAlignment="0" applyProtection="0"/>
    <xf numFmtId="0" fontId="136" fillId="59" borderId="22" applyNumberFormat="0">
      <alignment horizontal="center" vertical="center"/>
    </xf>
    <xf numFmtId="49" fontId="137" fillId="49" borderId="23" applyNumberFormat="0">
      <alignment horizontal="center" vertical="center"/>
    </xf>
    <xf numFmtId="0" fontId="72" fillId="0" borderId="24" applyNumberFormat="0" applyFont="0" applyFill="0" applyAlignment="0" applyProtection="0"/>
    <xf numFmtId="0" fontId="72" fillId="0" borderId="24" applyNumberFormat="0" applyFont="0" applyFill="0" applyAlignment="0" applyProtection="0"/>
    <xf numFmtId="0" fontId="138" fillId="0" borderId="7" applyFill="0" applyBorder="0" applyProtection="0">
      <alignment vertical="center"/>
    </xf>
    <xf numFmtId="0" fontId="139" fillId="0" borderId="0">
      <alignment horizontal="fill"/>
    </xf>
    <xf numFmtId="0" fontId="87" fillId="0" borderId="0"/>
    <xf numFmtId="0" fontId="19" fillId="0" borderId="0" applyNumberFormat="0" applyFill="0" applyBorder="0" applyAlignment="0" applyProtection="0"/>
    <xf numFmtId="0" fontId="140" fillId="0" borderId="15" applyBorder="0" applyProtection="0">
      <alignment horizontal="right"/>
    </xf>
    <xf numFmtId="0" fontId="27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7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7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187" fontId="58" fillId="0" borderId="4">
      <protection locked="0"/>
    </xf>
    <xf numFmtId="0" fontId="28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141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0" fontId="6" fillId="12" borderId="2" applyNumberFormat="0" applyAlignment="0" applyProtection="0"/>
    <xf numFmtId="3" fontId="142" fillId="0" borderId="0">
      <alignment horizontal="center" vertical="center" textRotation="90" wrapText="1"/>
    </xf>
    <xf numFmtId="170" fontId="58" fillId="0" borderId="6">
      <alignment vertical="top" wrapText="1"/>
    </xf>
    <xf numFmtId="0" fontId="29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143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7" fillId="17" borderId="14" applyNumberFormat="0" applyAlignment="0" applyProtection="0"/>
    <xf numFmtId="0" fontId="30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4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49" fontId="146" fillId="0" borderId="0" applyNumberFormat="0" applyFill="0" applyBorder="0" applyAlignment="0" applyProtection="0">
      <alignment vertical="top"/>
    </xf>
    <xf numFmtId="0" fontId="9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176" fontId="149" fillId="0" borderId="6">
      <alignment vertical="top" wrapText="1"/>
    </xf>
    <xf numFmtId="4" fontId="150" fillId="0" borderId="6">
      <alignment horizontal="left" vertical="center"/>
    </xf>
    <xf numFmtId="4" fontId="150" fillId="0" borderId="6"/>
    <xf numFmtId="4" fontId="150" fillId="60" borderId="6"/>
    <xf numFmtId="4" fontId="150" fillId="61" borderId="6"/>
    <xf numFmtId="4" fontId="151" fillId="62" borderId="6"/>
    <xf numFmtId="4" fontId="152" fillId="2" borderId="6"/>
    <xf numFmtId="4" fontId="153" fillId="0" borderId="6">
      <alignment horizontal="center" wrapText="1"/>
    </xf>
    <xf numFmtId="176" fontId="150" fillId="0" borderId="6"/>
    <xf numFmtId="176" fontId="149" fillId="0" borderId="6">
      <alignment horizontal="center" vertical="center" wrapText="1"/>
    </xf>
    <xf numFmtId="176" fontId="149" fillId="0" borderId="6">
      <alignment vertical="top" wrapText="1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12" fontId="4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8" fillId="0" borderId="0"/>
    <xf numFmtId="0" fontId="48" fillId="0" borderId="0"/>
    <xf numFmtId="0" fontId="154" fillId="0" borderId="0" applyBorder="0">
      <alignment horizontal="center" vertical="center" wrapText="1"/>
    </xf>
    <xf numFmtId="0" fontId="31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155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32" fillId="0" borderId="26" applyNumberFormat="0" applyFill="0" applyAlignment="0" applyProtection="0"/>
    <xf numFmtId="0" fontId="10" fillId="0" borderId="26" applyNumberFormat="0" applyFill="0" applyAlignment="0" applyProtection="0"/>
    <xf numFmtId="0" fontId="187" fillId="0" borderId="31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56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10" fillId="0" borderId="26" applyNumberFormat="0" applyFill="0" applyAlignment="0" applyProtection="0"/>
    <xf numFmtId="0" fontId="33" fillId="0" borderId="9" applyNumberFormat="0" applyFill="0" applyAlignment="0" applyProtection="0"/>
    <xf numFmtId="0" fontId="11" fillId="0" borderId="9" applyNumberFormat="0" applyFill="0" applyAlignment="0" applyProtection="0"/>
    <xf numFmtId="0" fontId="188" fillId="0" borderId="32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57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4" fillId="0" borderId="0" applyBorder="0">
      <alignment horizontal="center" vertical="center" wrapText="1"/>
    </xf>
    <xf numFmtId="211" fontId="158" fillId="0" borderId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5" fillId="0" borderId="27" applyBorder="0">
      <alignment horizontal="center" vertical="center" wrapText="1"/>
    </xf>
    <xf numFmtId="187" fontId="73" fillId="28" borderId="4"/>
    <xf numFmtId="4" fontId="43" fillId="4" borderId="6" applyBorder="0">
      <alignment horizontal="right"/>
    </xf>
    <xf numFmtId="49" fontId="161" fillId="0" borderId="0" applyBorder="0">
      <alignment vertical="center"/>
    </xf>
    <xf numFmtId="0" fontId="34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6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0" fontId="12" fillId="0" borderId="28" applyNumberFormat="0" applyFill="0" applyAlignment="0" applyProtection="0"/>
    <xf numFmtId="3" fontId="73" fillId="0" borderId="6" applyBorder="0">
      <alignment vertical="center"/>
    </xf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105" fillId="0" borderId="3" applyNumberFormat="0" applyFill="0" applyAlignment="0" applyProtection="0"/>
    <xf numFmtId="0" fontId="35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6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13" fillId="27" borderId="5" applyNumberFormat="0" applyAlignment="0" applyProtection="0"/>
    <xf numFmtId="0" fontId="23" fillId="0" borderId="0">
      <alignment wrapText="1"/>
    </xf>
    <xf numFmtId="0" fontId="160" fillId="0" borderId="0">
      <alignment horizontal="center" vertical="top" wrapText="1"/>
    </xf>
    <xf numFmtId="0" fontId="164" fillId="0" borderId="0">
      <alignment horizontal="center" vertical="center" wrapText="1"/>
    </xf>
    <xf numFmtId="0" fontId="164" fillId="0" borderId="0">
      <alignment horizontal="center" vertical="center" wrapText="1"/>
    </xf>
    <xf numFmtId="178" fontId="160" fillId="0" borderId="0">
      <alignment horizontal="center" vertical="top"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0" fontId="105" fillId="3" borderId="0" applyFill="0">
      <alignment wrapText="1"/>
    </xf>
    <xf numFmtId="178" fontId="105" fillId="3" borderId="0" applyFill="0">
      <alignment wrapText="1"/>
    </xf>
    <xf numFmtId="172" fontId="165" fillId="3" borderId="6">
      <alignment wrapText="1"/>
    </xf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66" fillId="0" borderId="0"/>
    <xf numFmtId="0" fontId="3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7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49" fontId="142" fillId="0" borderId="6">
      <alignment horizontal="right" vertical="top" wrapText="1"/>
    </xf>
    <xf numFmtId="173" fontId="168" fillId="0" borderId="0">
      <alignment horizontal="right" vertical="top" wrapText="1"/>
    </xf>
    <xf numFmtId="0" fontId="22" fillId="0" borderId="0"/>
    <xf numFmtId="0" fontId="22" fillId="0" borderId="0"/>
    <xf numFmtId="0" fontId="185" fillId="0" borderId="0"/>
    <xf numFmtId="49" fontId="43" fillId="0" borderId="0" applyBorder="0">
      <alignment vertical="top"/>
    </xf>
    <xf numFmtId="0" fontId="3" fillId="0" borderId="0"/>
    <xf numFmtId="0" fontId="169" fillId="0" borderId="0"/>
    <xf numFmtId="0" fontId="48" fillId="0" borderId="0"/>
    <xf numFmtId="0" fontId="48" fillId="0" borderId="0"/>
    <xf numFmtId="0" fontId="189" fillId="0" borderId="0"/>
    <xf numFmtId="0" fontId="3" fillId="0" borderId="0"/>
    <xf numFmtId="0" fontId="3" fillId="0" borderId="0"/>
    <xf numFmtId="0" fontId="48" fillId="0" borderId="0"/>
    <xf numFmtId="0" fontId="47" fillId="0" borderId="0"/>
    <xf numFmtId="0" fontId="3" fillId="0" borderId="0"/>
    <xf numFmtId="0" fontId="3" fillId="0" borderId="0"/>
    <xf numFmtId="0" fontId="47" fillId="0" borderId="0"/>
    <xf numFmtId="0" fontId="4" fillId="0" borderId="0"/>
    <xf numFmtId="0" fontId="170" fillId="0" borderId="0"/>
    <xf numFmtId="0" fontId="185" fillId="0" borderId="0"/>
    <xf numFmtId="0" fontId="4" fillId="0" borderId="0"/>
    <xf numFmtId="0" fontId="4" fillId="0" borderId="0"/>
    <xf numFmtId="0" fontId="4" fillId="0" borderId="0"/>
    <xf numFmtId="0" fontId="4" fillId="0" borderId="0"/>
    <xf numFmtId="49" fontId="43" fillId="0" borderId="0" applyBorder="0">
      <alignment vertical="top"/>
    </xf>
    <xf numFmtId="0" fontId="4" fillId="0" borderId="0"/>
    <xf numFmtId="0" fontId="4" fillId="0" borderId="0"/>
    <xf numFmtId="49" fontId="43" fillId="0" borderId="0" applyBorder="0">
      <alignment vertical="top"/>
    </xf>
    <xf numFmtId="0" fontId="185" fillId="0" borderId="0"/>
    <xf numFmtId="0" fontId="185" fillId="0" borderId="0"/>
    <xf numFmtId="0" fontId="23" fillId="0" borderId="0"/>
    <xf numFmtId="0" fontId="189" fillId="0" borderId="0"/>
    <xf numFmtId="0" fontId="23" fillId="0" borderId="0"/>
    <xf numFmtId="0" fontId="54" fillId="0" borderId="0">
      <alignment horizontal="left"/>
    </xf>
    <xf numFmtId="0" fontId="185" fillId="0" borderId="0"/>
    <xf numFmtId="0" fontId="4" fillId="0" borderId="0"/>
    <xf numFmtId="0" fontId="4" fillId="0" borderId="0"/>
    <xf numFmtId="0" fontId="185" fillId="0" borderId="0"/>
    <xf numFmtId="0" fontId="23" fillId="0" borderId="0"/>
    <xf numFmtId="0" fontId="185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1" fillId="44" borderId="0" applyNumberFormat="0" applyBorder="0" applyAlignment="0">
      <alignment horizontal="left" vertical="center"/>
    </xf>
    <xf numFmtId="0" fontId="23" fillId="0" borderId="0"/>
    <xf numFmtId="0" fontId="172" fillId="0" borderId="0"/>
    <xf numFmtId="0" fontId="23" fillId="0" borderId="0"/>
    <xf numFmtId="0" fontId="48" fillId="0" borderId="0"/>
    <xf numFmtId="0" fontId="23" fillId="0" borderId="0"/>
    <xf numFmtId="0" fontId="189" fillId="0" borderId="0"/>
    <xf numFmtId="0" fontId="189" fillId="0" borderId="0"/>
    <xf numFmtId="49" fontId="43" fillId="0" borderId="0" applyBorder="0">
      <alignment vertical="top"/>
    </xf>
    <xf numFmtId="0" fontId="189" fillId="0" borderId="0"/>
    <xf numFmtId="0" fontId="23" fillId="0" borderId="0"/>
    <xf numFmtId="0" fontId="48" fillId="0" borderId="0" applyNumberFormat="0" applyFont="0" applyFill="0" applyBorder="0" applyAlignment="0" applyProtection="0">
      <alignment vertical="top"/>
    </xf>
    <xf numFmtId="0" fontId="172" fillId="0" borderId="0"/>
    <xf numFmtId="0" fontId="48" fillId="0" borderId="0"/>
    <xf numFmtId="0" fontId="4" fillId="0" borderId="0"/>
    <xf numFmtId="0" fontId="4" fillId="0" borderId="0"/>
    <xf numFmtId="0" fontId="23" fillId="0" borderId="0"/>
    <xf numFmtId="0" fontId="171" fillId="44" borderId="0" applyNumberFormat="0" applyBorder="0" applyAlignment="0">
      <alignment horizontal="left" vertical="center"/>
    </xf>
    <xf numFmtId="0" fontId="171" fillId="44" borderId="0" applyNumberFormat="0" applyBorder="0" applyAlignment="0">
      <alignment horizontal="left" vertical="center"/>
    </xf>
    <xf numFmtId="0" fontId="190" fillId="0" borderId="0"/>
    <xf numFmtId="0" fontId="58" fillId="0" borderId="0"/>
    <xf numFmtId="0" fontId="23" fillId="0" borderId="0"/>
    <xf numFmtId="0" fontId="172" fillId="0" borderId="0"/>
    <xf numFmtId="0" fontId="4" fillId="0" borderId="0"/>
    <xf numFmtId="0" fontId="4" fillId="0" borderId="0"/>
    <xf numFmtId="0" fontId="23" fillId="0" borderId="0"/>
    <xf numFmtId="0" fontId="185" fillId="0" borderId="0"/>
    <xf numFmtId="0" fontId="172" fillId="0" borderId="0"/>
    <xf numFmtId="0" fontId="4" fillId="0" borderId="0"/>
    <xf numFmtId="0" fontId="23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85" fillId="0" borderId="0"/>
    <xf numFmtId="0" fontId="4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3" fillId="0" borderId="0"/>
    <xf numFmtId="0" fontId="3" fillId="0" borderId="0">
      <alignment wrapText="1"/>
    </xf>
    <xf numFmtId="0" fontId="23" fillId="0" borderId="0"/>
    <xf numFmtId="0" fontId="3" fillId="0" borderId="0">
      <alignment wrapText="1"/>
    </xf>
    <xf numFmtId="0" fontId="23" fillId="0" borderId="0"/>
    <xf numFmtId="0" fontId="3" fillId="0" borderId="0">
      <alignment wrapText="1"/>
    </xf>
    <xf numFmtId="0" fontId="23" fillId="0" borderId="0"/>
    <xf numFmtId="0" fontId="3" fillId="0" borderId="0">
      <alignment wrapText="1"/>
    </xf>
    <xf numFmtId="0" fontId="185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3" fillId="0" borderId="0"/>
    <xf numFmtId="0" fontId="23" fillId="0" borderId="0"/>
    <xf numFmtId="49" fontId="43" fillId="44" borderId="0" applyBorder="0">
      <alignment vertical="top"/>
    </xf>
    <xf numFmtId="0" fontId="48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8" fillId="0" borderId="0"/>
    <xf numFmtId="0" fontId="23" fillId="0" borderId="0"/>
    <xf numFmtId="0" fontId="185" fillId="0" borderId="0"/>
    <xf numFmtId="0" fontId="23" fillId="0" borderId="0"/>
    <xf numFmtId="0" fontId="190" fillId="0" borderId="0"/>
    <xf numFmtId="0" fontId="48" fillId="0" borderId="0"/>
    <xf numFmtId="0" fontId="23" fillId="0" borderId="0"/>
    <xf numFmtId="0" fontId="23" fillId="0" borderId="0"/>
    <xf numFmtId="0" fontId="51" fillId="0" borderId="0"/>
    <xf numFmtId="0" fontId="185" fillId="0" borderId="0"/>
    <xf numFmtId="0" fontId="23" fillId="0" borderId="0"/>
    <xf numFmtId="213" fontId="8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13" fontId="84" fillId="0" borderId="0"/>
    <xf numFmtId="0" fontId="4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2" fillId="0" borderId="0"/>
    <xf numFmtId="0" fontId="3" fillId="0" borderId="0"/>
    <xf numFmtId="0" fontId="185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4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8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8" fillId="0" borderId="0"/>
    <xf numFmtId="0" fontId="4" fillId="0" borderId="0"/>
    <xf numFmtId="0" fontId="22" fillId="0" borderId="0"/>
    <xf numFmtId="0" fontId="185" fillId="0" borderId="0"/>
    <xf numFmtId="0" fontId="3" fillId="0" borderId="0"/>
    <xf numFmtId="0" fontId="22" fillId="0" borderId="0"/>
    <xf numFmtId="0" fontId="185" fillId="0" borderId="0"/>
    <xf numFmtId="0" fontId="3" fillId="0" borderId="0"/>
    <xf numFmtId="0" fontId="22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3" fillId="0" borderId="0"/>
    <xf numFmtId="0" fontId="3" fillId="0" borderId="0"/>
    <xf numFmtId="0" fontId="22" fillId="0" borderId="0"/>
    <xf numFmtId="0" fontId="2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2" fillId="0" borderId="0"/>
    <xf numFmtId="0" fontId="3" fillId="0" borderId="0"/>
    <xf numFmtId="49" fontId="43" fillId="0" borderId="0" applyBorder="0">
      <alignment vertical="top"/>
    </xf>
    <xf numFmtId="0" fontId="169" fillId="0" borderId="0"/>
    <xf numFmtId="0" fontId="3" fillId="0" borderId="0"/>
    <xf numFmtId="0" fontId="3" fillId="0" borderId="0"/>
    <xf numFmtId="0" fontId="48" fillId="0" borderId="0"/>
    <xf numFmtId="0" fontId="3" fillId="0" borderId="0"/>
    <xf numFmtId="1" fontId="173" fillId="0" borderId="6">
      <alignment horizontal="left" vertical="center"/>
    </xf>
    <xf numFmtId="0" fontId="38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4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23" fillId="0" borderId="0" applyFont="0" applyFill="0" applyBorder="0" applyProtection="0">
      <alignment horizontal="center" vertical="center" wrapText="1"/>
    </xf>
    <xf numFmtId="0" fontId="23" fillId="0" borderId="0" applyNumberFormat="0" applyFont="0" applyFill="0" applyBorder="0" applyProtection="0">
      <alignment horizontal="justify" vertical="center" wrapText="1"/>
    </xf>
    <xf numFmtId="176" fontId="158" fillId="0" borderId="6">
      <alignment vertical="top"/>
    </xf>
    <xf numFmtId="173" fontId="175" fillId="4" borderId="16" applyNumberFormat="0" applyBorder="0" applyAlignment="0">
      <alignment vertical="center"/>
      <protection locked="0"/>
    </xf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23" fillId="35" borderId="13" applyNumberFormat="0" applyFont="0" applyAlignment="0" applyProtection="0"/>
    <xf numFmtId="0" fontId="4" fillId="35" borderId="13" applyNumberFormat="0" applyFont="0" applyAlignment="0" applyProtection="0"/>
    <xf numFmtId="0" fontId="4" fillId="35" borderId="13" applyNumberFormat="0" applyFont="0" applyAlignment="0" applyProtection="0"/>
    <xf numFmtId="0" fontId="4" fillId="35" borderId="13" applyNumberFormat="0" applyFont="0" applyAlignment="0" applyProtection="0"/>
    <xf numFmtId="0" fontId="4" fillId="35" borderId="13" applyNumberFormat="0" applyFont="0" applyAlignment="0" applyProtection="0"/>
    <xf numFmtId="0" fontId="22" fillId="35" borderId="13" applyNumberFormat="0" applyFont="0" applyAlignment="0" applyProtection="0"/>
    <xf numFmtId="0" fontId="22" fillId="35" borderId="13" applyNumberFormat="0" applyFont="0" applyAlignment="0" applyProtection="0"/>
    <xf numFmtId="0" fontId="3" fillId="35" borderId="13" applyNumberFormat="0" applyFont="0" applyAlignment="0" applyProtection="0"/>
    <xf numFmtId="0" fontId="23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48" fillId="35" borderId="13" applyNumberFormat="0" applyFont="0" applyAlignment="0" applyProtection="0"/>
    <xf numFmtId="0" fontId="22" fillId="35" borderId="13" applyNumberFormat="0" applyFont="0" applyAlignment="0" applyProtection="0"/>
    <xf numFmtId="0" fontId="22" fillId="35" borderId="13" applyNumberFormat="0" applyFont="0" applyAlignment="0" applyProtection="0"/>
    <xf numFmtId="0" fontId="3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22" fillId="35" borderId="13" applyNumberFormat="0" applyFont="0" applyAlignment="0" applyProtection="0"/>
    <xf numFmtId="0" fontId="48" fillId="35" borderId="13" applyNumberFormat="0" applyFont="0" applyAlignment="0" applyProtection="0"/>
    <xf numFmtId="0" fontId="3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64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64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0" fontId="48" fillId="35" borderId="13" applyNumberFormat="0" applyFont="0" applyAlignment="0" applyProtection="0"/>
    <xf numFmtId="49" fontId="151" fillId="0" borderId="1">
      <alignment horizontal="left"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58" fillId="0" borderId="0" applyFill="0" applyBorder="0" applyAlignment="0" applyProtection="0"/>
    <xf numFmtId="9" fontId="3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77" fillId="0" borderId="6"/>
    <xf numFmtId="0" fontId="23" fillId="0" borderId="6" applyNumberFormat="0" applyFont="0" applyFill="0" applyAlignment="0" applyProtection="0"/>
    <xf numFmtId="3" fontId="178" fillId="63" borderId="1">
      <alignment horizontal="justify" vertical="center"/>
    </xf>
    <xf numFmtId="0" fontId="40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79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52" fillId="0" borderId="0"/>
    <xf numFmtId="180" fontId="54" fillId="0" borderId="0">
      <alignment vertical="top"/>
    </xf>
    <xf numFmtId="38" fontId="54" fillId="0" borderId="0">
      <alignment vertical="top"/>
    </xf>
    <xf numFmtId="0" fontId="53" fillId="0" borderId="0"/>
    <xf numFmtId="38" fontId="54" fillId="0" borderId="0">
      <alignment vertical="top"/>
    </xf>
    <xf numFmtId="0" fontId="52" fillId="0" borderId="0"/>
    <xf numFmtId="180" fontId="54" fillId="0" borderId="0">
      <alignment vertical="top"/>
    </xf>
    <xf numFmtId="49" fontId="168" fillId="0" borderId="0"/>
    <xf numFmtId="49" fontId="180" fillId="0" borderId="0">
      <alignment vertical="top"/>
    </xf>
    <xf numFmtId="3" fontId="181" fillId="0" borderId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173" fontId="105" fillId="0" borderId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49" fontId="105" fillId="0" borderId="0">
      <alignment horizontal="center"/>
    </xf>
    <xf numFmtId="38" fontId="59" fillId="0" borderId="0" applyFont="0" applyFill="0" applyBorder="0" applyAlignment="0" applyProtection="0"/>
    <xf numFmtId="3" fontId="183" fillId="0" borderId="1" applyFont="0" applyBorder="0">
      <alignment horizontal="right"/>
      <protection locked="0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2" fontId="105" fillId="0" borderId="0" applyFill="0" applyBorder="0" applyAlignment="0" applyProtection="0"/>
    <xf numFmtId="168" fontId="2" fillId="0" borderId="0" applyFont="0" applyFill="0" applyBorder="0" applyAlignment="0" applyProtection="0"/>
    <xf numFmtId="214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2" fillId="0" borderId="0" applyFont="0" applyFill="0" applyBorder="0" applyAlignment="0" applyProtection="0"/>
    <xf numFmtId="215" fontId="4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2" fillId="0" borderId="0" applyFont="0" applyFill="0" applyBorder="0" applyAlignment="0" applyProtection="0"/>
    <xf numFmtId="215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215" fontId="48" fillId="0" borderId="0" applyFont="0" applyFill="0" applyBorder="0" applyAlignment="0" applyProtection="0"/>
    <xf numFmtId="167" fontId="4" fillId="0" borderId="0" applyFont="0" applyFill="0" applyBorder="0" applyAlignment="0" applyProtection="0"/>
    <xf numFmtId="216" fontId="48" fillId="0" borderId="0" applyFont="0" applyFill="0" applyBorder="0" applyAlignment="0" applyProtection="0"/>
    <xf numFmtId="216" fontId="48" fillId="0" borderId="0" applyFont="0" applyFill="0" applyBorder="0" applyAlignment="0" applyProtection="0"/>
    <xf numFmtId="215" fontId="4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217" fontId="23" fillId="0" borderId="0" applyFont="0" applyFill="0" applyBorder="0" applyAlignment="0" applyProtection="0"/>
    <xf numFmtId="4" fontId="43" fillId="3" borderId="0" applyFont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Font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0" applyBorder="0">
      <alignment horizontal="right"/>
    </xf>
    <xf numFmtId="4" fontId="43" fillId="3" borderId="29" applyBorder="0">
      <alignment horizontal="right"/>
    </xf>
    <xf numFmtId="4" fontId="43" fillId="3" borderId="29" applyBorder="0">
      <alignment horizontal="right"/>
    </xf>
    <xf numFmtId="4" fontId="43" fillId="64" borderId="30" applyBorder="0">
      <alignment horizontal="right"/>
    </xf>
    <xf numFmtId="4" fontId="43" fillId="64" borderId="30" applyBorder="0">
      <alignment horizontal="right"/>
    </xf>
    <xf numFmtId="0" fontId="42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84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169" fontId="58" fillId="0" borderId="1">
      <alignment vertical="top" wrapText="1"/>
    </xf>
    <xf numFmtId="174" fontId="23" fillId="0" borderId="6" applyFont="0" applyFill="0" applyBorder="0" applyProtection="0">
      <alignment horizontal="center" vertical="center"/>
    </xf>
    <xf numFmtId="3" fontId="23" fillId="0" borderId="0" applyFont="0" applyBorder="0">
      <alignment horizontal="center"/>
    </xf>
    <xf numFmtId="166" fontId="60" fillId="0" borderId="0">
      <protection locked="0"/>
    </xf>
    <xf numFmtId="49" fontId="149" fillId="0" borderId="6">
      <alignment horizontal="center" vertical="center" wrapText="1"/>
    </xf>
    <xf numFmtId="0" fontId="58" fillId="0" borderId="6" applyBorder="0">
      <alignment horizontal="center" vertical="center" wrapText="1"/>
    </xf>
    <xf numFmtId="49" fontId="149" fillId="0" borderId="6">
      <alignment horizontal="center" vertical="center" wrapText="1"/>
    </xf>
    <xf numFmtId="49" fontId="122" fillId="0" borderId="6" applyNumberFormat="0" applyFill="0" applyAlignment="0" applyProtection="0"/>
    <xf numFmtId="172" fontId="23" fillId="0" borderId="0"/>
    <xf numFmtId="0" fontId="6" fillId="12" borderId="2" applyNumberFormat="0" applyAlignment="0" applyProtection="0"/>
    <xf numFmtId="0" fontId="48" fillId="0" borderId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" fillId="0" borderId="2" applyNumberFormat="0" applyAlignment="0">
      <protection locked="0"/>
    </xf>
    <xf numFmtId="0" fontId="2" fillId="0" borderId="2" applyNumberFormat="0" applyAlignment="0">
      <protection locked="0"/>
    </xf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" fillId="29" borderId="2" applyAlignment="0">
      <alignment horizontal="left" vertical="center"/>
    </xf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" fillId="9" borderId="2" applyNumberFormat="0" applyAlignment="0"/>
    <xf numFmtId="0" fontId="5" fillId="18" borderId="0" applyNumberFormat="0" applyBorder="0" applyAlignment="0" applyProtection="0"/>
    <xf numFmtId="0" fontId="2" fillId="17" borderId="2" applyNumberFormat="0" applyAlignment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0" fontId="2" fillId="35" borderId="13" applyNumberFormat="0" applyFont="0" applyAlignment="0" applyProtection="0"/>
    <xf numFmtId="9" fontId="2" fillId="0" borderId="0" applyFont="0" applyFill="0" applyBorder="0" applyAlignment="0" applyProtection="0"/>
    <xf numFmtId="0" fontId="2" fillId="35" borderId="13" applyNumberFormat="0" applyFon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66">
    <xf numFmtId="0" fontId="0" fillId="0" borderId="0" xfId="0"/>
    <xf numFmtId="0" fontId="24" fillId="0" borderId="12" xfId="3166" applyFont="1" applyFill="1" applyBorder="1" applyAlignment="1">
      <alignment horizontal="left" vertical="center" wrapText="1"/>
    </xf>
    <xf numFmtId="171" fontId="24" fillId="0" borderId="12" xfId="3869" applyNumberFormat="1" applyFont="1" applyFill="1" applyBorder="1" applyAlignment="1">
      <alignment horizontal="center" vertical="center" wrapText="1"/>
    </xf>
    <xf numFmtId="171" fontId="21" fillId="0" borderId="12" xfId="3869" applyNumberFormat="1" applyFont="1" applyFill="1" applyBorder="1" applyAlignment="1">
      <alignment horizontal="center" vertical="center" wrapText="1" shrinkToFit="1"/>
    </xf>
    <xf numFmtId="168" fontId="24" fillId="0" borderId="12" xfId="3869" applyFont="1" applyFill="1" applyBorder="1" applyAlignment="1">
      <alignment horizontal="center" vertical="center" wrapText="1" shrinkToFit="1"/>
    </xf>
    <xf numFmtId="0" fontId="21" fillId="0" borderId="0" xfId="3166" applyFont="1" applyFill="1"/>
    <xf numFmtId="0" fontId="21" fillId="0" borderId="0" xfId="0" applyFont="1" applyFill="1"/>
    <xf numFmtId="49" fontId="21" fillId="0" borderId="12" xfId="3166" applyNumberFormat="1" applyFont="1" applyFill="1" applyBorder="1" applyAlignment="1">
      <alignment horizontal="left" vertical="center" wrapText="1" shrinkToFit="1"/>
    </xf>
    <xf numFmtId="0" fontId="21" fillId="0" borderId="12" xfId="3166" applyFont="1" applyFill="1" applyBorder="1" applyAlignment="1">
      <alignment horizontal="left" vertical="center" wrapText="1" shrinkToFit="1"/>
    </xf>
    <xf numFmtId="168" fontId="21" fillId="0" borderId="12" xfId="3869" applyFont="1" applyFill="1" applyBorder="1" applyAlignment="1">
      <alignment horizontal="center" vertical="center" wrapText="1" shrinkToFit="1"/>
    </xf>
    <xf numFmtId="168" fontId="21" fillId="0" borderId="12" xfId="3881" applyFont="1" applyFill="1" applyBorder="1" applyAlignment="1">
      <alignment horizontal="center" vertical="center" wrapText="1" shrinkToFit="1"/>
    </xf>
    <xf numFmtId="4" fontId="21" fillId="0" borderId="12" xfId="0" applyNumberFormat="1" applyFont="1" applyFill="1" applyBorder="1" applyAlignment="1">
      <alignment horizontal="center" vertical="center" wrapText="1" shrinkToFit="1"/>
    </xf>
    <xf numFmtId="0" fontId="21" fillId="0" borderId="0" xfId="3166" applyFont="1" applyFill="1" applyAlignment="1">
      <alignment horizontal="center" vertical="center" wrapText="1" shrinkToFit="1"/>
    </xf>
    <xf numFmtId="0" fontId="24" fillId="0" borderId="0" xfId="3166" applyFont="1" applyFill="1" applyAlignment="1">
      <alignment horizontal="center" vertical="center" wrapText="1"/>
    </xf>
    <xf numFmtId="0" fontId="24" fillId="0" borderId="0" xfId="0" applyFont="1" applyFill="1"/>
    <xf numFmtId="0" fontId="21" fillId="0" borderId="12" xfId="0" applyFont="1" applyFill="1" applyBorder="1" applyAlignment="1">
      <alignment horizontal="left" vertical="center" wrapText="1" shrinkToFit="1"/>
    </xf>
    <xf numFmtId="168" fontId="24" fillId="0" borderId="12" xfId="3881" applyFont="1" applyFill="1" applyBorder="1" applyAlignment="1">
      <alignment horizontal="center" vertical="center" wrapText="1" shrinkToFit="1"/>
    </xf>
    <xf numFmtId="4" fontId="24" fillId="0" borderId="12" xfId="0" applyNumberFormat="1" applyFont="1" applyFill="1" applyBorder="1" applyAlignment="1">
      <alignment horizontal="center" vertical="center" wrapText="1" shrinkToFit="1"/>
    </xf>
    <xf numFmtId="49" fontId="21" fillId="0" borderId="12" xfId="0" applyNumberFormat="1" applyFont="1" applyFill="1" applyBorder="1" applyAlignment="1">
      <alignment horizontal="left" vertical="center" wrapText="1" shrinkToFit="1"/>
    </xf>
    <xf numFmtId="0" fontId="21" fillId="0" borderId="12" xfId="0" applyFont="1" applyFill="1" applyBorder="1" applyAlignment="1">
      <alignment horizontal="center" vertical="center" wrapText="1"/>
    </xf>
    <xf numFmtId="168" fontId="24" fillId="0" borderId="33" xfId="3881" applyFont="1" applyFill="1" applyBorder="1" applyAlignment="1">
      <alignment horizontal="center" vertical="center" wrapText="1" shrinkToFit="1"/>
    </xf>
    <xf numFmtId="218" fontId="21" fillId="0" borderId="12" xfId="3908" applyNumberFormat="1" applyFont="1" applyFill="1" applyBorder="1" applyAlignment="1">
      <alignment horizontal="center" vertical="center" wrapText="1" shrinkToFit="1"/>
    </xf>
    <xf numFmtId="0" fontId="21" fillId="0" borderId="12" xfId="0" applyFont="1" applyBorder="1"/>
    <xf numFmtId="0" fontId="43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218" fontId="24" fillId="0" borderId="12" xfId="3908" applyNumberFormat="1" applyFont="1" applyFill="1" applyBorder="1" applyAlignment="1">
      <alignment horizontal="center" vertical="center"/>
    </xf>
    <xf numFmtId="4" fontId="24" fillId="0" borderId="12" xfId="3908" applyNumberFormat="1" applyFont="1" applyFill="1" applyBorder="1" applyAlignment="1">
      <alignment horizontal="center" vertical="center"/>
    </xf>
    <xf numFmtId="0" fontId="21" fillId="0" borderId="12" xfId="3169" applyFont="1" applyFill="1" applyBorder="1" applyAlignment="1">
      <alignment horizontal="left" vertical="center" wrapText="1" shrinkToFit="1"/>
    </xf>
    <xf numFmtId="49" fontId="21" fillId="0" borderId="12" xfId="3169" applyNumberFormat="1" applyFont="1" applyFill="1" applyBorder="1" applyAlignment="1">
      <alignment horizontal="left" vertical="center" wrapText="1" shrinkToFit="1"/>
    </xf>
    <xf numFmtId="0" fontId="0" fillId="0" borderId="0" xfId="0"/>
    <xf numFmtId="0" fontId="21" fillId="0" borderId="12" xfId="0" applyFont="1" applyFill="1" applyBorder="1" applyAlignment="1">
      <alignment horizontal="center" vertical="center" wrapText="1"/>
    </xf>
    <xf numFmtId="218" fontId="191" fillId="0" borderId="12" xfId="3908" applyNumberFormat="1" applyFont="1" applyFill="1" applyBorder="1" applyAlignment="1">
      <alignment horizontal="center" vertical="center" wrapText="1" shrinkToFit="1"/>
    </xf>
    <xf numFmtId="49" fontId="21" fillId="0" borderId="0" xfId="0" applyNumberFormat="1" applyFont="1" applyFill="1"/>
    <xf numFmtId="218" fontId="21" fillId="0" borderId="0" xfId="0" applyNumberFormat="1" applyFont="1" applyFill="1"/>
    <xf numFmtId="218" fontId="191" fillId="0" borderId="0" xfId="0" applyNumberFormat="1" applyFont="1" applyFill="1"/>
    <xf numFmtId="0" fontId="19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95" fillId="0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 shrinkToFit="1"/>
    </xf>
    <xf numFmtId="218" fontId="195" fillId="0" borderId="12" xfId="3908" applyNumberFormat="1" applyFont="1" applyFill="1" applyBorder="1" applyAlignment="1">
      <alignment horizontal="center" vertical="center" wrapText="1"/>
    </xf>
    <xf numFmtId="218" fontId="24" fillId="0" borderId="12" xfId="3908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24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171" fontId="21" fillId="0" borderId="12" xfId="0" applyNumberFormat="1" applyFont="1" applyFill="1" applyBorder="1" applyAlignment="1">
      <alignment horizontal="center" vertical="center" wrapText="1" shrinkToFit="1"/>
    </xf>
    <xf numFmtId="168" fontId="21" fillId="0" borderId="12" xfId="3908" applyFont="1" applyFill="1" applyBorder="1" applyAlignment="1">
      <alignment horizontal="center" vertical="center" wrapText="1" shrinkToFit="1"/>
    </xf>
    <xf numFmtId="171" fontId="21" fillId="0" borderId="12" xfId="3881" applyNumberFormat="1" applyFont="1" applyFill="1" applyBorder="1" applyAlignment="1">
      <alignment horizontal="center" vertical="center" wrapText="1" shrinkToFit="1"/>
    </xf>
    <xf numFmtId="171" fontId="24" fillId="0" borderId="12" xfId="3908" applyNumberFormat="1" applyFont="1" applyFill="1" applyBorder="1" applyAlignment="1">
      <alignment horizontal="center" vertical="center" wrapText="1"/>
    </xf>
    <xf numFmtId="218" fontId="24" fillId="0" borderId="12" xfId="3908" applyNumberFormat="1" applyFont="1" applyFill="1" applyBorder="1" applyAlignment="1">
      <alignment horizontal="center" vertical="center" wrapText="1" shrinkToFit="1"/>
    </xf>
    <xf numFmtId="168" fontId="24" fillId="0" borderId="12" xfId="3908" applyFont="1" applyFill="1" applyBorder="1" applyAlignment="1">
      <alignment horizontal="center" vertical="center" wrapText="1" shrinkToFit="1"/>
    </xf>
    <xf numFmtId="171" fontId="21" fillId="0" borderId="12" xfId="3908" applyNumberFormat="1" applyFont="1" applyFill="1" applyBorder="1" applyAlignment="1">
      <alignment horizontal="center" vertical="center" wrapText="1" shrinkToFit="1"/>
    </xf>
    <xf numFmtId="218" fontId="21" fillId="0" borderId="0" xfId="3908" applyNumberFormat="1" applyFont="1" applyFill="1" applyAlignment="1">
      <alignment horizontal="center" vertical="center"/>
    </xf>
    <xf numFmtId="0" fontId="24" fillId="0" borderId="12" xfId="3169" applyFont="1" applyFill="1" applyBorder="1" applyAlignment="1">
      <alignment horizontal="left" vertical="center" wrapText="1"/>
    </xf>
    <xf numFmtId="218" fontId="196" fillId="0" borderId="12" xfId="3908" applyNumberFormat="1" applyFont="1" applyFill="1" applyBorder="1" applyAlignment="1">
      <alignment horizontal="center" vertical="center" wrapText="1"/>
    </xf>
    <xf numFmtId="0" fontId="21" fillId="0" borderId="0" xfId="3169" applyFont="1" applyFill="1"/>
    <xf numFmtId="0" fontId="21" fillId="0" borderId="0" xfId="3169" applyFont="1" applyFill="1" applyAlignment="1">
      <alignment horizontal="center" vertical="center" wrapText="1" shrinkToFit="1"/>
    </xf>
    <xf numFmtId="0" fontId="24" fillId="0" borderId="0" xfId="3169" applyFont="1" applyFill="1" applyAlignment="1">
      <alignment horizontal="center" vertical="center" wrapText="1"/>
    </xf>
    <xf numFmtId="0" fontId="25" fillId="0" borderId="0" xfId="0" applyFont="1" applyFill="1"/>
    <xf numFmtId="0" fontId="2" fillId="0" borderId="0" xfId="0" applyFont="1" applyFill="1" applyBorder="1" applyAlignment="1">
      <alignment vertical="center" wrapText="1"/>
    </xf>
    <xf numFmtId="218" fontId="21" fillId="0" borderId="12" xfId="3869" applyNumberFormat="1" applyFont="1" applyFill="1" applyBorder="1" applyAlignment="1">
      <alignment horizontal="center" vertical="center" wrapText="1" shrinkToFit="1"/>
    </xf>
    <xf numFmtId="218" fontId="195" fillId="0" borderId="12" xfId="3869" applyNumberFormat="1" applyFont="1" applyFill="1" applyBorder="1" applyAlignment="1">
      <alignment horizontal="center" vertical="center" wrapText="1"/>
    </xf>
    <xf numFmtId="218" fontId="24" fillId="0" borderId="12" xfId="3869" applyNumberFormat="1" applyFont="1" applyFill="1" applyBorder="1" applyAlignment="1">
      <alignment horizontal="center" vertical="center" wrapText="1"/>
    </xf>
    <xf numFmtId="218" fontId="24" fillId="0" borderId="12" xfId="3869" applyNumberFormat="1" applyFont="1" applyFill="1" applyBorder="1" applyAlignment="1">
      <alignment horizontal="center" vertical="center" wrapText="1" shrinkToFit="1"/>
    </xf>
    <xf numFmtId="218" fontId="21" fillId="0" borderId="0" xfId="3869" applyNumberFormat="1" applyFont="1" applyFill="1" applyAlignment="1">
      <alignment horizontal="center" vertical="center"/>
    </xf>
    <xf numFmtId="218" fontId="191" fillId="0" borderId="12" xfId="3869" applyNumberFormat="1" applyFont="1" applyFill="1" applyBorder="1" applyAlignment="1">
      <alignment horizontal="center" vertical="center" wrapText="1" shrinkToFit="1"/>
    </xf>
    <xf numFmtId="218" fontId="196" fillId="0" borderId="12" xfId="3869" applyNumberFormat="1" applyFont="1" applyFill="1" applyBorder="1" applyAlignment="1">
      <alignment horizontal="center" vertical="center" wrapText="1"/>
    </xf>
    <xf numFmtId="218" fontId="24" fillId="0" borderId="12" xfId="3869" applyNumberFormat="1" applyFont="1" applyFill="1" applyBorder="1" applyAlignment="1">
      <alignment horizontal="center" vertical="center"/>
    </xf>
    <xf numFmtId="4" fontId="24" fillId="0" borderId="12" xfId="3869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wrapText="1"/>
    </xf>
    <xf numFmtId="0" fontId="21" fillId="0" borderId="34" xfId="0" applyFont="1" applyBorder="1"/>
    <xf numFmtId="0" fontId="21" fillId="0" borderId="37" xfId="0" applyFont="1" applyBorder="1"/>
    <xf numFmtId="0" fontId="21" fillId="0" borderId="37" xfId="0" applyFont="1" applyFill="1" applyBorder="1"/>
    <xf numFmtId="2" fontId="21" fillId="0" borderId="12" xfId="3908" applyNumberFormat="1" applyFont="1" applyFill="1" applyBorder="1" applyAlignment="1">
      <alignment horizontal="center" vertical="center" wrapText="1" shrinkToFit="1"/>
    </xf>
    <xf numFmtId="4" fontId="25" fillId="0" borderId="12" xfId="3869" applyNumberFormat="1" applyFont="1" applyFill="1" applyBorder="1" applyAlignment="1">
      <alignment horizontal="center" vertical="center"/>
    </xf>
    <xf numFmtId="4" fontId="24" fillId="0" borderId="12" xfId="3869" applyNumberFormat="1" applyFont="1" applyFill="1" applyBorder="1" applyAlignment="1">
      <alignment horizontal="center" vertical="center" wrapText="1" shrinkToFit="1"/>
    </xf>
    <xf numFmtId="4" fontId="21" fillId="0" borderId="12" xfId="3869" applyNumberFormat="1" applyFont="1" applyFill="1" applyBorder="1" applyAlignment="1">
      <alignment horizontal="center" vertical="center" wrapText="1" shrinkToFit="1"/>
    </xf>
    <xf numFmtId="4" fontId="25" fillId="0" borderId="12" xfId="3908" applyNumberFormat="1" applyFont="1" applyFill="1" applyBorder="1" applyAlignment="1">
      <alignment horizontal="center" vertical="center"/>
    </xf>
    <xf numFmtId="4" fontId="21" fillId="0" borderId="12" xfId="3881" applyNumberFormat="1" applyFont="1" applyFill="1" applyBorder="1" applyAlignment="1">
      <alignment horizontal="center" vertical="center" wrapText="1" shrinkToFit="1"/>
    </xf>
    <xf numFmtId="4" fontId="24" fillId="0" borderId="12" xfId="3908" applyNumberFormat="1" applyFont="1" applyFill="1" applyBorder="1" applyAlignment="1">
      <alignment horizontal="center" vertical="center" wrapText="1" shrinkToFit="1"/>
    </xf>
    <xf numFmtId="4" fontId="21" fillId="0" borderId="12" xfId="3908" applyNumberFormat="1" applyFont="1" applyFill="1" applyBorder="1" applyAlignment="1">
      <alignment horizontal="center" vertical="center" wrapText="1" shrinkToFit="1"/>
    </xf>
    <xf numFmtId="4" fontId="21" fillId="0" borderId="12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 shrinkToFit="1"/>
    </xf>
    <xf numFmtId="2" fontId="21" fillId="0" borderId="35" xfId="0" applyNumberFormat="1" applyFont="1" applyFill="1" applyBorder="1" applyAlignment="1">
      <alignment horizontal="center" vertical="center" wrapText="1" shrinkToFit="1"/>
    </xf>
    <xf numFmtId="0" fontId="21" fillId="0" borderId="12" xfId="0" applyFont="1" applyFill="1" applyBorder="1" applyAlignment="1">
      <alignment horizontal="center" vertical="center" wrapText="1" shrinkToFit="1"/>
    </xf>
    <xf numFmtId="0" fontId="21" fillId="0" borderId="38" xfId="0" applyFont="1" applyFill="1" applyBorder="1" applyAlignment="1">
      <alignment horizontal="left" vertical="center" wrapText="1" shrinkToFit="1"/>
    </xf>
    <xf numFmtId="0" fontId="21" fillId="0" borderId="34" xfId="0" applyFont="1" applyFill="1" applyBorder="1" applyAlignment="1">
      <alignment horizontal="left" vertical="center" wrapText="1" shrinkToFit="1"/>
    </xf>
    <xf numFmtId="0" fontId="0" fillId="0" borderId="0" xfId="0"/>
    <xf numFmtId="0" fontId="21" fillId="0" borderId="0" xfId="0" applyFont="1" applyFill="1"/>
    <xf numFmtId="4" fontId="21" fillId="0" borderId="12" xfId="0" applyNumberFormat="1" applyFont="1" applyFill="1" applyBorder="1" applyAlignment="1">
      <alignment horizontal="center" vertical="center" wrapText="1" shrinkToFit="1"/>
    </xf>
    <xf numFmtId="0" fontId="21" fillId="0" borderId="12" xfId="0" applyFont="1" applyFill="1" applyBorder="1" applyAlignment="1">
      <alignment horizontal="left" vertical="center" wrapText="1" shrinkToFit="1"/>
    </xf>
    <xf numFmtId="4" fontId="24" fillId="0" borderId="12" xfId="0" applyNumberFormat="1" applyFont="1" applyFill="1" applyBorder="1" applyAlignment="1">
      <alignment horizontal="center" vertical="center" wrapText="1" shrinkToFit="1"/>
    </xf>
    <xf numFmtId="49" fontId="21" fillId="0" borderId="12" xfId="0" applyNumberFormat="1" applyFont="1" applyFill="1" applyBorder="1" applyAlignment="1">
      <alignment horizontal="left" vertical="center" wrapText="1" shrinkToFit="1"/>
    </xf>
    <xf numFmtId="0" fontId="21" fillId="0" borderId="36" xfId="0" applyFont="1" applyFill="1" applyBorder="1" applyAlignment="1">
      <alignment horizontal="left" vertical="center" wrapText="1" shrinkToFit="1"/>
    </xf>
    <xf numFmtId="0" fontId="43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21" fillId="0" borderId="12" xfId="0" applyFont="1" applyFill="1" applyBorder="1"/>
    <xf numFmtId="0" fontId="21" fillId="0" borderId="37" xfId="0" applyFont="1" applyFill="1" applyBorder="1"/>
    <xf numFmtId="2" fontId="21" fillId="0" borderId="12" xfId="4528" applyNumberFormat="1" applyFont="1" applyFill="1" applyBorder="1" applyAlignment="1">
      <alignment horizontal="center" vertical="center" wrapText="1" shrinkToFit="1"/>
    </xf>
    <xf numFmtId="219" fontId="21" fillId="0" borderId="0" xfId="0" applyNumberFormat="1" applyFont="1" applyFill="1"/>
    <xf numFmtId="49" fontId="21" fillId="0" borderId="34" xfId="3169" applyNumberFormat="1" applyFont="1" applyFill="1" applyBorder="1" applyAlignment="1">
      <alignment horizontal="left" vertical="center" wrapText="1" shrinkToFit="1"/>
    </xf>
    <xf numFmtId="0" fontId="21" fillId="0" borderId="37" xfId="3169" applyFont="1" applyFill="1" applyBorder="1" applyAlignment="1">
      <alignment horizontal="left" vertical="center" wrapText="1" shrinkToFit="1"/>
    </xf>
    <xf numFmtId="0" fontId="21" fillId="0" borderId="35" xfId="3169" applyFont="1" applyFill="1" applyBorder="1" applyAlignment="1">
      <alignment horizontal="left" vertical="center" wrapText="1" shrinkToFit="1"/>
    </xf>
    <xf numFmtId="0" fontId="0" fillId="0" borderId="0" xfId="0"/>
    <xf numFmtId="2" fontId="21" fillId="0" borderId="12" xfId="0" applyNumberFormat="1" applyFont="1" applyFill="1" applyBorder="1"/>
    <xf numFmtId="0" fontId="21" fillId="0" borderId="12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lef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0" xfId="0" applyNumberFormat="1" applyFill="1"/>
    <xf numFmtId="0" fontId="21" fillId="0" borderId="35" xfId="0" applyFont="1" applyFill="1" applyBorder="1" applyAlignment="1">
      <alignment horizontal="center" vertical="center" wrapText="1" shrinkToFit="1"/>
    </xf>
    <xf numFmtId="0" fontId="21" fillId="0" borderId="36" xfId="0" applyFont="1" applyFill="1" applyBorder="1"/>
    <xf numFmtId="173" fontId="21" fillId="0" borderId="35" xfId="0" applyNumberFormat="1" applyFont="1" applyFill="1" applyBorder="1" applyAlignment="1">
      <alignment horizontal="center" vertical="center" wrapText="1" shrinkToFit="1"/>
    </xf>
    <xf numFmtId="218" fontId="21" fillId="0" borderId="40" xfId="3908" applyNumberFormat="1" applyFont="1" applyFill="1" applyBorder="1" applyAlignment="1">
      <alignment horizontal="center" vertical="center" wrapText="1" shrinkToFit="1"/>
    </xf>
    <xf numFmtId="218" fontId="21" fillId="0" borderId="36" xfId="3908" applyNumberFormat="1" applyFont="1" applyFill="1" applyBorder="1" applyAlignment="1">
      <alignment horizontal="center" vertical="center" wrapText="1" shrinkToFit="1"/>
    </xf>
    <xf numFmtId="218" fontId="21" fillId="0" borderId="12" xfId="0" applyNumberFormat="1" applyFont="1" applyFill="1" applyBorder="1"/>
    <xf numFmtId="0" fontId="21" fillId="0" borderId="12" xfId="0" applyFont="1" applyFill="1" applyBorder="1" applyAlignment="1">
      <alignment wrapText="1"/>
    </xf>
    <xf numFmtId="218" fontId="21" fillId="0" borderId="12" xfId="4528" applyNumberFormat="1" applyFont="1" applyFill="1" applyBorder="1" applyAlignment="1">
      <alignment horizontal="center" vertical="center" wrapText="1" shrinkToFit="1"/>
    </xf>
    <xf numFmtId="0" fontId="21" fillId="0" borderId="34" xfId="0" applyFont="1" applyFill="1" applyBorder="1"/>
    <xf numFmtId="0" fontId="21" fillId="0" borderId="35" xfId="0" applyFont="1" applyFill="1" applyBorder="1"/>
    <xf numFmtId="0" fontId="0" fillId="0" borderId="0" xfId="0" applyFill="1"/>
    <xf numFmtId="4" fontId="2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2" fillId="0" borderId="0" xfId="0" applyFont="1" applyFill="1" applyAlignment="1">
      <alignment horizontal="center" vertical="center" wrapText="1"/>
    </xf>
    <xf numFmtId="0" fontId="192" fillId="0" borderId="0" xfId="0" applyFont="1" applyFill="1" applyAlignment="1">
      <alignment horizontal="center" vertical="center"/>
    </xf>
    <xf numFmtId="0" fontId="25" fillId="0" borderId="34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left" vertical="center" wrapText="1"/>
    </xf>
    <xf numFmtId="218" fontId="21" fillId="0" borderId="33" xfId="3908" applyNumberFormat="1" applyFont="1" applyFill="1" applyBorder="1" applyAlignment="1">
      <alignment horizontal="center" vertical="center" wrapText="1" shrinkToFit="1"/>
    </xf>
    <xf numFmtId="218" fontId="21" fillId="0" borderId="39" xfId="3908" applyNumberFormat="1" applyFont="1" applyFill="1" applyBorder="1" applyAlignment="1">
      <alignment horizontal="center" vertical="center" wrapText="1" shrinkToFit="1"/>
    </xf>
    <xf numFmtId="218" fontId="21" fillId="0" borderId="36" xfId="3908" applyNumberFormat="1" applyFont="1" applyFill="1" applyBorder="1" applyAlignment="1">
      <alignment horizontal="center" vertical="center" wrapText="1" shrinkToFi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43" fillId="0" borderId="37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4" fillId="0" borderId="34" xfId="3169" applyFont="1" applyFill="1" applyBorder="1" applyAlignment="1">
      <alignment horizontal="left" vertical="center" wrapText="1"/>
    </xf>
    <xf numFmtId="0" fontId="24" fillId="0" borderId="37" xfId="3169" applyFont="1" applyFill="1" applyBorder="1" applyAlignment="1">
      <alignment horizontal="left" vertical="center" wrapText="1"/>
    </xf>
    <xf numFmtId="0" fontId="24" fillId="0" borderId="35" xfId="3169" applyFont="1" applyFill="1" applyBorder="1" applyAlignment="1">
      <alignment horizontal="left" vertical="center" wrapText="1"/>
    </xf>
    <xf numFmtId="0" fontId="24" fillId="0" borderId="12" xfId="3169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192" fillId="0" borderId="0" xfId="0" applyFont="1" applyFill="1" applyBorder="1" applyAlignment="1">
      <alignment horizontal="center" vertical="center" wrapText="1"/>
    </xf>
    <xf numFmtId="0" fontId="193" fillId="0" borderId="0" xfId="0" applyFont="1" applyFill="1" applyBorder="1" applyAlignment="1">
      <alignment horizontal="center" vertical="center" wrapText="1"/>
    </xf>
    <xf numFmtId="49" fontId="43" fillId="0" borderId="33" xfId="3881" applyNumberFormat="1" applyFont="1" applyFill="1" applyBorder="1" applyAlignment="1">
      <alignment horizontal="center" vertical="center" wrapText="1"/>
    </xf>
    <xf numFmtId="49" fontId="43" fillId="0" borderId="36" xfId="3881" applyNumberFormat="1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49" fontId="43" fillId="0" borderId="33" xfId="0" applyNumberFormat="1" applyFont="1" applyFill="1" applyBorder="1" applyAlignment="1">
      <alignment horizontal="center" vertical="center" wrapText="1"/>
    </xf>
    <xf numFmtId="49" fontId="43" fillId="0" borderId="36" xfId="0" applyNumberFormat="1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24" fillId="0" borderId="34" xfId="3166" applyFont="1" applyFill="1" applyBorder="1" applyAlignment="1">
      <alignment horizontal="left" vertical="center" wrapText="1"/>
    </xf>
    <xf numFmtId="0" fontId="24" fillId="0" borderId="37" xfId="3166" applyFont="1" applyFill="1" applyBorder="1" applyAlignment="1">
      <alignment horizontal="left" vertical="center" wrapText="1"/>
    </xf>
    <xf numFmtId="0" fontId="24" fillId="0" borderId="35" xfId="3166" applyFont="1" applyFill="1" applyBorder="1" applyAlignment="1">
      <alignment horizontal="left" vertical="center" wrapText="1"/>
    </xf>
    <xf numFmtId="0" fontId="24" fillId="0" borderId="12" xfId="3166" applyFont="1" applyFill="1" applyBorder="1" applyAlignment="1">
      <alignment horizontal="left" vertical="center" wrapText="1"/>
    </xf>
  </cellXfs>
  <cellStyles count="4530">
    <cellStyle name=" 1" xfId="1"/>
    <cellStyle name=" 1 2" xfId="2"/>
    <cellStyle name=" 1_Stage1" xfId="3"/>
    <cellStyle name="_x000a_bidires=100_x000d_" xfId="4"/>
    <cellStyle name="%" xfId="5"/>
    <cellStyle name="%_Inputs" xfId="6"/>
    <cellStyle name="%_Inputs (const)" xfId="7"/>
    <cellStyle name="%_Inputs (const)_Расче тарифа на тэ 2014 Мезенский АрхоблЭнерго" xfId="8"/>
    <cellStyle name="%_Inputs (const)_Тариф тепло Мезень для АТЦ" xfId="9"/>
    <cellStyle name="%_Inputs (const)_тарифы по ТЭ на 2014 год Соловки исправ." xfId="10"/>
    <cellStyle name="%_Inputs Co" xfId="11"/>
    <cellStyle name="%_Inputs Co_Расче тарифа на тэ 2014 Мезенский АрхоблЭнерго" xfId="12"/>
    <cellStyle name="%_Inputs Co_Тариф тепло Мезень для АТЦ" xfId="13"/>
    <cellStyle name="%_Inputs Co_тарифы по ТЭ на 2014 год Соловки исправ." xfId="14"/>
    <cellStyle name="?" xfId="15"/>
    <cellStyle name="?…?ж?Ш?и [0.00]" xfId="16"/>
    <cellStyle name="?W??_‘O’с?р??" xfId="17"/>
    <cellStyle name="_~6450243" xfId="18"/>
    <cellStyle name="_~6450243 2" xfId="19"/>
    <cellStyle name="_CashFlow_2007_проект_02_02_final" xfId="20"/>
    <cellStyle name="_CPI foodimp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macro 2012 var 1" xfId="44"/>
    <cellStyle name="_Model_RAB Мой" xfId="45"/>
    <cellStyle name="_Model_RAB Мой 2" xfId="46"/>
    <cellStyle name="_Model_RAB Мой 2_OREP.KU.2011.MONTHLY.02(v0.1)" xfId="47"/>
    <cellStyle name="_Model_RAB Мой 2_OREP.KU.2011.MONTHLY.02(v0.4)" xfId="48"/>
    <cellStyle name="_Model_RAB Мой 2_OREP.KU.2011.MONTHLY.11(v1.4)" xfId="49"/>
    <cellStyle name="_Model_RAB Мой 2_UPDATE.OREP.KU.2011.MONTHLY.02.TO.1.2" xfId="50"/>
    <cellStyle name="_Model_RAB Мой_46EE.2011(v1.0)" xfId="51"/>
    <cellStyle name="_Model_RAB Мой_46EE.2011(v1.0)_46TE.2011(v1.0)" xfId="52"/>
    <cellStyle name="_Model_RAB Мой_46EE.2011(v1.0)_INDEX.STATION.2012(v1.0)_" xfId="53"/>
    <cellStyle name="_Model_RAB Мой_46EE.2011(v1.0)_INDEX.STATION.2012(v2.0)" xfId="54"/>
    <cellStyle name="_Model_RAB Мой_46EE.2011(v1.0)_INDEX.STATION.2012(v2.1)" xfId="55"/>
    <cellStyle name="_Model_RAB Мой_46EE.2011(v1.0)_TEPLO.PREDEL.2012.M(v1.1)_test" xfId="56"/>
    <cellStyle name="_Model_RAB Мой_46EE.2011(v1.2)" xfId="57"/>
    <cellStyle name="_Model_RAB Мой_46EP.2011(v2.0)" xfId="58"/>
    <cellStyle name="_Model_RAB Мой_46EP.2012(v0.1)" xfId="59"/>
    <cellStyle name="_Model_RAB Мой_46TE.2011(v1.0)" xfId="60"/>
    <cellStyle name="_Model_RAB Мой_4DNS.UPDATE.EXAMPLE" xfId="61"/>
    <cellStyle name="_Model_RAB Мой_ARMRAZR" xfId="62"/>
    <cellStyle name="_Model_RAB Мой_BALANCE.WARM.2010.FACT(v1.0)" xfId="63"/>
    <cellStyle name="_Model_RAB Мой_BALANCE.WARM.2010.PLAN" xfId="64"/>
    <cellStyle name="_Model_RAB Мой_BALANCE.WARM.2011YEAR(v0.7)" xfId="65"/>
    <cellStyle name="_Model_RAB Мой_BALANCE.WARM.2011YEAR.NEW.UPDATE.SCHEME" xfId="66"/>
    <cellStyle name="_Model_RAB Мой_CALC.NORMATIV.KU(v0.2)" xfId="67"/>
    <cellStyle name="_Model_RAB Мой_EE.2REK.P2011.4.78(v0.3)" xfId="68"/>
    <cellStyle name="_Model_RAB Мой_FORM3.1.2013(v0.2)" xfId="69"/>
    <cellStyle name="_Model_RAB Мой_FORM3.2013(v1.0)" xfId="70"/>
    <cellStyle name="_Model_RAB Мой_FORM3.REG(v1.0)" xfId="71"/>
    <cellStyle name="_Model_RAB Мой_FORM910.2012(v1.1)" xfId="72"/>
    <cellStyle name="_Model_RAB Мой_INDEX.STATION.2012(v2.1)" xfId="73"/>
    <cellStyle name="_Model_RAB Мой_INDEX.STATION.2013(v1.0)_патч до 1.1" xfId="74"/>
    <cellStyle name="_Model_RAB Мой_INVEST.EE.PLAN.4.78(v0.1)" xfId="75"/>
    <cellStyle name="_Model_RAB Мой_INVEST.EE.PLAN.4.78(v0.3)" xfId="76"/>
    <cellStyle name="_Model_RAB Мой_INVEST.EE.PLAN.4.78(v1.0)" xfId="77"/>
    <cellStyle name="_Model_RAB Мой_INVEST.EE.PLAN.4.78(v1.0)_PASSPORT.TEPLO.PROIZV(v2.0)" xfId="78"/>
    <cellStyle name="_Model_RAB Мой_INVEST.EE.PLAN.4.78(v1.0)_PASSPORT.TEPLO.PROIZV(v2.0)_INDEX.STATION.2013(v1.0)_патч до 1.1" xfId="79"/>
    <cellStyle name="_Model_RAB Мой_INVEST.EE.PLAN.4.78(v1.0)_PASSPORT.TEPLO.PROIZV(v2.0)_TEPLO.PREDEL.2013(v2.0)" xfId="80"/>
    <cellStyle name="_Model_RAB Мой_INVEST.PLAN.4.78(v0.1)" xfId="81"/>
    <cellStyle name="_Model_RAB Мой_INVEST.WARM.PLAN.4.78(v0.1)" xfId="82"/>
    <cellStyle name="_Model_RAB Мой_INVEST_WARM_PLAN" xfId="83"/>
    <cellStyle name="_Model_RAB Мой_NADB.JNVLP.APTEKA.2012(v1.0)_21_02_12" xfId="84"/>
    <cellStyle name="_Model_RAB Мой_NADB.JNVLS.APTEKA.2011(v1.3.3)" xfId="85"/>
    <cellStyle name="_Model_RAB Мой_NADB.JNVLS.APTEKA.2011(v1.3.3)_46TE.2011(v1.0)" xfId="86"/>
    <cellStyle name="_Model_RAB Мой_NADB.JNVLS.APTEKA.2011(v1.3.3)_INDEX.STATION.2012(v1.0)_" xfId="87"/>
    <cellStyle name="_Model_RAB Мой_NADB.JNVLS.APTEKA.2011(v1.3.3)_INDEX.STATION.2012(v2.0)" xfId="88"/>
    <cellStyle name="_Model_RAB Мой_NADB.JNVLS.APTEKA.2011(v1.3.3)_INDEX.STATION.2012(v2.1)" xfId="89"/>
    <cellStyle name="_Model_RAB Мой_NADB.JNVLS.APTEKA.2011(v1.3.3)_TEPLO.PREDEL.2012.M(v1.1)_test" xfId="90"/>
    <cellStyle name="_Model_RAB Мой_NADB.JNVLS.APTEKA.2011(v1.3.4)" xfId="91"/>
    <cellStyle name="_Model_RAB Мой_NADB.JNVLS.APTEKA.2011(v1.3.4)_46TE.2011(v1.0)" xfId="92"/>
    <cellStyle name="_Model_RAB Мой_NADB.JNVLS.APTEKA.2011(v1.3.4)_INDEX.STATION.2012(v1.0)_" xfId="93"/>
    <cellStyle name="_Model_RAB Мой_NADB.JNVLS.APTEKA.2011(v1.3.4)_INDEX.STATION.2012(v2.0)" xfId="94"/>
    <cellStyle name="_Model_RAB Мой_NADB.JNVLS.APTEKA.2011(v1.3.4)_INDEX.STATION.2012(v2.1)" xfId="95"/>
    <cellStyle name="_Model_RAB Мой_NADB.JNVLS.APTEKA.2011(v1.3.4)_TEPLO.PREDEL.2012.M(v1.1)_test" xfId="96"/>
    <cellStyle name="_Model_RAB Мой_PASSPORT.TEPLO.PROIZV(v2.1)" xfId="97"/>
    <cellStyle name="_Model_RAB Мой_PASSPORT.TEPLO.SETI(v0.7)" xfId="98"/>
    <cellStyle name="_Model_RAB Мой_PASSPORT.TEPLO.SETI(v1.0)" xfId="99"/>
    <cellStyle name="_Model_RAB Мой_PR.PROG.WARM.NOTCOMBI.2012.2.16_v1.4(04.04.11) " xfId="100"/>
    <cellStyle name="_Model_RAB Мой_PREDEL.JKH.UTV.2011(v1.0.1)" xfId="101"/>
    <cellStyle name="_Model_RAB Мой_PREDEL.JKH.UTV.2011(v1.0.1)_46TE.2011(v1.0)" xfId="102"/>
    <cellStyle name="_Model_RAB Мой_PREDEL.JKH.UTV.2011(v1.0.1)_INDEX.STATION.2012(v1.0)_" xfId="103"/>
    <cellStyle name="_Model_RAB Мой_PREDEL.JKH.UTV.2011(v1.0.1)_INDEX.STATION.2012(v2.0)" xfId="104"/>
    <cellStyle name="_Model_RAB Мой_PREDEL.JKH.UTV.2011(v1.0.1)_INDEX.STATION.2012(v2.1)" xfId="105"/>
    <cellStyle name="_Model_RAB Мой_PREDEL.JKH.UTV.2011(v1.0.1)_TEPLO.PREDEL.2012.M(v1.1)_test" xfId="106"/>
    <cellStyle name="_Model_RAB Мой_PREDEL.JKH.UTV.2011(v1.1)" xfId="107"/>
    <cellStyle name="_Model_RAB Мой_REP.BLR.2012(v1.0)" xfId="108"/>
    <cellStyle name="_Model_RAB Мой_TEPLO.PREDEL.2012.M(v1.1)" xfId="109"/>
    <cellStyle name="_Model_RAB Мой_TEPLO.PREDEL.2013(v2.0)" xfId="110"/>
    <cellStyle name="_Model_RAB Мой_TEST.TEMPLATE" xfId="111"/>
    <cellStyle name="_Model_RAB Мой_UPDATE.46EE.2011.TO.1.1" xfId="112"/>
    <cellStyle name="_Model_RAB Мой_UPDATE.46TE.2011.TO.1.1" xfId="113"/>
    <cellStyle name="_Model_RAB Мой_UPDATE.46TE.2011.TO.1.2" xfId="114"/>
    <cellStyle name="_Model_RAB Мой_UPDATE.BALANCE.WARM.2011YEAR.TO.1.1" xfId="115"/>
    <cellStyle name="_Model_RAB Мой_UPDATE.BALANCE.WARM.2011YEAR.TO.1.1_46TE.2011(v1.0)" xfId="116"/>
    <cellStyle name="_Model_RAB Мой_UPDATE.BALANCE.WARM.2011YEAR.TO.1.1_INDEX.STATION.2012(v1.0)_" xfId="117"/>
    <cellStyle name="_Model_RAB Мой_UPDATE.BALANCE.WARM.2011YEAR.TO.1.1_INDEX.STATION.2012(v2.0)" xfId="118"/>
    <cellStyle name="_Model_RAB Мой_UPDATE.BALANCE.WARM.2011YEAR.TO.1.1_INDEX.STATION.2012(v2.1)" xfId="119"/>
    <cellStyle name="_Model_RAB Мой_UPDATE.BALANCE.WARM.2011YEAR.TO.1.1_OREP.KU.2011.MONTHLY.02(v1.1)" xfId="120"/>
    <cellStyle name="_Model_RAB Мой_UPDATE.BALANCE.WARM.2011YEAR.TO.1.1_TEPLO.PREDEL.2012.M(v1.1)_test" xfId="121"/>
    <cellStyle name="_Model_RAB Мой_UPDATE.NADB.JNVLS.APTEKA.2011.TO.1.3.4" xfId="122"/>
    <cellStyle name="_Model_RAB Мой_Книга2_PR.PROG.WARM.NOTCOMBI.2012.2.16_v1.4(04.04.11) " xfId="123"/>
    <cellStyle name="_Model_RAB Мой_Тариф 2013 Архангельск для агентства" xfId="124"/>
    <cellStyle name="_Model_RAB Мой_Тариф 2014 уч. Шипицыно газ" xfId="125"/>
    <cellStyle name="_Model_RAB_MRSK_svod" xfId="126"/>
    <cellStyle name="_Model_RAB_MRSK_svod 2" xfId="127"/>
    <cellStyle name="_Model_RAB_MRSK_svod 2_OREP.KU.2011.MONTHLY.02(v0.1)" xfId="128"/>
    <cellStyle name="_Model_RAB_MRSK_svod 2_OREP.KU.2011.MONTHLY.02(v0.4)" xfId="129"/>
    <cellStyle name="_Model_RAB_MRSK_svod 2_OREP.KU.2011.MONTHLY.11(v1.4)" xfId="130"/>
    <cellStyle name="_Model_RAB_MRSK_svod 2_UPDATE.OREP.KU.2011.MONTHLY.02.TO.1.2" xfId="131"/>
    <cellStyle name="_Model_RAB_MRSK_svod_46EE.2011(v1.0)" xfId="132"/>
    <cellStyle name="_Model_RAB_MRSK_svod_46EE.2011(v1.0)_46TE.2011(v1.0)" xfId="133"/>
    <cellStyle name="_Model_RAB_MRSK_svod_46EE.2011(v1.0)_INDEX.STATION.2012(v1.0)_" xfId="134"/>
    <cellStyle name="_Model_RAB_MRSK_svod_46EE.2011(v1.0)_INDEX.STATION.2012(v2.0)" xfId="135"/>
    <cellStyle name="_Model_RAB_MRSK_svod_46EE.2011(v1.0)_INDEX.STATION.2012(v2.1)" xfId="136"/>
    <cellStyle name="_Model_RAB_MRSK_svod_46EE.2011(v1.0)_TEPLO.PREDEL.2012.M(v1.1)_test" xfId="137"/>
    <cellStyle name="_Model_RAB_MRSK_svod_46EE.2011(v1.2)" xfId="138"/>
    <cellStyle name="_Model_RAB_MRSK_svod_46EP.2011(v2.0)" xfId="139"/>
    <cellStyle name="_Model_RAB_MRSK_svod_46EP.2012(v0.1)" xfId="140"/>
    <cellStyle name="_Model_RAB_MRSK_svod_46TE.2011(v1.0)" xfId="141"/>
    <cellStyle name="_Model_RAB_MRSK_svod_4DNS.UPDATE.EXAMPLE" xfId="142"/>
    <cellStyle name="_Model_RAB_MRSK_svod_ARMRAZR" xfId="143"/>
    <cellStyle name="_Model_RAB_MRSK_svod_BALANCE.WARM.2010.FACT(v1.0)" xfId="144"/>
    <cellStyle name="_Model_RAB_MRSK_svod_BALANCE.WARM.2010.PLAN" xfId="145"/>
    <cellStyle name="_Model_RAB_MRSK_svod_BALANCE.WARM.2011YEAR(v0.7)" xfId="146"/>
    <cellStyle name="_Model_RAB_MRSK_svod_BALANCE.WARM.2011YEAR.NEW.UPDATE.SCHEME" xfId="147"/>
    <cellStyle name="_Model_RAB_MRSK_svod_CALC.NORMATIV.KU(v0.2)" xfId="148"/>
    <cellStyle name="_Model_RAB_MRSK_svod_EE.2REK.P2011.4.78(v0.3)" xfId="149"/>
    <cellStyle name="_Model_RAB_MRSK_svod_FORM3.1.2013(v0.2)" xfId="150"/>
    <cellStyle name="_Model_RAB_MRSK_svod_FORM3.2013(v1.0)" xfId="151"/>
    <cellStyle name="_Model_RAB_MRSK_svod_FORM3.REG(v1.0)" xfId="152"/>
    <cellStyle name="_Model_RAB_MRSK_svod_FORM910.2012(v1.1)" xfId="153"/>
    <cellStyle name="_Model_RAB_MRSK_svod_INDEX.STATION.2012(v2.1)" xfId="154"/>
    <cellStyle name="_Model_RAB_MRSK_svod_INDEX.STATION.2013(v1.0)_патч до 1.1" xfId="155"/>
    <cellStyle name="_Model_RAB_MRSK_svod_INVEST.EE.PLAN.4.78(v0.1)" xfId="156"/>
    <cellStyle name="_Model_RAB_MRSK_svod_INVEST.EE.PLAN.4.78(v0.3)" xfId="157"/>
    <cellStyle name="_Model_RAB_MRSK_svod_INVEST.EE.PLAN.4.78(v1.0)" xfId="158"/>
    <cellStyle name="_Model_RAB_MRSK_svod_INVEST.EE.PLAN.4.78(v1.0)_PASSPORT.TEPLO.PROIZV(v2.0)" xfId="159"/>
    <cellStyle name="_Model_RAB_MRSK_svod_INVEST.EE.PLAN.4.78(v1.0)_PASSPORT.TEPLO.PROIZV(v2.0)_INDEX.STATION.2013(v1.0)_патч до 1.1" xfId="160"/>
    <cellStyle name="_Model_RAB_MRSK_svod_INVEST.EE.PLAN.4.78(v1.0)_PASSPORT.TEPLO.PROIZV(v2.0)_TEPLO.PREDEL.2013(v2.0)" xfId="161"/>
    <cellStyle name="_Model_RAB_MRSK_svod_INVEST.PLAN.4.78(v0.1)" xfId="162"/>
    <cellStyle name="_Model_RAB_MRSK_svod_INVEST.WARM.PLAN.4.78(v0.1)" xfId="163"/>
    <cellStyle name="_Model_RAB_MRSK_svod_INVEST_WARM_PLAN" xfId="164"/>
    <cellStyle name="_Model_RAB_MRSK_svod_NADB.JNVLP.APTEKA.2012(v1.0)_21_02_12" xfId="165"/>
    <cellStyle name="_Model_RAB_MRSK_svod_NADB.JNVLS.APTEKA.2011(v1.3.3)" xfId="166"/>
    <cellStyle name="_Model_RAB_MRSK_svod_NADB.JNVLS.APTEKA.2011(v1.3.3)_46TE.2011(v1.0)" xfId="167"/>
    <cellStyle name="_Model_RAB_MRSK_svod_NADB.JNVLS.APTEKA.2011(v1.3.3)_INDEX.STATION.2012(v1.0)_" xfId="168"/>
    <cellStyle name="_Model_RAB_MRSK_svod_NADB.JNVLS.APTEKA.2011(v1.3.3)_INDEX.STATION.2012(v2.0)" xfId="169"/>
    <cellStyle name="_Model_RAB_MRSK_svod_NADB.JNVLS.APTEKA.2011(v1.3.3)_INDEX.STATION.2012(v2.1)" xfId="170"/>
    <cellStyle name="_Model_RAB_MRSK_svod_NADB.JNVLS.APTEKA.2011(v1.3.3)_TEPLO.PREDEL.2012.M(v1.1)_test" xfId="171"/>
    <cellStyle name="_Model_RAB_MRSK_svod_NADB.JNVLS.APTEKA.2011(v1.3.4)" xfId="172"/>
    <cellStyle name="_Model_RAB_MRSK_svod_NADB.JNVLS.APTEKA.2011(v1.3.4)_46TE.2011(v1.0)" xfId="173"/>
    <cellStyle name="_Model_RAB_MRSK_svod_NADB.JNVLS.APTEKA.2011(v1.3.4)_INDEX.STATION.2012(v1.0)_" xfId="174"/>
    <cellStyle name="_Model_RAB_MRSK_svod_NADB.JNVLS.APTEKA.2011(v1.3.4)_INDEX.STATION.2012(v2.0)" xfId="175"/>
    <cellStyle name="_Model_RAB_MRSK_svod_NADB.JNVLS.APTEKA.2011(v1.3.4)_INDEX.STATION.2012(v2.1)" xfId="176"/>
    <cellStyle name="_Model_RAB_MRSK_svod_NADB.JNVLS.APTEKA.2011(v1.3.4)_TEPLO.PREDEL.2012.M(v1.1)_test" xfId="177"/>
    <cellStyle name="_Model_RAB_MRSK_svod_PASSPORT.TEPLO.PROIZV(v2.1)" xfId="178"/>
    <cellStyle name="_Model_RAB_MRSK_svod_PASSPORT.TEPLO.SETI(v0.7)" xfId="179"/>
    <cellStyle name="_Model_RAB_MRSK_svod_PASSPORT.TEPLO.SETI(v1.0)" xfId="180"/>
    <cellStyle name="_Model_RAB_MRSK_svod_PR.PROG.WARM.NOTCOMBI.2012.2.16_v1.4(04.04.11) " xfId="181"/>
    <cellStyle name="_Model_RAB_MRSK_svod_PREDEL.JKH.UTV.2011(v1.0.1)" xfId="182"/>
    <cellStyle name="_Model_RAB_MRSK_svod_PREDEL.JKH.UTV.2011(v1.0.1)_46TE.2011(v1.0)" xfId="183"/>
    <cellStyle name="_Model_RAB_MRSK_svod_PREDEL.JKH.UTV.2011(v1.0.1)_INDEX.STATION.2012(v1.0)_" xfId="184"/>
    <cellStyle name="_Model_RAB_MRSK_svod_PREDEL.JKH.UTV.2011(v1.0.1)_INDEX.STATION.2012(v2.0)" xfId="185"/>
    <cellStyle name="_Model_RAB_MRSK_svod_PREDEL.JKH.UTV.2011(v1.0.1)_INDEX.STATION.2012(v2.1)" xfId="186"/>
    <cellStyle name="_Model_RAB_MRSK_svod_PREDEL.JKH.UTV.2011(v1.0.1)_TEPLO.PREDEL.2012.M(v1.1)_test" xfId="187"/>
    <cellStyle name="_Model_RAB_MRSK_svod_PREDEL.JKH.UTV.2011(v1.1)" xfId="188"/>
    <cellStyle name="_Model_RAB_MRSK_svod_REP.BLR.2012(v1.0)" xfId="189"/>
    <cellStyle name="_Model_RAB_MRSK_svod_TEPLO.PREDEL.2012.M(v1.1)" xfId="190"/>
    <cellStyle name="_Model_RAB_MRSK_svod_TEPLO.PREDEL.2013(v2.0)" xfId="191"/>
    <cellStyle name="_Model_RAB_MRSK_svod_TEST.TEMPLATE" xfId="192"/>
    <cellStyle name="_Model_RAB_MRSK_svod_UPDATE.46EE.2011.TO.1.1" xfId="193"/>
    <cellStyle name="_Model_RAB_MRSK_svod_UPDATE.46TE.2011.TO.1.1" xfId="194"/>
    <cellStyle name="_Model_RAB_MRSK_svod_UPDATE.46TE.2011.TO.1.2" xfId="195"/>
    <cellStyle name="_Model_RAB_MRSK_svod_UPDATE.BALANCE.WARM.2011YEAR.TO.1.1" xfId="196"/>
    <cellStyle name="_Model_RAB_MRSK_svod_UPDATE.BALANCE.WARM.2011YEAR.TO.1.1_46TE.2011(v1.0)" xfId="197"/>
    <cellStyle name="_Model_RAB_MRSK_svod_UPDATE.BALANCE.WARM.2011YEAR.TO.1.1_INDEX.STATION.2012(v1.0)_" xfId="198"/>
    <cellStyle name="_Model_RAB_MRSK_svod_UPDATE.BALANCE.WARM.2011YEAR.TO.1.1_INDEX.STATION.2012(v2.0)" xfId="199"/>
    <cellStyle name="_Model_RAB_MRSK_svod_UPDATE.BALANCE.WARM.2011YEAR.TO.1.1_INDEX.STATION.2012(v2.1)" xfId="200"/>
    <cellStyle name="_Model_RAB_MRSK_svod_UPDATE.BALANCE.WARM.2011YEAR.TO.1.1_OREP.KU.2011.MONTHLY.02(v1.1)" xfId="201"/>
    <cellStyle name="_Model_RAB_MRSK_svod_UPDATE.BALANCE.WARM.2011YEAR.TO.1.1_TEPLO.PREDEL.2012.M(v1.1)_test" xfId="202"/>
    <cellStyle name="_Model_RAB_MRSK_svod_UPDATE.NADB.JNVLS.APTEKA.2011.TO.1.3.4" xfId="203"/>
    <cellStyle name="_Model_RAB_MRSK_svod_Книга2_PR.PROG.WARM.NOTCOMBI.2012.2.16_v1.4(04.04.11) " xfId="204"/>
    <cellStyle name="_Model_RAB_MRSK_svod_Тариф 2013 Архангельск для агентства" xfId="205"/>
    <cellStyle name="_Model_RAB_MRSK_svod_Тариф 2014 уч. Шипицыно газ" xfId="206"/>
    <cellStyle name="_New_Sofi" xfId="207"/>
    <cellStyle name="_New_Sofi_FFF" xfId="208"/>
    <cellStyle name="_New_Sofi_New Form10_2" xfId="209"/>
    <cellStyle name="_New_Sofi_Nsi" xfId="210"/>
    <cellStyle name="_New_Sofi_Nsi_1" xfId="211"/>
    <cellStyle name="_New_Sofi_Nsi_139" xfId="212"/>
    <cellStyle name="_New_Sofi_Nsi_140" xfId="213"/>
    <cellStyle name="_New_Sofi_Nsi_140(Зах)" xfId="214"/>
    <cellStyle name="_New_Sofi_Nsi_140_mod" xfId="215"/>
    <cellStyle name="_New_Sofi_Summary" xfId="216"/>
    <cellStyle name="_New_Sofi_Tax_form_1кв_3" xfId="217"/>
    <cellStyle name="_New_Sofi_БКЭ" xfId="218"/>
    <cellStyle name="_Nsi" xfId="219"/>
    <cellStyle name="_Plug" xfId="220"/>
    <cellStyle name="_Plug_4DNS.UPDATE.EXAMPLE" xfId="221"/>
    <cellStyle name="_Plug_4DNS.UPDATE.EXAMPLE_INDEX.STATION.2013(v1.0)_патч до 1.1" xfId="222"/>
    <cellStyle name="_Plug_4DNS.UPDATE.EXAMPLE_TEPLO.PREDEL.2013(v2.1)_FST" xfId="223"/>
    <cellStyle name="_Plug_4DNS.UPDATE.EXAMPLE_TEPLO.PREDEL.2013.FST_update1" xfId="224"/>
    <cellStyle name="_SeriesAttributes" xfId="225"/>
    <cellStyle name="_TSET.NET.2010.варианты расчета_min_max_ГК_03.09.09 RAB" xfId="226"/>
    <cellStyle name="_TSET.NET.2010.варианты расчета_min_max_ГК_03.09.09 RAB_Расче тарифа на тэ 2014 Мезенский АрхоблЭнерго" xfId="227"/>
    <cellStyle name="_TSET.NET.2010.варианты расчета_min_max_ГК_03.09.09 RAB_тарифы по ТЭ на 2014 год Соловки исправ." xfId="228"/>
    <cellStyle name="_v-2013-2030- 2b17.01.11Нах-cpiнов. курс inn 1-2-Е1xls" xfId="229"/>
    <cellStyle name="_Аморт,налоги,охрана,молоко" xfId="230"/>
    <cellStyle name="_БДР (ЦФО) 05-11-08" xfId="231"/>
    <cellStyle name="_БДР 2008 факт 1 кв. + проект на год 10.04.08" xfId="232"/>
    <cellStyle name="_БДР 2009" xfId="233"/>
    <cellStyle name="_БДР 3 квартал" xfId="234"/>
    <cellStyle name="_Бухгалтерия (налоги, амортизация, прочие)" xfId="235"/>
    <cellStyle name="_Бюджет2006_ПОКАЗАТЕЛИ СВОДНЫЕ" xfId="236"/>
    <cellStyle name="_Вводы 2008-2012 Колэнерго" xfId="237"/>
    <cellStyle name="_Вводы 2008-2012 Колэнерго_Расче тарифа на тэ 2014 Мезенский АрхоблЭнерго" xfId="238"/>
    <cellStyle name="_Вводы 2008-2012 Колэнерго_тарифы по ТЭ на 2014 год Соловки исправ." xfId="239"/>
    <cellStyle name="_ВО ОП ТЭС-ОТ- 2007" xfId="240"/>
    <cellStyle name="_ВО ОП ТЭС-ОТ- 2007_Новая инструкция1_фст" xfId="241"/>
    <cellStyle name="_ВФ ОАО ТЭС-ОТ- 2009" xfId="242"/>
    <cellStyle name="_ВФ ОАО ТЭС-ОТ- 2009_Новая инструкция1_фст" xfId="243"/>
    <cellStyle name="_выручка по присоединениям2" xfId="244"/>
    <cellStyle name="_выручка по присоединениям2_Новая инструкция1_фст" xfId="245"/>
    <cellStyle name="_выручка по присоединениям2_Расче тарифа на тэ 2014 Мезенский АрхоблЭнерго" xfId="246"/>
    <cellStyle name="_выручка по присоединениям2_Тариф тепло Мезень для АТЦ" xfId="247"/>
    <cellStyle name="_выручка по присоединениям2_тарифы по ТЭ на 2014 год Соловки исправ." xfId="248"/>
    <cellStyle name="_ГКПЗ 2009" xfId="249"/>
    <cellStyle name="_Договор аренды ЯЭ с разбивкой" xfId="250"/>
    <cellStyle name="_Договор аренды ЯЭ с разбивкой_Новая инструкция1_фст" xfId="251"/>
    <cellStyle name="_Защита ФЗП" xfId="252"/>
    <cellStyle name="_инвест" xfId="253"/>
    <cellStyle name="_инвест_Расче тарифа на тэ 2014 Мезенский АрхоблЭнерго" xfId="254"/>
    <cellStyle name="_инвест_тарифы по ТЭ на 2014 год Соловки исправ." xfId="255"/>
    <cellStyle name="_ИП 17032006" xfId="256"/>
    <cellStyle name="_ИП 17032006_Расче тарифа на тэ 2014 Мезенский АрхоблЭнерго" xfId="257"/>
    <cellStyle name="_ИП 17032006_тарифы по ТЭ на 2014 год Соловки исправ." xfId="258"/>
    <cellStyle name="_ИП СО 2006-2010 отпр 22 01 07" xfId="259"/>
    <cellStyle name="_ИП СО 2006-2010 отпр 22 01 07_Расче тарифа на тэ 2014 Мезенский АрхоблЭнерго" xfId="260"/>
    <cellStyle name="_ИП СО 2006-2010 отпр 22 01 07_тарифы по ТЭ на 2014 год Соловки исправ." xfId="261"/>
    <cellStyle name="_Исходные данные для модели" xfId="262"/>
    <cellStyle name="_Исходные данные для модели_Новая инструкция1_фст" xfId="263"/>
    <cellStyle name="_Исходные данные для модели_Расче тарифа на тэ 2014 Мезенский АрхоблЭнерго" xfId="264"/>
    <cellStyle name="_Исходные данные для модели_Тариф тепло Мезень для АТЦ" xfId="265"/>
    <cellStyle name="_Исходные данные для модели_тарифы по ТЭ на 2014 год Соловки исправ." xfId="266"/>
    <cellStyle name="_Книга1" xfId="267"/>
    <cellStyle name="_Книга3" xfId="268"/>
    <cellStyle name="_Книга3_New Form10_2" xfId="269"/>
    <cellStyle name="_Книга3_Nsi" xfId="270"/>
    <cellStyle name="_Книга3_Nsi_1" xfId="271"/>
    <cellStyle name="_Книга3_Nsi_139" xfId="272"/>
    <cellStyle name="_Книга3_Nsi_140" xfId="273"/>
    <cellStyle name="_Книга3_Nsi_140(Зах)" xfId="274"/>
    <cellStyle name="_Книга3_Nsi_140_mod" xfId="275"/>
    <cellStyle name="_Книга3_Summary" xfId="276"/>
    <cellStyle name="_Книга3_Tax_form_1кв_3" xfId="277"/>
    <cellStyle name="_Книга3_БКЭ" xfId="278"/>
    <cellStyle name="_Книга7" xfId="279"/>
    <cellStyle name="_Книга7_New Form10_2" xfId="280"/>
    <cellStyle name="_Книга7_Nsi" xfId="281"/>
    <cellStyle name="_Книга7_Nsi_1" xfId="282"/>
    <cellStyle name="_Книга7_Nsi_139" xfId="283"/>
    <cellStyle name="_Книга7_Nsi_140" xfId="284"/>
    <cellStyle name="_Книга7_Nsi_140(Зах)" xfId="285"/>
    <cellStyle name="_Книга7_Nsi_140_mod" xfId="286"/>
    <cellStyle name="_Книга7_Summary" xfId="287"/>
    <cellStyle name="_Книга7_Tax_form_1кв_3" xfId="288"/>
    <cellStyle name="_Книга7_БКЭ" xfId="289"/>
    <cellStyle name="_Консолидация-2008-проект-new" xfId="290"/>
    <cellStyle name="_Копия Затраты под АЭР ремонт+содерж на март" xfId="291"/>
    <cellStyle name="_Копия Прил 2(Показатели ИП)" xfId="292"/>
    <cellStyle name="_Копия Прил 2(Показатели ИП)_Расче тарифа на тэ 2014 Мезенский АрхоблЭнерго" xfId="293"/>
    <cellStyle name="_Копия Прил 2(Показатели ИП)_тарифы по ТЭ на 2014 год Соловки исправ." xfId="294"/>
    <cellStyle name="_мин_макс_24.09.2009_ГК" xfId="295"/>
    <cellStyle name="_мин_макс_24.09.2009_ГК_Расче тарифа на тэ 2014 Мезенский АрхоблЭнерго" xfId="296"/>
    <cellStyle name="_мин_макс_24.09.2009_ГК_тарифы по ТЭ на 2014 год Соловки исправ." xfId="297"/>
    <cellStyle name="_Модель - 2(23)" xfId="298"/>
    <cellStyle name="_МОДЕЛЬ_1 (2)" xfId="299"/>
    <cellStyle name="_МОДЕЛЬ_1 (2) 2" xfId="300"/>
    <cellStyle name="_МОДЕЛЬ_1 (2) 2_OREP.KU.2011.MONTHLY.02(v0.1)" xfId="301"/>
    <cellStyle name="_МОДЕЛЬ_1 (2) 2_OREP.KU.2011.MONTHLY.02(v0.4)" xfId="302"/>
    <cellStyle name="_МОДЕЛЬ_1 (2) 2_OREP.KU.2011.MONTHLY.11(v1.4)" xfId="303"/>
    <cellStyle name="_МОДЕЛЬ_1 (2) 2_UPDATE.OREP.KU.2011.MONTHLY.02.TO.1.2" xfId="304"/>
    <cellStyle name="_МОДЕЛЬ_1 (2) Псков max затраты ПЭ сценарные Холдинга ( конечн.19,8)" xfId="305"/>
    <cellStyle name="_МОДЕЛЬ_1 (2)_46EE.2011(v1.0)" xfId="306"/>
    <cellStyle name="_МОДЕЛЬ_1 (2)_46EE.2011(v1.0)_46TE.2011(v1.0)" xfId="307"/>
    <cellStyle name="_МОДЕЛЬ_1 (2)_46EE.2011(v1.0)_INDEX.STATION.2012(v1.0)_" xfId="308"/>
    <cellStyle name="_МОДЕЛЬ_1 (2)_46EE.2011(v1.0)_INDEX.STATION.2012(v2.0)" xfId="309"/>
    <cellStyle name="_МОДЕЛЬ_1 (2)_46EE.2011(v1.0)_INDEX.STATION.2012(v2.1)" xfId="310"/>
    <cellStyle name="_МОДЕЛЬ_1 (2)_46EE.2011(v1.0)_TEPLO.PREDEL.2012.M(v1.1)_test" xfId="311"/>
    <cellStyle name="_МОДЕЛЬ_1 (2)_46EE.2011(v1.2)" xfId="312"/>
    <cellStyle name="_МОДЕЛЬ_1 (2)_46EP.2011(v2.0)" xfId="313"/>
    <cellStyle name="_МОДЕЛЬ_1 (2)_46EP.2012(v0.1)" xfId="314"/>
    <cellStyle name="_МОДЕЛЬ_1 (2)_46TE.2011(v1.0)" xfId="315"/>
    <cellStyle name="_МОДЕЛЬ_1 (2)_4DNS.UPDATE.EXAMPLE" xfId="316"/>
    <cellStyle name="_МОДЕЛЬ_1 (2)_ARMRAZR" xfId="317"/>
    <cellStyle name="_МОДЕЛЬ_1 (2)_BALANCE.WARM.2010.FACT(v1.0)" xfId="318"/>
    <cellStyle name="_МОДЕЛЬ_1 (2)_BALANCE.WARM.2010.PLAN" xfId="319"/>
    <cellStyle name="_МОДЕЛЬ_1 (2)_BALANCE.WARM.2011YEAR(v0.7)" xfId="320"/>
    <cellStyle name="_МОДЕЛЬ_1 (2)_BALANCE.WARM.2011YEAR.NEW.UPDATE.SCHEME" xfId="321"/>
    <cellStyle name="_МОДЕЛЬ_1 (2)_CALC.NORMATIV.KU(v0.2)" xfId="322"/>
    <cellStyle name="_МОДЕЛЬ_1 (2)_EE.2REK.P2011.4.78(v0.3)" xfId="323"/>
    <cellStyle name="_МОДЕЛЬ_1 (2)_FORM3.1.2013(v0.2)" xfId="324"/>
    <cellStyle name="_МОДЕЛЬ_1 (2)_FORM3.2013(v1.0)" xfId="325"/>
    <cellStyle name="_МОДЕЛЬ_1 (2)_FORM3.REG(v1.0)" xfId="326"/>
    <cellStyle name="_МОДЕЛЬ_1 (2)_FORM910.2012(v1.1)" xfId="327"/>
    <cellStyle name="_МОДЕЛЬ_1 (2)_INDEX.STATION.2012(v2.1)" xfId="328"/>
    <cellStyle name="_МОДЕЛЬ_1 (2)_INDEX.STATION.2013(v1.0)_патч до 1.1" xfId="329"/>
    <cellStyle name="_МОДЕЛЬ_1 (2)_INVEST.EE.PLAN.4.78(v0.1)" xfId="330"/>
    <cellStyle name="_МОДЕЛЬ_1 (2)_INVEST.EE.PLAN.4.78(v0.3)" xfId="331"/>
    <cellStyle name="_МОДЕЛЬ_1 (2)_INVEST.EE.PLAN.4.78(v1.0)" xfId="332"/>
    <cellStyle name="_МОДЕЛЬ_1 (2)_INVEST.EE.PLAN.4.78(v1.0)_PASSPORT.TEPLO.PROIZV(v2.0)" xfId="333"/>
    <cellStyle name="_МОДЕЛЬ_1 (2)_INVEST.EE.PLAN.4.78(v1.0)_PASSPORT.TEPLO.PROIZV(v2.0)_INDEX.STATION.2013(v1.0)_патч до 1.1" xfId="334"/>
    <cellStyle name="_МОДЕЛЬ_1 (2)_INVEST.EE.PLAN.4.78(v1.0)_PASSPORT.TEPLO.PROIZV(v2.0)_TEPLO.PREDEL.2013(v2.0)" xfId="335"/>
    <cellStyle name="_МОДЕЛЬ_1 (2)_INVEST.PLAN.4.78(v0.1)" xfId="336"/>
    <cellStyle name="_МОДЕЛЬ_1 (2)_INVEST.WARM.PLAN.4.78(v0.1)" xfId="337"/>
    <cellStyle name="_МОДЕЛЬ_1 (2)_INVEST_WARM_PLAN" xfId="338"/>
    <cellStyle name="_МОДЕЛЬ_1 (2)_NADB.JNVLP.APTEKA.2012(v1.0)_21_02_12" xfId="339"/>
    <cellStyle name="_МОДЕЛЬ_1 (2)_NADB.JNVLS.APTEKA.2011(v1.3.3)" xfId="340"/>
    <cellStyle name="_МОДЕЛЬ_1 (2)_NADB.JNVLS.APTEKA.2011(v1.3.3)_46TE.2011(v1.0)" xfId="341"/>
    <cellStyle name="_МОДЕЛЬ_1 (2)_NADB.JNVLS.APTEKA.2011(v1.3.3)_INDEX.STATION.2012(v1.0)_" xfId="342"/>
    <cellStyle name="_МОДЕЛЬ_1 (2)_NADB.JNVLS.APTEKA.2011(v1.3.3)_INDEX.STATION.2012(v2.0)" xfId="343"/>
    <cellStyle name="_МОДЕЛЬ_1 (2)_NADB.JNVLS.APTEKA.2011(v1.3.3)_INDEX.STATION.2012(v2.1)" xfId="344"/>
    <cellStyle name="_МОДЕЛЬ_1 (2)_NADB.JNVLS.APTEKA.2011(v1.3.3)_TEPLO.PREDEL.2012.M(v1.1)_test" xfId="345"/>
    <cellStyle name="_МОДЕЛЬ_1 (2)_NADB.JNVLS.APTEKA.2011(v1.3.4)" xfId="346"/>
    <cellStyle name="_МОДЕЛЬ_1 (2)_NADB.JNVLS.APTEKA.2011(v1.3.4)_46TE.2011(v1.0)" xfId="347"/>
    <cellStyle name="_МОДЕЛЬ_1 (2)_NADB.JNVLS.APTEKA.2011(v1.3.4)_INDEX.STATION.2012(v1.0)_" xfId="348"/>
    <cellStyle name="_МОДЕЛЬ_1 (2)_NADB.JNVLS.APTEKA.2011(v1.3.4)_INDEX.STATION.2012(v2.0)" xfId="349"/>
    <cellStyle name="_МОДЕЛЬ_1 (2)_NADB.JNVLS.APTEKA.2011(v1.3.4)_INDEX.STATION.2012(v2.1)" xfId="350"/>
    <cellStyle name="_МОДЕЛЬ_1 (2)_NADB.JNVLS.APTEKA.2011(v1.3.4)_TEPLO.PREDEL.2012.M(v1.1)_test" xfId="351"/>
    <cellStyle name="_МОДЕЛЬ_1 (2)_PASSPORT.TEPLO.PROIZV(v2.1)" xfId="352"/>
    <cellStyle name="_МОДЕЛЬ_1 (2)_PASSPORT.TEPLO.SETI(v0.7)" xfId="353"/>
    <cellStyle name="_МОДЕЛЬ_1 (2)_PASSPORT.TEPLO.SETI(v1.0)" xfId="354"/>
    <cellStyle name="_МОДЕЛЬ_1 (2)_PR.PROG.WARM.NOTCOMBI.2012.2.16_v1.4(04.04.11) " xfId="355"/>
    <cellStyle name="_МОДЕЛЬ_1 (2)_PREDEL.JKH.UTV.2011(v1.0.1)" xfId="356"/>
    <cellStyle name="_МОДЕЛЬ_1 (2)_PREDEL.JKH.UTV.2011(v1.0.1)_46TE.2011(v1.0)" xfId="357"/>
    <cellStyle name="_МОДЕЛЬ_1 (2)_PREDEL.JKH.UTV.2011(v1.0.1)_INDEX.STATION.2012(v1.0)_" xfId="358"/>
    <cellStyle name="_МОДЕЛЬ_1 (2)_PREDEL.JKH.UTV.2011(v1.0.1)_INDEX.STATION.2012(v2.0)" xfId="359"/>
    <cellStyle name="_МОДЕЛЬ_1 (2)_PREDEL.JKH.UTV.2011(v1.0.1)_INDEX.STATION.2012(v2.1)" xfId="360"/>
    <cellStyle name="_МОДЕЛЬ_1 (2)_PREDEL.JKH.UTV.2011(v1.0.1)_TEPLO.PREDEL.2012.M(v1.1)_test" xfId="361"/>
    <cellStyle name="_МОДЕЛЬ_1 (2)_PREDEL.JKH.UTV.2011(v1.1)" xfId="362"/>
    <cellStyle name="_МОДЕЛЬ_1 (2)_REP.BLR.2012(v1.0)" xfId="363"/>
    <cellStyle name="_МОДЕЛЬ_1 (2)_TEPLO.PREDEL.2012.M(v1.1)" xfId="364"/>
    <cellStyle name="_МОДЕЛЬ_1 (2)_TEPLO.PREDEL.2013(v2.0)" xfId="365"/>
    <cellStyle name="_МОДЕЛЬ_1 (2)_TEST.TEMPLATE" xfId="366"/>
    <cellStyle name="_МОДЕЛЬ_1 (2)_UPDATE.46EE.2011.TO.1.1" xfId="367"/>
    <cellStyle name="_МОДЕЛЬ_1 (2)_UPDATE.46TE.2011.TO.1.1" xfId="368"/>
    <cellStyle name="_МОДЕЛЬ_1 (2)_UPDATE.46TE.2011.TO.1.2" xfId="369"/>
    <cellStyle name="_МОДЕЛЬ_1 (2)_UPDATE.BALANCE.WARM.2011YEAR.TO.1.1" xfId="370"/>
    <cellStyle name="_МОДЕЛЬ_1 (2)_UPDATE.BALANCE.WARM.2011YEAR.TO.1.1_46TE.2011(v1.0)" xfId="371"/>
    <cellStyle name="_МОДЕЛЬ_1 (2)_UPDATE.BALANCE.WARM.2011YEAR.TO.1.1_INDEX.STATION.2012(v1.0)_" xfId="372"/>
    <cellStyle name="_МОДЕЛЬ_1 (2)_UPDATE.BALANCE.WARM.2011YEAR.TO.1.1_INDEX.STATION.2012(v2.0)" xfId="373"/>
    <cellStyle name="_МОДЕЛЬ_1 (2)_UPDATE.BALANCE.WARM.2011YEAR.TO.1.1_INDEX.STATION.2012(v2.1)" xfId="374"/>
    <cellStyle name="_МОДЕЛЬ_1 (2)_UPDATE.BALANCE.WARM.2011YEAR.TO.1.1_OREP.KU.2011.MONTHLY.02(v1.1)" xfId="375"/>
    <cellStyle name="_МОДЕЛЬ_1 (2)_UPDATE.BALANCE.WARM.2011YEAR.TO.1.1_TEPLO.PREDEL.2012.M(v1.1)_test" xfId="376"/>
    <cellStyle name="_МОДЕЛЬ_1 (2)_UPDATE.NADB.JNVLS.APTEKA.2011.TO.1.3.4" xfId="377"/>
    <cellStyle name="_МОДЕЛЬ_1 (2)_Книга2_PR.PROG.WARM.NOTCOMBI.2012.2.16_v1.4(04.04.11) " xfId="378"/>
    <cellStyle name="_МОДЕЛЬ_1 (2)_Тариф 2013 Архангельск для агентства" xfId="379"/>
    <cellStyle name="_МОДЕЛЬ_1 (2)_Тариф 2014 уч. Шипицыно газ" xfId="380"/>
    <cellStyle name="_НВВ 2009 постатейно свод по филиалам_09_02_09" xfId="381"/>
    <cellStyle name="_НВВ 2009 постатейно свод по филиалам_09_02_09_Новая инструкция1_фст" xfId="382"/>
    <cellStyle name="_НВВ 2009 постатейно свод по филиалам_09_02_09_Расче тарифа на тэ 2014 Мезенский АрхоблЭнерго" xfId="383"/>
    <cellStyle name="_НВВ 2009 постатейно свод по филиалам_09_02_09_Тариф тепло Мезень для АТЦ" xfId="384"/>
    <cellStyle name="_НВВ 2009 постатейно свод по филиалам_09_02_09_тарифы по ТЭ на 2014 год Соловки исправ." xfId="385"/>
    <cellStyle name="_НВВ 2009 постатейно свод по филиалам_для Валентина" xfId="386"/>
    <cellStyle name="_НВВ 2009 постатейно свод по филиалам_для Валентина_Новая инструкция1_фст" xfId="387"/>
    <cellStyle name="_НВВ 2009 постатейно свод по филиалам_для Валентина_Расче тарифа на тэ 2014 Мезенский АрхоблЭнерго" xfId="388"/>
    <cellStyle name="_НВВ 2009 постатейно свод по филиалам_для Валентина_Тариф тепло Мезень для АТЦ" xfId="389"/>
    <cellStyle name="_НВВ 2009 постатейно свод по филиалам_для Валентина_тарифы по ТЭ на 2014 год Соловки исправ." xfId="390"/>
    <cellStyle name="_Омск" xfId="391"/>
    <cellStyle name="_Омск_Новая инструкция1_фст" xfId="392"/>
    <cellStyle name="_Омск_Расче тарифа на тэ 2014 Мезенский АрхоблЭнерго" xfId="393"/>
    <cellStyle name="_Омск_Тариф тепло Мезень для АТЦ" xfId="394"/>
    <cellStyle name="_Омск_тарифы по ТЭ на 2014 год Соловки исправ." xfId="395"/>
    <cellStyle name="_ОТ ИД 2009" xfId="396"/>
    <cellStyle name="_ОТ ИД 2009_Новая инструкция1_фст" xfId="397"/>
    <cellStyle name="_ПЛАН 2006  АРМ " xfId="398"/>
    <cellStyle name="_ПЛАН 2008 АРМ " xfId="399"/>
    <cellStyle name="_ПЛАН 2011 под 130 млн итог на подпись" xfId="400"/>
    <cellStyle name="_ПЛАН 2011 тарифы 250 млн блочный" xfId="401"/>
    <cellStyle name="_План по ремонту ХЦ 2007" xfId="402"/>
    <cellStyle name="_пр 5 тариф RAB" xfId="403"/>
    <cellStyle name="_пр 5 тариф RAB 2" xfId="404"/>
    <cellStyle name="_пр 5 тариф RAB 2_OREP.KU.2011.MONTHLY.02(v0.1)" xfId="405"/>
    <cellStyle name="_пр 5 тариф RAB 2_OREP.KU.2011.MONTHLY.02(v0.4)" xfId="406"/>
    <cellStyle name="_пр 5 тариф RAB 2_OREP.KU.2011.MONTHLY.11(v1.4)" xfId="407"/>
    <cellStyle name="_пр 5 тариф RAB 2_UPDATE.OREP.KU.2011.MONTHLY.02.TO.1.2" xfId="408"/>
    <cellStyle name="_пр 5 тариф RAB_46EE.2011(v1.0)" xfId="409"/>
    <cellStyle name="_пр 5 тариф RAB_46EE.2011(v1.0)_46TE.2011(v1.0)" xfId="410"/>
    <cellStyle name="_пр 5 тариф RAB_46EE.2011(v1.0)_INDEX.STATION.2012(v1.0)_" xfId="411"/>
    <cellStyle name="_пр 5 тариф RAB_46EE.2011(v1.0)_INDEX.STATION.2012(v2.0)" xfId="412"/>
    <cellStyle name="_пр 5 тариф RAB_46EE.2011(v1.0)_INDEX.STATION.2012(v2.1)" xfId="413"/>
    <cellStyle name="_пр 5 тариф RAB_46EE.2011(v1.0)_TEPLO.PREDEL.2012.M(v1.1)_test" xfId="414"/>
    <cellStyle name="_пр 5 тариф RAB_46EE.2011(v1.2)" xfId="415"/>
    <cellStyle name="_пр 5 тариф RAB_46EP.2011(v2.0)" xfId="416"/>
    <cellStyle name="_пр 5 тариф RAB_46EP.2012(v0.1)" xfId="417"/>
    <cellStyle name="_пр 5 тариф RAB_46TE.2011(v1.0)" xfId="418"/>
    <cellStyle name="_пр 5 тариф RAB_4DNS.UPDATE.EXAMPLE" xfId="419"/>
    <cellStyle name="_пр 5 тариф RAB_ARMRAZR" xfId="420"/>
    <cellStyle name="_пр 5 тариф RAB_BALANCE.WARM.2010.FACT(v1.0)" xfId="421"/>
    <cellStyle name="_пр 5 тариф RAB_BALANCE.WARM.2010.PLAN" xfId="422"/>
    <cellStyle name="_пр 5 тариф RAB_BALANCE.WARM.2011YEAR(v0.7)" xfId="423"/>
    <cellStyle name="_пр 5 тариф RAB_BALANCE.WARM.2011YEAR.NEW.UPDATE.SCHEME" xfId="424"/>
    <cellStyle name="_пр 5 тариф RAB_CALC.NORMATIV.KU(v0.2)" xfId="425"/>
    <cellStyle name="_пр 5 тариф RAB_EE.2REK.P2011.4.78(v0.3)" xfId="426"/>
    <cellStyle name="_пр 5 тариф RAB_FORM3.1.2013(v0.2)" xfId="427"/>
    <cellStyle name="_пр 5 тариф RAB_FORM3.2013(v1.0)" xfId="428"/>
    <cellStyle name="_пр 5 тариф RAB_FORM3.REG(v1.0)" xfId="429"/>
    <cellStyle name="_пр 5 тариф RAB_FORM910.2012(v1.1)" xfId="430"/>
    <cellStyle name="_пр 5 тариф RAB_INDEX.STATION.2012(v2.1)" xfId="431"/>
    <cellStyle name="_пр 5 тариф RAB_INDEX.STATION.2013(v1.0)_патч до 1.1" xfId="432"/>
    <cellStyle name="_пр 5 тариф RAB_INVEST.EE.PLAN.4.78(v0.1)" xfId="433"/>
    <cellStyle name="_пр 5 тариф RAB_INVEST.EE.PLAN.4.78(v0.3)" xfId="434"/>
    <cellStyle name="_пр 5 тариф RAB_INVEST.EE.PLAN.4.78(v1.0)" xfId="435"/>
    <cellStyle name="_пр 5 тариф RAB_INVEST.EE.PLAN.4.78(v1.0)_PASSPORT.TEPLO.PROIZV(v2.0)" xfId="436"/>
    <cellStyle name="_пр 5 тариф RAB_INVEST.EE.PLAN.4.78(v1.0)_PASSPORT.TEPLO.PROIZV(v2.0)_INDEX.STATION.2013(v1.0)_патч до 1.1" xfId="437"/>
    <cellStyle name="_пр 5 тариф RAB_INVEST.EE.PLAN.4.78(v1.0)_PASSPORT.TEPLO.PROIZV(v2.0)_TEPLO.PREDEL.2013(v2.0)" xfId="438"/>
    <cellStyle name="_пр 5 тариф RAB_INVEST.PLAN.4.78(v0.1)" xfId="439"/>
    <cellStyle name="_пр 5 тариф RAB_INVEST.WARM.PLAN.4.78(v0.1)" xfId="440"/>
    <cellStyle name="_пр 5 тариф RAB_INVEST_WARM_PLAN" xfId="441"/>
    <cellStyle name="_пр 5 тариф RAB_NADB.JNVLP.APTEKA.2012(v1.0)_21_02_12" xfId="442"/>
    <cellStyle name="_пр 5 тариф RAB_NADB.JNVLS.APTEKA.2011(v1.3.3)" xfId="443"/>
    <cellStyle name="_пр 5 тариф RAB_NADB.JNVLS.APTEKA.2011(v1.3.3)_46TE.2011(v1.0)" xfId="444"/>
    <cellStyle name="_пр 5 тариф RAB_NADB.JNVLS.APTEKA.2011(v1.3.3)_INDEX.STATION.2012(v1.0)_" xfId="445"/>
    <cellStyle name="_пр 5 тариф RAB_NADB.JNVLS.APTEKA.2011(v1.3.3)_INDEX.STATION.2012(v2.0)" xfId="446"/>
    <cellStyle name="_пр 5 тариф RAB_NADB.JNVLS.APTEKA.2011(v1.3.3)_INDEX.STATION.2012(v2.1)" xfId="447"/>
    <cellStyle name="_пр 5 тариф RAB_NADB.JNVLS.APTEKA.2011(v1.3.3)_TEPLO.PREDEL.2012.M(v1.1)_test" xfId="448"/>
    <cellStyle name="_пр 5 тариф RAB_NADB.JNVLS.APTEKA.2011(v1.3.4)" xfId="449"/>
    <cellStyle name="_пр 5 тариф RAB_NADB.JNVLS.APTEKA.2011(v1.3.4)_46TE.2011(v1.0)" xfId="450"/>
    <cellStyle name="_пр 5 тариф RAB_NADB.JNVLS.APTEKA.2011(v1.3.4)_INDEX.STATION.2012(v1.0)_" xfId="451"/>
    <cellStyle name="_пр 5 тариф RAB_NADB.JNVLS.APTEKA.2011(v1.3.4)_INDEX.STATION.2012(v2.0)" xfId="452"/>
    <cellStyle name="_пр 5 тариф RAB_NADB.JNVLS.APTEKA.2011(v1.3.4)_INDEX.STATION.2012(v2.1)" xfId="453"/>
    <cellStyle name="_пр 5 тариф RAB_NADB.JNVLS.APTEKA.2011(v1.3.4)_TEPLO.PREDEL.2012.M(v1.1)_test" xfId="454"/>
    <cellStyle name="_пр 5 тариф RAB_PASSPORT.TEPLO.PROIZV(v2.1)" xfId="455"/>
    <cellStyle name="_пр 5 тариф RAB_PASSPORT.TEPLO.SETI(v0.7)" xfId="456"/>
    <cellStyle name="_пр 5 тариф RAB_PASSPORT.TEPLO.SETI(v1.0)" xfId="457"/>
    <cellStyle name="_пр 5 тариф RAB_PR.PROG.WARM.NOTCOMBI.2012.2.16_v1.4(04.04.11) " xfId="458"/>
    <cellStyle name="_пр 5 тариф RAB_PREDEL.JKH.UTV.2011(v1.0.1)" xfId="459"/>
    <cellStyle name="_пр 5 тариф RAB_PREDEL.JKH.UTV.2011(v1.0.1)_46TE.2011(v1.0)" xfId="460"/>
    <cellStyle name="_пр 5 тариф RAB_PREDEL.JKH.UTV.2011(v1.0.1)_INDEX.STATION.2012(v1.0)_" xfId="461"/>
    <cellStyle name="_пр 5 тариф RAB_PREDEL.JKH.UTV.2011(v1.0.1)_INDEX.STATION.2012(v2.0)" xfId="462"/>
    <cellStyle name="_пр 5 тариф RAB_PREDEL.JKH.UTV.2011(v1.0.1)_INDEX.STATION.2012(v2.1)" xfId="463"/>
    <cellStyle name="_пр 5 тариф RAB_PREDEL.JKH.UTV.2011(v1.0.1)_TEPLO.PREDEL.2012.M(v1.1)_test" xfId="464"/>
    <cellStyle name="_пр 5 тариф RAB_PREDEL.JKH.UTV.2011(v1.1)" xfId="465"/>
    <cellStyle name="_пр 5 тариф RAB_REP.BLR.2012(v1.0)" xfId="466"/>
    <cellStyle name="_пр 5 тариф RAB_TEPLO.PREDEL.2012.M(v1.1)" xfId="467"/>
    <cellStyle name="_пр 5 тариф RAB_TEPLO.PREDEL.2013(v2.0)" xfId="468"/>
    <cellStyle name="_пр 5 тариф RAB_TEST.TEMPLATE" xfId="469"/>
    <cellStyle name="_пр 5 тариф RAB_UPDATE.46EE.2011.TO.1.1" xfId="470"/>
    <cellStyle name="_пр 5 тариф RAB_UPDATE.46TE.2011.TO.1.1" xfId="471"/>
    <cellStyle name="_пр 5 тариф RAB_UPDATE.46TE.2011.TO.1.2" xfId="472"/>
    <cellStyle name="_пр 5 тариф RAB_UPDATE.BALANCE.WARM.2011YEAR.TO.1.1" xfId="473"/>
    <cellStyle name="_пр 5 тариф RAB_UPDATE.BALANCE.WARM.2011YEAR.TO.1.1_46TE.2011(v1.0)" xfId="474"/>
    <cellStyle name="_пр 5 тариф RAB_UPDATE.BALANCE.WARM.2011YEAR.TO.1.1_INDEX.STATION.2012(v1.0)_" xfId="475"/>
    <cellStyle name="_пр 5 тариф RAB_UPDATE.BALANCE.WARM.2011YEAR.TO.1.1_INDEX.STATION.2012(v2.0)" xfId="476"/>
    <cellStyle name="_пр 5 тариф RAB_UPDATE.BALANCE.WARM.2011YEAR.TO.1.1_INDEX.STATION.2012(v2.1)" xfId="477"/>
    <cellStyle name="_пр 5 тариф RAB_UPDATE.BALANCE.WARM.2011YEAR.TO.1.1_OREP.KU.2011.MONTHLY.02(v1.1)" xfId="478"/>
    <cellStyle name="_пр 5 тариф RAB_UPDATE.BALANCE.WARM.2011YEAR.TO.1.1_TEPLO.PREDEL.2012.M(v1.1)_test" xfId="479"/>
    <cellStyle name="_пр 5 тариф RAB_UPDATE.NADB.JNVLS.APTEKA.2011.TO.1.3.4" xfId="480"/>
    <cellStyle name="_пр 5 тариф RAB_Книга2_PR.PROG.WARM.NOTCOMBI.2012.2.16_v1.4(04.04.11) " xfId="481"/>
    <cellStyle name="_пр 5 тариф RAB_Тариф 2013 Архангельск для агентства" xfId="482"/>
    <cellStyle name="_пр 5 тариф RAB_Тариф 2014 уч. Шипицыно газ" xfId="483"/>
    <cellStyle name="_пр 6 финпроекция" xfId="484"/>
    <cellStyle name="_пр 6 финпроекция_Расче тарифа на тэ 2014 Мезенский АрхоблЭнерго" xfId="485"/>
    <cellStyle name="_пр 6 финпроекция_тарифы по ТЭ на 2014 год Соловки исправ." xfId="486"/>
    <cellStyle name="_Предожение _ДБП_2009 г ( согласованные БП)  (2)" xfId="487"/>
    <cellStyle name="_Предожение _ДБП_2009 г ( согласованные БП)  (2)_Новая инструкция1_фст" xfId="488"/>
    <cellStyle name="_Предожение _ДБП_2009 г ( согласованные БП)  (2)_Расче тарифа на тэ 2014 Мезенский АрхоблЭнерго" xfId="489"/>
    <cellStyle name="_Предожение _ДБП_2009 г ( согласованные БП)  (2)_Тариф тепло Мезень для АТЦ" xfId="490"/>
    <cellStyle name="_Предожение _ДБП_2009 г ( согласованные БП)  (2)_тарифы по ТЭ на 2014 год Соловки исправ." xfId="491"/>
    <cellStyle name="_Прил1-1 (МГИ) (Дубинину) 22 01 07" xfId="492"/>
    <cellStyle name="_Прил1-1 (МГИ) (Дубинину) 22 01 07_Расче тарифа на тэ 2014 Мезенский АрхоблЭнерго" xfId="493"/>
    <cellStyle name="_Прил1-1 (МГИ) (Дубинину) 22 01 07_тарифы по ТЭ на 2014 год Соловки исправ." xfId="494"/>
    <cellStyle name="_Приложение 2 0806 факт" xfId="495"/>
    <cellStyle name="_Приложение МТС-3-КС" xfId="496"/>
    <cellStyle name="_Приложение МТС-3-КС_Новая инструкция1_фст" xfId="497"/>
    <cellStyle name="_Приложение МТС-3-КС_Расче тарифа на тэ 2014 Мезенский АрхоблЭнерго" xfId="498"/>
    <cellStyle name="_Приложение МТС-3-КС_Тариф тепло Мезень для АТЦ" xfId="499"/>
    <cellStyle name="_Приложение МТС-3-КС_тарифы по ТЭ на 2014 год Соловки исправ." xfId="500"/>
    <cellStyle name="_Приложение-МТС--2-1" xfId="501"/>
    <cellStyle name="_Приложение-МТС--2-1_Новая инструкция1_фст" xfId="502"/>
    <cellStyle name="_Приложение-МТС--2-1_Расче тарифа на тэ 2014 Мезенский АрхоблЭнерго" xfId="503"/>
    <cellStyle name="_Приложение-МТС--2-1_Тариф тепло Мезень для АТЦ" xfId="504"/>
    <cellStyle name="_Приложение-МТС--2-1_тарифы по ТЭ на 2014 год Соловки исправ." xfId="505"/>
    <cellStyle name="_Программа СО 7-09 для СД от 29 марта" xfId="506"/>
    <cellStyle name="_Программа СО 7-09 для СД от 29 марта_Расче тарифа на тэ 2014 Мезенский АрхоблЭнерго" xfId="507"/>
    <cellStyle name="_Программа СО 7-09 для СД от 29 марта_тарифы по ТЭ на 2014 год Соловки исправ." xfId="508"/>
    <cellStyle name="_Расчет RAB_22072008" xfId="509"/>
    <cellStyle name="_Расчет RAB_22072008 2" xfId="510"/>
    <cellStyle name="_Расчет RAB_22072008 2_OREP.KU.2011.MONTHLY.02(v0.1)" xfId="511"/>
    <cellStyle name="_Расчет RAB_22072008 2_OREP.KU.2011.MONTHLY.02(v0.4)" xfId="512"/>
    <cellStyle name="_Расчет RAB_22072008 2_OREP.KU.2011.MONTHLY.11(v1.4)" xfId="513"/>
    <cellStyle name="_Расчет RAB_22072008 2_UPDATE.OREP.KU.2011.MONTHLY.02.TO.1.2" xfId="514"/>
    <cellStyle name="_Расчет RAB_22072008_46EE.2011(v1.0)" xfId="515"/>
    <cellStyle name="_Расчет RAB_22072008_46EE.2011(v1.0)_46TE.2011(v1.0)" xfId="516"/>
    <cellStyle name="_Расчет RAB_22072008_46EE.2011(v1.0)_INDEX.STATION.2012(v1.0)_" xfId="517"/>
    <cellStyle name="_Расчет RAB_22072008_46EE.2011(v1.0)_INDEX.STATION.2012(v2.0)" xfId="518"/>
    <cellStyle name="_Расчет RAB_22072008_46EE.2011(v1.0)_INDEX.STATION.2012(v2.1)" xfId="519"/>
    <cellStyle name="_Расчет RAB_22072008_46EE.2011(v1.0)_TEPLO.PREDEL.2012.M(v1.1)_test" xfId="520"/>
    <cellStyle name="_Расчет RAB_22072008_46EE.2011(v1.2)" xfId="521"/>
    <cellStyle name="_Расчет RAB_22072008_46EP.2011(v2.0)" xfId="522"/>
    <cellStyle name="_Расчет RAB_22072008_46EP.2012(v0.1)" xfId="523"/>
    <cellStyle name="_Расчет RAB_22072008_46TE.2011(v1.0)" xfId="524"/>
    <cellStyle name="_Расчет RAB_22072008_4DNS.UPDATE.EXAMPLE" xfId="525"/>
    <cellStyle name="_Расчет RAB_22072008_ARMRAZR" xfId="526"/>
    <cellStyle name="_Расчет RAB_22072008_BALANCE.WARM.2010.FACT(v1.0)" xfId="527"/>
    <cellStyle name="_Расчет RAB_22072008_BALANCE.WARM.2010.PLAN" xfId="528"/>
    <cellStyle name="_Расчет RAB_22072008_BALANCE.WARM.2011YEAR(v0.7)" xfId="529"/>
    <cellStyle name="_Расчет RAB_22072008_BALANCE.WARM.2011YEAR.NEW.UPDATE.SCHEME" xfId="530"/>
    <cellStyle name="_Расчет RAB_22072008_CALC.NORMATIV.KU(v0.2)" xfId="531"/>
    <cellStyle name="_Расчет RAB_22072008_EE.2REK.P2011.4.78(v0.3)" xfId="532"/>
    <cellStyle name="_Расчет RAB_22072008_FORM3.1.2013(v0.2)" xfId="533"/>
    <cellStyle name="_Расчет RAB_22072008_FORM3.2013(v1.0)" xfId="534"/>
    <cellStyle name="_Расчет RAB_22072008_FORM3.REG(v1.0)" xfId="535"/>
    <cellStyle name="_Расчет RAB_22072008_FORM910.2012(v1.1)" xfId="536"/>
    <cellStyle name="_Расчет RAB_22072008_INDEX.STATION.2012(v2.1)" xfId="537"/>
    <cellStyle name="_Расчет RAB_22072008_INDEX.STATION.2013(v1.0)_патч до 1.1" xfId="538"/>
    <cellStyle name="_Расчет RAB_22072008_INVEST.EE.PLAN.4.78(v0.1)" xfId="539"/>
    <cellStyle name="_Расчет RAB_22072008_INVEST.EE.PLAN.4.78(v0.3)" xfId="540"/>
    <cellStyle name="_Расчет RAB_22072008_INVEST.EE.PLAN.4.78(v1.0)" xfId="541"/>
    <cellStyle name="_Расчет RAB_22072008_INVEST.EE.PLAN.4.78(v1.0)_PASSPORT.TEPLO.PROIZV(v2.0)" xfId="542"/>
    <cellStyle name="_Расчет RAB_22072008_INVEST.EE.PLAN.4.78(v1.0)_PASSPORT.TEPLO.PROIZV(v2.0)_INDEX.STATION.2013(v1.0)_патч до 1.1" xfId="543"/>
    <cellStyle name="_Расчет RAB_22072008_INVEST.EE.PLAN.4.78(v1.0)_PASSPORT.TEPLO.PROIZV(v2.0)_TEPLO.PREDEL.2013(v2.0)" xfId="544"/>
    <cellStyle name="_Расчет RAB_22072008_INVEST.PLAN.4.78(v0.1)" xfId="545"/>
    <cellStyle name="_Расчет RAB_22072008_INVEST.WARM.PLAN.4.78(v0.1)" xfId="546"/>
    <cellStyle name="_Расчет RAB_22072008_INVEST_WARM_PLAN" xfId="547"/>
    <cellStyle name="_Расчет RAB_22072008_NADB.JNVLP.APTEKA.2012(v1.0)_21_02_12" xfId="548"/>
    <cellStyle name="_Расчет RAB_22072008_NADB.JNVLS.APTEKA.2011(v1.3.3)" xfId="549"/>
    <cellStyle name="_Расчет RAB_22072008_NADB.JNVLS.APTEKA.2011(v1.3.3)_46TE.2011(v1.0)" xfId="550"/>
    <cellStyle name="_Расчет RAB_22072008_NADB.JNVLS.APTEKA.2011(v1.3.3)_INDEX.STATION.2012(v1.0)_" xfId="551"/>
    <cellStyle name="_Расчет RAB_22072008_NADB.JNVLS.APTEKA.2011(v1.3.3)_INDEX.STATION.2012(v2.0)" xfId="552"/>
    <cellStyle name="_Расчет RAB_22072008_NADB.JNVLS.APTEKA.2011(v1.3.3)_INDEX.STATION.2012(v2.1)" xfId="553"/>
    <cellStyle name="_Расчет RAB_22072008_NADB.JNVLS.APTEKA.2011(v1.3.3)_TEPLO.PREDEL.2012.M(v1.1)_test" xfId="554"/>
    <cellStyle name="_Расчет RAB_22072008_NADB.JNVLS.APTEKA.2011(v1.3.4)" xfId="555"/>
    <cellStyle name="_Расчет RAB_22072008_NADB.JNVLS.APTEKA.2011(v1.3.4)_46TE.2011(v1.0)" xfId="556"/>
    <cellStyle name="_Расчет RAB_22072008_NADB.JNVLS.APTEKA.2011(v1.3.4)_INDEX.STATION.2012(v1.0)_" xfId="557"/>
    <cellStyle name="_Расчет RAB_22072008_NADB.JNVLS.APTEKA.2011(v1.3.4)_INDEX.STATION.2012(v2.0)" xfId="558"/>
    <cellStyle name="_Расчет RAB_22072008_NADB.JNVLS.APTEKA.2011(v1.3.4)_INDEX.STATION.2012(v2.1)" xfId="559"/>
    <cellStyle name="_Расчет RAB_22072008_NADB.JNVLS.APTEKA.2011(v1.3.4)_TEPLO.PREDEL.2012.M(v1.1)_test" xfId="560"/>
    <cellStyle name="_Расчет RAB_22072008_PASSPORT.TEPLO.PROIZV(v2.1)" xfId="561"/>
    <cellStyle name="_Расчет RAB_22072008_PASSPORT.TEPLO.SETI(v0.7)" xfId="562"/>
    <cellStyle name="_Расчет RAB_22072008_PASSPORT.TEPLO.SETI(v1.0)" xfId="563"/>
    <cellStyle name="_Расчет RAB_22072008_PR.PROG.WARM.NOTCOMBI.2012.2.16_v1.4(04.04.11) " xfId="564"/>
    <cellStyle name="_Расчет RAB_22072008_PREDEL.JKH.UTV.2011(v1.0.1)" xfId="565"/>
    <cellStyle name="_Расчет RAB_22072008_PREDEL.JKH.UTV.2011(v1.0.1)_46TE.2011(v1.0)" xfId="566"/>
    <cellStyle name="_Расчет RAB_22072008_PREDEL.JKH.UTV.2011(v1.0.1)_INDEX.STATION.2012(v1.0)_" xfId="567"/>
    <cellStyle name="_Расчет RAB_22072008_PREDEL.JKH.UTV.2011(v1.0.1)_INDEX.STATION.2012(v2.0)" xfId="568"/>
    <cellStyle name="_Расчет RAB_22072008_PREDEL.JKH.UTV.2011(v1.0.1)_INDEX.STATION.2012(v2.1)" xfId="569"/>
    <cellStyle name="_Расчет RAB_22072008_PREDEL.JKH.UTV.2011(v1.0.1)_TEPLO.PREDEL.2012.M(v1.1)_test" xfId="570"/>
    <cellStyle name="_Расчет RAB_22072008_PREDEL.JKH.UTV.2011(v1.1)" xfId="571"/>
    <cellStyle name="_Расчет RAB_22072008_REP.BLR.2012(v1.0)" xfId="572"/>
    <cellStyle name="_Расчет RAB_22072008_TEPLO.PREDEL.2012.M(v1.1)" xfId="573"/>
    <cellStyle name="_Расчет RAB_22072008_TEPLO.PREDEL.2013(v2.0)" xfId="574"/>
    <cellStyle name="_Расчет RAB_22072008_TEST.TEMPLATE" xfId="575"/>
    <cellStyle name="_Расчет RAB_22072008_UPDATE.46EE.2011.TO.1.1" xfId="576"/>
    <cellStyle name="_Расчет RAB_22072008_UPDATE.46TE.2011.TO.1.1" xfId="577"/>
    <cellStyle name="_Расчет RAB_22072008_UPDATE.46TE.2011.TO.1.2" xfId="578"/>
    <cellStyle name="_Расчет RAB_22072008_UPDATE.BALANCE.WARM.2011YEAR.TO.1.1" xfId="579"/>
    <cellStyle name="_Расчет RAB_22072008_UPDATE.BALANCE.WARM.2011YEAR.TO.1.1_46TE.2011(v1.0)" xfId="580"/>
    <cellStyle name="_Расчет RAB_22072008_UPDATE.BALANCE.WARM.2011YEAR.TO.1.1_INDEX.STATION.2012(v1.0)_" xfId="581"/>
    <cellStyle name="_Расчет RAB_22072008_UPDATE.BALANCE.WARM.2011YEAR.TO.1.1_INDEX.STATION.2012(v2.0)" xfId="582"/>
    <cellStyle name="_Расчет RAB_22072008_UPDATE.BALANCE.WARM.2011YEAR.TO.1.1_INDEX.STATION.2012(v2.1)" xfId="583"/>
    <cellStyle name="_Расчет RAB_22072008_UPDATE.BALANCE.WARM.2011YEAR.TO.1.1_OREP.KU.2011.MONTHLY.02(v1.1)" xfId="584"/>
    <cellStyle name="_Расчет RAB_22072008_UPDATE.BALANCE.WARM.2011YEAR.TO.1.1_TEPLO.PREDEL.2012.M(v1.1)_test" xfId="585"/>
    <cellStyle name="_Расчет RAB_22072008_UPDATE.NADB.JNVLS.APTEKA.2011.TO.1.3.4" xfId="586"/>
    <cellStyle name="_Расчет RAB_22072008_Книга2_PR.PROG.WARM.NOTCOMBI.2012.2.16_v1.4(04.04.11) " xfId="587"/>
    <cellStyle name="_Расчет RAB_22072008_Тариф 2013 Архангельск для агентства" xfId="588"/>
    <cellStyle name="_Расчет RAB_22072008_Тариф 2014 уч. Шипицыно газ" xfId="589"/>
    <cellStyle name="_Расчет RAB_Лен и МОЭСК_с 2010 года_14.04.2009_со сглаж_version 3.0_без ФСК" xfId="590"/>
    <cellStyle name="_Расчет RAB_Лен и МОЭСК_с 2010 года_14.04.2009_со сглаж_version 3.0_без ФСК 2" xfId="591"/>
    <cellStyle name="_Расчет RAB_Лен и МОЭСК_с 2010 года_14.04.2009_со сглаж_version 3.0_без ФСК 2_OREP.KU.2011.MONTHLY.02(v0.1)" xfId="592"/>
    <cellStyle name="_Расчет RAB_Лен и МОЭСК_с 2010 года_14.04.2009_со сглаж_version 3.0_без ФСК 2_OREP.KU.2011.MONTHLY.02(v0.4)" xfId="593"/>
    <cellStyle name="_Расчет RAB_Лен и МОЭСК_с 2010 года_14.04.2009_со сглаж_version 3.0_без ФСК 2_OREP.KU.2011.MONTHLY.11(v1.4)" xfId="594"/>
    <cellStyle name="_Расчет RAB_Лен и МОЭСК_с 2010 года_14.04.2009_со сглаж_version 3.0_без ФСК 2_UPDATE.OREP.KU.2011.MONTHLY.02.TO.1.2" xfId="595"/>
    <cellStyle name="_Расчет RAB_Лен и МОЭСК_с 2010 года_14.04.2009_со сглаж_version 3.0_без ФСК_46EE.2011(v1.0)" xfId="596"/>
    <cellStyle name="_Расчет RAB_Лен и МОЭСК_с 2010 года_14.04.2009_со сглаж_version 3.0_без ФСК_46EE.2011(v1.0)_46TE.2011(v1.0)" xfId="597"/>
    <cellStyle name="_Расчет RAB_Лен и МОЭСК_с 2010 года_14.04.2009_со сглаж_version 3.0_без ФСК_46EE.2011(v1.0)_INDEX.STATION.2012(v1.0)_" xfId="598"/>
    <cellStyle name="_Расчет RAB_Лен и МОЭСК_с 2010 года_14.04.2009_со сглаж_version 3.0_без ФСК_46EE.2011(v1.0)_INDEX.STATION.2012(v2.0)" xfId="599"/>
    <cellStyle name="_Расчет RAB_Лен и МОЭСК_с 2010 года_14.04.2009_со сглаж_version 3.0_без ФСК_46EE.2011(v1.0)_INDEX.STATION.2012(v2.1)" xfId="600"/>
    <cellStyle name="_Расчет RAB_Лен и МОЭСК_с 2010 года_14.04.2009_со сглаж_version 3.0_без ФСК_46EE.2011(v1.0)_TEPLO.PREDEL.2012.M(v1.1)_test" xfId="601"/>
    <cellStyle name="_Расчет RAB_Лен и МОЭСК_с 2010 года_14.04.2009_со сглаж_version 3.0_без ФСК_46EE.2011(v1.2)" xfId="602"/>
    <cellStyle name="_Расчет RAB_Лен и МОЭСК_с 2010 года_14.04.2009_со сглаж_version 3.0_без ФСК_46EP.2011(v2.0)" xfId="603"/>
    <cellStyle name="_Расчет RAB_Лен и МОЭСК_с 2010 года_14.04.2009_со сглаж_version 3.0_без ФСК_46EP.2012(v0.1)" xfId="604"/>
    <cellStyle name="_Расчет RAB_Лен и МОЭСК_с 2010 года_14.04.2009_со сглаж_version 3.0_без ФСК_46TE.2011(v1.0)" xfId="605"/>
    <cellStyle name="_Расчет RAB_Лен и МОЭСК_с 2010 года_14.04.2009_со сглаж_version 3.0_без ФСК_4DNS.UPDATE.EXAMPLE" xfId="606"/>
    <cellStyle name="_Расчет RAB_Лен и МОЭСК_с 2010 года_14.04.2009_со сглаж_version 3.0_без ФСК_ARMRAZR" xfId="607"/>
    <cellStyle name="_Расчет RAB_Лен и МОЭСК_с 2010 года_14.04.2009_со сглаж_version 3.0_без ФСК_BALANCE.WARM.2010.FACT(v1.0)" xfId="608"/>
    <cellStyle name="_Расчет RAB_Лен и МОЭСК_с 2010 года_14.04.2009_со сглаж_version 3.0_без ФСК_BALANCE.WARM.2010.PLAN" xfId="609"/>
    <cellStyle name="_Расчет RAB_Лен и МОЭСК_с 2010 года_14.04.2009_со сглаж_version 3.0_без ФСК_BALANCE.WARM.2011YEAR(v0.7)" xfId="610"/>
    <cellStyle name="_Расчет RAB_Лен и МОЭСК_с 2010 года_14.04.2009_со сглаж_version 3.0_без ФСК_BALANCE.WARM.2011YEAR.NEW.UPDATE.SCHEME" xfId="611"/>
    <cellStyle name="_Расчет RAB_Лен и МОЭСК_с 2010 года_14.04.2009_со сглаж_version 3.0_без ФСК_CALC.NORMATIV.KU(v0.2)" xfId="612"/>
    <cellStyle name="_Расчет RAB_Лен и МОЭСК_с 2010 года_14.04.2009_со сглаж_version 3.0_без ФСК_EE.2REK.P2011.4.78(v0.3)" xfId="613"/>
    <cellStyle name="_Расчет RAB_Лен и МОЭСК_с 2010 года_14.04.2009_со сглаж_version 3.0_без ФСК_FORM3.1.2013(v0.2)" xfId="614"/>
    <cellStyle name="_Расчет RAB_Лен и МОЭСК_с 2010 года_14.04.2009_со сглаж_version 3.0_без ФСК_FORM3.2013(v1.0)" xfId="615"/>
    <cellStyle name="_Расчет RAB_Лен и МОЭСК_с 2010 года_14.04.2009_со сглаж_version 3.0_без ФСК_FORM3.REG(v1.0)" xfId="616"/>
    <cellStyle name="_Расчет RAB_Лен и МОЭСК_с 2010 года_14.04.2009_со сглаж_version 3.0_без ФСК_FORM910.2012(v1.1)" xfId="617"/>
    <cellStyle name="_Расчет RAB_Лен и МОЭСК_с 2010 года_14.04.2009_со сглаж_version 3.0_без ФСК_INDEX.STATION.2012(v2.1)" xfId="618"/>
    <cellStyle name="_Расчет RAB_Лен и МОЭСК_с 2010 года_14.04.2009_со сглаж_version 3.0_без ФСК_INDEX.STATION.2013(v1.0)_патч до 1.1" xfId="619"/>
    <cellStyle name="_Расчет RAB_Лен и МОЭСК_с 2010 года_14.04.2009_со сглаж_version 3.0_без ФСК_INVEST.EE.PLAN.4.78(v0.1)" xfId="620"/>
    <cellStyle name="_Расчет RAB_Лен и МОЭСК_с 2010 года_14.04.2009_со сглаж_version 3.0_без ФСК_INVEST.EE.PLAN.4.78(v0.3)" xfId="621"/>
    <cellStyle name="_Расчет RAB_Лен и МОЭСК_с 2010 года_14.04.2009_со сглаж_version 3.0_без ФСК_INVEST.EE.PLAN.4.78(v1.0)" xfId="622"/>
    <cellStyle name="_Расчет RAB_Лен и МОЭСК_с 2010 года_14.04.2009_со сглаж_version 3.0_без ФСК_INVEST.EE.PLAN.4.78(v1.0)_PASSPORT.TEPLO.PROIZV(v2.0)" xfId="623"/>
    <cellStyle name="_Расчет RAB_Лен и МОЭСК_с 2010 года_14.04.2009_со сглаж_version 3.0_без ФСК_INVEST.EE.PLAN.4.78(v1.0)_PASSPORT.TEPLO.PROIZV(v2.0)_INDEX.STATION.2013(v1.0)_патч до 1.1" xfId="624"/>
    <cellStyle name="_Расчет RAB_Лен и МОЭСК_с 2010 года_14.04.2009_со сглаж_version 3.0_без ФСК_INVEST.EE.PLAN.4.78(v1.0)_PASSPORT.TEPLO.PROIZV(v2.0)_TEPLO.PREDEL.2013(v2.0)" xfId="625"/>
    <cellStyle name="_Расчет RAB_Лен и МОЭСК_с 2010 года_14.04.2009_со сглаж_version 3.0_без ФСК_INVEST.PLAN.4.78(v0.1)" xfId="626"/>
    <cellStyle name="_Расчет RAB_Лен и МОЭСК_с 2010 года_14.04.2009_со сглаж_version 3.0_без ФСК_INVEST.WARM.PLAN.4.78(v0.1)" xfId="627"/>
    <cellStyle name="_Расчет RAB_Лен и МОЭСК_с 2010 года_14.04.2009_со сглаж_version 3.0_без ФСК_INVEST_WARM_PLAN" xfId="628"/>
    <cellStyle name="_Расчет RAB_Лен и МОЭСК_с 2010 года_14.04.2009_со сглаж_version 3.0_без ФСК_NADB.JNVLP.APTEKA.2012(v1.0)_21_02_12" xfId="629"/>
    <cellStyle name="_Расчет RAB_Лен и МОЭСК_с 2010 года_14.04.2009_со сглаж_version 3.0_без ФСК_NADB.JNVLS.APTEKA.2011(v1.3.3)" xfId="630"/>
    <cellStyle name="_Расчет RAB_Лен и МОЭСК_с 2010 года_14.04.2009_со сглаж_version 3.0_без ФСК_NADB.JNVLS.APTEKA.2011(v1.3.3)_46TE.2011(v1.0)" xfId="631"/>
    <cellStyle name="_Расчет RAB_Лен и МОЭСК_с 2010 года_14.04.2009_со сглаж_version 3.0_без ФСК_NADB.JNVLS.APTEKA.2011(v1.3.3)_INDEX.STATION.2012(v1.0)_" xfId="632"/>
    <cellStyle name="_Расчет RAB_Лен и МОЭСК_с 2010 года_14.04.2009_со сглаж_version 3.0_без ФСК_NADB.JNVLS.APTEKA.2011(v1.3.3)_INDEX.STATION.2012(v2.0)" xfId="633"/>
    <cellStyle name="_Расчет RAB_Лен и МОЭСК_с 2010 года_14.04.2009_со сглаж_version 3.0_без ФСК_NADB.JNVLS.APTEKA.2011(v1.3.3)_INDEX.STATION.2012(v2.1)" xfId="634"/>
    <cellStyle name="_Расчет RAB_Лен и МОЭСК_с 2010 года_14.04.2009_со сглаж_version 3.0_без ФСК_NADB.JNVLS.APTEKA.2011(v1.3.3)_TEPLO.PREDEL.2012.M(v1.1)_test" xfId="635"/>
    <cellStyle name="_Расчет RAB_Лен и МОЭСК_с 2010 года_14.04.2009_со сглаж_version 3.0_без ФСК_NADB.JNVLS.APTEKA.2011(v1.3.4)" xfId="636"/>
    <cellStyle name="_Расчет RAB_Лен и МОЭСК_с 2010 года_14.04.2009_со сглаж_version 3.0_без ФСК_NADB.JNVLS.APTEKA.2011(v1.3.4)_46TE.2011(v1.0)" xfId="637"/>
    <cellStyle name="_Расчет RAB_Лен и МОЭСК_с 2010 года_14.04.2009_со сглаж_version 3.0_без ФСК_NADB.JNVLS.APTEKA.2011(v1.3.4)_INDEX.STATION.2012(v1.0)_" xfId="638"/>
    <cellStyle name="_Расчет RAB_Лен и МОЭСК_с 2010 года_14.04.2009_со сглаж_version 3.0_без ФСК_NADB.JNVLS.APTEKA.2011(v1.3.4)_INDEX.STATION.2012(v2.0)" xfId="639"/>
    <cellStyle name="_Расчет RAB_Лен и МОЭСК_с 2010 года_14.04.2009_со сглаж_version 3.0_без ФСК_NADB.JNVLS.APTEKA.2011(v1.3.4)_INDEX.STATION.2012(v2.1)" xfId="640"/>
    <cellStyle name="_Расчет RAB_Лен и МОЭСК_с 2010 года_14.04.2009_со сглаж_version 3.0_без ФСК_NADB.JNVLS.APTEKA.2011(v1.3.4)_TEPLO.PREDEL.2012.M(v1.1)_test" xfId="641"/>
    <cellStyle name="_Расчет RAB_Лен и МОЭСК_с 2010 года_14.04.2009_со сглаж_version 3.0_без ФСК_PASSPORT.TEPLO.PROIZV(v2.1)" xfId="642"/>
    <cellStyle name="_Расчет RAB_Лен и МОЭСК_с 2010 года_14.04.2009_со сглаж_version 3.0_без ФСК_PASSPORT.TEPLO.SETI(v0.7)" xfId="643"/>
    <cellStyle name="_Расчет RAB_Лен и МОЭСК_с 2010 года_14.04.2009_со сглаж_version 3.0_без ФСК_PASSPORT.TEPLO.SETI(v1.0)" xfId="644"/>
    <cellStyle name="_Расчет RAB_Лен и МОЭСК_с 2010 года_14.04.2009_со сглаж_version 3.0_без ФСК_PR.PROG.WARM.NOTCOMBI.2012.2.16_v1.4(04.04.11) " xfId="645"/>
    <cellStyle name="_Расчет RAB_Лен и МОЭСК_с 2010 года_14.04.2009_со сглаж_version 3.0_без ФСК_PREDEL.JKH.UTV.2011(v1.0.1)" xfId="646"/>
    <cellStyle name="_Расчет RAB_Лен и МОЭСК_с 2010 года_14.04.2009_со сглаж_version 3.0_без ФСК_PREDEL.JKH.UTV.2011(v1.0.1)_46TE.2011(v1.0)" xfId="647"/>
    <cellStyle name="_Расчет RAB_Лен и МОЭСК_с 2010 года_14.04.2009_со сглаж_version 3.0_без ФСК_PREDEL.JKH.UTV.2011(v1.0.1)_INDEX.STATION.2012(v1.0)_" xfId="648"/>
    <cellStyle name="_Расчет RAB_Лен и МОЭСК_с 2010 года_14.04.2009_со сглаж_version 3.0_без ФСК_PREDEL.JKH.UTV.2011(v1.0.1)_INDEX.STATION.2012(v2.0)" xfId="649"/>
    <cellStyle name="_Расчет RAB_Лен и МОЭСК_с 2010 года_14.04.2009_со сглаж_version 3.0_без ФСК_PREDEL.JKH.UTV.2011(v1.0.1)_INDEX.STATION.2012(v2.1)" xfId="650"/>
    <cellStyle name="_Расчет RAB_Лен и МОЭСК_с 2010 года_14.04.2009_со сглаж_version 3.0_без ФСК_PREDEL.JKH.UTV.2011(v1.0.1)_TEPLO.PREDEL.2012.M(v1.1)_test" xfId="651"/>
    <cellStyle name="_Расчет RAB_Лен и МОЭСК_с 2010 года_14.04.2009_со сглаж_version 3.0_без ФСК_PREDEL.JKH.UTV.2011(v1.1)" xfId="652"/>
    <cellStyle name="_Расчет RAB_Лен и МОЭСК_с 2010 года_14.04.2009_со сглаж_version 3.0_без ФСК_REP.BLR.2012(v1.0)" xfId="653"/>
    <cellStyle name="_Расчет RAB_Лен и МОЭСК_с 2010 года_14.04.2009_со сглаж_version 3.0_без ФСК_TEPLO.PREDEL.2012.M(v1.1)" xfId="654"/>
    <cellStyle name="_Расчет RAB_Лен и МОЭСК_с 2010 года_14.04.2009_со сглаж_version 3.0_без ФСК_TEPLO.PREDEL.2013(v2.0)" xfId="655"/>
    <cellStyle name="_Расчет RAB_Лен и МОЭСК_с 2010 года_14.04.2009_со сглаж_version 3.0_без ФСК_TEST.TEMPLATE" xfId="656"/>
    <cellStyle name="_Расчет RAB_Лен и МОЭСК_с 2010 года_14.04.2009_со сглаж_version 3.0_без ФСК_UPDATE.46EE.2011.TO.1.1" xfId="657"/>
    <cellStyle name="_Расчет RAB_Лен и МОЭСК_с 2010 года_14.04.2009_со сглаж_version 3.0_без ФСК_UPDATE.46TE.2011.TO.1.1" xfId="658"/>
    <cellStyle name="_Расчет RAB_Лен и МОЭСК_с 2010 года_14.04.2009_со сглаж_version 3.0_без ФСК_UPDATE.46TE.2011.TO.1.2" xfId="659"/>
    <cellStyle name="_Расчет RAB_Лен и МОЭСК_с 2010 года_14.04.2009_со сглаж_version 3.0_без ФСК_UPDATE.BALANCE.WARM.2011YEAR.TO.1.1" xfId="660"/>
    <cellStyle name="_Расчет RAB_Лен и МОЭСК_с 2010 года_14.04.2009_со сглаж_version 3.0_без ФСК_UPDATE.BALANCE.WARM.2011YEAR.TO.1.1_46TE.2011(v1.0)" xfId="661"/>
    <cellStyle name="_Расчет RAB_Лен и МОЭСК_с 2010 года_14.04.2009_со сглаж_version 3.0_без ФСК_UPDATE.BALANCE.WARM.2011YEAR.TO.1.1_INDEX.STATION.2012(v1.0)_" xfId="662"/>
    <cellStyle name="_Расчет RAB_Лен и МОЭСК_с 2010 года_14.04.2009_со сглаж_version 3.0_без ФСК_UPDATE.BALANCE.WARM.2011YEAR.TO.1.1_INDEX.STATION.2012(v2.0)" xfId="663"/>
    <cellStyle name="_Расчет RAB_Лен и МОЭСК_с 2010 года_14.04.2009_со сглаж_version 3.0_без ФСК_UPDATE.BALANCE.WARM.2011YEAR.TO.1.1_INDEX.STATION.2012(v2.1)" xfId="664"/>
    <cellStyle name="_Расчет RAB_Лен и МОЭСК_с 2010 года_14.04.2009_со сглаж_version 3.0_без ФСК_UPDATE.BALANCE.WARM.2011YEAR.TO.1.1_OREP.KU.2011.MONTHLY.02(v1.1)" xfId="665"/>
    <cellStyle name="_Расчет RAB_Лен и МОЭСК_с 2010 года_14.04.2009_со сглаж_version 3.0_без ФСК_UPDATE.BALANCE.WARM.2011YEAR.TO.1.1_TEPLO.PREDEL.2012.M(v1.1)_test" xfId="666"/>
    <cellStyle name="_Расчет RAB_Лен и МОЭСК_с 2010 года_14.04.2009_со сглаж_version 3.0_без ФСК_UPDATE.NADB.JNVLS.APTEKA.2011.TO.1.3.4" xfId="667"/>
    <cellStyle name="_Расчет RAB_Лен и МОЭСК_с 2010 года_14.04.2009_со сглаж_version 3.0_без ФСК_Книга2_PR.PROG.WARM.NOTCOMBI.2012.2.16_v1.4(04.04.11) " xfId="668"/>
    <cellStyle name="_Расчет RAB_Лен и МОЭСК_с 2010 года_14.04.2009_со сглаж_version 3.0_без ФСК_Тариф 2013 Архангельск для агентства" xfId="669"/>
    <cellStyle name="_Расчет RAB_Лен и МОЭСК_с 2010 года_14.04.2009_со сглаж_version 3.0_без ФСК_Тариф 2014 уч. Шипицыно газ" xfId="670"/>
    <cellStyle name="_Расчет кредита_RAB 2010-2014  max конечн.20,77" xfId="671"/>
    <cellStyle name="_Расчет кредита_RAB 2010-2014  max конечн.20,77_Расче тарифа на тэ 2014 Мезенский АрхоблЭнерго" xfId="672"/>
    <cellStyle name="_Расчет кредита_RAB 2010-2014  max конечн.20,77_тарифы по ТЭ на 2014 год Соловки исправ." xfId="673"/>
    <cellStyle name="_Расчет на 2008 год" xfId="674"/>
    <cellStyle name="_Расчет на 2009 год" xfId="675"/>
    <cellStyle name="_Расчет ТЕХПД на 2010 год" xfId="676"/>
    <cellStyle name="_Расшифровка по приоритетам_МРСК 2" xfId="677"/>
    <cellStyle name="_Расшифровка по приоритетам_МРСК 2_Расче тарифа на тэ 2014 Мезенский АрхоблЭнерго" xfId="678"/>
    <cellStyle name="_Расшифровка по приоритетам_МРСК 2_тарифы по ТЭ на 2014 год Соловки исправ." xfId="679"/>
    <cellStyle name="_Рем программа СТЭЦ-1тарифы 2010 год" xfId="680"/>
    <cellStyle name="_Сб-macro 2020" xfId="681"/>
    <cellStyle name="_Сб-macro 2020 2" xfId="682"/>
    <cellStyle name="_Свод по ИПР (2)" xfId="683"/>
    <cellStyle name="_Свод по ИПР (2)_Новая инструкция1_фст" xfId="684"/>
    <cellStyle name="_Свод по ИПР (2)_Расче тарифа на тэ 2014 Мезенский АрхоблЭнерго" xfId="685"/>
    <cellStyle name="_Свод по ИПР (2)_Тариф тепло Мезень для АТЦ" xfId="686"/>
    <cellStyle name="_Свод по ИПР (2)_тарифы по ТЭ на 2014 год Соловки исправ." xfId="687"/>
    <cellStyle name="_сводная таблица (2)" xfId="688"/>
    <cellStyle name="_сводная таблица (2)_Расче тарифа на тэ 2014 Мезенский АрхоблЭнерго" xfId="689"/>
    <cellStyle name="_сводная таблица (2)_тарифы по ТЭ на 2014 год Соловки исправ." xfId="690"/>
    <cellStyle name="_СО 2006-2010  Прил1-1 (Дубинину)" xfId="691"/>
    <cellStyle name="_СО 2006-2010  Прил1-1 (Дубинину)_Расче тарифа на тэ 2014 Мезенский АрхоблЭнерго" xfId="692"/>
    <cellStyle name="_СО 2006-2010  Прил1-1 (Дубинину)_тарифы по ТЭ на 2014 год Соловки исправ." xfId="693"/>
    <cellStyle name="_Справочник затрат_ЛХ_20.10.05" xfId="694"/>
    <cellStyle name="_Табл П2-5 (вар18-10-2006)" xfId="695"/>
    <cellStyle name="_Табл П2-5 (вар18-10-2006)_Расче тарифа на тэ 2014 Мезенский АрхоблЭнерго" xfId="696"/>
    <cellStyle name="_Табл П2-5 (вар18-10-2006)_тарифы по ТЭ на 2014 год Соловки исправ." xfId="697"/>
    <cellStyle name="_Табл. 9, ТФБ 2009" xfId="698"/>
    <cellStyle name="_таблицы для расчетов28-04-08_2006-2009_прибыль корр_по ИА" xfId="699"/>
    <cellStyle name="_таблицы для расчетов28-04-08_2006-2009_прибыль корр_по ИА_Новая инструкция1_фст" xfId="700"/>
    <cellStyle name="_таблицы для расчетов28-04-08_2006-2009_прибыль корр_по ИА_Расче тарифа на тэ 2014 Мезенский АрхоблЭнерго" xfId="701"/>
    <cellStyle name="_таблицы для расчетов28-04-08_2006-2009_прибыль корр_по ИА_Тариф тепло Мезень для АТЦ" xfId="702"/>
    <cellStyle name="_таблицы для расчетов28-04-08_2006-2009_прибыль корр_по ИА_тарифы по ТЭ на 2014 год Соловки исправ." xfId="703"/>
    <cellStyle name="_таблицы для расчетов28-04-08_2006-2009с ИА" xfId="704"/>
    <cellStyle name="_таблицы для расчетов28-04-08_2006-2009с ИА_Новая инструкция1_фст" xfId="705"/>
    <cellStyle name="_таблицы для расчетов28-04-08_2006-2009с ИА_Расче тарифа на тэ 2014 Мезенский АрхоблЭнерго" xfId="706"/>
    <cellStyle name="_таблицы для расчетов28-04-08_2006-2009с ИА_Тариф тепло Мезень для АТЦ" xfId="707"/>
    <cellStyle name="_таблицы для расчетов28-04-08_2006-2009с ИА_тарифы по ТЭ на 2014 год Соловки исправ." xfId="708"/>
    <cellStyle name="_Тарифы  СИЗ СП ОД Шапина" xfId="709"/>
    <cellStyle name="_УЕ  свод Псковэнерго" xfId="710"/>
    <cellStyle name="_УЕ  свод Псковэнерго_Расче тарифа на тэ 2014 Мезенский АрхоблЭнерго" xfId="711"/>
    <cellStyle name="_УЕ  свод Псковэнерго_тарифы по ТЭ на 2014 год Соловки исправ." xfId="712"/>
    <cellStyle name="_Условные единицы ПСКОВЭНЕРГО (RAB)" xfId="713"/>
    <cellStyle name="_Условные единицы ПСКОВЭНЕРГО (RAB)_Расче тарифа на тэ 2014 Мезенский АрхоблЭнерго" xfId="714"/>
    <cellStyle name="_Условные единицы ПСКОВЭНЕРГО (RAB)_тарифы по ТЭ на 2014 год Соловки исправ." xfId="715"/>
    <cellStyle name="_Услуги связи_2008_котельные" xfId="716"/>
    <cellStyle name="_Форма 6  РТК.xls(отчет по Адр пр. ЛО)" xfId="717"/>
    <cellStyle name="_Форма 6  РТК.xls(отчет по Адр пр. ЛО)_Новая инструкция1_фст" xfId="718"/>
    <cellStyle name="_Форма 6  РТК.xls(отчет по Адр пр. ЛО)_Расче тарифа на тэ 2014 Мезенский АрхоблЭнерго" xfId="719"/>
    <cellStyle name="_Форма 6  РТК.xls(отчет по Адр пр. ЛО)_Тариф тепло Мезень для АТЦ" xfId="720"/>
    <cellStyle name="_Форма 6  РТК.xls(отчет по Адр пр. ЛО)_тарифы по ТЭ на 2014 год Соловки исправ." xfId="721"/>
    <cellStyle name="_Форма программы ремонтов " xfId="722"/>
    <cellStyle name="_Форма программы ремонтов  2" xfId="723"/>
    <cellStyle name="_Формат разбивки по МРСК_РСК" xfId="724"/>
    <cellStyle name="_Формат разбивки по МРСК_РСК_Новая инструкция1_фст" xfId="725"/>
    <cellStyle name="_Формат разбивки по МРСК_РСК_Расче тарифа на тэ 2014 Мезенский АрхоблЭнерго" xfId="726"/>
    <cellStyle name="_Формат разбивки по МРСК_РСК_Тариф тепло Мезень для АТЦ" xfId="727"/>
    <cellStyle name="_Формат разбивки по МРСК_РСК_тарифы по ТЭ на 2014 год Соловки исправ." xfId="728"/>
    <cellStyle name="_Формат_для Согласования" xfId="729"/>
    <cellStyle name="_Формат_для Согласования_Новая инструкция1_фст" xfId="730"/>
    <cellStyle name="_Формат_для Согласования_Расче тарифа на тэ 2014 Мезенский АрхоблЭнерго" xfId="731"/>
    <cellStyle name="_Формат_для Согласования_Тариф тепло Мезень для АТЦ" xfId="732"/>
    <cellStyle name="_Формат_для Согласования_тарифы по ТЭ на 2014 год Соловки исправ." xfId="733"/>
    <cellStyle name="_ХХХ Прил 2 Формы бюджетных документов 2007" xfId="734"/>
    <cellStyle name="_экон.форм-т ВО 1 с разбивкой" xfId="735"/>
    <cellStyle name="_экон.форм-т ВО 1 с разбивкой_Новая инструкция1_фст" xfId="736"/>
    <cellStyle name="’К‰Э [0.00]" xfId="737"/>
    <cellStyle name="”€ќђќ‘ћ‚›‰" xfId="738"/>
    <cellStyle name="”€љ‘€ђћ‚ђќќ›‰" xfId="739"/>
    <cellStyle name="”ќђќ‘ћ‚›‰" xfId="740"/>
    <cellStyle name="”љ‘ђћ‚ђќќ›‰" xfId="741"/>
    <cellStyle name="„…ќ…†ќ›‰" xfId="742"/>
    <cellStyle name="€’ћѓћ‚›‰" xfId="743"/>
    <cellStyle name="‡ђѓћ‹ћ‚ћљ1" xfId="744"/>
    <cellStyle name="‡ђѓћ‹ћ‚ћљ2" xfId="745"/>
    <cellStyle name="’ћѓћ‚›‰" xfId="746"/>
    <cellStyle name="0,00;0;" xfId="747"/>
    <cellStyle name="0,00;0; 2" xfId="748"/>
    <cellStyle name="0,00;0; 3" xfId="749"/>
    <cellStyle name="0,00;0; 4" xfId="750"/>
    <cellStyle name="1Normal" xfId="751"/>
    <cellStyle name="20% - Accent1" xfId="752"/>
    <cellStyle name="20% - Accent1 2" xfId="753"/>
    <cellStyle name="20% - Accent1 2 2" xfId="754"/>
    <cellStyle name="20% - Accent1 3" xfId="755"/>
    <cellStyle name="20% - Accent1 3 2" xfId="756"/>
    <cellStyle name="20% - Accent1 4" xfId="757"/>
    <cellStyle name="20% - Accent1_46EE.2011(v1.0)" xfId="758"/>
    <cellStyle name="20% - Accent2" xfId="759"/>
    <cellStyle name="20% - Accent2 2" xfId="760"/>
    <cellStyle name="20% - Accent2 2 2" xfId="761"/>
    <cellStyle name="20% - Accent2 3" xfId="762"/>
    <cellStyle name="20% - Accent2 3 2" xfId="763"/>
    <cellStyle name="20% - Accent2 4" xfId="764"/>
    <cellStyle name="20% - Accent2_46EE.2011(v1.0)" xfId="765"/>
    <cellStyle name="20% - Accent3" xfId="766"/>
    <cellStyle name="20% - Accent3 2" xfId="767"/>
    <cellStyle name="20% - Accent3 2 2" xfId="768"/>
    <cellStyle name="20% - Accent3 3" xfId="769"/>
    <cellStyle name="20% - Accent3 3 2" xfId="770"/>
    <cellStyle name="20% - Accent3 4" xfId="771"/>
    <cellStyle name="20% - Accent3_46EE.2011(v1.0)" xfId="772"/>
    <cellStyle name="20% - Accent4" xfId="773"/>
    <cellStyle name="20% - Accent4 2" xfId="774"/>
    <cellStyle name="20% - Accent4 2 2" xfId="775"/>
    <cellStyle name="20% - Accent4 3" xfId="776"/>
    <cellStyle name="20% - Accent4 3 2" xfId="777"/>
    <cellStyle name="20% - Accent4 4" xfId="778"/>
    <cellStyle name="20% - Accent4_46EE.2011(v1.0)" xfId="779"/>
    <cellStyle name="20% - Accent5" xfId="780"/>
    <cellStyle name="20% - Accent5 2" xfId="781"/>
    <cellStyle name="20% - Accent5 2 2" xfId="782"/>
    <cellStyle name="20% - Accent5 3" xfId="783"/>
    <cellStyle name="20% - Accent5 3 2" xfId="784"/>
    <cellStyle name="20% - Accent5 4" xfId="785"/>
    <cellStyle name="20% - Accent5_46EE.2011(v1.0)" xfId="786"/>
    <cellStyle name="20% - Accent6" xfId="787"/>
    <cellStyle name="20% - Accent6 2" xfId="788"/>
    <cellStyle name="20% - Accent6 2 2" xfId="789"/>
    <cellStyle name="20% - Accent6 3" xfId="790"/>
    <cellStyle name="20% - Accent6 3 2" xfId="791"/>
    <cellStyle name="20% - Accent6 4" xfId="792"/>
    <cellStyle name="20% - Accent6_46EE.2011(v1.0)" xfId="793"/>
    <cellStyle name="20% — акцент1" xfId="794"/>
    <cellStyle name="20% - Акцент1 10" xfId="795"/>
    <cellStyle name="20% — акцент1 10" xfId="4008"/>
    <cellStyle name="20% - Акцент1 10 2" xfId="796"/>
    <cellStyle name="20% - Акцент1 11" xfId="797"/>
    <cellStyle name="20% — акцент1 11" xfId="4324"/>
    <cellStyle name="20% - Акцент1 11 2" xfId="798"/>
    <cellStyle name="20% — акцент1 12" xfId="4006"/>
    <cellStyle name="20% — акцент1 13" xfId="4326"/>
    <cellStyle name="20% — акцент1 14" xfId="4005"/>
    <cellStyle name="20% — акцент1 15" xfId="4327"/>
    <cellStyle name="20% — акцент1 16" xfId="4004"/>
    <cellStyle name="20% — акцент1 17" xfId="4328"/>
    <cellStyle name="20% — акцент1 18" xfId="4003"/>
    <cellStyle name="20% — акцент1 19" xfId="4329"/>
    <cellStyle name="20% - Акцент1 2" xfId="799"/>
    <cellStyle name="20% — акцент1 2" xfId="800"/>
    <cellStyle name="20% - Акцент1 2 10" xfId="801"/>
    <cellStyle name="20% - Акцент1 2 2" xfId="802"/>
    <cellStyle name="20% - Акцент1 2 2 2" xfId="803"/>
    <cellStyle name="20% - Акцент1 2 3" xfId="804"/>
    <cellStyle name="20% - Акцент1 2 3 2" xfId="805"/>
    <cellStyle name="20% - Акцент1 2 4" xfId="806"/>
    <cellStyle name="20% - Акцент1 2 5" xfId="807"/>
    <cellStyle name="20% - Акцент1 2 6" xfId="808"/>
    <cellStyle name="20% - Акцент1 2 7" xfId="809"/>
    <cellStyle name="20% - Акцент1 2 8" xfId="810"/>
    <cellStyle name="20% - Акцент1 2 9" xfId="811"/>
    <cellStyle name="20% - Акцент1 2_46EE.2011(v1.0)" xfId="812"/>
    <cellStyle name="20% — акцент1 20" xfId="4002"/>
    <cellStyle name="20% — акцент1 21" xfId="4330"/>
    <cellStyle name="20% - Акцент1 3" xfId="813"/>
    <cellStyle name="20% — акцент1 3" xfId="814"/>
    <cellStyle name="20% - Акцент1 3 10" xfId="815"/>
    <cellStyle name="20% - Акцент1 3 11" xfId="816"/>
    <cellStyle name="20% - Акцент1 3 2" xfId="817"/>
    <cellStyle name="20% - Акцент1 3 2 2" xfId="818"/>
    <cellStyle name="20% - Акцент1 3 3" xfId="819"/>
    <cellStyle name="20% - Акцент1 3 3 2" xfId="820"/>
    <cellStyle name="20% - Акцент1 3 4" xfId="821"/>
    <cellStyle name="20% - Акцент1 3 5" xfId="822"/>
    <cellStyle name="20% - Акцент1 3 6" xfId="823"/>
    <cellStyle name="20% - Акцент1 3 7" xfId="824"/>
    <cellStyle name="20% - Акцент1 3 8" xfId="825"/>
    <cellStyle name="20% - Акцент1 3 9" xfId="826"/>
    <cellStyle name="20% - Акцент1 3_46EE.2011(v1.0)" xfId="827"/>
    <cellStyle name="20% - Акцент1 4" xfId="828"/>
    <cellStyle name="20% — акцент1 4" xfId="4035"/>
    <cellStyle name="20% - Акцент1 4 2" xfId="829"/>
    <cellStyle name="20% - Акцент1 4 2 2" xfId="830"/>
    <cellStyle name="20% - Акцент1 4 3" xfId="831"/>
    <cellStyle name="20% - Акцент1 4 3 2" xfId="832"/>
    <cellStyle name="20% - Акцент1 4_46EE.2011(v1.0)" xfId="833"/>
    <cellStyle name="20% - Акцент1 5" xfId="834"/>
    <cellStyle name="20% — акцент1 5" xfId="4318"/>
    <cellStyle name="20% - Акцент1 5 2" xfId="835"/>
    <cellStyle name="20% - Акцент1 5 2 2" xfId="836"/>
    <cellStyle name="20% - Акцент1 5 3" xfId="837"/>
    <cellStyle name="20% - Акцент1 5 3 2" xfId="838"/>
    <cellStyle name="20% - Акцент1 5_46EE.2011(v1.0)" xfId="839"/>
    <cellStyle name="20% - Акцент1 6" xfId="840"/>
    <cellStyle name="20% — акцент1 6" xfId="4012"/>
    <cellStyle name="20% - Акцент1 6 2" xfId="841"/>
    <cellStyle name="20% - Акцент1 6 2 2" xfId="842"/>
    <cellStyle name="20% - Акцент1 6 3" xfId="843"/>
    <cellStyle name="20% - Акцент1 6 3 2" xfId="844"/>
    <cellStyle name="20% - Акцент1 6_46EE.2011(v1.0)" xfId="845"/>
    <cellStyle name="20% - Акцент1 7" xfId="846"/>
    <cellStyle name="20% — акцент1 7" xfId="4320"/>
    <cellStyle name="20% - Акцент1 7 2" xfId="847"/>
    <cellStyle name="20% - Акцент1 7 2 2" xfId="848"/>
    <cellStyle name="20% - Акцент1 7 3" xfId="849"/>
    <cellStyle name="20% - Акцент1 7 3 2" xfId="850"/>
    <cellStyle name="20% - Акцент1 7_46EE.2011(v1.0)" xfId="851"/>
    <cellStyle name="20% - Акцент1 8" xfId="852"/>
    <cellStyle name="20% — акцент1 8" xfId="4010"/>
    <cellStyle name="20% - Акцент1 8 2" xfId="853"/>
    <cellStyle name="20% - Акцент1 8 2 2" xfId="854"/>
    <cellStyle name="20% - Акцент1 8 3" xfId="855"/>
    <cellStyle name="20% - Акцент1 8 3 2" xfId="856"/>
    <cellStyle name="20% - Акцент1 8 4" xfId="857"/>
    <cellStyle name="20% - Акцент1 8_46EE.2011(v1.0)" xfId="858"/>
    <cellStyle name="20% - Акцент1 9" xfId="859"/>
    <cellStyle name="20% — акцент1 9" xfId="4322"/>
    <cellStyle name="20% - Акцент1 9 2" xfId="860"/>
    <cellStyle name="20% - Акцент1 9 2 2" xfId="861"/>
    <cellStyle name="20% - Акцент1 9 3" xfId="862"/>
    <cellStyle name="20% - Акцент1 9 3 2" xfId="863"/>
    <cellStyle name="20% - Акцент1 9 4" xfId="864"/>
    <cellStyle name="20% - Акцент1 9_46EE.2011(v1.0)" xfId="865"/>
    <cellStyle name="20% — акцент1_Расчет тарифа на тэ 2015 СЛФ" xfId="866"/>
    <cellStyle name="20% — акцент2" xfId="867"/>
    <cellStyle name="20% - Акцент2 10" xfId="868"/>
    <cellStyle name="20% — акцент2 10" xfId="4016"/>
    <cellStyle name="20% - Акцент2 10 2" xfId="869"/>
    <cellStyle name="20% - Акцент2 11" xfId="870"/>
    <cellStyle name="20% — акцент2 11" xfId="4315"/>
    <cellStyle name="20% - Акцент2 11 2" xfId="871"/>
    <cellStyle name="20% — акцент2 12" xfId="4014"/>
    <cellStyle name="20% — акцент2 13" xfId="4317"/>
    <cellStyle name="20% — акцент2 14" xfId="4013"/>
    <cellStyle name="20% — акцент2 15" xfId="4319"/>
    <cellStyle name="20% — акцент2 16" xfId="4011"/>
    <cellStyle name="20% — акцент2 17" xfId="4321"/>
    <cellStyle name="20% — акцент2 18" xfId="4009"/>
    <cellStyle name="20% — акцент2 19" xfId="4323"/>
    <cellStyle name="20% - Акцент2 2" xfId="872"/>
    <cellStyle name="20% — акцент2 2" xfId="873"/>
    <cellStyle name="20% - Акцент2 2 10" xfId="874"/>
    <cellStyle name="20% - Акцент2 2 2" xfId="875"/>
    <cellStyle name="20% - Акцент2 2 2 2" xfId="876"/>
    <cellStyle name="20% - Акцент2 2 3" xfId="877"/>
    <cellStyle name="20% - Акцент2 2 3 2" xfId="878"/>
    <cellStyle name="20% - Акцент2 2 4" xfId="879"/>
    <cellStyle name="20% - Акцент2 2 5" xfId="880"/>
    <cellStyle name="20% - Акцент2 2 6" xfId="881"/>
    <cellStyle name="20% - Акцент2 2 7" xfId="882"/>
    <cellStyle name="20% - Акцент2 2 8" xfId="883"/>
    <cellStyle name="20% - Акцент2 2 9" xfId="884"/>
    <cellStyle name="20% - Акцент2 2_46EE.2011(v1.0)" xfId="885"/>
    <cellStyle name="20% — акцент2 20" xfId="4007"/>
    <cellStyle name="20% — акцент2 21" xfId="4325"/>
    <cellStyle name="20% - Акцент2 3" xfId="886"/>
    <cellStyle name="20% — акцент2 3" xfId="887"/>
    <cellStyle name="20% - Акцент2 3 10" xfId="888"/>
    <cellStyle name="20% - Акцент2 3 11" xfId="889"/>
    <cellStyle name="20% - Акцент2 3 2" xfId="890"/>
    <cellStyle name="20% - Акцент2 3 2 2" xfId="891"/>
    <cellStyle name="20% - Акцент2 3 3" xfId="892"/>
    <cellStyle name="20% - Акцент2 3 3 2" xfId="893"/>
    <cellStyle name="20% - Акцент2 3 4" xfId="894"/>
    <cellStyle name="20% - Акцент2 3 5" xfId="895"/>
    <cellStyle name="20% - Акцент2 3 6" xfId="896"/>
    <cellStyle name="20% - Акцент2 3 7" xfId="897"/>
    <cellStyle name="20% - Акцент2 3 8" xfId="898"/>
    <cellStyle name="20% - Акцент2 3 9" xfId="899"/>
    <cellStyle name="20% - Акцент2 3_46EE.2011(v1.0)" xfId="900"/>
    <cellStyle name="20% - Акцент2 4" xfId="901"/>
    <cellStyle name="20% — акцент2 4" xfId="4043"/>
    <cellStyle name="20% - Акцент2 4 2" xfId="902"/>
    <cellStyle name="20% - Акцент2 4 2 2" xfId="903"/>
    <cellStyle name="20% - Акцент2 4 3" xfId="904"/>
    <cellStyle name="20% - Акцент2 4 3 2" xfId="905"/>
    <cellStyle name="20% - Акцент2 4_46EE.2011(v1.0)" xfId="906"/>
    <cellStyle name="20% - Акцент2 5" xfId="907"/>
    <cellStyle name="20% — акцент2 5" xfId="4309"/>
    <cellStyle name="20% - Акцент2 5 2" xfId="908"/>
    <cellStyle name="20% - Акцент2 5 2 2" xfId="909"/>
    <cellStyle name="20% - Акцент2 5 3" xfId="910"/>
    <cellStyle name="20% - Акцент2 5 3 2" xfId="911"/>
    <cellStyle name="20% - Акцент2 5_46EE.2011(v1.0)" xfId="912"/>
    <cellStyle name="20% - Акцент2 6" xfId="913"/>
    <cellStyle name="20% — акцент2 6" xfId="4021"/>
    <cellStyle name="20% - Акцент2 6 2" xfId="914"/>
    <cellStyle name="20% - Акцент2 6 2 2" xfId="915"/>
    <cellStyle name="20% - Акцент2 6 3" xfId="916"/>
    <cellStyle name="20% - Акцент2 6 3 2" xfId="917"/>
    <cellStyle name="20% - Акцент2 6_46EE.2011(v1.0)" xfId="918"/>
    <cellStyle name="20% - Акцент2 7" xfId="919"/>
    <cellStyle name="20% — акцент2 7" xfId="4311"/>
    <cellStyle name="20% - Акцент2 7 2" xfId="920"/>
    <cellStyle name="20% - Акцент2 7 2 2" xfId="921"/>
    <cellStyle name="20% - Акцент2 7 3" xfId="922"/>
    <cellStyle name="20% - Акцент2 7 3 2" xfId="923"/>
    <cellStyle name="20% - Акцент2 7_46EE.2011(v1.0)" xfId="924"/>
    <cellStyle name="20% - Акцент2 8" xfId="925"/>
    <cellStyle name="20% — акцент2 8" xfId="4018"/>
    <cellStyle name="20% - Акцент2 8 2" xfId="926"/>
    <cellStyle name="20% - Акцент2 8 2 2" xfId="927"/>
    <cellStyle name="20% - Акцент2 8 3" xfId="928"/>
    <cellStyle name="20% - Акцент2 8 3 2" xfId="929"/>
    <cellStyle name="20% - Акцент2 8 4" xfId="930"/>
    <cellStyle name="20% - Акцент2 8_46EE.2011(v1.0)" xfId="931"/>
    <cellStyle name="20% - Акцент2 9" xfId="932"/>
    <cellStyle name="20% — акцент2 9" xfId="4313"/>
    <cellStyle name="20% - Акцент2 9 2" xfId="933"/>
    <cellStyle name="20% - Акцент2 9 2 2" xfId="934"/>
    <cellStyle name="20% - Акцент2 9 3" xfId="935"/>
    <cellStyle name="20% - Акцент2 9 3 2" xfId="936"/>
    <cellStyle name="20% - Акцент2 9 4" xfId="937"/>
    <cellStyle name="20% - Акцент2 9_46EE.2011(v1.0)" xfId="938"/>
    <cellStyle name="20% — акцент2_Расчет тарифа на тэ 2015 СЛФ" xfId="939"/>
    <cellStyle name="20% — акцент3" xfId="940"/>
    <cellStyle name="20% - Акцент3 10" xfId="941"/>
    <cellStyle name="20% — акцент3 10" xfId="4024"/>
    <cellStyle name="20% - Акцент3 10 2" xfId="942"/>
    <cellStyle name="20% - Акцент3 11" xfId="943"/>
    <cellStyle name="20% — акцент3 11" xfId="4306"/>
    <cellStyle name="20% - Акцент3 11 2" xfId="944"/>
    <cellStyle name="20% — акцент3 12" xfId="4022"/>
    <cellStyle name="20% — акцент3 13" xfId="4308"/>
    <cellStyle name="20% — акцент3 14" xfId="4020"/>
    <cellStyle name="20% — акцент3 15" xfId="4310"/>
    <cellStyle name="20% — акцент3 16" xfId="4019"/>
    <cellStyle name="20% — акцент3 17" xfId="4312"/>
    <cellStyle name="20% — акцент3 18" xfId="4017"/>
    <cellStyle name="20% — акцент3 19" xfId="4314"/>
    <cellStyle name="20% - Акцент3 2" xfId="945"/>
    <cellStyle name="20% — акцент3 2" xfId="946"/>
    <cellStyle name="20% - Акцент3 2 10" xfId="947"/>
    <cellStyle name="20% - Акцент3 2 2" xfId="948"/>
    <cellStyle name="20% - Акцент3 2 2 2" xfId="949"/>
    <cellStyle name="20% - Акцент3 2 3" xfId="950"/>
    <cellStyle name="20% - Акцент3 2 3 2" xfId="951"/>
    <cellStyle name="20% - Акцент3 2 4" xfId="952"/>
    <cellStyle name="20% - Акцент3 2 5" xfId="953"/>
    <cellStyle name="20% - Акцент3 2 6" xfId="954"/>
    <cellStyle name="20% - Акцент3 2 7" xfId="955"/>
    <cellStyle name="20% - Акцент3 2 8" xfId="956"/>
    <cellStyle name="20% - Акцент3 2 9" xfId="957"/>
    <cellStyle name="20% - Акцент3 2_46EE.2011(v1.0)" xfId="958"/>
    <cellStyle name="20% — акцент3 20" xfId="4015"/>
    <cellStyle name="20% — акцент3 21" xfId="4316"/>
    <cellStyle name="20% - Акцент3 3" xfId="959"/>
    <cellStyle name="20% — акцент3 3" xfId="960"/>
    <cellStyle name="20% - Акцент3 3 10" xfId="961"/>
    <cellStyle name="20% - Акцент3 3 11" xfId="962"/>
    <cellStyle name="20% - Акцент3 3 2" xfId="963"/>
    <cellStyle name="20% - Акцент3 3 2 2" xfId="964"/>
    <cellStyle name="20% - Акцент3 3 3" xfId="965"/>
    <cellStyle name="20% - Акцент3 3 3 2" xfId="966"/>
    <cellStyle name="20% - Акцент3 3 4" xfId="967"/>
    <cellStyle name="20% - Акцент3 3 5" xfId="968"/>
    <cellStyle name="20% - Акцент3 3 6" xfId="969"/>
    <cellStyle name="20% - Акцент3 3 7" xfId="970"/>
    <cellStyle name="20% - Акцент3 3 8" xfId="971"/>
    <cellStyle name="20% - Акцент3 3 9" xfId="972"/>
    <cellStyle name="20% - Акцент3 3_46EE.2011(v1.0)" xfId="973"/>
    <cellStyle name="20% - Акцент3 4" xfId="974"/>
    <cellStyle name="20% — акцент3 4" xfId="4051"/>
    <cellStyle name="20% - Акцент3 4 2" xfId="975"/>
    <cellStyle name="20% - Акцент3 4 2 2" xfId="976"/>
    <cellStyle name="20% - Акцент3 4 3" xfId="977"/>
    <cellStyle name="20% - Акцент3 4 3 2" xfId="978"/>
    <cellStyle name="20% - Акцент3 4_46EE.2011(v1.0)" xfId="979"/>
    <cellStyle name="20% - Акцент3 5" xfId="980"/>
    <cellStyle name="20% — акцент3 5" xfId="4300"/>
    <cellStyle name="20% - Акцент3 5 2" xfId="981"/>
    <cellStyle name="20% - Акцент3 5 2 2" xfId="982"/>
    <cellStyle name="20% - Акцент3 5 3" xfId="983"/>
    <cellStyle name="20% - Акцент3 5 3 2" xfId="984"/>
    <cellStyle name="20% - Акцент3 5_46EE.2011(v1.0)" xfId="985"/>
    <cellStyle name="20% - Акцент3 6" xfId="986"/>
    <cellStyle name="20% — акцент3 6" xfId="4028"/>
    <cellStyle name="20% - Акцент3 6 2" xfId="987"/>
    <cellStyle name="20% - Акцент3 6 2 2" xfId="988"/>
    <cellStyle name="20% - Акцент3 6 3" xfId="989"/>
    <cellStyle name="20% - Акцент3 6 3 2" xfId="990"/>
    <cellStyle name="20% - Акцент3 6_46EE.2011(v1.0)" xfId="991"/>
    <cellStyle name="20% - Акцент3 7" xfId="992"/>
    <cellStyle name="20% — акцент3 7" xfId="4302"/>
    <cellStyle name="20% - Акцент3 7 2" xfId="993"/>
    <cellStyle name="20% - Акцент3 7 2 2" xfId="994"/>
    <cellStyle name="20% - Акцент3 7 3" xfId="995"/>
    <cellStyle name="20% - Акцент3 7 3 2" xfId="996"/>
    <cellStyle name="20% - Акцент3 7_46EE.2011(v1.0)" xfId="997"/>
    <cellStyle name="20% - Акцент3 8" xfId="998"/>
    <cellStyle name="20% — акцент3 8" xfId="4026"/>
    <cellStyle name="20% - Акцент3 8 2" xfId="999"/>
    <cellStyle name="20% - Акцент3 8 2 2" xfId="1000"/>
    <cellStyle name="20% - Акцент3 8 3" xfId="1001"/>
    <cellStyle name="20% - Акцент3 8 3 2" xfId="1002"/>
    <cellStyle name="20% - Акцент3 8 4" xfId="1003"/>
    <cellStyle name="20% - Акцент3 8_46EE.2011(v1.0)" xfId="1004"/>
    <cellStyle name="20% - Акцент3 9" xfId="1005"/>
    <cellStyle name="20% — акцент3 9" xfId="4304"/>
    <cellStyle name="20% - Акцент3 9 2" xfId="1006"/>
    <cellStyle name="20% - Акцент3 9 2 2" xfId="1007"/>
    <cellStyle name="20% - Акцент3 9 3" xfId="1008"/>
    <cellStyle name="20% - Акцент3 9 3 2" xfId="1009"/>
    <cellStyle name="20% - Акцент3 9 4" xfId="1010"/>
    <cellStyle name="20% - Акцент3 9_46EE.2011(v1.0)" xfId="1011"/>
    <cellStyle name="20% — акцент3_Расчет тарифа на тэ 2015 СЛФ" xfId="1012"/>
    <cellStyle name="20% — акцент4" xfId="1013"/>
    <cellStyle name="20% - Акцент4 10" xfId="1014"/>
    <cellStyle name="20% — акцент4 10" xfId="4031"/>
    <cellStyle name="20% - Акцент4 10 2" xfId="1015"/>
    <cellStyle name="20% - Акцент4 11" xfId="1016"/>
    <cellStyle name="20% — акцент4 11" xfId="4298"/>
    <cellStyle name="20% - Акцент4 11 2" xfId="1017"/>
    <cellStyle name="20% — акцент4 12" xfId="4030"/>
    <cellStyle name="20% — акцент4 13" xfId="4299"/>
    <cellStyle name="20% — акцент4 14" xfId="4029"/>
    <cellStyle name="20% — акцент4 15" xfId="4301"/>
    <cellStyle name="20% — акцент4 16" xfId="4027"/>
    <cellStyle name="20% — акцент4 17" xfId="4303"/>
    <cellStyle name="20% — акцент4 18" xfId="4025"/>
    <cellStyle name="20% — акцент4 19" xfId="4305"/>
    <cellStyle name="20% - Акцент4 2" xfId="1018"/>
    <cellStyle name="20% — акцент4 2" xfId="1019"/>
    <cellStyle name="20% - Акцент4 2 10" xfId="1020"/>
    <cellStyle name="20% - Акцент4 2 2" xfId="1021"/>
    <cellStyle name="20% - Акцент4 2 2 2" xfId="1022"/>
    <cellStyle name="20% - Акцент4 2 3" xfId="1023"/>
    <cellStyle name="20% - Акцент4 2 3 2" xfId="1024"/>
    <cellStyle name="20% - Акцент4 2 4" xfId="1025"/>
    <cellStyle name="20% - Акцент4 2 5" xfId="1026"/>
    <cellStyle name="20% - Акцент4 2 6" xfId="1027"/>
    <cellStyle name="20% - Акцент4 2 7" xfId="1028"/>
    <cellStyle name="20% - Акцент4 2 8" xfId="1029"/>
    <cellStyle name="20% - Акцент4 2 9" xfId="1030"/>
    <cellStyle name="20% - Акцент4 2_46EE.2011(v1.0)" xfId="1031"/>
    <cellStyle name="20% — акцент4 20" xfId="4023"/>
    <cellStyle name="20% — акцент4 21" xfId="4307"/>
    <cellStyle name="20% - Акцент4 3" xfId="1032"/>
    <cellStyle name="20% — акцент4 3" xfId="1033"/>
    <cellStyle name="20% - Акцент4 3 10" xfId="1034"/>
    <cellStyle name="20% - Акцент4 3 11" xfId="1035"/>
    <cellStyle name="20% - Акцент4 3 2" xfId="1036"/>
    <cellStyle name="20% - Акцент4 3 2 2" xfId="1037"/>
    <cellStyle name="20% - Акцент4 3 3" xfId="1038"/>
    <cellStyle name="20% - Акцент4 3 3 2" xfId="1039"/>
    <cellStyle name="20% - Акцент4 3 4" xfId="1040"/>
    <cellStyle name="20% - Акцент4 3 5" xfId="1041"/>
    <cellStyle name="20% - Акцент4 3 6" xfId="1042"/>
    <cellStyle name="20% - Акцент4 3 7" xfId="1043"/>
    <cellStyle name="20% - Акцент4 3 8" xfId="1044"/>
    <cellStyle name="20% - Акцент4 3 9" xfId="1045"/>
    <cellStyle name="20% - Акцент4 3_46EE.2011(v1.0)" xfId="1046"/>
    <cellStyle name="20% - Акцент4 4" xfId="1047"/>
    <cellStyle name="20% — акцент4 4" xfId="4056"/>
    <cellStyle name="20% - Акцент4 4 2" xfId="1048"/>
    <cellStyle name="20% - Акцент4 4 2 2" xfId="1049"/>
    <cellStyle name="20% - Акцент4 4 3" xfId="1050"/>
    <cellStyle name="20% - Акцент4 4 3 2" xfId="1051"/>
    <cellStyle name="20% - Акцент4 4_46EE.2011(v1.0)" xfId="1052"/>
    <cellStyle name="20% - Акцент4 5" xfId="1053"/>
    <cellStyle name="20% — акцент4 5" xfId="4292"/>
    <cellStyle name="20% - Акцент4 5 2" xfId="1054"/>
    <cellStyle name="20% - Акцент4 5 2 2" xfId="1055"/>
    <cellStyle name="20% - Акцент4 5 3" xfId="1056"/>
    <cellStyle name="20% - Акцент4 5 3 2" xfId="1057"/>
    <cellStyle name="20% - Акцент4 5_46EE.2011(v1.0)" xfId="1058"/>
    <cellStyle name="20% - Акцент4 6" xfId="1059"/>
    <cellStyle name="20% — акцент4 6" xfId="4036"/>
    <cellStyle name="20% - Акцент4 6 2" xfId="1060"/>
    <cellStyle name="20% - Акцент4 6 2 2" xfId="1061"/>
    <cellStyle name="20% - Акцент4 6 3" xfId="1062"/>
    <cellStyle name="20% - Акцент4 6 3 2" xfId="1063"/>
    <cellStyle name="20% - Акцент4 6_46EE.2011(v1.0)" xfId="1064"/>
    <cellStyle name="20% - Акцент4 7" xfId="1065"/>
    <cellStyle name="20% — акцент4 7" xfId="4294"/>
    <cellStyle name="20% - Акцент4 7 2" xfId="1066"/>
    <cellStyle name="20% - Акцент4 7 2 2" xfId="1067"/>
    <cellStyle name="20% - Акцент4 7 3" xfId="1068"/>
    <cellStyle name="20% - Акцент4 7 3 2" xfId="1069"/>
    <cellStyle name="20% - Акцент4 7_46EE.2011(v1.0)" xfId="1070"/>
    <cellStyle name="20% - Акцент4 8" xfId="1071"/>
    <cellStyle name="20% — акцент4 8" xfId="4033"/>
    <cellStyle name="20% - Акцент4 8 2" xfId="1072"/>
    <cellStyle name="20% - Акцент4 8 2 2" xfId="1073"/>
    <cellStyle name="20% - Акцент4 8 3" xfId="1074"/>
    <cellStyle name="20% - Акцент4 8 3 2" xfId="1075"/>
    <cellStyle name="20% - Акцент4 8 4" xfId="1076"/>
    <cellStyle name="20% - Акцент4 8_46EE.2011(v1.0)" xfId="1077"/>
    <cellStyle name="20% - Акцент4 9" xfId="1078"/>
    <cellStyle name="20% — акцент4 9" xfId="4296"/>
    <cellStyle name="20% - Акцент4 9 2" xfId="1079"/>
    <cellStyle name="20% - Акцент4 9 2 2" xfId="1080"/>
    <cellStyle name="20% - Акцент4 9 3" xfId="1081"/>
    <cellStyle name="20% - Акцент4 9 3 2" xfId="1082"/>
    <cellStyle name="20% - Акцент4 9 4" xfId="1083"/>
    <cellStyle name="20% - Акцент4 9_46EE.2011(v1.0)" xfId="1084"/>
    <cellStyle name="20% — акцент4_Расчет тарифа на тэ 2015 СЛФ" xfId="1085"/>
    <cellStyle name="20% — акцент5" xfId="1086"/>
    <cellStyle name="20% - Акцент5 10" xfId="1087"/>
    <cellStyle name="20% — акцент5 10" xfId="4040"/>
    <cellStyle name="20% - Акцент5 10 2" xfId="1088"/>
    <cellStyle name="20% - Акцент5 11" xfId="1089"/>
    <cellStyle name="20% — акцент5 11" xfId="4289"/>
    <cellStyle name="20% - Акцент5 11 2" xfId="1090"/>
    <cellStyle name="20% — акцент5 12" xfId="4039"/>
    <cellStyle name="20% — акцент5 13" xfId="4290"/>
    <cellStyle name="20% — акцент5 14" xfId="4038"/>
    <cellStyle name="20% — акцент5 15" xfId="4291"/>
    <cellStyle name="20% — акцент5 16" xfId="4037"/>
    <cellStyle name="20% — акцент5 17" xfId="4293"/>
    <cellStyle name="20% — акцент5 18" xfId="4034"/>
    <cellStyle name="20% — акцент5 19" xfId="4295"/>
    <cellStyle name="20% - Акцент5 2" xfId="1091"/>
    <cellStyle name="20% — акцент5 2" xfId="1092"/>
    <cellStyle name="20% - Акцент5 2 10" xfId="1093"/>
    <cellStyle name="20% - Акцент5 2 2" xfId="1094"/>
    <cellStyle name="20% - Акцент5 2 2 2" xfId="1095"/>
    <cellStyle name="20% - Акцент5 2 3" xfId="1096"/>
    <cellStyle name="20% - Акцент5 2 3 2" xfId="1097"/>
    <cellStyle name="20% - Акцент5 2 4" xfId="1098"/>
    <cellStyle name="20% - Акцент5 2 5" xfId="1099"/>
    <cellStyle name="20% - Акцент5 2 6" xfId="1100"/>
    <cellStyle name="20% - Акцент5 2 7" xfId="1101"/>
    <cellStyle name="20% - Акцент5 2 8" xfId="1102"/>
    <cellStyle name="20% - Акцент5 2 9" xfId="1103"/>
    <cellStyle name="20% - Акцент5 2_46EE.2011(v1.0)" xfId="1104"/>
    <cellStyle name="20% — акцент5 20" xfId="4032"/>
    <cellStyle name="20% — акцент5 21" xfId="4297"/>
    <cellStyle name="20% - Акцент5 3" xfId="1105"/>
    <cellStyle name="20% — акцент5 3" xfId="1106"/>
    <cellStyle name="20% - Акцент5 3 10" xfId="1107"/>
    <cellStyle name="20% - Акцент5 3 11" xfId="1108"/>
    <cellStyle name="20% - Акцент5 3 2" xfId="1109"/>
    <cellStyle name="20% - Акцент5 3 2 2" xfId="1110"/>
    <cellStyle name="20% - Акцент5 3 3" xfId="1111"/>
    <cellStyle name="20% - Акцент5 3 3 2" xfId="1112"/>
    <cellStyle name="20% - Акцент5 3 4" xfId="1113"/>
    <cellStyle name="20% - Акцент5 3 5" xfId="1114"/>
    <cellStyle name="20% - Акцент5 3 6" xfId="1115"/>
    <cellStyle name="20% - Акцент5 3 7" xfId="1116"/>
    <cellStyle name="20% - Акцент5 3 8" xfId="1117"/>
    <cellStyle name="20% - Акцент5 3 9" xfId="1118"/>
    <cellStyle name="20% - Акцент5 3_46EE.2011(v1.0)" xfId="1119"/>
    <cellStyle name="20% - Акцент5 4" xfId="1120"/>
    <cellStyle name="20% — акцент5 4" xfId="4065"/>
    <cellStyle name="20% - Акцент5 4 2" xfId="1121"/>
    <cellStyle name="20% - Акцент5 4 2 2" xfId="1122"/>
    <cellStyle name="20% - Акцент5 4 3" xfId="1123"/>
    <cellStyle name="20% - Акцент5 4 3 2" xfId="1124"/>
    <cellStyle name="20% - Акцент5 4_46EE.2011(v1.0)" xfId="1125"/>
    <cellStyle name="20% - Акцент5 5" xfId="1126"/>
    <cellStyle name="20% — акцент5 5" xfId="4283"/>
    <cellStyle name="20% - Акцент5 5 2" xfId="1127"/>
    <cellStyle name="20% - Акцент5 5 2 2" xfId="1128"/>
    <cellStyle name="20% - Акцент5 5 3" xfId="1129"/>
    <cellStyle name="20% - Акцент5 5 3 2" xfId="1130"/>
    <cellStyle name="20% - Акцент5 5_46EE.2011(v1.0)" xfId="1131"/>
    <cellStyle name="20% - Акцент5 6" xfId="1132"/>
    <cellStyle name="20% — акцент5 6" xfId="4045"/>
    <cellStyle name="20% - Акцент5 6 2" xfId="1133"/>
    <cellStyle name="20% - Акцент5 6 2 2" xfId="1134"/>
    <cellStyle name="20% - Акцент5 6 3" xfId="1135"/>
    <cellStyle name="20% - Акцент5 6 3 2" xfId="1136"/>
    <cellStyle name="20% - Акцент5 6_46EE.2011(v1.0)" xfId="1137"/>
    <cellStyle name="20% - Акцент5 7" xfId="1138"/>
    <cellStyle name="20% — акцент5 7" xfId="4285"/>
    <cellStyle name="20% - Акцент5 7 2" xfId="1139"/>
    <cellStyle name="20% - Акцент5 7 2 2" xfId="1140"/>
    <cellStyle name="20% - Акцент5 7 3" xfId="1141"/>
    <cellStyle name="20% - Акцент5 7 3 2" xfId="1142"/>
    <cellStyle name="20% - Акцент5 7_46EE.2011(v1.0)" xfId="1143"/>
    <cellStyle name="20% - Акцент5 8" xfId="1144"/>
    <cellStyle name="20% — акцент5 8" xfId="4042"/>
    <cellStyle name="20% - Акцент5 8 2" xfId="1145"/>
    <cellStyle name="20% - Акцент5 8 2 2" xfId="1146"/>
    <cellStyle name="20% - Акцент5 8 3" xfId="1147"/>
    <cellStyle name="20% - Акцент5 8 3 2" xfId="1148"/>
    <cellStyle name="20% - Акцент5 8 4" xfId="1149"/>
    <cellStyle name="20% - Акцент5 8_46EE.2011(v1.0)" xfId="1150"/>
    <cellStyle name="20% - Акцент5 9" xfId="1151"/>
    <cellStyle name="20% — акцент5 9" xfId="4287"/>
    <cellStyle name="20% - Акцент5 9 2" xfId="1152"/>
    <cellStyle name="20% - Акцент5 9 2 2" xfId="1153"/>
    <cellStyle name="20% - Акцент5 9 3" xfId="1154"/>
    <cellStyle name="20% - Акцент5 9 3 2" xfId="1155"/>
    <cellStyle name="20% - Акцент5 9 4" xfId="1156"/>
    <cellStyle name="20% - Акцент5 9_46EE.2011(v1.0)" xfId="1157"/>
    <cellStyle name="20% — акцент5_Расчет тарифа на тэ 2015 СЛФ" xfId="1158"/>
    <cellStyle name="20% — акцент6" xfId="1159"/>
    <cellStyle name="20% - Акцент6 10" xfId="1160"/>
    <cellStyle name="20% — акцент6 10" xfId="4049"/>
    <cellStyle name="20% - Акцент6 10 2" xfId="1161"/>
    <cellStyle name="20% - Акцент6 11" xfId="1162"/>
    <cellStyle name="20% — акцент6 11" xfId="4280"/>
    <cellStyle name="20% - Акцент6 11 2" xfId="1163"/>
    <cellStyle name="20% — акцент6 12" xfId="4048"/>
    <cellStyle name="20% — акцент6 13" xfId="4281"/>
    <cellStyle name="20% — акцент6 14" xfId="4047"/>
    <cellStyle name="20% — акцент6 15" xfId="4282"/>
    <cellStyle name="20% — акцент6 16" xfId="4046"/>
    <cellStyle name="20% — акцент6 17" xfId="4284"/>
    <cellStyle name="20% — акцент6 18" xfId="4044"/>
    <cellStyle name="20% — акцент6 19" xfId="4286"/>
    <cellStyle name="20% - Акцент6 2" xfId="1164"/>
    <cellStyle name="20% — акцент6 2" xfId="1165"/>
    <cellStyle name="20% - Акцент6 2 10" xfId="1166"/>
    <cellStyle name="20% - Акцент6 2 2" xfId="1167"/>
    <cellStyle name="20% - Акцент6 2 2 2" xfId="1168"/>
    <cellStyle name="20% - Акцент6 2 3" xfId="1169"/>
    <cellStyle name="20% - Акцент6 2 3 2" xfId="1170"/>
    <cellStyle name="20% - Акцент6 2 4" xfId="1171"/>
    <cellStyle name="20% - Акцент6 2 5" xfId="1172"/>
    <cellStyle name="20% - Акцент6 2 6" xfId="1173"/>
    <cellStyle name="20% - Акцент6 2 7" xfId="1174"/>
    <cellStyle name="20% - Акцент6 2 8" xfId="1175"/>
    <cellStyle name="20% - Акцент6 2 9" xfId="1176"/>
    <cellStyle name="20% - Акцент6 2_46EE.2011(v1.0)" xfId="1177"/>
    <cellStyle name="20% — акцент6 20" xfId="4041"/>
    <cellStyle name="20% — акцент6 21" xfId="4288"/>
    <cellStyle name="20% - Акцент6 3" xfId="1178"/>
    <cellStyle name="20% — акцент6 3" xfId="1179"/>
    <cellStyle name="20% - Акцент6 3 10" xfId="1180"/>
    <cellStyle name="20% - Акцент6 3 11" xfId="1181"/>
    <cellStyle name="20% - Акцент6 3 2" xfId="1182"/>
    <cellStyle name="20% - Акцент6 3 2 2" xfId="1183"/>
    <cellStyle name="20% - Акцент6 3 3" xfId="1184"/>
    <cellStyle name="20% - Акцент6 3 3 2" xfId="1185"/>
    <cellStyle name="20% - Акцент6 3 4" xfId="1186"/>
    <cellStyle name="20% - Акцент6 3 5" xfId="1187"/>
    <cellStyle name="20% - Акцент6 3 6" xfId="1188"/>
    <cellStyle name="20% - Акцент6 3 7" xfId="1189"/>
    <cellStyle name="20% - Акцент6 3 8" xfId="1190"/>
    <cellStyle name="20% - Акцент6 3 9" xfId="1191"/>
    <cellStyle name="20% - Акцент6 3_46EE.2011(v1.0)" xfId="1192"/>
    <cellStyle name="20% - Акцент6 4" xfId="1193"/>
    <cellStyle name="20% — акцент6 4" xfId="4073"/>
    <cellStyle name="20% - Акцент6 4 2" xfId="1194"/>
    <cellStyle name="20% - Акцент6 4 2 2" xfId="1195"/>
    <cellStyle name="20% - Акцент6 4 3" xfId="1196"/>
    <cellStyle name="20% - Акцент6 4 3 2" xfId="1197"/>
    <cellStyle name="20% - Акцент6 4_46EE.2011(v1.0)" xfId="1198"/>
    <cellStyle name="20% - Акцент6 5" xfId="1199"/>
    <cellStyle name="20% — акцент6 5" xfId="4277"/>
    <cellStyle name="20% - Акцент6 5 2" xfId="1200"/>
    <cellStyle name="20% - Акцент6 5 2 2" xfId="1201"/>
    <cellStyle name="20% - Акцент6 5 3" xfId="1202"/>
    <cellStyle name="20% - Акцент6 5 3 2" xfId="1203"/>
    <cellStyle name="20% - Акцент6 5_46EE.2011(v1.0)" xfId="1204"/>
    <cellStyle name="20% - Акцент6 6" xfId="1205"/>
    <cellStyle name="20% — акцент6 6" xfId="4052"/>
    <cellStyle name="20% - Акцент6 6 2" xfId="1206"/>
    <cellStyle name="20% - Акцент6 6 2 2" xfId="1207"/>
    <cellStyle name="20% - Акцент6 6 3" xfId="1208"/>
    <cellStyle name="20% - Акцент6 6 3 2" xfId="1209"/>
    <cellStyle name="20% - Акцент6 6_46EE.2011(v1.0)" xfId="1210"/>
    <cellStyle name="20% - Акцент6 7" xfId="1211"/>
    <cellStyle name="20% — акцент6 7" xfId="4278"/>
    <cellStyle name="20% - Акцент6 7 2" xfId="1212"/>
    <cellStyle name="20% - Акцент6 7 2 2" xfId="1213"/>
    <cellStyle name="20% - Акцент6 7 3" xfId="1214"/>
    <cellStyle name="20% - Акцент6 7 3 2" xfId="1215"/>
    <cellStyle name="20% - Акцент6 7_46EE.2011(v1.0)" xfId="1216"/>
    <cellStyle name="20% - Акцент6 8" xfId="1217"/>
    <cellStyle name="20% — акцент6 8" xfId="4050"/>
    <cellStyle name="20% - Акцент6 8 2" xfId="1218"/>
    <cellStyle name="20% - Акцент6 8 2 2" xfId="1219"/>
    <cellStyle name="20% - Акцент6 8 3" xfId="1220"/>
    <cellStyle name="20% - Акцент6 8 3 2" xfId="1221"/>
    <cellStyle name="20% - Акцент6 8 4" xfId="1222"/>
    <cellStyle name="20% - Акцент6 8_46EE.2011(v1.0)" xfId="1223"/>
    <cellStyle name="20% - Акцент6 9" xfId="1224"/>
    <cellStyle name="20% — акцент6 9" xfId="4279"/>
    <cellStyle name="20% - Акцент6 9 2" xfId="1225"/>
    <cellStyle name="20% - Акцент6 9 2 2" xfId="1226"/>
    <cellStyle name="20% - Акцент6 9 3" xfId="1227"/>
    <cellStyle name="20% - Акцент6 9 3 2" xfId="1228"/>
    <cellStyle name="20% - Акцент6 9 4" xfId="1229"/>
    <cellStyle name="20% - Акцент6 9_46EE.2011(v1.0)" xfId="1230"/>
    <cellStyle name="20% — акцент6_Расчет тарифа на тэ 2015 СЛФ" xfId="1231"/>
    <cellStyle name="40% - Accent1" xfId="1232"/>
    <cellStyle name="40% - Accent1 2" xfId="1233"/>
    <cellStyle name="40% - Accent1 2 2" xfId="1234"/>
    <cellStyle name="40% - Accent1 3" xfId="1235"/>
    <cellStyle name="40% - Accent1 3 2" xfId="1236"/>
    <cellStyle name="40% - Accent1 4" xfId="1237"/>
    <cellStyle name="40% - Accent1_46EE.2011(v1.0)" xfId="1238"/>
    <cellStyle name="40% - Accent2" xfId="1239"/>
    <cellStyle name="40% - Accent2 2" xfId="1240"/>
    <cellStyle name="40% - Accent2 2 2" xfId="1241"/>
    <cellStyle name="40% - Accent2 3" xfId="1242"/>
    <cellStyle name="40% - Accent2 3 2" xfId="1243"/>
    <cellStyle name="40% - Accent2 4" xfId="1244"/>
    <cellStyle name="40% - Accent2_46EE.2011(v1.0)" xfId="1245"/>
    <cellStyle name="40% - Accent3" xfId="1246"/>
    <cellStyle name="40% - Accent3 2" xfId="1247"/>
    <cellStyle name="40% - Accent3 2 2" xfId="1248"/>
    <cellStyle name="40% - Accent3 3" xfId="1249"/>
    <cellStyle name="40% - Accent3 3 2" xfId="1250"/>
    <cellStyle name="40% - Accent3 4" xfId="1251"/>
    <cellStyle name="40% - Accent3_46EE.2011(v1.0)" xfId="1252"/>
    <cellStyle name="40% - Accent4" xfId="1253"/>
    <cellStyle name="40% - Accent4 2" xfId="1254"/>
    <cellStyle name="40% - Accent4 2 2" xfId="1255"/>
    <cellStyle name="40% - Accent4 3" xfId="1256"/>
    <cellStyle name="40% - Accent4 3 2" xfId="1257"/>
    <cellStyle name="40% - Accent4 4" xfId="1258"/>
    <cellStyle name="40% - Accent4_46EE.2011(v1.0)" xfId="1259"/>
    <cellStyle name="40% - Accent5" xfId="1260"/>
    <cellStyle name="40% - Accent5 2" xfId="1261"/>
    <cellStyle name="40% - Accent5 2 2" xfId="1262"/>
    <cellStyle name="40% - Accent5 3" xfId="1263"/>
    <cellStyle name="40% - Accent5 3 2" xfId="1264"/>
    <cellStyle name="40% - Accent5 4" xfId="1265"/>
    <cellStyle name="40% - Accent5_46EE.2011(v1.0)" xfId="1266"/>
    <cellStyle name="40% - Accent6" xfId="1267"/>
    <cellStyle name="40% - Accent6 2" xfId="1268"/>
    <cellStyle name="40% - Accent6 2 2" xfId="1269"/>
    <cellStyle name="40% - Accent6 3" xfId="1270"/>
    <cellStyle name="40% - Accent6 3 2" xfId="1271"/>
    <cellStyle name="40% - Accent6 4" xfId="1272"/>
    <cellStyle name="40% - Accent6_46EE.2011(v1.0)" xfId="1273"/>
    <cellStyle name="40% — акцент1" xfId="1274"/>
    <cellStyle name="40% - Акцент1 10" xfId="1275"/>
    <cellStyle name="40% — акцент1 10" xfId="4059"/>
    <cellStyle name="40% - Акцент1 10 2" xfId="1276"/>
    <cellStyle name="40% - Акцент1 11" xfId="1277"/>
    <cellStyle name="40% — акцент1 11" xfId="4271"/>
    <cellStyle name="40% - Акцент1 11 2" xfId="1278"/>
    <cellStyle name="40% — акцент1 12" xfId="4058"/>
    <cellStyle name="40% — акцент1 13" xfId="4272"/>
    <cellStyle name="40% — акцент1 14" xfId="4057"/>
    <cellStyle name="40% — акцент1 15" xfId="4273"/>
    <cellStyle name="40% — акцент1 16" xfId="4055"/>
    <cellStyle name="40% — акцент1 17" xfId="4274"/>
    <cellStyle name="40% — акцент1 18" xfId="4054"/>
    <cellStyle name="40% — акцент1 19" xfId="4275"/>
    <cellStyle name="40% - Акцент1 2" xfId="1279"/>
    <cellStyle name="40% — акцент1 2" xfId="1280"/>
    <cellStyle name="40% - Акцент1 2 10" xfId="1281"/>
    <cellStyle name="40% - Акцент1 2 2" xfId="1282"/>
    <cellStyle name="40% - Акцент1 2 2 2" xfId="1283"/>
    <cellStyle name="40% - Акцент1 2 3" xfId="1284"/>
    <cellStyle name="40% - Акцент1 2 3 2" xfId="1285"/>
    <cellStyle name="40% - Акцент1 2 4" xfId="1286"/>
    <cellStyle name="40% - Акцент1 2 5" xfId="1287"/>
    <cellStyle name="40% - Акцент1 2 6" xfId="1288"/>
    <cellStyle name="40% - Акцент1 2 7" xfId="1289"/>
    <cellStyle name="40% - Акцент1 2 8" xfId="1290"/>
    <cellStyle name="40% - Акцент1 2 9" xfId="1291"/>
    <cellStyle name="40% - Акцент1 2_46EE.2011(v1.0)" xfId="1292"/>
    <cellStyle name="40% — акцент1 20" xfId="4053"/>
    <cellStyle name="40% — акцент1 21" xfId="4276"/>
    <cellStyle name="40% - Акцент1 3" xfId="1293"/>
    <cellStyle name="40% — акцент1 3" xfId="1294"/>
    <cellStyle name="40% - Акцент1 3 10" xfId="1295"/>
    <cellStyle name="40% - Акцент1 3 11" xfId="1296"/>
    <cellStyle name="40% - Акцент1 3 2" xfId="1297"/>
    <cellStyle name="40% - Акцент1 3 2 2" xfId="1298"/>
    <cellStyle name="40% - Акцент1 3 3" xfId="1299"/>
    <cellStyle name="40% - Акцент1 3 3 2" xfId="1300"/>
    <cellStyle name="40% - Акцент1 3 4" xfId="1301"/>
    <cellStyle name="40% - Акцент1 3 5" xfId="1302"/>
    <cellStyle name="40% - Акцент1 3 6" xfId="1303"/>
    <cellStyle name="40% - Акцент1 3 7" xfId="1304"/>
    <cellStyle name="40% - Акцент1 3 8" xfId="1305"/>
    <cellStyle name="40% - Акцент1 3 9" xfId="1306"/>
    <cellStyle name="40% - Акцент1 3_46EE.2011(v1.0)" xfId="1307"/>
    <cellStyle name="40% - Акцент1 4" xfId="1308"/>
    <cellStyle name="40% — акцент1 4" xfId="4086"/>
    <cellStyle name="40% - Акцент1 4 2" xfId="1309"/>
    <cellStyle name="40% - Акцент1 4 2 2" xfId="1310"/>
    <cellStyle name="40% - Акцент1 4 3" xfId="1311"/>
    <cellStyle name="40% - Акцент1 4 3 2" xfId="1312"/>
    <cellStyle name="40% - Акцент1 4_46EE.2011(v1.0)" xfId="1313"/>
    <cellStyle name="40% - Акцент1 5" xfId="1314"/>
    <cellStyle name="40% — акцент1 5" xfId="4266"/>
    <cellStyle name="40% - Акцент1 5 2" xfId="1315"/>
    <cellStyle name="40% - Акцент1 5 2 2" xfId="1316"/>
    <cellStyle name="40% - Акцент1 5 3" xfId="1317"/>
    <cellStyle name="40% - Акцент1 5 3 2" xfId="1318"/>
    <cellStyle name="40% - Акцент1 5_46EE.2011(v1.0)" xfId="1319"/>
    <cellStyle name="40% - Акцент1 6" xfId="1320"/>
    <cellStyle name="40% — акцент1 6" xfId="4062"/>
    <cellStyle name="40% - Акцент1 6 2" xfId="1321"/>
    <cellStyle name="40% - Акцент1 6 2 2" xfId="1322"/>
    <cellStyle name="40% - Акцент1 6 3" xfId="1323"/>
    <cellStyle name="40% - Акцент1 6 3 2" xfId="1324"/>
    <cellStyle name="40% - Акцент1 6_46EE.2011(v1.0)" xfId="1325"/>
    <cellStyle name="40% - Акцент1 7" xfId="1326"/>
    <cellStyle name="40% — акцент1 7" xfId="4268"/>
    <cellStyle name="40% - Акцент1 7 2" xfId="1327"/>
    <cellStyle name="40% - Акцент1 7 2 2" xfId="1328"/>
    <cellStyle name="40% - Акцент1 7 3" xfId="1329"/>
    <cellStyle name="40% - Акцент1 7 3 2" xfId="1330"/>
    <cellStyle name="40% - Акцент1 7_46EE.2011(v1.0)" xfId="1331"/>
    <cellStyle name="40% - Акцент1 8" xfId="1332"/>
    <cellStyle name="40% — акцент1 8" xfId="4060"/>
    <cellStyle name="40% - Акцент1 8 2" xfId="1333"/>
    <cellStyle name="40% - Акцент1 8 2 2" xfId="1334"/>
    <cellStyle name="40% - Акцент1 8 3" xfId="1335"/>
    <cellStyle name="40% - Акцент1 8 3 2" xfId="1336"/>
    <cellStyle name="40% - Акцент1 8 4" xfId="1337"/>
    <cellStyle name="40% - Акцент1 8_46EE.2011(v1.0)" xfId="1338"/>
    <cellStyle name="40% - Акцент1 9" xfId="1339"/>
    <cellStyle name="40% — акцент1 9" xfId="4270"/>
    <cellStyle name="40% - Акцент1 9 2" xfId="1340"/>
    <cellStyle name="40% - Акцент1 9 2 2" xfId="1341"/>
    <cellStyle name="40% - Акцент1 9 3" xfId="1342"/>
    <cellStyle name="40% - Акцент1 9 3 2" xfId="1343"/>
    <cellStyle name="40% - Акцент1 9 4" xfId="1344"/>
    <cellStyle name="40% - Акцент1 9_46EE.2011(v1.0)" xfId="1345"/>
    <cellStyle name="40% — акцент1_Расчет тарифа на тэ 2015 СЛФ" xfId="1346"/>
    <cellStyle name="40% — акцент2" xfId="1347"/>
    <cellStyle name="40% - Акцент2 10" xfId="1348"/>
    <cellStyle name="40% — акцент2 10" xfId="4068"/>
    <cellStyle name="40% - Акцент2 10 2" xfId="1349"/>
    <cellStyle name="40% - Акцент2 11" xfId="1350"/>
    <cellStyle name="40% — акцент2 11" xfId="4262"/>
    <cellStyle name="40% - Акцент2 11 2" xfId="1351"/>
    <cellStyle name="40% — акцент2 12" xfId="4067"/>
    <cellStyle name="40% — акцент2 13" xfId="4263"/>
    <cellStyle name="40% — акцент2 14" xfId="4066"/>
    <cellStyle name="40% — акцент2 15" xfId="4264"/>
    <cellStyle name="40% — акцент2 16" xfId="4064"/>
    <cellStyle name="40% — акцент2 17" xfId="4265"/>
    <cellStyle name="40% — акцент2 18" xfId="4063"/>
    <cellStyle name="40% — акцент2 19" xfId="4267"/>
    <cellStyle name="40% - Акцент2 2" xfId="1352"/>
    <cellStyle name="40% — акцент2 2" xfId="1353"/>
    <cellStyle name="40% - Акцент2 2 10" xfId="1354"/>
    <cellStyle name="40% - Акцент2 2 2" xfId="1355"/>
    <cellStyle name="40% - Акцент2 2 2 2" xfId="1356"/>
    <cellStyle name="40% - Акцент2 2 3" xfId="1357"/>
    <cellStyle name="40% - Акцент2 2 3 2" xfId="1358"/>
    <cellStyle name="40% - Акцент2 2 4" xfId="1359"/>
    <cellStyle name="40% - Акцент2 2 5" xfId="1360"/>
    <cellStyle name="40% - Акцент2 2 6" xfId="1361"/>
    <cellStyle name="40% - Акцент2 2 7" xfId="1362"/>
    <cellStyle name="40% - Акцент2 2 8" xfId="1363"/>
    <cellStyle name="40% - Акцент2 2 9" xfId="1364"/>
    <cellStyle name="40% - Акцент2 2_46EE.2011(v1.0)" xfId="1365"/>
    <cellStyle name="40% — акцент2 20" xfId="4061"/>
    <cellStyle name="40% — акцент2 21" xfId="4269"/>
    <cellStyle name="40% - Акцент2 3" xfId="1366"/>
    <cellStyle name="40% — акцент2 3" xfId="1367"/>
    <cellStyle name="40% - Акцент2 3 10" xfId="1368"/>
    <cellStyle name="40% - Акцент2 3 11" xfId="1369"/>
    <cellStyle name="40% - Акцент2 3 2" xfId="1370"/>
    <cellStyle name="40% - Акцент2 3 2 2" xfId="1371"/>
    <cellStyle name="40% - Акцент2 3 3" xfId="1372"/>
    <cellStyle name="40% - Акцент2 3 3 2" xfId="1373"/>
    <cellStyle name="40% - Акцент2 3 4" xfId="1374"/>
    <cellStyle name="40% - Акцент2 3 5" xfId="1375"/>
    <cellStyle name="40% - Акцент2 3 6" xfId="1376"/>
    <cellStyle name="40% - Акцент2 3 7" xfId="1377"/>
    <cellStyle name="40% - Акцент2 3 8" xfId="1378"/>
    <cellStyle name="40% - Акцент2 3 9" xfId="1379"/>
    <cellStyle name="40% - Акцент2 3_46EE.2011(v1.0)" xfId="1380"/>
    <cellStyle name="40% - Акцент2 4" xfId="1381"/>
    <cellStyle name="40% — акцент2 4" xfId="4095"/>
    <cellStyle name="40% - Акцент2 4 2" xfId="1382"/>
    <cellStyle name="40% - Акцент2 4 2 2" xfId="1383"/>
    <cellStyle name="40% - Акцент2 4 3" xfId="1384"/>
    <cellStyle name="40% - Акцент2 4 3 2" xfId="1385"/>
    <cellStyle name="40% - Акцент2 4_46EE.2011(v1.0)" xfId="1386"/>
    <cellStyle name="40% - Акцент2 5" xfId="1387"/>
    <cellStyle name="40% — акцент2 5" xfId="4258"/>
    <cellStyle name="40% - Акцент2 5 2" xfId="1388"/>
    <cellStyle name="40% - Акцент2 5 2 2" xfId="1389"/>
    <cellStyle name="40% - Акцент2 5 3" xfId="1390"/>
    <cellStyle name="40% - Акцент2 5 3 2" xfId="1391"/>
    <cellStyle name="40% - Акцент2 5_46EE.2011(v1.0)" xfId="1392"/>
    <cellStyle name="40% - Акцент2 6" xfId="1393"/>
    <cellStyle name="40% — акцент2 6" xfId="4070"/>
    <cellStyle name="40% - Акцент2 6 2" xfId="1394"/>
    <cellStyle name="40% - Акцент2 6 2 2" xfId="1395"/>
    <cellStyle name="40% - Акцент2 6 3" xfId="1396"/>
    <cellStyle name="40% - Акцент2 6 3 2" xfId="1397"/>
    <cellStyle name="40% - Акцент2 6_46EE.2011(v1.0)" xfId="1398"/>
    <cellStyle name="40% - Акцент2 7" xfId="1399"/>
    <cellStyle name="40% — акцент2 7" xfId="4260"/>
    <cellStyle name="40% - Акцент2 7 2" xfId="1400"/>
    <cellStyle name="40% - Акцент2 7 2 2" xfId="1401"/>
    <cellStyle name="40% - Акцент2 7 3" xfId="1402"/>
    <cellStyle name="40% - Акцент2 7 3 2" xfId="1403"/>
    <cellStyle name="40% - Акцент2 7_46EE.2011(v1.0)" xfId="1404"/>
    <cellStyle name="40% - Акцент2 8" xfId="1405"/>
    <cellStyle name="40% — акцент2 8" xfId="4069"/>
    <cellStyle name="40% - Акцент2 8 2" xfId="1406"/>
    <cellStyle name="40% - Акцент2 8 2 2" xfId="1407"/>
    <cellStyle name="40% - Акцент2 8 3" xfId="1408"/>
    <cellStyle name="40% - Акцент2 8 3 2" xfId="1409"/>
    <cellStyle name="40% - Акцент2 8 4" xfId="1410"/>
    <cellStyle name="40% - Акцент2 8_46EE.2011(v1.0)" xfId="1411"/>
    <cellStyle name="40% - Акцент2 9" xfId="1412"/>
    <cellStyle name="40% — акцент2 9" xfId="4261"/>
    <cellStyle name="40% - Акцент2 9 2" xfId="1413"/>
    <cellStyle name="40% - Акцент2 9 2 2" xfId="1414"/>
    <cellStyle name="40% - Акцент2 9 3" xfId="1415"/>
    <cellStyle name="40% - Акцент2 9 3 2" xfId="1416"/>
    <cellStyle name="40% - Акцент2 9 4" xfId="1417"/>
    <cellStyle name="40% - Акцент2 9_46EE.2011(v1.0)" xfId="1418"/>
    <cellStyle name="40% — акцент2_Расчет тарифа на тэ 2015 СЛФ" xfId="1419"/>
    <cellStyle name="40% — акцент3" xfId="1420"/>
    <cellStyle name="40% - Акцент3 10" xfId="1421"/>
    <cellStyle name="40% — акцент3 10" xfId="4077"/>
    <cellStyle name="40% - Акцент3 10 2" xfId="1422"/>
    <cellStyle name="40% - Акцент3 11" xfId="1423"/>
    <cellStyle name="40% — акцент3 11" xfId="4253"/>
    <cellStyle name="40% - Акцент3 11 2" xfId="1424"/>
    <cellStyle name="40% — акцент3 12" xfId="4076"/>
    <cellStyle name="40% — акцент3 13" xfId="4254"/>
    <cellStyle name="40% — акцент3 14" xfId="4075"/>
    <cellStyle name="40% — акцент3 15" xfId="4255"/>
    <cellStyle name="40% — акцент3 16" xfId="4074"/>
    <cellStyle name="40% — акцент3 17" xfId="4256"/>
    <cellStyle name="40% — акцент3 18" xfId="4072"/>
    <cellStyle name="40% — акцент3 19" xfId="4257"/>
    <cellStyle name="40% - Акцент3 2" xfId="1425"/>
    <cellStyle name="40% — акцент3 2" xfId="1426"/>
    <cellStyle name="40% - Акцент3 2 10" xfId="1427"/>
    <cellStyle name="40% - Акцент3 2 2" xfId="1428"/>
    <cellStyle name="40% - Акцент3 2 2 2" xfId="1429"/>
    <cellStyle name="40% - Акцент3 2 3" xfId="1430"/>
    <cellStyle name="40% - Акцент3 2 3 2" xfId="1431"/>
    <cellStyle name="40% - Акцент3 2 4" xfId="1432"/>
    <cellStyle name="40% - Акцент3 2 5" xfId="1433"/>
    <cellStyle name="40% - Акцент3 2 6" xfId="1434"/>
    <cellStyle name="40% - Акцент3 2 7" xfId="1435"/>
    <cellStyle name="40% - Акцент3 2 8" xfId="1436"/>
    <cellStyle name="40% - Акцент3 2 9" xfId="1437"/>
    <cellStyle name="40% - Акцент3 2_46EE.2011(v1.0)" xfId="1438"/>
    <cellStyle name="40% — акцент3 20" xfId="4071"/>
    <cellStyle name="40% — акцент3 21" xfId="4259"/>
    <cellStyle name="40% - Акцент3 3" xfId="1439"/>
    <cellStyle name="40% — акцент3 3" xfId="1440"/>
    <cellStyle name="40% - Акцент3 3 10" xfId="1441"/>
    <cellStyle name="40% - Акцент3 3 11" xfId="1442"/>
    <cellStyle name="40% - Акцент3 3 2" xfId="1443"/>
    <cellStyle name="40% - Акцент3 3 2 2" xfId="1444"/>
    <cellStyle name="40% - Акцент3 3 3" xfId="1445"/>
    <cellStyle name="40% - Акцент3 3 3 2" xfId="1446"/>
    <cellStyle name="40% - Акцент3 3 4" xfId="1447"/>
    <cellStyle name="40% - Акцент3 3 5" xfId="1448"/>
    <cellStyle name="40% - Акцент3 3 6" xfId="1449"/>
    <cellStyle name="40% - Акцент3 3 7" xfId="1450"/>
    <cellStyle name="40% - Акцент3 3 8" xfId="1451"/>
    <cellStyle name="40% - Акцент3 3 9" xfId="1452"/>
    <cellStyle name="40% - Акцент3 3_46EE.2011(v1.0)" xfId="1453"/>
    <cellStyle name="40% - Акцент3 4" xfId="1454"/>
    <cellStyle name="40% — акцент3 4" xfId="4103"/>
    <cellStyle name="40% - Акцент3 4 2" xfId="1455"/>
    <cellStyle name="40% - Акцент3 4 2 2" xfId="1456"/>
    <cellStyle name="40% - Акцент3 4 3" xfId="1457"/>
    <cellStyle name="40% - Акцент3 4 3 2" xfId="1458"/>
    <cellStyle name="40% - Акцент3 4_46EE.2011(v1.0)" xfId="1459"/>
    <cellStyle name="40% - Акцент3 5" xfId="1460"/>
    <cellStyle name="40% — акцент3 5" xfId="4250"/>
    <cellStyle name="40% - Акцент3 5 2" xfId="1461"/>
    <cellStyle name="40% - Акцент3 5 2 2" xfId="1462"/>
    <cellStyle name="40% - Акцент3 5 3" xfId="1463"/>
    <cellStyle name="40% - Акцент3 5 3 2" xfId="1464"/>
    <cellStyle name="40% - Акцент3 5_46EE.2011(v1.0)" xfId="1465"/>
    <cellStyle name="40% - Акцент3 6" xfId="1466"/>
    <cellStyle name="40% — акцент3 6" xfId="4079"/>
    <cellStyle name="40% - Акцент3 6 2" xfId="1467"/>
    <cellStyle name="40% - Акцент3 6 2 2" xfId="1468"/>
    <cellStyle name="40% - Акцент3 6 3" xfId="1469"/>
    <cellStyle name="40% - Акцент3 6 3 2" xfId="1470"/>
    <cellStyle name="40% - Акцент3 6_46EE.2011(v1.0)" xfId="1471"/>
    <cellStyle name="40% - Акцент3 7" xfId="1472"/>
    <cellStyle name="40% — акцент3 7" xfId="4251"/>
    <cellStyle name="40% - Акцент3 7 2" xfId="1473"/>
    <cellStyle name="40% - Акцент3 7 2 2" xfId="1474"/>
    <cellStyle name="40% - Акцент3 7 3" xfId="1475"/>
    <cellStyle name="40% - Акцент3 7 3 2" xfId="1476"/>
    <cellStyle name="40% - Акцент3 7_46EE.2011(v1.0)" xfId="1477"/>
    <cellStyle name="40% - Акцент3 8" xfId="1478"/>
    <cellStyle name="40% — акцент3 8" xfId="4078"/>
    <cellStyle name="40% - Акцент3 8 2" xfId="1479"/>
    <cellStyle name="40% - Акцент3 8 2 2" xfId="1480"/>
    <cellStyle name="40% - Акцент3 8 3" xfId="1481"/>
    <cellStyle name="40% - Акцент3 8 3 2" xfId="1482"/>
    <cellStyle name="40% - Акцент3 8 4" xfId="1483"/>
    <cellStyle name="40% - Акцент3 8_46EE.2011(v1.0)" xfId="1484"/>
    <cellStyle name="40% - Акцент3 9" xfId="1485"/>
    <cellStyle name="40% — акцент3 9" xfId="4252"/>
    <cellStyle name="40% - Акцент3 9 2" xfId="1486"/>
    <cellStyle name="40% - Акцент3 9 2 2" xfId="1487"/>
    <cellStyle name="40% - Акцент3 9 3" xfId="1488"/>
    <cellStyle name="40% - Акцент3 9 3 2" xfId="1489"/>
    <cellStyle name="40% - Акцент3 9 4" xfId="1490"/>
    <cellStyle name="40% - Акцент3 9_46EE.2011(v1.0)" xfId="1491"/>
    <cellStyle name="40% — акцент3_Расчет тарифа на тэ 2015 СЛФ" xfId="1492"/>
    <cellStyle name="40% — акцент4" xfId="1493"/>
    <cellStyle name="40% - Акцент4 10" xfId="1494"/>
    <cellStyle name="40% — акцент4 10" xfId="4085"/>
    <cellStyle name="40% - Акцент4 10 2" xfId="1495"/>
    <cellStyle name="40% - Акцент4 11" xfId="1496"/>
    <cellStyle name="40% — акцент4 11" xfId="4244"/>
    <cellStyle name="40% - Акцент4 11 2" xfId="1497"/>
    <cellStyle name="40% — акцент4 12" xfId="4084"/>
    <cellStyle name="40% — акцент4 13" xfId="4245"/>
    <cellStyle name="40% — акцент4 14" xfId="4083"/>
    <cellStyle name="40% — акцент4 15" xfId="4246"/>
    <cellStyle name="40% — акцент4 16" xfId="4082"/>
    <cellStyle name="40% — акцент4 17" xfId="4247"/>
    <cellStyle name="40% — акцент4 18" xfId="4081"/>
    <cellStyle name="40% — акцент4 19" xfId="4248"/>
    <cellStyle name="40% - Акцент4 2" xfId="1498"/>
    <cellStyle name="40% — акцент4 2" xfId="1499"/>
    <cellStyle name="40% - Акцент4 2 10" xfId="1500"/>
    <cellStyle name="40% - Акцент4 2 2" xfId="1501"/>
    <cellStyle name="40% - Акцент4 2 2 2" xfId="1502"/>
    <cellStyle name="40% - Акцент4 2 3" xfId="1503"/>
    <cellStyle name="40% - Акцент4 2 3 2" xfId="1504"/>
    <cellStyle name="40% - Акцент4 2 4" xfId="1505"/>
    <cellStyle name="40% - Акцент4 2 5" xfId="1506"/>
    <cellStyle name="40% - Акцент4 2 6" xfId="1507"/>
    <cellStyle name="40% - Акцент4 2 7" xfId="1508"/>
    <cellStyle name="40% - Акцент4 2 8" xfId="1509"/>
    <cellStyle name="40% - Акцент4 2 9" xfId="1510"/>
    <cellStyle name="40% - Акцент4 2_46EE.2011(v1.0)" xfId="1511"/>
    <cellStyle name="40% — акцент4 20" xfId="4080"/>
    <cellStyle name="40% — акцент4 21" xfId="4249"/>
    <cellStyle name="40% - Акцент4 3" xfId="1512"/>
    <cellStyle name="40% — акцент4 3" xfId="1513"/>
    <cellStyle name="40% - Акцент4 3 10" xfId="1514"/>
    <cellStyle name="40% - Акцент4 3 11" xfId="1515"/>
    <cellStyle name="40% - Акцент4 3 2" xfId="1516"/>
    <cellStyle name="40% - Акцент4 3 2 2" xfId="1517"/>
    <cellStyle name="40% - Акцент4 3 3" xfId="1518"/>
    <cellStyle name="40% - Акцент4 3 3 2" xfId="1519"/>
    <cellStyle name="40% - Акцент4 3 4" xfId="1520"/>
    <cellStyle name="40% - Акцент4 3 5" xfId="1521"/>
    <cellStyle name="40% - Акцент4 3 6" xfId="1522"/>
    <cellStyle name="40% - Акцент4 3 7" xfId="1523"/>
    <cellStyle name="40% - Акцент4 3 8" xfId="1524"/>
    <cellStyle name="40% - Акцент4 3 9" xfId="1525"/>
    <cellStyle name="40% - Акцент4 3_46EE.2011(v1.0)" xfId="1526"/>
    <cellStyle name="40% - Акцент4 4" xfId="1527"/>
    <cellStyle name="40% — акцент4 4" xfId="4111"/>
    <cellStyle name="40% - Акцент4 4 2" xfId="1528"/>
    <cellStyle name="40% - Акцент4 4 2 2" xfId="1529"/>
    <cellStyle name="40% - Акцент4 4 3" xfId="1530"/>
    <cellStyle name="40% - Акцент4 4 3 2" xfId="1531"/>
    <cellStyle name="40% - Акцент4 4_46EE.2011(v1.0)" xfId="1532"/>
    <cellStyle name="40% - Акцент4 5" xfId="1533"/>
    <cellStyle name="40% — акцент4 5" xfId="4241"/>
    <cellStyle name="40% - Акцент4 5 2" xfId="1534"/>
    <cellStyle name="40% - Акцент4 5 2 2" xfId="1535"/>
    <cellStyle name="40% - Акцент4 5 3" xfId="1536"/>
    <cellStyle name="40% - Акцент4 5 3 2" xfId="1537"/>
    <cellStyle name="40% - Акцент4 5_46EE.2011(v1.0)" xfId="1538"/>
    <cellStyle name="40% - Акцент4 6" xfId="1539"/>
    <cellStyle name="40% — акцент4 6" xfId="4088"/>
    <cellStyle name="40% - Акцент4 6 2" xfId="1540"/>
    <cellStyle name="40% - Акцент4 6 2 2" xfId="1541"/>
    <cellStyle name="40% - Акцент4 6 3" xfId="1542"/>
    <cellStyle name="40% - Акцент4 6 3 2" xfId="1543"/>
    <cellStyle name="40% - Акцент4 6_46EE.2011(v1.0)" xfId="1544"/>
    <cellStyle name="40% - Акцент4 7" xfId="1545"/>
    <cellStyle name="40% — акцент4 7" xfId="4242"/>
    <cellStyle name="40% - Акцент4 7 2" xfId="1546"/>
    <cellStyle name="40% - Акцент4 7 2 2" xfId="1547"/>
    <cellStyle name="40% - Акцент4 7 3" xfId="1548"/>
    <cellStyle name="40% - Акцент4 7 3 2" xfId="1549"/>
    <cellStyle name="40% - Акцент4 7_46EE.2011(v1.0)" xfId="1550"/>
    <cellStyle name="40% - Акцент4 8" xfId="1551"/>
    <cellStyle name="40% — акцент4 8" xfId="4087"/>
    <cellStyle name="40% - Акцент4 8 2" xfId="1552"/>
    <cellStyle name="40% - Акцент4 8 2 2" xfId="1553"/>
    <cellStyle name="40% - Акцент4 8 3" xfId="1554"/>
    <cellStyle name="40% - Акцент4 8 3 2" xfId="1555"/>
    <cellStyle name="40% - Акцент4 8 4" xfId="1556"/>
    <cellStyle name="40% - Акцент4 8_46EE.2011(v1.0)" xfId="1557"/>
    <cellStyle name="40% - Акцент4 9" xfId="1558"/>
    <cellStyle name="40% — акцент4 9" xfId="4243"/>
    <cellStyle name="40% - Акцент4 9 2" xfId="1559"/>
    <cellStyle name="40% - Акцент4 9 2 2" xfId="1560"/>
    <cellStyle name="40% - Акцент4 9 3" xfId="1561"/>
    <cellStyle name="40% - Акцент4 9 3 2" xfId="1562"/>
    <cellStyle name="40% - Акцент4 9 4" xfId="1563"/>
    <cellStyle name="40% - Акцент4 9_46EE.2011(v1.0)" xfId="1564"/>
    <cellStyle name="40% — акцент4_Расчет тарифа на тэ 2015 СЛФ" xfId="1565"/>
    <cellStyle name="40% — акцент5" xfId="1566"/>
    <cellStyle name="40% - Акцент5 10" xfId="1567"/>
    <cellStyle name="40% — акцент5 10" xfId="4094"/>
    <cellStyle name="40% - Акцент5 10 2" xfId="1568"/>
    <cellStyle name="40% - Акцент5 11" xfId="1569"/>
    <cellStyle name="40% — акцент5 11" xfId="4235"/>
    <cellStyle name="40% - Акцент5 11 2" xfId="1570"/>
    <cellStyle name="40% — акцент5 12" xfId="4093"/>
    <cellStyle name="40% — акцент5 13" xfId="4236"/>
    <cellStyle name="40% — акцент5 14" xfId="4092"/>
    <cellStyle name="40% — акцент5 15" xfId="4237"/>
    <cellStyle name="40% — акцент5 16" xfId="4091"/>
    <cellStyle name="40% — акцент5 17" xfId="4238"/>
    <cellStyle name="40% — акцент5 18" xfId="4090"/>
    <cellStyle name="40% — акцент5 19" xfId="4239"/>
    <cellStyle name="40% - Акцент5 2" xfId="1571"/>
    <cellStyle name="40% — акцент5 2" xfId="1572"/>
    <cellStyle name="40% - Акцент5 2 10" xfId="1573"/>
    <cellStyle name="40% - Акцент5 2 2" xfId="1574"/>
    <cellStyle name="40% - Акцент5 2 2 2" xfId="1575"/>
    <cellStyle name="40% - Акцент5 2 3" xfId="1576"/>
    <cellStyle name="40% - Акцент5 2 3 2" xfId="1577"/>
    <cellStyle name="40% - Акцент5 2 4" xfId="1578"/>
    <cellStyle name="40% - Акцент5 2 5" xfId="1579"/>
    <cellStyle name="40% - Акцент5 2 6" xfId="1580"/>
    <cellStyle name="40% - Акцент5 2 7" xfId="1581"/>
    <cellStyle name="40% - Акцент5 2 8" xfId="1582"/>
    <cellStyle name="40% - Акцент5 2 9" xfId="1583"/>
    <cellStyle name="40% - Акцент5 2_46EE.2011(v1.0)" xfId="1584"/>
    <cellStyle name="40% — акцент5 20" xfId="4089"/>
    <cellStyle name="40% — акцент5 21" xfId="4240"/>
    <cellStyle name="40% - Акцент5 3" xfId="1585"/>
    <cellStyle name="40% — акцент5 3" xfId="1586"/>
    <cellStyle name="40% - Акцент5 3 10" xfId="1587"/>
    <cellStyle name="40% - Акцент5 3 11" xfId="1588"/>
    <cellStyle name="40% - Акцент5 3 2" xfId="1589"/>
    <cellStyle name="40% - Акцент5 3 2 2" xfId="1590"/>
    <cellStyle name="40% - Акцент5 3 3" xfId="1591"/>
    <cellStyle name="40% - Акцент5 3 3 2" xfId="1592"/>
    <cellStyle name="40% - Акцент5 3 4" xfId="1593"/>
    <cellStyle name="40% - Акцент5 3 5" xfId="1594"/>
    <cellStyle name="40% - Акцент5 3 6" xfId="1595"/>
    <cellStyle name="40% - Акцент5 3 7" xfId="1596"/>
    <cellStyle name="40% - Акцент5 3 8" xfId="1597"/>
    <cellStyle name="40% - Акцент5 3 9" xfId="1598"/>
    <cellStyle name="40% - Акцент5 3_46EE.2011(v1.0)" xfId="1599"/>
    <cellStyle name="40% - Акцент5 4" xfId="1600"/>
    <cellStyle name="40% — акцент5 4" xfId="4124"/>
    <cellStyle name="40% - Акцент5 4 2" xfId="1601"/>
    <cellStyle name="40% - Акцент5 4 2 2" xfId="1602"/>
    <cellStyle name="40% - Акцент5 4 3" xfId="1603"/>
    <cellStyle name="40% - Акцент5 4 3 2" xfId="1604"/>
    <cellStyle name="40% - Акцент5 4_46EE.2011(v1.0)" xfId="1605"/>
    <cellStyle name="40% - Акцент5 5" xfId="1606"/>
    <cellStyle name="40% — акцент5 5" xfId="4232"/>
    <cellStyle name="40% - Акцент5 5 2" xfId="1607"/>
    <cellStyle name="40% - Акцент5 5 2 2" xfId="1608"/>
    <cellStyle name="40% - Акцент5 5 3" xfId="1609"/>
    <cellStyle name="40% - Акцент5 5 3 2" xfId="1610"/>
    <cellStyle name="40% - Акцент5 5_46EE.2011(v1.0)" xfId="1611"/>
    <cellStyle name="40% - Акцент5 6" xfId="1612"/>
    <cellStyle name="40% — акцент5 6" xfId="4097"/>
    <cellStyle name="40% - Акцент5 6 2" xfId="1613"/>
    <cellStyle name="40% - Акцент5 6 2 2" xfId="1614"/>
    <cellStyle name="40% - Акцент5 6 3" xfId="1615"/>
    <cellStyle name="40% - Акцент5 6 3 2" xfId="1616"/>
    <cellStyle name="40% - Акцент5 6_46EE.2011(v1.0)" xfId="1617"/>
    <cellStyle name="40% - Акцент5 7" xfId="1618"/>
    <cellStyle name="40% — акцент5 7" xfId="4233"/>
    <cellStyle name="40% - Акцент5 7 2" xfId="1619"/>
    <cellStyle name="40% - Акцент5 7 2 2" xfId="1620"/>
    <cellStyle name="40% - Акцент5 7 3" xfId="1621"/>
    <cellStyle name="40% - Акцент5 7 3 2" xfId="1622"/>
    <cellStyle name="40% - Акцент5 7_46EE.2011(v1.0)" xfId="1623"/>
    <cellStyle name="40% - Акцент5 8" xfId="1624"/>
    <cellStyle name="40% — акцент5 8" xfId="4096"/>
    <cellStyle name="40% - Акцент5 8 2" xfId="1625"/>
    <cellStyle name="40% - Акцент5 8 2 2" xfId="1626"/>
    <cellStyle name="40% - Акцент5 8 3" xfId="1627"/>
    <cellStyle name="40% - Акцент5 8 3 2" xfId="1628"/>
    <cellStyle name="40% - Акцент5 8 4" xfId="1629"/>
    <cellStyle name="40% - Акцент5 8_46EE.2011(v1.0)" xfId="1630"/>
    <cellStyle name="40% - Акцент5 9" xfId="1631"/>
    <cellStyle name="40% — акцент5 9" xfId="4234"/>
    <cellStyle name="40% - Акцент5 9 2" xfId="1632"/>
    <cellStyle name="40% - Акцент5 9 2 2" xfId="1633"/>
    <cellStyle name="40% - Акцент5 9 3" xfId="1634"/>
    <cellStyle name="40% - Акцент5 9 3 2" xfId="1635"/>
    <cellStyle name="40% - Акцент5 9 4" xfId="1636"/>
    <cellStyle name="40% - Акцент5 9_46EE.2011(v1.0)" xfId="1637"/>
    <cellStyle name="40% — акцент5_Расчет тарифа на тэ 2015 СЛФ" xfId="1638"/>
    <cellStyle name="40% — акцент6" xfId="1639"/>
    <cellStyle name="40% - Акцент6 10" xfId="1640"/>
    <cellStyle name="40% — акцент6 10" xfId="4104"/>
    <cellStyle name="40% - Акцент6 10 2" xfId="1641"/>
    <cellStyle name="40% - Акцент6 11" xfId="1642"/>
    <cellStyle name="40% — акцент6 11" xfId="4226"/>
    <cellStyle name="40% - Акцент6 11 2" xfId="1643"/>
    <cellStyle name="40% — акцент6 12" xfId="4102"/>
    <cellStyle name="40% — акцент6 13" xfId="4227"/>
    <cellStyle name="40% — акцент6 14" xfId="4101"/>
    <cellStyle name="40% — акцент6 15" xfId="4228"/>
    <cellStyle name="40% — акцент6 16" xfId="4100"/>
    <cellStyle name="40% — акцент6 17" xfId="4229"/>
    <cellStyle name="40% — акцент6 18" xfId="4099"/>
    <cellStyle name="40% — акцент6 19" xfId="4230"/>
    <cellStyle name="40% - Акцент6 2" xfId="1644"/>
    <cellStyle name="40% — акцент6 2" xfId="1645"/>
    <cellStyle name="40% - Акцент6 2 10" xfId="1646"/>
    <cellStyle name="40% - Акцент6 2 2" xfId="1647"/>
    <cellStyle name="40% - Акцент6 2 2 2" xfId="1648"/>
    <cellStyle name="40% - Акцент6 2 3" xfId="1649"/>
    <cellStyle name="40% - Акцент6 2 3 2" xfId="1650"/>
    <cellStyle name="40% - Акцент6 2 4" xfId="1651"/>
    <cellStyle name="40% - Акцент6 2 5" xfId="1652"/>
    <cellStyle name="40% - Акцент6 2 6" xfId="1653"/>
    <cellStyle name="40% - Акцент6 2 7" xfId="1654"/>
    <cellStyle name="40% - Акцент6 2 8" xfId="1655"/>
    <cellStyle name="40% - Акцент6 2 9" xfId="1656"/>
    <cellStyle name="40% - Акцент6 2_46EE.2011(v1.0)" xfId="1657"/>
    <cellStyle name="40% — акцент6 20" xfId="4098"/>
    <cellStyle name="40% — акцент6 21" xfId="4231"/>
    <cellStyle name="40% - Акцент6 3" xfId="1658"/>
    <cellStyle name="40% — акцент6 3" xfId="1659"/>
    <cellStyle name="40% - Акцент6 3 10" xfId="1660"/>
    <cellStyle name="40% - Акцент6 3 11" xfId="1661"/>
    <cellStyle name="40% - Акцент6 3 2" xfId="1662"/>
    <cellStyle name="40% - Акцент6 3 2 2" xfId="1663"/>
    <cellStyle name="40% - Акцент6 3 3" xfId="1664"/>
    <cellStyle name="40% - Акцент6 3 3 2" xfId="1665"/>
    <cellStyle name="40% - Акцент6 3 4" xfId="1666"/>
    <cellStyle name="40% - Акцент6 3 5" xfId="1667"/>
    <cellStyle name="40% - Акцент6 3 6" xfId="1668"/>
    <cellStyle name="40% - Акцент6 3 7" xfId="1669"/>
    <cellStyle name="40% - Акцент6 3 8" xfId="1670"/>
    <cellStyle name="40% - Акцент6 3 9" xfId="1671"/>
    <cellStyle name="40% - Акцент6 3_46EE.2011(v1.0)" xfId="1672"/>
    <cellStyle name="40% - Акцент6 4" xfId="1673"/>
    <cellStyle name="40% — акцент6 4" xfId="4137"/>
    <cellStyle name="40% - Акцент6 4 2" xfId="1674"/>
    <cellStyle name="40% - Акцент6 4 2 2" xfId="1675"/>
    <cellStyle name="40% - Акцент6 4 3" xfId="1676"/>
    <cellStyle name="40% - Акцент6 4 3 2" xfId="1677"/>
    <cellStyle name="40% - Акцент6 4_46EE.2011(v1.0)" xfId="1678"/>
    <cellStyle name="40% - Акцент6 5" xfId="1679"/>
    <cellStyle name="40% — акцент6 5" xfId="4223"/>
    <cellStyle name="40% - Акцент6 5 2" xfId="1680"/>
    <cellStyle name="40% - Акцент6 5 2 2" xfId="1681"/>
    <cellStyle name="40% - Акцент6 5 3" xfId="1682"/>
    <cellStyle name="40% - Акцент6 5 3 2" xfId="1683"/>
    <cellStyle name="40% - Акцент6 5_46EE.2011(v1.0)" xfId="1684"/>
    <cellStyle name="40% - Акцент6 6" xfId="1685"/>
    <cellStyle name="40% — акцент6 6" xfId="4106"/>
    <cellStyle name="40% - Акцент6 6 2" xfId="1686"/>
    <cellStyle name="40% - Акцент6 6 2 2" xfId="1687"/>
    <cellStyle name="40% - Акцент6 6 3" xfId="1688"/>
    <cellStyle name="40% - Акцент6 6 3 2" xfId="1689"/>
    <cellStyle name="40% - Акцент6 6_46EE.2011(v1.0)" xfId="1690"/>
    <cellStyle name="40% - Акцент6 7" xfId="1691"/>
    <cellStyle name="40% — акцент6 7" xfId="4224"/>
    <cellStyle name="40% - Акцент6 7 2" xfId="1692"/>
    <cellStyle name="40% - Акцент6 7 2 2" xfId="1693"/>
    <cellStyle name="40% - Акцент6 7 3" xfId="1694"/>
    <cellStyle name="40% - Акцент6 7 3 2" xfId="1695"/>
    <cellStyle name="40% - Акцент6 7_46EE.2011(v1.0)" xfId="1696"/>
    <cellStyle name="40% - Акцент6 8" xfId="1697"/>
    <cellStyle name="40% — акцент6 8" xfId="4105"/>
    <cellStyle name="40% - Акцент6 8 2" xfId="1698"/>
    <cellStyle name="40% - Акцент6 8 2 2" xfId="1699"/>
    <cellStyle name="40% - Акцент6 8 3" xfId="1700"/>
    <cellStyle name="40% - Акцент6 8 3 2" xfId="1701"/>
    <cellStyle name="40% - Акцент6 8 4" xfId="1702"/>
    <cellStyle name="40% - Акцент6 8_46EE.2011(v1.0)" xfId="1703"/>
    <cellStyle name="40% - Акцент6 9" xfId="1704"/>
    <cellStyle name="40% — акцент6 9" xfId="4225"/>
    <cellStyle name="40% - Акцент6 9 2" xfId="1705"/>
    <cellStyle name="40% - Акцент6 9 2 2" xfId="1706"/>
    <cellStyle name="40% - Акцент6 9 3" xfId="1707"/>
    <cellStyle name="40% - Акцент6 9 3 2" xfId="1708"/>
    <cellStyle name="40% - Акцент6 9 4" xfId="1709"/>
    <cellStyle name="40% - Акцент6 9_46EE.2011(v1.0)" xfId="1710"/>
    <cellStyle name="40% — акцент6_Расчет тарифа на тэ 2015 СЛФ" xfId="1711"/>
    <cellStyle name="60% - Accent1" xfId="1712"/>
    <cellStyle name="60% - Accent2" xfId="1713"/>
    <cellStyle name="60% - Accent3" xfId="1714"/>
    <cellStyle name="60% - Accent4" xfId="1715"/>
    <cellStyle name="60% - Accent5" xfId="1716"/>
    <cellStyle name="60% - Accent6" xfId="1717"/>
    <cellStyle name="60% — акцент1" xfId="1718"/>
    <cellStyle name="60% - Акцент1 10" xfId="1719"/>
    <cellStyle name="60% — акцент1 10" xfId="4113"/>
    <cellStyle name="60% — акцент1 11" xfId="4217"/>
    <cellStyle name="60% — акцент1 12" xfId="4112"/>
    <cellStyle name="60% — акцент1 13" xfId="4218"/>
    <cellStyle name="60% — акцент1 14" xfId="4110"/>
    <cellStyle name="60% — акцент1 15" xfId="4219"/>
    <cellStyle name="60% — акцент1 16" xfId="4109"/>
    <cellStyle name="60% — акцент1 17" xfId="4220"/>
    <cellStyle name="60% — акцент1 18" xfId="4108"/>
    <cellStyle name="60% — акцент1 19" xfId="4221"/>
    <cellStyle name="60% - Акцент1 2" xfId="1720"/>
    <cellStyle name="60% — акцент1 2" xfId="1721"/>
    <cellStyle name="60% - Акцент1 2 10" xfId="1722"/>
    <cellStyle name="60% - Акцент1 2 2" xfId="1723"/>
    <cellStyle name="60% - Акцент1 2 2 2" xfId="1724"/>
    <cellStyle name="60% - Акцент1 2 3" xfId="1725"/>
    <cellStyle name="60% - Акцент1 2 4" xfId="1726"/>
    <cellStyle name="60% - Акцент1 2 5" xfId="1727"/>
    <cellStyle name="60% - Акцент1 2 6" xfId="1728"/>
    <cellStyle name="60% - Акцент1 2 7" xfId="1729"/>
    <cellStyle name="60% - Акцент1 2 8" xfId="1730"/>
    <cellStyle name="60% - Акцент1 2 9" xfId="1731"/>
    <cellStyle name="60% - Акцент1 2_МФ тепловой баланс 2015 дубль 3" xfId="1732"/>
    <cellStyle name="60% — акцент1 20" xfId="4107"/>
    <cellStyle name="60% — акцент1 21" xfId="4222"/>
    <cellStyle name="60% - Акцент1 3" xfId="1733"/>
    <cellStyle name="60% — акцент1 3" xfId="1734"/>
    <cellStyle name="60% - Акцент1 3 10" xfId="1735"/>
    <cellStyle name="60% - Акцент1 3 11" xfId="1736"/>
    <cellStyle name="60% - Акцент1 3 2" xfId="1737"/>
    <cellStyle name="60% - Акцент1 3 3" xfId="1738"/>
    <cellStyle name="60% - Акцент1 3 4" xfId="1739"/>
    <cellStyle name="60% - Акцент1 3 5" xfId="1740"/>
    <cellStyle name="60% - Акцент1 3 6" xfId="1741"/>
    <cellStyle name="60% - Акцент1 3 7" xfId="1742"/>
    <cellStyle name="60% - Акцент1 3 8" xfId="1743"/>
    <cellStyle name="60% - Акцент1 3 9" xfId="1744"/>
    <cellStyle name="60% - Акцент1 3_МФ тепловой баланс 2015 дубль 3" xfId="1745"/>
    <cellStyle name="60% - Акцент1 4" xfId="1746"/>
    <cellStyle name="60% — акцент1 4" xfId="4150"/>
    <cellStyle name="60% - Акцент1 4 2" xfId="1747"/>
    <cellStyle name="60% - Акцент1 4_МФ тепловой баланс 2015 дубль 3" xfId="1748"/>
    <cellStyle name="60% - Акцент1 5" xfId="1749"/>
    <cellStyle name="60% — акцент1 5" xfId="4212"/>
    <cellStyle name="60% - Акцент1 5 2" xfId="1750"/>
    <cellStyle name="60% - Акцент1 5_МФ тепловой баланс 2015 дубль 3" xfId="1751"/>
    <cellStyle name="60% - Акцент1 6" xfId="1752"/>
    <cellStyle name="60% — акцент1 6" xfId="4115"/>
    <cellStyle name="60% - Акцент1 6 2" xfId="1753"/>
    <cellStyle name="60% - Акцент1 6_МФ тепловой баланс 2015 дубль 3" xfId="1754"/>
    <cellStyle name="60% - Акцент1 7" xfId="1755"/>
    <cellStyle name="60% — акцент1 7" xfId="4213"/>
    <cellStyle name="60% - Акцент1 7 2" xfId="1756"/>
    <cellStyle name="60% - Акцент1 7_МФ тепловой баланс 2015 дубль 3" xfId="1757"/>
    <cellStyle name="60% - Акцент1 8" xfId="1758"/>
    <cellStyle name="60% — акцент1 8" xfId="4114"/>
    <cellStyle name="60% - Акцент1 8 2" xfId="1759"/>
    <cellStyle name="60% - Акцент1 9" xfId="1760"/>
    <cellStyle name="60% — акцент1 9" xfId="4215"/>
    <cellStyle name="60% - Акцент1 9 2" xfId="1761"/>
    <cellStyle name="60% — акцент2" xfId="1762"/>
    <cellStyle name="60% - Акцент2 10" xfId="1763"/>
    <cellStyle name="60% — акцент2 10" xfId="4121"/>
    <cellStyle name="60% — акцент2 11" xfId="4205"/>
    <cellStyle name="60% — акцент2 12" xfId="4120"/>
    <cellStyle name="60% — акцент2 13" xfId="4206"/>
    <cellStyle name="60% — акцент2 14" xfId="4119"/>
    <cellStyle name="60% — акцент2 15" xfId="4207"/>
    <cellStyle name="60% — акцент2 16" xfId="4118"/>
    <cellStyle name="60% — акцент2 17" xfId="4209"/>
    <cellStyle name="60% — акцент2 18" xfId="4117"/>
    <cellStyle name="60% — акцент2 19" xfId="4210"/>
    <cellStyle name="60% - Акцент2 2" xfId="1764"/>
    <cellStyle name="60% — акцент2 2" xfId="1765"/>
    <cellStyle name="60% - Акцент2 2 10" xfId="1766"/>
    <cellStyle name="60% - Акцент2 2 2" xfId="1767"/>
    <cellStyle name="60% - Акцент2 2 2 2" xfId="1768"/>
    <cellStyle name="60% - Акцент2 2 3" xfId="1769"/>
    <cellStyle name="60% - Акцент2 2 4" xfId="1770"/>
    <cellStyle name="60% - Акцент2 2 5" xfId="1771"/>
    <cellStyle name="60% - Акцент2 2 6" xfId="1772"/>
    <cellStyle name="60% - Акцент2 2 7" xfId="1773"/>
    <cellStyle name="60% - Акцент2 2 8" xfId="1774"/>
    <cellStyle name="60% - Акцент2 2 9" xfId="1775"/>
    <cellStyle name="60% - Акцент2 2_МФ тепловой баланс 2015 дубль 3" xfId="1776"/>
    <cellStyle name="60% — акцент2 20" xfId="4116"/>
    <cellStyle name="60% — акцент2 21" xfId="4211"/>
    <cellStyle name="60% - Акцент2 3" xfId="1777"/>
    <cellStyle name="60% — акцент2 3" xfId="1778"/>
    <cellStyle name="60% - Акцент2 3 10" xfId="1779"/>
    <cellStyle name="60% - Акцент2 3 11" xfId="1780"/>
    <cellStyle name="60% - Акцент2 3 2" xfId="1781"/>
    <cellStyle name="60% - Акцент2 3 3" xfId="1782"/>
    <cellStyle name="60% - Акцент2 3 4" xfId="1783"/>
    <cellStyle name="60% - Акцент2 3 5" xfId="1784"/>
    <cellStyle name="60% - Акцент2 3 6" xfId="1785"/>
    <cellStyle name="60% - Акцент2 3 7" xfId="1786"/>
    <cellStyle name="60% - Акцент2 3 8" xfId="1787"/>
    <cellStyle name="60% - Акцент2 3 9" xfId="1788"/>
    <cellStyle name="60% - Акцент2 3_МФ тепловой баланс 2015 дубль 3" xfId="1789"/>
    <cellStyle name="60% - Акцент2 4" xfId="1790"/>
    <cellStyle name="60% — акцент2 4" xfId="4159"/>
    <cellStyle name="60% - Акцент2 4 2" xfId="1791"/>
    <cellStyle name="60% - Акцент2 4_МФ тепловой баланс 2015 дубль 3" xfId="1792"/>
    <cellStyle name="60% - Акцент2 5" xfId="1793"/>
    <cellStyle name="60% — акцент2 5" xfId="4202"/>
    <cellStyle name="60% - Акцент2 5 2" xfId="1794"/>
    <cellStyle name="60% - Акцент2 5_МФ тепловой баланс 2015 дубль 3" xfId="1795"/>
    <cellStyle name="60% - Акцент2 6" xfId="1796"/>
    <cellStyle name="60% — акцент2 6" xfId="4123"/>
    <cellStyle name="60% - Акцент2 6 2" xfId="1797"/>
    <cellStyle name="60% - Акцент2 6_МФ тепловой баланс 2015 дубль 3" xfId="1798"/>
    <cellStyle name="60% - Акцент2 7" xfId="1799"/>
    <cellStyle name="60% — акцент2 7" xfId="4203"/>
    <cellStyle name="60% - Акцент2 7 2" xfId="1800"/>
    <cellStyle name="60% - Акцент2 7_МФ тепловой баланс 2015 дубль 3" xfId="1801"/>
    <cellStyle name="60% - Акцент2 8" xfId="1802"/>
    <cellStyle name="60% — акцент2 8" xfId="4122"/>
    <cellStyle name="60% - Акцент2 8 2" xfId="1803"/>
    <cellStyle name="60% - Акцент2 9" xfId="1804"/>
    <cellStyle name="60% — акцент2 9" xfId="4204"/>
    <cellStyle name="60% - Акцент2 9 2" xfId="1805"/>
    <cellStyle name="60% — акцент3" xfId="1806"/>
    <cellStyle name="60% - Акцент3 10" xfId="1807"/>
    <cellStyle name="60% — акцент3 10" xfId="4130"/>
    <cellStyle name="60% — акцент3 11" xfId="4196"/>
    <cellStyle name="60% — акцент3 12" xfId="4129"/>
    <cellStyle name="60% — акцент3 13" xfId="4197"/>
    <cellStyle name="60% — акцент3 14" xfId="4128"/>
    <cellStyle name="60% — акцент3 15" xfId="4198"/>
    <cellStyle name="60% — акцент3 16" xfId="4127"/>
    <cellStyle name="60% — акцент3 17" xfId="4199"/>
    <cellStyle name="60% — акцент3 18" xfId="4126"/>
    <cellStyle name="60% — акцент3 19" xfId="4200"/>
    <cellStyle name="60% - Акцент3 2" xfId="1808"/>
    <cellStyle name="60% — акцент3 2" xfId="1809"/>
    <cellStyle name="60% - Акцент3 2 10" xfId="1810"/>
    <cellStyle name="60% - Акцент3 2 2" xfId="1811"/>
    <cellStyle name="60% - Акцент3 2 2 2" xfId="1812"/>
    <cellStyle name="60% - Акцент3 2 3" xfId="1813"/>
    <cellStyle name="60% - Акцент3 2 4" xfId="1814"/>
    <cellStyle name="60% - Акцент3 2 5" xfId="1815"/>
    <cellStyle name="60% - Акцент3 2 6" xfId="1816"/>
    <cellStyle name="60% - Акцент3 2 7" xfId="1817"/>
    <cellStyle name="60% - Акцент3 2 8" xfId="1818"/>
    <cellStyle name="60% - Акцент3 2 9" xfId="1819"/>
    <cellStyle name="60% - Акцент3 2_МФ тепловой баланс 2015 дубль 3" xfId="1820"/>
    <cellStyle name="60% — акцент3 20" xfId="4125"/>
    <cellStyle name="60% — акцент3 21" xfId="4201"/>
    <cellStyle name="60% - Акцент3 3" xfId="1821"/>
    <cellStyle name="60% — акцент3 3" xfId="1822"/>
    <cellStyle name="60% - Акцент3 3 10" xfId="1823"/>
    <cellStyle name="60% - Акцент3 3 11" xfId="1824"/>
    <cellStyle name="60% - Акцент3 3 2" xfId="1825"/>
    <cellStyle name="60% - Акцент3 3 3" xfId="1826"/>
    <cellStyle name="60% - Акцент3 3 4" xfId="1827"/>
    <cellStyle name="60% - Акцент3 3 5" xfId="1828"/>
    <cellStyle name="60% - Акцент3 3 6" xfId="1829"/>
    <cellStyle name="60% - Акцент3 3 7" xfId="1830"/>
    <cellStyle name="60% - Акцент3 3 8" xfId="1831"/>
    <cellStyle name="60% - Акцент3 3 9" xfId="1832"/>
    <cellStyle name="60% - Акцент3 3_МФ тепловой баланс 2015 дубль 3" xfId="1833"/>
    <cellStyle name="60% - Акцент3 4" xfId="1834"/>
    <cellStyle name="60% — акцент3 4" xfId="4160"/>
    <cellStyle name="60% - Акцент3 4 2" xfId="1835"/>
    <cellStyle name="60% - Акцент3 4_МФ тепловой баланс 2015 дубль 3" xfId="1836"/>
    <cellStyle name="60% - Акцент3 5" xfId="1837"/>
    <cellStyle name="60% — акцент3 5" xfId="4191"/>
    <cellStyle name="60% - Акцент3 5 2" xfId="1838"/>
    <cellStyle name="60% - Акцент3 5_МФ тепловой баланс 2015 дубль 3" xfId="1839"/>
    <cellStyle name="60% - Акцент3 6" xfId="1840"/>
    <cellStyle name="60% — акцент3 6" xfId="4132"/>
    <cellStyle name="60% - Акцент3 6 2" xfId="1841"/>
    <cellStyle name="60% - Акцент3 6_МФ тепловой баланс 2015 дубль 3" xfId="1842"/>
    <cellStyle name="60% - Акцент3 7" xfId="1843"/>
    <cellStyle name="60% — акцент3 7" xfId="4192"/>
    <cellStyle name="60% - Акцент3 7 2" xfId="1844"/>
    <cellStyle name="60% - Акцент3 7_МФ тепловой баланс 2015 дубль 3" xfId="1845"/>
    <cellStyle name="60% - Акцент3 8" xfId="1846"/>
    <cellStyle name="60% — акцент3 8" xfId="4131"/>
    <cellStyle name="60% - Акцент3 8 2" xfId="1847"/>
    <cellStyle name="60% - Акцент3 9" xfId="1848"/>
    <cellStyle name="60% — акцент3 9" xfId="4195"/>
    <cellStyle name="60% - Акцент3 9 2" xfId="1849"/>
    <cellStyle name="60% — акцент4" xfId="1850"/>
    <cellStyle name="60% - Акцент4 10" xfId="1851"/>
    <cellStyle name="60% — акцент4 10" xfId="4139"/>
    <cellStyle name="60% — акцент4 11" xfId="4185"/>
    <cellStyle name="60% — акцент4 12" xfId="4138"/>
    <cellStyle name="60% — акцент4 13" xfId="4186"/>
    <cellStyle name="60% — акцент4 14" xfId="4136"/>
    <cellStyle name="60% — акцент4 15" xfId="4187"/>
    <cellStyle name="60% — акцент4 16" xfId="4135"/>
    <cellStyle name="60% — акцент4 17" xfId="4188"/>
    <cellStyle name="60% — акцент4 18" xfId="4134"/>
    <cellStyle name="60% — акцент4 19" xfId="4189"/>
    <cellStyle name="60% - Акцент4 2" xfId="1852"/>
    <cellStyle name="60% — акцент4 2" xfId="1853"/>
    <cellStyle name="60% - Акцент4 2 10" xfId="1854"/>
    <cellStyle name="60% - Акцент4 2 2" xfId="1855"/>
    <cellStyle name="60% - Акцент4 2 2 2" xfId="1856"/>
    <cellStyle name="60% - Акцент4 2 3" xfId="1857"/>
    <cellStyle name="60% - Акцент4 2 4" xfId="1858"/>
    <cellStyle name="60% - Акцент4 2 5" xfId="1859"/>
    <cellStyle name="60% - Акцент4 2 6" xfId="1860"/>
    <cellStyle name="60% - Акцент4 2 7" xfId="1861"/>
    <cellStyle name="60% - Акцент4 2 8" xfId="1862"/>
    <cellStyle name="60% - Акцент4 2 9" xfId="1863"/>
    <cellStyle name="60% - Акцент4 2_МФ тепловой баланс 2015 дубль 3" xfId="1864"/>
    <cellStyle name="60% — акцент4 20" xfId="4133"/>
    <cellStyle name="60% — акцент4 21" xfId="4190"/>
    <cellStyle name="60% - Акцент4 3" xfId="1865"/>
    <cellStyle name="60% — акцент4 3" xfId="1866"/>
    <cellStyle name="60% - Акцент4 3 10" xfId="1867"/>
    <cellStyle name="60% - Акцент4 3 11" xfId="1868"/>
    <cellStyle name="60% - Акцент4 3 2" xfId="1869"/>
    <cellStyle name="60% - Акцент4 3 3" xfId="1870"/>
    <cellStyle name="60% - Акцент4 3 4" xfId="1871"/>
    <cellStyle name="60% - Акцент4 3 5" xfId="1872"/>
    <cellStyle name="60% - Акцент4 3 6" xfId="1873"/>
    <cellStyle name="60% - Акцент4 3 7" xfId="1874"/>
    <cellStyle name="60% - Акцент4 3 8" xfId="1875"/>
    <cellStyle name="60% - Акцент4 3 9" xfId="1876"/>
    <cellStyle name="60% - Акцент4 3_МФ тепловой баланс 2015 дубль 3" xfId="1877"/>
    <cellStyle name="60% - Акцент4 4" xfId="1878"/>
    <cellStyle name="60% — акцент4 4" xfId="4161"/>
    <cellStyle name="60% - Акцент4 4 2" xfId="1879"/>
    <cellStyle name="60% - Акцент4 4_МФ тепловой баланс 2015 дубль 3" xfId="1880"/>
    <cellStyle name="60% - Акцент4 5" xfId="1881"/>
    <cellStyle name="60% — акцент4 5" xfId="4182"/>
    <cellStyle name="60% - Акцент4 5 2" xfId="1882"/>
    <cellStyle name="60% - Акцент4 5_МФ тепловой баланс 2015 дубль 3" xfId="1883"/>
    <cellStyle name="60% - Акцент4 6" xfId="1884"/>
    <cellStyle name="60% — акцент4 6" xfId="4141"/>
    <cellStyle name="60% - Акцент4 6 2" xfId="1885"/>
    <cellStyle name="60% - Акцент4 6_МФ тепловой баланс 2015 дубль 3" xfId="1886"/>
    <cellStyle name="60% - Акцент4 7" xfId="1887"/>
    <cellStyle name="60% — акцент4 7" xfId="4183"/>
    <cellStyle name="60% - Акцент4 7 2" xfId="1888"/>
    <cellStyle name="60% - Акцент4 7_МФ тепловой баланс 2015 дубль 3" xfId="1889"/>
    <cellStyle name="60% - Акцент4 8" xfId="1890"/>
    <cellStyle name="60% — акцент4 8" xfId="4140"/>
    <cellStyle name="60% - Акцент4 8 2" xfId="1891"/>
    <cellStyle name="60% - Акцент4 9" xfId="1892"/>
    <cellStyle name="60% — акцент4 9" xfId="4184"/>
    <cellStyle name="60% - Акцент4 9 2" xfId="1893"/>
    <cellStyle name="60% — акцент5" xfId="1894"/>
    <cellStyle name="60% - Акцент5 10" xfId="1895"/>
    <cellStyle name="60% — акцент5 10" xfId="4147"/>
    <cellStyle name="60% — акцент5 11" xfId="4175"/>
    <cellStyle name="60% — акцент5 12" xfId="4146"/>
    <cellStyle name="60% — акцент5 13" xfId="4176"/>
    <cellStyle name="60% — акцент5 14" xfId="4145"/>
    <cellStyle name="60% — акцент5 15" xfId="4177"/>
    <cellStyle name="60% — акцент5 16" xfId="4144"/>
    <cellStyle name="60% — акцент5 17" xfId="4178"/>
    <cellStyle name="60% — акцент5 18" xfId="4143"/>
    <cellStyle name="60% — акцент5 19" xfId="4179"/>
    <cellStyle name="60% - Акцент5 2" xfId="1896"/>
    <cellStyle name="60% — акцент5 2" xfId="1897"/>
    <cellStyle name="60% - Акцент5 2 10" xfId="1898"/>
    <cellStyle name="60% - Акцент5 2 2" xfId="1899"/>
    <cellStyle name="60% - Акцент5 2 2 2" xfId="1900"/>
    <cellStyle name="60% - Акцент5 2 3" xfId="1901"/>
    <cellStyle name="60% - Акцент5 2 4" xfId="1902"/>
    <cellStyle name="60% - Акцент5 2 5" xfId="1903"/>
    <cellStyle name="60% - Акцент5 2 6" xfId="1904"/>
    <cellStyle name="60% - Акцент5 2 7" xfId="1905"/>
    <cellStyle name="60% - Акцент5 2 8" xfId="1906"/>
    <cellStyle name="60% - Акцент5 2 9" xfId="1907"/>
    <cellStyle name="60% - Акцент5 2_МФ тепловой баланс 2015 дубль 3" xfId="1908"/>
    <cellStyle name="60% — акцент5 20" xfId="4142"/>
    <cellStyle name="60% — акцент5 21" xfId="4180"/>
    <cellStyle name="60% - Акцент5 3" xfId="1909"/>
    <cellStyle name="60% — акцент5 3" xfId="1910"/>
    <cellStyle name="60% - Акцент5 3 10" xfId="1911"/>
    <cellStyle name="60% - Акцент5 3 11" xfId="1912"/>
    <cellStyle name="60% - Акцент5 3 2" xfId="1913"/>
    <cellStyle name="60% - Акцент5 3 3" xfId="1914"/>
    <cellStyle name="60% - Акцент5 3 4" xfId="1915"/>
    <cellStyle name="60% - Акцент5 3 5" xfId="1916"/>
    <cellStyle name="60% - Акцент5 3 6" xfId="1917"/>
    <cellStyle name="60% - Акцент5 3 7" xfId="1918"/>
    <cellStyle name="60% - Акцент5 3 8" xfId="1919"/>
    <cellStyle name="60% - Акцент5 3 9" xfId="1920"/>
    <cellStyle name="60% - Акцент5 3_МФ тепловой баланс 2015 дубль 3" xfId="1921"/>
    <cellStyle name="60% - Акцент5 4" xfId="1922"/>
    <cellStyle name="60% — акцент5 4" xfId="4171"/>
    <cellStyle name="60% - Акцент5 4 2" xfId="1923"/>
    <cellStyle name="60% - Акцент5 4_МФ тепловой баланс 2015 дубль 3" xfId="1924"/>
    <cellStyle name="60% - Акцент5 5" xfId="1925"/>
    <cellStyle name="60% — акцент5 5" xfId="4172"/>
    <cellStyle name="60% - Акцент5 5 2" xfId="1926"/>
    <cellStyle name="60% - Акцент5 5_МФ тепловой баланс 2015 дубль 3" xfId="1927"/>
    <cellStyle name="60% - Акцент5 6" xfId="1928"/>
    <cellStyle name="60% — акцент5 6" xfId="4149"/>
    <cellStyle name="60% - Акцент5 6 2" xfId="1929"/>
    <cellStyle name="60% - Акцент5 6_МФ тепловой баланс 2015 дубль 3" xfId="1930"/>
    <cellStyle name="60% - Акцент5 7" xfId="1931"/>
    <cellStyle name="60% — акцент5 7" xfId="4173"/>
    <cellStyle name="60% - Акцент5 7 2" xfId="1932"/>
    <cellStyle name="60% - Акцент5 7_МФ тепловой баланс 2015 дубль 3" xfId="1933"/>
    <cellStyle name="60% - Акцент5 8" xfId="1934"/>
    <cellStyle name="60% — акцент5 8" xfId="4148"/>
    <cellStyle name="60% - Акцент5 8 2" xfId="1935"/>
    <cellStyle name="60% - Акцент5 9" xfId="1936"/>
    <cellStyle name="60% — акцент5 9" xfId="4174"/>
    <cellStyle name="60% - Акцент5 9 2" xfId="1937"/>
    <cellStyle name="60% — акцент6" xfId="1938"/>
    <cellStyle name="60% - Акцент6 10" xfId="1939"/>
    <cellStyle name="60% — акцент6 10" xfId="4156"/>
    <cellStyle name="60% — акцент6 11" xfId="4165"/>
    <cellStyle name="60% — акцент6 12" xfId="4155"/>
    <cellStyle name="60% — акцент6 13" xfId="4166"/>
    <cellStyle name="60% — акцент6 14" xfId="4154"/>
    <cellStyle name="60% — акцент6 15" xfId="4167"/>
    <cellStyle name="60% — акцент6 16" xfId="4153"/>
    <cellStyle name="60% — акцент6 17" xfId="4168"/>
    <cellStyle name="60% — акцент6 18" xfId="4152"/>
    <cellStyle name="60% — акцент6 19" xfId="4169"/>
    <cellStyle name="60% - Акцент6 2" xfId="1940"/>
    <cellStyle name="60% — акцент6 2" xfId="1941"/>
    <cellStyle name="60% - Акцент6 2 10" xfId="1942"/>
    <cellStyle name="60% - Акцент6 2 2" xfId="1943"/>
    <cellStyle name="60% - Акцент6 2 2 2" xfId="1944"/>
    <cellStyle name="60% - Акцент6 2 3" xfId="1945"/>
    <cellStyle name="60% - Акцент6 2 4" xfId="1946"/>
    <cellStyle name="60% - Акцент6 2 5" xfId="1947"/>
    <cellStyle name="60% - Акцент6 2 6" xfId="1948"/>
    <cellStyle name="60% - Акцент6 2 7" xfId="1949"/>
    <cellStyle name="60% - Акцент6 2 8" xfId="1950"/>
    <cellStyle name="60% - Акцент6 2 9" xfId="1951"/>
    <cellStyle name="60% - Акцент6 2_МФ тепловой баланс 2015 дубль 3" xfId="1952"/>
    <cellStyle name="60% — акцент6 20" xfId="4151"/>
    <cellStyle name="60% — акцент6 21" xfId="4170"/>
    <cellStyle name="60% - Акцент6 3" xfId="1953"/>
    <cellStyle name="60% — акцент6 3" xfId="1954"/>
    <cellStyle name="60% - Акцент6 3 10" xfId="1955"/>
    <cellStyle name="60% - Акцент6 3 11" xfId="1956"/>
    <cellStyle name="60% - Акцент6 3 2" xfId="1957"/>
    <cellStyle name="60% - Акцент6 3 3" xfId="1958"/>
    <cellStyle name="60% - Акцент6 3 4" xfId="1959"/>
    <cellStyle name="60% - Акцент6 3 5" xfId="1960"/>
    <cellStyle name="60% - Акцент6 3 6" xfId="1961"/>
    <cellStyle name="60% - Акцент6 3 7" xfId="1962"/>
    <cellStyle name="60% - Акцент6 3 8" xfId="1963"/>
    <cellStyle name="60% - Акцент6 3 9" xfId="1964"/>
    <cellStyle name="60% - Акцент6 3_МФ тепловой баланс 2015 дубль 3" xfId="1965"/>
    <cellStyle name="60% - Акцент6 4" xfId="1966"/>
    <cellStyle name="60% — акцент6 4" xfId="4181"/>
    <cellStyle name="60% - Акцент6 4 2" xfId="1967"/>
    <cellStyle name="60% - Акцент6 4_МФ тепловой баланс 2015 дубль 3" xfId="1968"/>
    <cellStyle name="60% - Акцент6 5" xfId="1969"/>
    <cellStyle name="60% — акцент6 5" xfId="4162"/>
    <cellStyle name="60% - Акцент6 5 2" xfId="1970"/>
    <cellStyle name="60% - Акцент6 5_МФ тепловой баланс 2015 дубль 3" xfId="1971"/>
    <cellStyle name="60% - Акцент6 6" xfId="1972"/>
    <cellStyle name="60% — акцент6 6" xfId="4158"/>
    <cellStyle name="60% - Акцент6 6 2" xfId="1973"/>
    <cellStyle name="60% - Акцент6 6_МФ тепловой баланс 2015 дубль 3" xfId="1974"/>
    <cellStyle name="60% - Акцент6 7" xfId="1975"/>
    <cellStyle name="60% — акцент6 7" xfId="4163"/>
    <cellStyle name="60% - Акцент6 7 2" xfId="1976"/>
    <cellStyle name="60% - Акцент6 7_МФ тепловой баланс 2015 дубль 3" xfId="1977"/>
    <cellStyle name="60% - Акцент6 8" xfId="1978"/>
    <cellStyle name="60% — акцент6 8" xfId="4157"/>
    <cellStyle name="60% - Акцент6 8 2" xfId="1979"/>
    <cellStyle name="60% - Акцент6 9" xfId="1980"/>
    <cellStyle name="60% — акцент6 9" xfId="4164"/>
    <cellStyle name="60% - Акцент6 9 2" xfId="1981"/>
    <cellStyle name="Accent1" xfId="1982"/>
    <cellStyle name="Accent2" xfId="1983"/>
    <cellStyle name="Accent3" xfId="1984"/>
    <cellStyle name="Accent4" xfId="1985"/>
    <cellStyle name="Accent5" xfId="1986"/>
    <cellStyle name="Accent6" xfId="1987"/>
    <cellStyle name="Ăčďĺđńńűëęŕ" xfId="1988"/>
    <cellStyle name="Action" xfId="1989"/>
    <cellStyle name="AFE" xfId="1990"/>
    <cellStyle name="Áĺççŕůčňíűé" xfId="1991"/>
    <cellStyle name="Äĺíĺćíűé [0]_(ňŕá 3č)" xfId="1992"/>
    <cellStyle name="Äĺíĺćíűé_(ňŕá 3č)" xfId="1993"/>
    <cellStyle name="Bad" xfId="1994"/>
    <cellStyle name="Blue" xfId="1995"/>
    <cellStyle name="Body_$Dollars" xfId="1996"/>
    <cellStyle name="Calculation" xfId="1997"/>
    <cellStyle name="Cells" xfId="1998"/>
    <cellStyle name="Cells 2" xfId="1999"/>
    <cellStyle name="Cells 2 2" xfId="4194"/>
    <cellStyle name="Cells 3" xfId="4193"/>
    <cellStyle name="Check Cell" xfId="2000"/>
    <cellStyle name="Chek" xfId="2001"/>
    <cellStyle name="Comma [0]_0_Cash" xfId="2002"/>
    <cellStyle name="Comma 0" xfId="2003"/>
    <cellStyle name="Comma 0*" xfId="2004"/>
    <cellStyle name="Comma 2" xfId="2005"/>
    <cellStyle name="Comma 3*" xfId="2006"/>
    <cellStyle name="Comma_0_Cash" xfId="2007"/>
    <cellStyle name="Comma0" xfId="2008"/>
    <cellStyle name="Çŕůčňíűé" xfId="2009"/>
    <cellStyle name="Currency [0]" xfId="2010"/>
    <cellStyle name="Currency [0] 2" xfId="2011"/>
    <cellStyle name="Currency [0] 2 2" xfId="2012"/>
    <cellStyle name="Currency [0] 2 3" xfId="2013"/>
    <cellStyle name="Currency [0] 2 4" xfId="2014"/>
    <cellStyle name="Currency [0] 2 5" xfId="2015"/>
    <cellStyle name="Currency [0] 2 6" xfId="2016"/>
    <cellStyle name="Currency [0] 2 7" xfId="2017"/>
    <cellStyle name="Currency [0] 2 8" xfId="2018"/>
    <cellStyle name="Currency [0] 2 9" xfId="2019"/>
    <cellStyle name="Currency [0] 3" xfId="2020"/>
    <cellStyle name="Currency [0] 3 2" xfId="2021"/>
    <cellStyle name="Currency [0] 3 3" xfId="2022"/>
    <cellStyle name="Currency [0] 3 4" xfId="2023"/>
    <cellStyle name="Currency [0] 3 5" xfId="2024"/>
    <cellStyle name="Currency [0] 3 6" xfId="2025"/>
    <cellStyle name="Currency [0] 3 7" xfId="2026"/>
    <cellStyle name="Currency [0] 3 8" xfId="2027"/>
    <cellStyle name="Currency [0] 3 9" xfId="2028"/>
    <cellStyle name="Currency [0] 4" xfId="2029"/>
    <cellStyle name="Currency [0] 4 2" xfId="2030"/>
    <cellStyle name="Currency [0] 4 3" xfId="2031"/>
    <cellStyle name="Currency [0] 4 4" xfId="2032"/>
    <cellStyle name="Currency [0] 4 5" xfId="2033"/>
    <cellStyle name="Currency [0] 4 6" xfId="2034"/>
    <cellStyle name="Currency [0] 4 7" xfId="2035"/>
    <cellStyle name="Currency [0] 4 8" xfId="2036"/>
    <cellStyle name="Currency [0] 4 9" xfId="2037"/>
    <cellStyle name="Currency [0] 5" xfId="2038"/>
    <cellStyle name="Currency [0] 5 2" xfId="2039"/>
    <cellStyle name="Currency [0] 5 3" xfId="2040"/>
    <cellStyle name="Currency [0] 5 4" xfId="2041"/>
    <cellStyle name="Currency [0] 5 5" xfId="2042"/>
    <cellStyle name="Currency [0] 5 6" xfId="2043"/>
    <cellStyle name="Currency [0] 5 7" xfId="2044"/>
    <cellStyle name="Currency [0] 5 8" xfId="2045"/>
    <cellStyle name="Currency [0] 5 9" xfId="2046"/>
    <cellStyle name="Currency [0] 6" xfId="2047"/>
    <cellStyle name="Currency [0] 6 2" xfId="2048"/>
    <cellStyle name="Currency [0] 6 3" xfId="2049"/>
    <cellStyle name="Currency [0] 7" xfId="2050"/>
    <cellStyle name="Currency [0] 7 2" xfId="2051"/>
    <cellStyle name="Currency [0] 7 3" xfId="2052"/>
    <cellStyle name="Currency [0] 8" xfId="2053"/>
    <cellStyle name="Currency [0] 8 2" xfId="2054"/>
    <cellStyle name="Currency [0] 8 3" xfId="2055"/>
    <cellStyle name="Currency [0]_Приложения ЛФ корр" xfId="2056"/>
    <cellStyle name="Currency 0" xfId="2057"/>
    <cellStyle name="Currency 2" xfId="2058"/>
    <cellStyle name="Currency_0_Cash" xfId="2059"/>
    <cellStyle name="Currency0" xfId="2060"/>
    <cellStyle name="currency1" xfId="2061"/>
    <cellStyle name="Currency2" xfId="2062"/>
    <cellStyle name="currency3" xfId="2063"/>
    <cellStyle name="currency4" xfId="2064"/>
    <cellStyle name="Date" xfId="2065"/>
    <cellStyle name="Date Aligned" xfId="2066"/>
    <cellStyle name="Dates" xfId="2067"/>
    <cellStyle name="DblClick" xfId="2068"/>
    <cellStyle name="DblClick 2" xfId="4208"/>
    <cellStyle name="Dezimal [0]_NEGS" xfId="2069"/>
    <cellStyle name="Dezimal_NEGS" xfId="2070"/>
    <cellStyle name="Dotted Line" xfId="2071"/>
    <cellStyle name="E&amp;Y House" xfId="2072"/>
    <cellStyle name="E-mail" xfId="2073"/>
    <cellStyle name="E-mail 2" xfId="2074"/>
    <cellStyle name="E-mail_46EP.2011(v2.0)" xfId="2075"/>
    <cellStyle name="Euro" xfId="2076"/>
    <cellStyle name="Euro 2" xfId="2077"/>
    <cellStyle name="Euro 3" xfId="2078"/>
    <cellStyle name="Euro 4" xfId="2079"/>
    <cellStyle name="ew" xfId="2080"/>
    <cellStyle name="Excel Built-in Normal" xfId="2081"/>
    <cellStyle name="Excel Built-in Normal 1" xfId="2082"/>
    <cellStyle name="Excel Built-in Normal 2" xfId="2083"/>
    <cellStyle name="Explanatory Text" xfId="2084"/>
    <cellStyle name="F2" xfId="2085"/>
    <cellStyle name="F3" xfId="2086"/>
    <cellStyle name="F4" xfId="2087"/>
    <cellStyle name="F5" xfId="2088"/>
    <cellStyle name="F6" xfId="2089"/>
    <cellStyle name="F7" xfId="2090"/>
    <cellStyle name="F8" xfId="2091"/>
    <cellStyle name="Fixed" xfId="2092"/>
    <cellStyle name="fo]_x000d__x000a_UserName=Murat Zelef_x000d__x000a_UserCompany=Bumerang_x000d__x000a__x000d__x000a_[File Paths]_x000d__x000a_WorkingDirectory=C:\EQUIS\DLWIN_x000d__x000a_DownLoader=C" xfId="2093"/>
    <cellStyle name="Followed Hyperlink" xfId="2094"/>
    <cellStyle name="Footnote" xfId="2095"/>
    <cellStyle name="Formuls" xfId="2096"/>
    <cellStyle name="Formuls 2" xfId="4214"/>
    <cellStyle name="Good" xfId="2097"/>
    <cellStyle name="hard no" xfId="2098"/>
    <cellStyle name="Hard Percent" xfId="2099"/>
    <cellStyle name="hardno" xfId="2100"/>
    <cellStyle name="Head 1" xfId="2101"/>
    <cellStyle name="Header" xfId="2102"/>
    <cellStyle name="Header 3" xfId="2103"/>
    <cellStyle name="Header 3 2" xfId="4216"/>
    <cellStyle name="header1" xfId="2104"/>
    <cellStyle name="header2" xfId="2105"/>
    <cellStyle name="Heading" xfId="2106"/>
    <cellStyle name="Heading 1" xfId="2107"/>
    <cellStyle name="Heading 1 2" xfId="2108"/>
    <cellStyle name="Heading 2" xfId="2109"/>
    <cellStyle name="Heading 2 2" xfId="2110"/>
    <cellStyle name="Heading 3" xfId="2111"/>
    <cellStyle name="Heading 4" xfId="2112"/>
    <cellStyle name="Heading_GP.ITOG.4.78(v1.0) - для разделения" xfId="2113"/>
    <cellStyle name="Heading2" xfId="2114"/>
    <cellStyle name="Heading2 2" xfId="2115"/>
    <cellStyle name="Heading2_46EP.2011(v2.0)" xfId="2116"/>
    <cellStyle name="Headline I" xfId="2117"/>
    <cellStyle name="Headline II" xfId="2118"/>
    <cellStyle name="Headline III" xfId="2119"/>
    <cellStyle name="Hyperlink" xfId="2120"/>
    <cellStyle name="Iau?iue_130 nnd. are." xfId="2121"/>
    <cellStyle name="Îáű÷íűé__FES" xfId="2122"/>
    <cellStyle name="Îáû÷íûé_cogs" xfId="2123"/>
    <cellStyle name="Îňęđűâŕâřŕ˙ń˙ ăčďĺđńńűëęŕ" xfId="2124"/>
    <cellStyle name="Info" xfId="2125"/>
    <cellStyle name="Input" xfId="2126"/>
    <cellStyle name="InputCurrency" xfId="2127"/>
    <cellStyle name="InputCurrency2" xfId="2128"/>
    <cellStyle name="InputMultiple1" xfId="2129"/>
    <cellStyle name="InputPercent1" xfId="2130"/>
    <cellStyle name="Inputs" xfId="2131"/>
    <cellStyle name="Inputs (const)" xfId="2132"/>
    <cellStyle name="Inputs (const) 2" xfId="2133"/>
    <cellStyle name="Inputs (const)_46EP.2011(v2.0)" xfId="2134"/>
    <cellStyle name="Inputs 2" xfId="2135"/>
    <cellStyle name="Inputs Co" xfId="2136"/>
    <cellStyle name="Inputs_46EE.2011(v1.0)" xfId="2137"/>
    <cellStyle name="Linked Cell" xfId="2138"/>
    <cellStyle name="Millares [0]_RESULTS" xfId="2139"/>
    <cellStyle name="Millares_RESULTS" xfId="2140"/>
    <cellStyle name="Milliers [0]_Fonctions Macros XL4" xfId="2141"/>
    <cellStyle name="Milliers_Fonctions Macros XL4" xfId="2142"/>
    <cellStyle name="mnb" xfId="2143"/>
    <cellStyle name="Moneda [0]_RESULTS" xfId="2144"/>
    <cellStyle name="Moneda_RESULTS" xfId="2145"/>
    <cellStyle name="Monétaire [0]_RESULTS" xfId="2146"/>
    <cellStyle name="Monétaire_RESULTS" xfId="2147"/>
    <cellStyle name="Multiple" xfId="2148"/>
    <cellStyle name="Multiple1" xfId="2149"/>
    <cellStyle name="MultipleBelow" xfId="2150"/>
    <cellStyle name="namber" xfId="2151"/>
    <cellStyle name="Neutral" xfId="2152"/>
    <cellStyle name="Norma11l" xfId="2153"/>
    <cellStyle name="normal" xfId="2154"/>
    <cellStyle name="Normal - Style1" xfId="2155"/>
    <cellStyle name="normal 10" xfId="2156"/>
    <cellStyle name="Normal 2" xfId="2157"/>
    <cellStyle name="Normal 2 2" xfId="2158"/>
    <cellStyle name="Normal 2 3" xfId="2159"/>
    <cellStyle name="normal 3" xfId="2160"/>
    <cellStyle name="normal 4" xfId="2161"/>
    <cellStyle name="normal 5" xfId="2162"/>
    <cellStyle name="normal 6" xfId="2163"/>
    <cellStyle name="normal 7" xfId="2164"/>
    <cellStyle name="normal 8" xfId="2165"/>
    <cellStyle name="normal 9" xfId="2166"/>
    <cellStyle name="Normal." xfId="2167"/>
    <cellStyle name="Normal_06_9m" xfId="2168"/>
    <cellStyle name="Normal1" xfId="2169"/>
    <cellStyle name="Normal2" xfId="2170"/>
    <cellStyle name="NormalGB" xfId="2171"/>
    <cellStyle name="Normalny_24. 02. 97." xfId="2172"/>
    <cellStyle name="normбlnм_laroux" xfId="2173"/>
    <cellStyle name="Note" xfId="2174"/>
    <cellStyle name="Note 2" xfId="2175"/>
    <cellStyle name="Note 3" xfId="2176"/>
    <cellStyle name="number" xfId="2177"/>
    <cellStyle name="Ôčíŕíńîâűé [0]_(ňŕá 3č)" xfId="2178"/>
    <cellStyle name="Ôčíŕíńîâűé_(ňŕá 3č)" xfId="2179"/>
    <cellStyle name="Option" xfId="2180"/>
    <cellStyle name="Òûñÿ÷è [0]_cogs" xfId="2181"/>
    <cellStyle name="Òûñÿ÷è_cogs" xfId="2182"/>
    <cellStyle name="Output" xfId="2183"/>
    <cellStyle name="Page Number" xfId="2184"/>
    <cellStyle name="pb_page_heading_LS" xfId="2185"/>
    <cellStyle name="Percent_RS_Lianozovo-Samara_9m01" xfId="2186"/>
    <cellStyle name="Percent1" xfId="2187"/>
    <cellStyle name="Piug" xfId="2188"/>
    <cellStyle name="Plug" xfId="2189"/>
    <cellStyle name="Price_Body" xfId="2190"/>
    <cellStyle name="prochrek" xfId="2191"/>
    <cellStyle name="Protected" xfId="2192"/>
    <cellStyle name="Salomon Logo" xfId="2193"/>
    <cellStyle name="SAPBEXaggData" xfId="2194"/>
    <cellStyle name="SAPBEXaggDataEmph" xfId="2195"/>
    <cellStyle name="SAPBEXaggItem" xfId="2196"/>
    <cellStyle name="SAPBEXaggItemX" xfId="2197"/>
    <cellStyle name="SAPBEXchaText" xfId="2198"/>
    <cellStyle name="SAPBEXexcBad7" xfId="2199"/>
    <cellStyle name="SAPBEXexcBad8" xfId="2200"/>
    <cellStyle name="SAPBEXexcBad9" xfId="2201"/>
    <cellStyle name="SAPBEXexcCritical4" xfId="2202"/>
    <cellStyle name="SAPBEXexcCritical5" xfId="2203"/>
    <cellStyle name="SAPBEXexcCritical6" xfId="2204"/>
    <cellStyle name="SAPBEXexcGood1" xfId="2205"/>
    <cellStyle name="SAPBEXexcGood2" xfId="2206"/>
    <cellStyle name="SAPBEXexcGood3" xfId="2207"/>
    <cellStyle name="SAPBEXfilterDrill" xfId="2208"/>
    <cellStyle name="SAPBEXfilterItem" xfId="2209"/>
    <cellStyle name="SAPBEXfilterText" xfId="2210"/>
    <cellStyle name="SAPBEXformats" xfId="2211"/>
    <cellStyle name="SAPBEXheaderItem" xfId="2212"/>
    <cellStyle name="SAPBEXheaderText" xfId="2213"/>
    <cellStyle name="SAPBEXHLevel0" xfId="2214"/>
    <cellStyle name="SAPBEXHLevel0X" xfId="2215"/>
    <cellStyle name="SAPBEXHLevel1" xfId="2216"/>
    <cellStyle name="SAPBEXHLevel1X" xfId="2217"/>
    <cellStyle name="SAPBEXHLevel2" xfId="2218"/>
    <cellStyle name="SAPBEXHLevel2X" xfId="2219"/>
    <cellStyle name="SAPBEXHLevel3" xfId="2220"/>
    <cellStyle name="SAPBEXHLevel3X" xfId="2221"/>
    <cellStyle name="SAPBEXinputData" xfId="2222"/>
    <cellStyle name="SAPBEXresData" xfId="2223"/>
    <cellStyle name="SAPBEXresDataEmph" xfId="2224"/>
    <cellStyle name="SAPBEXresItem" xfId="2225"/>
    <cellStyle name="SAPBEXresItemX" xfId="2226"/>
    <cellStyle name="SAPBEXstdData" xfId="2227"/>
    <cellStyle name="SAPBEXstdDataEmph" xfId="2228"/>
    <cellStyle name="SAPBEXstdItem" xfId="2229"/>
    <cellStyle name="SAPBEXstdItemX" xfId="2230"/>
    <cellStyle name="SAPBEXtitle" xfId="2231"/>
    <cellStyle name="SAPBEXundefined" xfId="2232"/>
    <cellStyle name="st1" xfId="2233"/>
    <cellStyle name="stand_bord" xfId="2234"/>
    <cellStyle name="Standard_NEGS" xfId="2235"/>
    <cellStyle name="Style 1" xfId="2236"/>
    <cellStyle name="styleColumnTitles" xfId="2237"/>
    <cellStyle name="styleDateRange" xfId="2238"/>
    <cellStyle name="styleHidden" xfId="2239"/>
    <cellStyle name="styleNormal" xfId="2240"/>
    <cellStyle name="styleSeriesAttributes" xfId="2241"/>
    <cellStyle name="styleSeriesData" xfId="2242"/>
    <cellStyle name="styleSeriesDataForecast" xfId="2243"/>
    <cellStyle name="styleSeriesDataForecastNA" xfId="2244"/>
    <cellStyle name="styleSeriesDataNA" xfId="2245"/>
    <cellStyle name="Table Head" xfId="2246"/>
    <cellStyle name="Table Head Aligned" xfId="2247"/>
    <cellStyle name="Table Head Blue" xfId="2248"/>
    <cellStyle name="Table Head Green" xfId="2249"/>
    <cellStyle name="Table Head_Val_Sum_Graph" xfId="2250"/>
    <cellStyle name="Table Heading" xfId="2251"/>
    <cellStyle name="Table Heading 2" xfId="2252"/>
    <cellStyle name="Table Heading_46EP.2011(v2.0)" xfId="2253"/>
    <cellStyle name="Table Text" xfId="2254"/>
    <cellStyle name="Table Title" xfId="2255"/>
    <cellStyle name="Table Units" xfId="2256"/>
    <cellStyle name="Table_Header" xfId="2257"/>
    <cellStyle name="TableStyleLight1" xfId="2258"/>
    <cellStyle name="TableStyleLight1 2" xfId="2259"/>
    <cellStyle name="Text" xfId="2260"/>
    <cellStyle name="Text 1" xfId="2261"/>
    <cellStyle name="Text Head" xfId="2262"/>
    <cellStyle name="Text Head 1" xfId="2263"/>
    <cellStyle name="Title" xfId="2264"/>
    <cellStyle name="Title 2" xfId="2265"/>
    <cellStyle name="Title 4" xfId="2266"/>
    <cellStyle name="Total" xfId="2267"/>
    <cellStyle name="Total 2" xfId="2268"/>
    <cellStyle name="TotalCurrency" xfId="2269"/>
    <cellStyle name="Underline_Single" xfId="2270"/>
    <cellStyle name="Unit" xfId="2271"/>
    <cellStyle name="Warning Text" xfId="2272"/>
    <cellStyle name="year" xfId="2273"/>
    <cellStyle name="Акцент1" xfId="2274" builtinId="29" customBuiltin="1"/>
    <cellStyle name="Акцент1 10" xfId="2275"/>
    <cellStyle name="Акцент1 2" xfId="2276"/>
    <cellStyle name="Акцент1 2 10" xfId="2277"/>
    <cellStyle name="Акцент1 2 2" xfId="2278"/>
    <cellStyle name="Акцент1 2 2 2" xfId="2279"/>
    <cellStyle name="Акцент1 2 3" xfId="2280"/>
    <cellStyle name="Акцент1 2 4" xfId="2281"/>
    <cellStyle name="Акцент1 2 5" xfId="2282"/>
    <cellStyle name="Акцент1 2 6" xfId="2283"/>
    <cellStyle name="Акцент1 2 7" xfId="2284"/>
    <cellStyle name="Акцент1 2 8" xfId="2285"/>
    <cellStyle name="Акцент1 2 9" xfId="2286"/>
    <cellStyle name="Акцент1 2_МФ тепловой баланс 2015 дубль 3" xfId="2287"/>
    <cellStyle name="Акцент1 3" xfId="2288"/>
    <cellStyle name="Акцент1 3 10" xfId="2289"/>
    <cellStyle name="Акцент1 3 11" xfId="2290"/>
    <cellStyle name="Акцент1 3 2" xfId="2291"/>
    <cellStyle name="Акцент1 3 3" xfId="2292"/>
    <cellStyle name="Акцент1 3 4" xfId="2293"/>
    <cellStyle name="Акцент1 3 5" xfId="2294"/>
    <cellStyle name="Акцент1 3 6" xfId="2295"/>
    <cellStyle name="Акцент1 3 7" xfId="2296"/>
    <cellStyle name="Акцент1 3 8" xfId="2297"/>
    <cellStyle name="Акцент1 3 9" xfId="2298"/>
    <cellStyle name="Акцент1 3_МФ тепловой баланс 2015 дубль 3" xfId="2299"/>
    <cellStyle name="Акцент1 4" xfId="2300"/>
    <cellStyle name="Акцент1 4 2" xfId="2301"/>
    <cellStyle name="Акцент1 4_МФ тепловой баланс 2015 дубль 3" xfId="2302"/>
    <cellStyle name="Акцент1 5" xfId="2303"/>
    <cellStyle name="Акцент1 5 2" xfId="2304"/>
    <cellStyle name="Акцент1 5_МФ тепловой баланс 2015 дубль 3" xfId="2305"/>
    <cellStyle name="Акцент1 6" xfId="2306"/>
    <cellStyle name="Акцент1 6 2" xfId="2307"/>
    <cellStyle name="Акцент1 6_МФ тепловой баланс 2015 дубль 3" xfId="2308"/>
    <cellStyle name="Акцент1 7" xfId="2309"/>
    <cellStyle name="Акцент1 7 2" xfId="2310"/>
    <cellStyle name="Акцент1 7_МФ тепловой баланс 2015 дубль 3" xfId="2311"/>
    <cellStyle name="Акцент1 8" xfId="2312"/>
    <cellStyle name="Акцент1 8 2" xfId="2313"/>
    <cellStyle name="Акцент1 9" xfId="2314"/>
    <cellStyle name="Акцент1 9 2" xfId="2315"/>
    <cellStyle name="Акцент2" xfId="2316" builtinId="33" customBuiltin="1"/>
    <cellStyle name="Акцент2 10" xfId="2317"/>
    <cellStyle name="Акцент2 2" xfId="2318"/>
    <cellStyle name="Акцент2 2 10" xfId="2319"/>
    <cellStyle name="Акцент2 2 2" xfId="2320"/>
    <cellStyle name="Акцент2 2 2 2" xfId="2321"/>
    <cellStyle name="Акцент2 2 3" xfId="2322"/>
    <cellStyle name="Акцент2 2 4" xfId="2323"/>
    <cellStyle name="Акцент2 2 5" xfId="2324"/>
    <cellStyle name="Акцент2 2 6" xfId="2325"/>
    <cellStyle name="Акцент2 2 7" xfId="2326"/>
    <cellStyle name="Акцент2 2 8" xfId="2327"/>
    <cellStyle name="Акцент2 2 9" xfId="2328"/>
    <cellStyle name="Акцент2 2_МФ тепловой баланс 2015 дубль 3" xfId="2329"/>
    <cellStyle name="Акцент2 3" xfId="2330"/>
    <cellStyle name="Акцент2 3 10" xfId="2331"/>
    <cellStyle name="Акцент2 3 11" xfId="2332"/>
    <cellStyle name="Акцент2 3 2" xfId="2333"/>
    <cellStyle name="Акцент2 3 3" xfId="2334"/>
    <cellStyle name="Акцент2 3 4" xfId="2335"/>
    <cellStyle name="Акцент2 3 5" xfId="2336"/>
    <cellStyle name="Акцент2 3 6" xfId="2337"/>
    <cellStyle name="Акцент2 3 7" xfId="2338"/>
    <cellStyle name="Акцент2 3 8" xfId="2339"/>
    <cellStyle name="Акцент2 3 9" xfId="2340"/>
    <cellStyle name="Акцент2 3_МФ тепловой баланс 2015 дубль 3" xfId="2341"/>
    <cellStyle name="Акцент2 4" xfId="2342"/>
    <cellStyle name="Акцент2 4 2" xfId="2343"/>
    <cellStyle name="Акцент2 4_МФ тепловой баланс 2015 дубль 3" xfId="2344"/>
    <cellStyle name="Акцент2 5" xfId="2345"/>
    <cellStyle name="Акцент2 5 2" xfId="2346"/>
    <cellStyle name="Акцент2 5_МФ тепловой баланс 2015 дубль 3" xfId="2347"/>
    <cellStyle name="Акцент2 6" xfId="2348"/>
    <cellStyle name="Акцент2 6 2" xfId="2349"/>
    <cellStyle name="Акцент2 6_МФ тепловой баланс 2015 дубль 3" xfId="2350"/>
    <cellStyle name="Акцент2 7" xfId="2351"/>
    <cellStyle name="Акцент2 7 2" xfId="2352"/>
    <cellStyle name="Акцент2 7_МФ тепловой баланс 2015 дубль 3" xfId="2353"/>
    <cellStyle name="Акцент2 8" xfId="2354"/>
    <cellStyle name="Акцент2 8 2" xfId="2355"/>
    <cellStyle name="Акцент2 9" xfId="2356"/>
    <cellStyle name="Акцент2 9 2" xfId="2357"/>
    <cellStyle name="Акцент3" xfId="2358" builtinId="37" customBuiltin="1"/>
    <cellStyle name="Акцент3 10" xfId="2359"/>
    <cellStyle name="Акцент3 2" xfId="2360"/>
    <cellStyle name="Акцент3 2 10" xfId="2361"/>
    <cellStyle name="Акцент3 2 2" xfId="2362"/>
    <cellStyle name="Акцент3 2 2 2" xfId="2363"/>
    <cellStyle name="Акцент3 2 3" xfId="2364"/>
    <cellStyle name="Акцент3 2 4" xfId="2365"/>
    <cellStyle name="Акцент3 2 5" xfId="2366"/>
    <cellStyle name="Акцент3 2 6" xfId="2367"/>
    <cellStyle name="Акцент3 2 7" xfId="2368"/>
    <cellStyle name="Акцент3 2 8" xfId="2369"/>
    <cellStyle name="Акцент3 2 9" xfId="2370"/>
    <cellStyle name="Акцент3 2_МФ тепловой баланс 2015 дубль 3" xfId="2371"/>
    <cellStyle name="Акцент3 3" xfId="2372"/>
    <cellStyle name="Акцент3 3 10" xfId="2373"/>
    <cellStyle name="Акцент3 3 11" xfId="2374"/>
    <cellStyle name="Акцент3 3 2" xfId="2375"/>
    <cellStyle name="Акцент3 3 3" xfId="2376"/>
    <cellStyle name="Акцент3 3 4" xfId="2377"/>
    <cellStyle name="Акцент3 3 5" xfId="2378"/>
    <cellStyle name="Акцент3 3 6" xfId="2379"/>
    <cellStyle name="Акцент3 3 7" xfId="2380"/>
    <cellStyle name="Акцент3 3 8" xfId="2381"/>
    <cellStyle name="Акцент3 3 9" xfId="2382"/>
    <cellStyle name="Акцент3 3_МФ тепловой баланс 2015 дубль 3" xfId="2383"/>
    <cellStyle name="Акцент3 4" xfId="2384"/>
    <cellStyle name="Акцент3 4 2" xfId="2385"/>
    <cellStyle name="Акцент3 4_МФ тепловой баланс 2015 дубль 3" xfId="2386"/>
    <cellStyle name="Акцент3 5" xfId="2387"/>
    <cellStyle name="Акцент3 5 2" xfId="2388"/>
    <cellStyle name="Акцент3 5_МФ тепловой баланс 2015 дубль 3" xfId="2389"/>
    <cellStyle name="Акцент3 6" xfId="2390"/>
    <cellStyle name="Акцент3 6 2" xfId="2391"/>
    <cellStyle name="Акцент3 6_МФ тепловой баланс 2015 дубль 3" xfId="2392"/>
    <cellStyle name="Акцент3 7" xfId="2393"/>
    <cellStyle name="Акцент3 7 2" xfId="2394"/>
    <cellStyle name="Акцент3 7_МФ тепловой баланс 2015 дубль 3" xfId="2395"/>
    <cellStyle name="Акцент3 8" xfId="2396"/>
    <cellStyle name="Акцент3 8 2" xfId="2397"/>
    <cellStyle name="Акцент3 9" xfId="2398"/>
    <cellStyle name="Акцент3 9 2" xfId="2399"/>
    <cellStyle name="Акцент4" xfId="2400" builtinId="41" customBuiltin="1"/>
    <cellStyle name="Акцент4 10" xfId="2401"/>
    <cellStyle name="Акцент4 2" xfId="2402"/>
    <cellStyle name="Акцент4 2 10" xfId="2403"/>
    <cellStyle name="Акцент4 2 2" xfId="2404"/>
    <cellStyle name="Акцент4 2 2 2" xfId="2405"/>
    <cellStyle name="Акцент4 2 3" xfId="2406"/>
    <cellStyle name="Акцент4 2 4" xfId="2407"/>
    <cellStyle name="Акцент4 2 5" xfId="2408"/>
    <cellStyle name="Акцент4 2 6" xfId="2409"/>
    <cellStyle name="Акцент4 2 7" xfId="2410"/>
    <cellStyle name="Акцент4 2 8" xfId="2411"/>
    <cellStyle name="Акцент4 2 9" xfId="2412"/>
    <cellStyle name="Акцент4 2_МФ тепловой баланс 2015 дубль 3" xfId="2413"/>
    <cellStyle name="Акцент4 3" xfId="2414"/>
    <cellStyle name="Акцент4 3 10" xfId="2415"/>
    <cellStyle name="Акцент4 3 11" xfId="2416"/>
    <cellStyle name="Акцент4 3 2" xfId="2417"/>
    <cellStyle name="Акцент4 3 3" xfId="2418"/>
    <cellStyle name="Акцент4 3 4" xfId="2419"/>
    <cellStyle name="Акцент4 3 5" xfId="2420"/>
    <cellStyle name="Акцент4 3 6" xfId="2421"/>
    <cellStyle name="Акцент4 3 7" xfId="2422"/>
    <cellStyle name="Акцент4 3 8" xfId="2423"/>
    <cellStyle name="Акцент4 3 9" xfId="2424"/>
    <cellStyle name="Акцент4 3_МФ тепловой баланс 2015 дубль 3" xfId="2425"/>
    <cellStyle name="Акцент4 4" xfId="2426"/>
    <cellStyle name="Акцент4 4 2" xfId="2427"/>
    <cellStyle name="Акцент4 4_МФ тепловой баланс 2015 дубль 3" xfId="2428"/>
    <cellStyle name="Акцент4 5" xfId="2429"/>
    <cellStyle name="Акцент4 5 2" xfId="2430"/>
    <cellStyle name="Акцент4 5_МФ тепловой баланс 2015 дубль 3" xfId="2431"/>
    <cellStyle name="Акцент4 6" xfId="2432"/>
    <cellStyle name="Акцент4 6 2" xfId="2433"/>
    <cellStyle name="Акцент4 6_МФ тепловой баланс 2015 дубль 3" xfId="2434"/>
    <cellStyle name="Акцент4 7" xfId="2435"/>
    <cellStyle name="Акцент4 7 2" xfId="2436"/>
    <cellStyle name="Акцент4 7_МФ тепловой баланс 2015 дубль 3" xfId="2437"/>
    <cellStyle name="Акцент4 8" xfId="2438"/>
    <cellStyle name="Акцент4 8 2" xfId="2439"/>
    <cellStyle name="Акцент4 9" xfId="2440"/>
    <cellStyle name="Акцент4 9 2" xfId="2441"/>
    <cellStyle name="Акцент5" xfId="2442" builtinId="45" customBuiltin="1"/>
    <cellStyle name="Акцент5 10" xfId="2443"/>
    <cellStyle name="Акцент5 2" xfId="2444"/>
    <cellStyle name="Акцент5 2 10" xfId="2445"/>
    <cellStyle name="Акцент5 2 2" xfId="2446"/>
    <cellStyle name="Акцент5 2 2 2" xfId="2447"/>
    <cellStyle name="Акцент5 2 3" xfId="2448"/>
    <cellStyle name="Акцент5 2 4" xfId="2449"/>
    <cellStyle name="Акцент5 2 5" xfId="2450"/>
    <cellStyle name="Акцент5 2 6" xfId="2451"/>
    <cellStyle name="Акцент5 2 7" xfId="2452"/>
    <cellStyle name="Акцент5 2 8" xfId="2453"/>
    <cellStyle name="Акцент5 2 9" xfId="2454"/>
    <cellStyle name="Акцент5 2_МФ тепловой баланс 2015 дубль 3" xfId="2455"/>
    <cellStyle name="Акцент5 3" xfId="2456"/>
    <cellStyle name="Акцент5 3 10" xfId="2457"/>
    <cellStyle name="Акцент5 3 11" xfId="2458"/>
    <cellStyle name="Акцент5 3 2" xfId="2459"/>
    <cellStyle name="Акцент5 3 3" xfId="2460"/>
    <cellStyle name="Акцент5 3 4" xfId="2461"/>
    <cellStyle name="Акцент5 3 5" xfId="2462"/>
    <cellStyle name="Акцент5 3 6" xfId="2463"/>
    <cellStyle name="Акцент5 3 7" xfId="2464"/>
    <cellStyle name="Акцент5 3 8" xfId="2465"/>
    <cellStyle name="Акцент5 3 9" xfId="2466"/>
    <cellStyle name="Акцент5 3_МФ тепловой баланс 2015 дубль 3" xfId="2467"/>
    <cellStyle name="Акцент5 4" xfId="2468"/>
    <cellStyle name="Акцент5 4 2" xfId="2469"/>
    <cellStyle name="Акцент5 4_МФ тепловой баланс 2015 дубль 3" xfId="2470"/>
    <cellStyle name="Акцент5 5" xfId="2471"/>
    <cellStyle name="Акцент5 5 2" xfId="2472"/>
    <cellStyle name="Акцент5 5_МФ тепловой баланс 2015 дубль 3" xfId="2473"/>
    <cellStyle name="Акцент5 6" xfId="2474"/>
    <cellStyle name="Акцент5 6 2" xfId="2475"/>
    <cellStyle name="Акцент5 6_МФ тепловой баланс 2015 дубль 3" xfId="2476"/>
    <cellStyle name="Акцент5 7" xfId="2477"/>
    <cellStyle name="Акцент5 7 2" xfId="2478"/>
    <cellStyle name="Акцент5 7_МФ тепловой баланс 2015 дубль 3" xfId="2479"/>
    <cellStyle name="Акцент5 8" xfId="2480"/>
    <cellStyle name="Акцент5 8 2" xfId="2481"/>
    <cellStyle name="Акцент5 9" xfId="2482"/>
    <cellStyle name="Акцент5 9 2" xfId="2483"/>
    <cellStyle name="Акцент6" xfId="2484" builtinId="49" customBuiltin="1"/>
    <cellStyle name="Акцент6 10" xfId="2485"/>
    <cellStyle name="Акцент6 2" xfId="2486"/>
    <cellStyle name="Акцент6 2 10" xfId="2487"/>
    <cellStyle name="Акцент6 2 2" xfId="2488"/>
    <cellStyle name="Акцент6 2 2 2" xfId="2489"/>
    <cellStyle name="Акцент6 2 3" xfId="2490"/>
    <cellStyle name="Акцент6 2 4" xfId="2491"/>
    <cellStyle name="Акцент6 2 5" xfId="2492"/>
    <cellStyle name="Акцент6 2 6" xfId="2493"/>
    <cellStyle name="Акцент6 2 7" xfId="2494"/>
    <cellStyle name="Акцент6 2 8" xfId="2495"/>
    <cellStyle name="Акцент6 2 9" xfId="2496"/>
    <cellStyle name="Акцент6 2_МФ тепловой баланс 2015 дубль 3" xfId="2497"/>
    <cellStyle name="Акцент6 3" xfId="2498"/>
    <cellStyle name="Акцент6 3 10" xfId="2499"/>
    <cellStyle name="Акцент6 3 11" xfId="2500"/>
    <cellStyle name="Акцент6 3 2" xfId="2501"/>
    <cellStyle name="Акцент6 3 3" xfId="2502"/>
    <cellStyle name="Акцент6 3 4" xfId="2503"/>
    <cellStyle name="Акцент6 3 5" xfId="2504"/>
    <cellStyle name="Акцент6 3 6" xfId="2505"/>
    <cellStyle name="Акцент6 3 7" xfId="2506"/>
    <cellStyle name="Акцент6 3 8" xfId="2507"/>
    <cellStyle name="Акцент6 3 9" xfId="2508"/>
    <cellStyle name="Акцент6 3_МФ тепловой баланс 2015 дубль 3" xfId="2509"/>
    <cellStyle name="Акцент6 4" xfId="2510"/>
    <cellStyle name="Акцент6 4 2" xfId="2511"/>
    <cellStyle name="Акцент6 4_МФ тепловой баланс 2015 дубль 3" xfId="2512"/>
    <cellStyle name="Акцент6 5" xfId="2513"/>
    <cellStyle name="Акцент6 5 2" xfId="2514"/>
    <cellStyle name="Акцент6 5_МФ тепловой баланс 2015 дубль 3" xfId="2515"/>
    <cellStyle name="Акцент6 6" xfId="2516"/>
    <cellStyle name="Акцент6 6 2" xfId="2517"/>
    <cellStyle name="Акцент6 6_МФ тепловой баланс 2015 дубль 3" xfId="2518"/>
    <cellStyle name="Акцент6 7" xfId="2519"/>
    <cellStyle name="Акцент6 7 2" xfId="2520"/>
    <cellStyle name="Акцент6 7_МФ тепловой баланс 2015 дубль 3" xfId="2521"/>
    <cellStyle name="Акцент6 8" xfId="2522"/>
    <cellStyle name="Акцент6 8 2" xfId="2523"/>
    <cellStyle name="Акцент6 9" xfId="2524"/>
    <cellStyle name="Акцент6 9 2" xfId="2525"/>
    <cellStyle name="Беззащитный" xfId="2526"/>
    <cellStyle name="Ввод " xfId="2527" builtinId="20" customBuiltin="1"/>
    <cellStyle name="Ввод  10" xfId="2528"/>
    <cellStyle name="Ввод  10 2" xfId="2529"/>
    <cellStyle name="Ввод  11" xfId="2530"/>
    <cellStyle name="Ввод  12" xfId="2531"/>
    <cellStyle name="Ввод  13" xfId="2532"/>
    <cellStyle name="Ввод  14" xfId="2533"/>
    <cellStyle name="Ввод  15" xfId="2534"/>
    <cellStyle name="Ввод  16" xfId="2535"/>
    <cellStyle name="Ввод  17" xfId="2536"/>
    <cellStyle name="Ввод  2" xfId="2537"/>
    <cellStyle name="Ввод  2 10" xfId="2538"/>
    <cellStyle name="Ввод  2 2" xfId="2539"/>
    <cellStyle name="Ввод  2 2 2" xfId="2540"/>
    <cellStyle name="Ввод  2 3" xfId="2541"/>
    <cellStyle name="Ввод  2 4" xfId="2542"/>
    <cellStyle name="Ввод  2 5" xfId="2543"/>
    <cellStyle name="Ввод  2 6" xfId="2544"/>
    <cellStyle name="Ввод  2 7" xfId="2545"/>
    <cellStyle name="Ввод  2 8" xfId="2546"/>
    <cellStyle name="Ввод  2 9" xfId="2547"/>
    <cellStyle name="Ввод  2_46EE.2011(v1.0)" xfId="2548"/>
    <cellStyle name="Ввод  3" xfId="2549"/>
    <cellStyle name="Ввод  3 10" xfId="2550"/>
    <cellStyle name="Ввод  3 11" xfId="2551"/>
    <cellStyle name="Ввод  3 2" xfId="2552"/>
    <cellStyle name="Ввод  3 3" xfId="2553"/>
    <cellStyle name="Ввод  3 3 2" xfId="2554"/>
    <cellStyle name="Ввод  3 4" xfId="2555"/>
    <cellStyle name="Ввод  3 5" xfId="2556"/>
    <cellStyle name="Ввод  3 6" xfId="2557"/>
    <cellStyle name="Ввод  3 7" xfId="2558"/>
    <cellStyle name="Ввод  3 8" xfId="2559"/>
    <cellStyle name="Ввод  3 9" xfId="2560"/>
    <cellStyle name="Ввод  3_46EE.2011(v1.0)" xfId="2561"/>
    <cellStyle name="Ввод  4" xfId="2562"/>
    <cellStyle name="Ввод  4 2" xfId="2563"/>
    <cellStyle name="Ввод  4 3" xfId="2564"/>
    <cellStyle name="Ввод  4_46EE.2011(v1.0)" xfId="2565"/>
    <cellStyle name="Ввод  5" xfId="2566"/>
    <cellStyle name="Ввод  5 2" xfId="2567"/>
    <cellStyle name="Ввод  5 3" xfId="2568"/>
    <cellStyle name="Ввод  5_46EE.2011(v1.0)" xfId="2569"/>
    <cellStyle name="Ввод  6" xfId="2570"/>
    <cellStyle name="Ввод  6 2" xfId="2571"/>
    <cellStyle name="Ввод  6 3" xfId="2572"/>
    <cellStyle name="Ввод  6_46EE.2011(v1.0)" xfId="2573"/>
    <cellStyle name="Ввод  7" xfId="2574"/>
    <cellStyle name="Ввод  7 2" xfId="2575"/>
    <cellStyle name="Ввод  7 3" xfId="2576"/>
    <cellStyle name="Ввод  7_46EE.2011(v1.0)" xfId="2577"/>
    <cellStyle name="Ввод  8" xfId="2578"/>
    <cellStyle name="Ввод  8 2" xfId="2579"/>
    <cellStyle name="Ввод  8 3" xfId="2580"/>
    <cellStyle name="Ввод  8_46EE.2011(v1.0)" xfId="2581"/>
    <cellStyle name="Ввод  9" xfId="2582"/>
    <cellStyle name="Ввод  9 2" xfId="2583"/>
    <cellStyle name="Ввод  9 3" xfId="2584"/>
    <cellStyle name="Ввод  9_46EE.2011(v1.0)" xfId="2585"/>
    <cellStyle name="Верт. заголовок" xfId="2586"/>
    <cellStyle name="Вес_продукта" xfId="2587"/>
    <cellStyle name="Вывод" xfId="2588" builtinId="21" customBuiltin="1"/>
    <cellStyle name="Вывод 10" xfId="2589"/>
    <cellStyle name="Вывод 2" xfId="2590"/>
    <cellStyle name="Вывод 2 10" xfId="2591"/>
    <cellStyle name="Вывод 2 2" xfId="2592"/>
    <cellStyle name="Вывод 2 2 2" xfId="2593"/>
    <cellStyle name="Вывод 2 3" xfId="2594"/>
    <cellStyle name="Вывод 2 4" xfId="2595"/>
    <cellStyle name="Вывод 2 5" xfId="2596"/>
    <cellStyle name="Вывод 2 6" xfId="2597"/>
    <cellStyle name="Вывод 2 7" xfId="2598"/>
    <cellStyle name="Вывод 2 8" xfId="2599"/>
    <cellStyle name="Вывод 2 9" xfId="2600"/>
    <cellStyle name="Вывод 2_46EE.2011(v1.0)" xfId="2601"/>
    <cellStyle name="Вывод 3" xfId="2602"/>
    <cellStyle name="Вывод 3 10" xfId="2603"/>
    <cellStyle name="Вывод 3 11" xfId="2604"/>
    <cellStyle name="Вывод 3 2" xfId="2605"/>
    <cellStyle name="Вывод 3 3" xfId="2606"/>
    <cellStyle name="Вывод 3 4" xfId="2607"/>
    <cellStyle name="Вывод 3 5" xfId="2608"/>
    <cellStyle name="Вывод 3 6" xfId="2609"/>
    <cellStyle name="Вывод 3 7" xfId="2610"/>
    <cellStyle name="Вывод 3 8" xfId="2611"/>
    <cellStyle name="Вывод 3 9" xfId="2612"/>
    <cellStyle name="Вывод 3_46EE.2011(v1.0)" xfId="2613"/>
    <cellStyle name="Вывод 4" xfId="2614"/>
    <cellStyle name="Вывод 4 2" xfId="2615"/>
    <cellStyle name="Вывод 4_46EE.2011(v1.0)" xfId="2616"/>
    <cellStyle name="Вывод 5" xfId="2617"/>
    <cellStyle name="Вывод 5 2" xfId="2618"/>
    <cellStyle name="Вывод 5_46EE.2011(v1.0)" xfId="2619"/>
    <cellStyle name="Вывод 6" xfId="2620"/>
    <cellStyle name="Вывод 6 2" xfId="2621"/>
    <cellStyle name="Вывод 6_46EE.2011(v1.0)" xfId="2622"/>
    <cellStyle name="Вывод 7" xfId="2623"/>
    <cellStyle name="Вывод 7 2" xfId="2624"/>
    <cellStyle name="Вывод 7_46EE.2011(v1.0)" xfId="2625"/>
    <cellStyle name="Вывод 8" xfId="2626"/>
    <cellStyle name="Вывод 8 2" xfId="2627"/>
    <cellStyle name="Вывод 8_46EE.2011(v1.0)" xfId="2628"/>
    <cellStyle name="Вывод 9" xfId="2629"/>
    <cellStyle name="Вывод 9 2" xfId="2630"/>
    <cellStyle name="Вывод 9_46EE.2011(v1.0)" xfId="2631"/>
    <cellStyle name="Вычисление" xfId="2632" builtinId="22" customBuiltin="1"/>
    <cellStyle name="Вычисление 10" xfId="2633"/>
    <cellStyle name="Вычисление 2" xfId="2634"/>
    <cellStyle name="Вычисление 2 10" xfId="2635"/>
    <cellStyle name="Вычисление 2 2" xfId="2636"/>
    <cellStyle name="Вычисление 2 2 2" xfId="2637"/>
    <cellStyle name="Вычисление 2 3" xfId="2638"/>
    <cellStyle name="Вычисление 2 4" xfId="2639"/>
    <cellStyle name="Вычисление 2 5" xfId="2640"/>
    <cellStyle name="Вычисление 2 6" xfId="2641"/>
    <cellStyle name="Вычисление 2 7" xfId="2642"/>
    <cellStyle name="Вычисление 2 8" xfId="2643"/>
    <cellStyle name="Вычисление 2 9" xfId="2644"/>
    <cellStyle name="Вычисление 2_46EE.2011(v1.0)" xfId="2645"/>
    <cellStyle name="Вычисление 3" xfId="2646"/>
    <cellStyle name="Вычисление 3 10" xfId="2647"/>
    <cellStyle name="Вычисление 3 11" xfId="2648"/>
    <cellStyle name="Вычисление 3 2" xfId="2649"/>
    <cellStyle name="Вычисление 3 3" xfId="2650"/>
    <cellStyle name="Вычисление 3 4" xfId="2651"/>
    <cellStyle name="Вычисление 3 5" xfId="2652"/>
    <cellStyle name="Вычисление 3 6" xfId="2653"/>
    <cellStyle name="Вычисление 3 7" xfId="2654"/>
    <cellStyle name="Вычисление 3 8" xfId="2655"/>
    <cellStyle name="Вычисление 3 9" xfId="2656"/>
    <cellStyle name="Вычисление 3_46EE.2011(v1.0)" xfId="2657"/>
    <cellStyle name="Вычисление 4" xfId="2658"/>
    <cellStyle name="Вычисление 4 2" xfId="2659"/>
    <cellStyle name="Вычисление 4_46EE.2011(v1.0)" xfId="2660"/>
    <cellStyle name="Вычисление 5" xfId="2661"/>
    <cellStyle name="Вычисление 5 2" xfId="2662"/>
    <cellStyle name="Вычисление 5_46EE.2011(v1.0)" xfId="2663"/>
    <cellStyle name="Вычисление 6" xfId="2664"/>
    <cellStyle name="Вычисление 6 2" xfId="2665"/>
    <cellStyle name="Вычисление 6_46EE.2011(v1.0)" xfId="2666"/>
    <cellStyle name="Вычисление 7" xfId="2667"/>
    <cellStyle name="Вычисление 7 2" xfId="2668"/>
    <cellStyle name="Вычисление 7_46EE.2011(v1.0)" xfId="2669"/>
    <cellStyle name="Вычисление 8" xfId="2670"/>
    <cellStyle name="Вычисление 8 2" xfId="2671"/>
    <cellStyle name="Вычисление 8_46EE.2011(v1.0)" xfId="2672"/>
    <cellStyle name="Вычисление 9" xfId="2673"/>
    <cellStyle name="Вычисление 9 2" xfId="2674"/>
    <cellStyle name="Вычисление 9_46EE.2011(v1.0)" xfId="2675"/>
    <cellStyle name="Гиперссылка 2" xfId="2676"/>
    <cellStyle name="Гиперссылка 2 10" xfId="2677"/>
    <cellStyle name="Гиперссылка 2 11" xfId="2678"/>
    <cellStyle name="Гиперссылка 2 12" xfId="2679"/>
    <cellStyle name="Гиперссылка 2 13" xfId="2680"/>
    <cellStyle name="Гиперссылка 2 14" xfId="2681"/>
    <cellStyle name="Гиперссылка 2 15" xfId="2682"/>
    <cellStyle name="Гиперссылка 2 16" xfId="2683"/>
    <cellStyle name="Гиперссылка 2 17" xfId="2684"/>
    <cellStyle name="Гиперссылка 2 2" xfId="2685"/>
    <cellStyle name="Гиперссылка 2 2 10" xfId="2686"/>
    <cellStyle name="Гиперссылка 2 2 11" xfId="2687"/>
    <cellStyle name="Гиперссылка 2 2 12" xfId="2688"/>
    <cellStyle name="Гиперссылка 2 2 13" xfId="2689"/>
    <cellStyle name="Гиперссылка 2 2 14" xfId="2690"/>
    <cellStyle name="Гиперссылка 2 2 15" xfId="2691"/>
    <cellStyle name="Гиперссылка 2 2 16" xfId="2692"/>
    <cellStyle name="Гиперссылка 2 2 17" xfId="2693"/>
    <cellStyle name="Гиперссылка 2 2 2" xfId="2694"/>
    <cellStyle name="Гиперссылка 2 2 2 2" xfId="2695"/>
    <cellStyle name="Гиперссылка 2 2 2 3" xfId="2696"/>
    <cellStyle name="Гиперссылка 2 2 3" xfId="2697"/>
    <cellStyle name="Гиперссылка 2 2 4" xfId="2698"/>
    <cellStyle name="Гиперссылка 2 2 5" xfId="2699"/>
    <cellStyle name="Гиперссылка 2 2 6" xfId="2700"/>
    <cellStyle name="Гиперссылка 2 2 7" xfId="2701"/>
    <cellStyle name="Гиперссылка 2 2 8" xfId="2702"/>
    <cellStyle name="Гиперссылка 2 2 9" xfId="2703"/>
    <cellStyle name="Гиперссылка 2 3" xfId="2704"/>
    <cellStyle name="Гиперссылка 2 4" xfId="2705"/>
    <cellStyle name="Гиперссылка 2 5" xfId="2706"/>
    <cellStyle name="Гиперссылка 2 6" xfId="2707"/>
    <cellStyle name="Гиперссылка 2 7" xfId="2708"/>
    <cellStyle name="Гиперссылка 2 8" xfId="2709"/>
    <cellStyle name="Гиперссылка 2 9" xfId="2710"/>
    <cellStyle name="Гиперссылка 3" xfId="2711"/>
    <cellStyle name="Гиперссылка 3 2" xfId="2712"/>
    <cellStyle name="Гиперссылка 4" xfId="2713"/>
    <cellStyle name="Гиперссылка 4 2" xfId="2714"/>
    <cellStyle name="Группа" xfId="2715"/>
    <cellStyle name="Группа 0" xfId="2716"/>
    <cellStyle name="Группа 1" xfId="2717"/>
    <cellStyle name="Группа 2" xfId="2718"/>
    <cellStyle name="Группа 3" xfId="2719"/>
    <cellStyle name="Группа 4" xfId="2720"/>
    <cellStyle name="Группа 5" xfId="2721"/>
    <cellStyle name="Группа 6" xfId="2722"/>
    <cellStyle name="Группа 7" xfId="2723"/>
    <cellStyle name="Группа 8" xfId="2724"/>
    <cellStyle name="Группа_4DNS.UPDATE.EXAMPLE" xfId="2725"/>
    <cellStyle name="ДАТА" xfId="2726"/>
    <cellStyle name="ДАТА 2" xfId="2727"/>
    <cellStyle name="ДАТА 3" xfId="2728"/>
    <cellStyle name="ДАТА 4" xfId="2729"/>
    <cellStyle name="ДАТА 5" xfId="2730"/>
    <cellStyle name="ДАТА 6" xfId="2731"/>
    <cellStyle name="ДАТА 7" xfId="2732"/>
    <cellStyle name="ДАТА 8" xfId="2733"/>
    <cellStyle name="ДАТА 9" xfId="2734"/>
    <cellStyle name="ДАТА_1" xfId="2735"/>
    <cellStyle name="Денежный 2" xfId="2736"/>
    <cellStyle name="Денежный 2 2" xfId="2737"/>
    <cellStyle name="Денежный 2 2 2" xfId="2738"/>
    <cellStyle name="Денежный 2_INDEX.STATION.2012(v1.0)_" xfId="2739"/>
    <cellStyle name="Є_x0004_ЄЄЄЄ_x0004_ЄЄ_x0004_" xfId="2740"/>
    <cellStyle name="Є_x0004_ЄЄЄЄ_x0004_ЄЄ_x0004_ 2" xfId="2741"/>
    <cellStyle name="Заголовок" xfId="2742"/>
    <cellStyle name="Заголовок 1" xfId="2743" builtinId="16" customBuiltin="1"/>
    <cellStyle name="Заголовок 1 10" xfId="2744"/>
    <cellStyle name="Заголовок 1 2" xfId="2745"/>
    <cellStyle name="Заголовок 1 2 10" xfId="2746"/>
    <cellStyle name="Заголовок 1 2 2" xfId="2747"/>
    <cellStyle name="Заголовок 1 2 2 2" xfId="2748"/>
    <cellStyle name="Заголовок 1 2 3" xfId="2749"/>
    <cellStyle name="Заголовок 1 2 4" xfId="2750"/>
    <cellStyle name="Заголовок 1 2 5" xfId="2751"/>
    <cellStyle name="Заголовок 1 2 6" xfId="2752"/>
    <cellStyle name="Заголовок 1 2 7" xfId="2753"/>
    <cellStyle name="Заголовок 1 2 8" xfId="2754"/>
    <cellStyle name="Заголовок 1 2 9" xfId="2755"/>
    <cellStyle name="Заголовок 1 2_46EE.2011(v1.0)" xfId="2756"/>
    <cellStyle name="Заголовок 1 3" xfId="2757"/>
    <cellStyle name="Заголовок 1 3 10" xfId="2758"/>
    <cellStyle name="Заголовок 1 3 11" xfId="2759"/>
    <cellStyle name="Заголовок 1 3 2" xfId="2760"/>
    <cellStyle name="Заголовок 1 3 3" xfId="2761"/>
    <cellStyle name="Заголовок 1 3 4" xfId="2762"/>
    <cellStyle name="Заголовок 1 3 5" xfId="2763"/>
    <cellStyle name="Заголовок 1 3 6" xfId="2764"/>
    <cellStyle name="Заголовок 1 3 7" xfId="2765"/>
    <cellStyle name="Заголовок 1 3 8" xfId="2766"/>
    <cellStyle name="Заголовок 1 3 9" xfId="2767"/>
    <cellStyle name="Заголовок 1 3_46EE.2011(v1.0)" xfId="2768"/>
    <cellStyle name="Заголовок 1 4" xfId="2769"/>
    <cellStyle name="Заголовок 1 4 2" xfId="2770"/>
    <cellStyle name="Заголовок 1 4_46EE.2011(v1.0)" xfId="2771"/>
    <cellStyle name="Заголовок 1 5" xfId="2772"/>
    <cellStyle name="Заголовок 1 5 2" xfId="2773"/>
    <cellStyle name="Заголовок 1 5_46EE.2011(v1.0)" xfId="2774"/>
    <cellStyle name="Заголовок 1 6" xfId="2775"/>
    <cellStyle name="Заголовок 1 6 2" xfId="2776"/>
    <cellStyle name="Заголовок 1 6_46EE.2011(v1.0)" xfId="2777"/>
    <cellStyle name="Заголовок 1 7" xfId="2778"/>
    <cellStyle name="Заголовок 1 7 2" xfId="2779"/>
    <cellStyle name="Заголовок 1 7_46EE.2011(v1.0)" xfId="2780"/>
    <cellStyle name="Заголовок 1 8" xfId="2781"/>
    <cellStyle name="Заголовок 1 8 2" xfId="2782"/>
    <cellStyle name="Заголовок 1 8_46EE.2011(v1.0)" xfId="2783"/>
    <cellStyle name="Заголовок 1 9" xfId="2784"/>
    <cellStyle name="Заголовок 1 9 2" xfId="2785"/>
    <cellStyle name="Заголовок 1 9_46EE.2011(v1.0)" xfId="2786"/>
    <cellStyle name="Заголовок 2" xfId="2787" builtinId="17" customBuiltin="1"/>
    <cellStyle name="Заголовок 2 10" xfId="2788"/>
    <cellStyle name="Заголовок 2 11" xfId="2789"/>
    <cellStyle name="Заголовок 2 2" xfId="2790"/>
    <cellStyle name="Заголовок 2 2 10" xfId="2791"/>
    <cellStyle name="Заголовок 2 2 2" xfId="2792"/>
    <cellStyle name="Заголовок 2 2 2 2" xfId="2793"/>
    <cellStyle name="Заголовок 2 2 3" xfId="2794"/>
    <cellStyle name="Заголовок 2 2 4" xfId="2795"/>
    <cellStyle name="Заголовок 2 2 5" xfId="2796"/>
    <cellStyle name="Заголовок 2 2 6" xfId="2797"/>
    <cellStyle name="Заголовок 2 2 7" xfId="2798"/>
    <cellStyle name="Заголовок 2 2 8" xfId="2799"/>
    <cellStyle name="Заголовок 2 2 9" xfId="2800"/>
    <cellStyle name="Заголовок 2 2_46EE.2011(v1.0)" xfId="2801"/>
    <cellStyle name="Заголовок 2 3" xfId="2802"/>
    <cellStyle name="Заголовок 2 3 10" xfId="2803"/>
    <cellStyle name="Заголовок 2 3 11" xfId="2804"/>
    <cellStyle name="Заголовок 2 3 2" xfId="2805"/>
    <cellStyle name="Заголовок 2 3 3" xfId="2806"/>
    <cellStyle name="Заголовок 2 3 4" xfId="2807"/>
    <cellStyle name="Заголовок 2 3 5" xfId="2808"/>
    <cellStyle name="Заголовок 2 3 6" xfId="2809"/>
    <cellStyle name="Заголовок 2 3 7" xfId="2810"/>
    <cellStyle name="Заголовок 2 3 8" xfId="2811"/>
    <cellStyle name="Заголовок 2 3 9" xfId="2812"/>
    <cellStyle name="Заголовок 2 3_46EE.2011(v1.0)" xfId="2813"/>
    <cellStyle name="Заголовок 2 4" xfId="2814"/>
    <cellStyle name="Заголовок 2 4 2" xfId="2815"/>
    <cellStyle name="Заголовок 2 4_46EE.2011(v1.0)" xfId="2816"/>
    <cellStyle name="Заголовок 2 5" xfId="2817"/>
    <cellStyle name="Заголовок 2 5 2" xfId="2818"/>
    <cellStyle name="Заголовок 2 5_46EE.2011(v1.0)" xfId="2819"/>
    <cellStyle name="Заголовок 2 6" xfId="2820"/>
    <cellStyle name="Заголовок 2 6 2" xfId="2821"/>
    <cellStyle name="Заголовок 2 6_46EE.2011(v1.0)" xfId="2822"/>
    <cellStyle name="Заголовок 2 7" xfId="2823"/>
    <cellStyle name="Заголовок 2 7 2" xfId="2824"/>
    <cellStyle name="Заголовок 2 7_46EE.2011(v1.0)" xfId="2825"/>
    <cellStyle name="Заголовок 2 8" xfId="2826"/>
    <cellStyle name="Заголовок 2 8 2" xfId="2827"/>
    <cellStyle name="Заголовок 2 8_46EE.2011(v1.0)" xfId="2828"/>
    <cellStyle name="Заголовок 2 9" xfId="2829"/>
    <cellStyle name="Заголовок 2 9 2" xfId="2830"/>
    <cellStyle name="Заголовок 2 9_46EE.2011(v1.0)" xfId="2831"/>
    <cellStyle name="Заголовок 3" xfId="2832" builtinId="18" customBuiltin="1"/>
    <cellStyle name="Заголовок 3 10" xfId="2833"/>
    <cellStyle name="Заголовок 3 11" xfId="2834"/>
    <cellStyle name="Заголовок 3 2" xfId="2835"/>
    <cellStyle name="Заголовок 3 2 10" xfId="2836"/>
    <cellStyle name="Заголовок 3 2 2" xfId="2837"/>
    <cellStyle name="Заголовок 3 2 2 2" xfId="2838"/>
    <cellStyle name="Заголовок 3 2 3" xfId="2839"/>
    <cellStyle name="Заголовок 3 2 4" xfId="2840"/>
    <cellStyle name="Заголовок 3 2 5" xfId="2841"/>
    <cellStyle name="Заголовок 3 2 6" xfId="2842"/>
    <cellStyle name="Заголовок 3 2 7" xfId="2843"/>
    <cellStyle name="Заголовок 3 2 8" xfId="2844"/>
    <cellStyle name="Заголовок 3 2 9" xfId="2845"/>
    <cellStyle name="Заголовок 3 2_46EE.2011(v1.0)" xfId="2846"/>
    <cellStyle name="Заголовок 3 3" xfId="2847"/>
    <cellStyle name="Заголовок 3 3 10" xfId="2848"/>
    <cellStyle name="Заголовок 3 3 11" xfId="2849"/>
    <cellStyle name="Заголовок 3 3 2" xfId="2850"/>
    <cellStyle name="Заголовок 3 3 3" xfId="2851"/>
    <cellStyle name="Заголовок 3 3 4" xfId="2852"/>
    <cellStyle name="Заголовок 3 3 5" xfId="2853"/>
    <cellStyle name="Заголовок 3 3 6" xfId="2854"/>
    <cellStyle name="Заголовок 3 3 7" xfId="2855"/>
    <cellStyle name="Заголовок 3 3 8" xfId="2856"/>
    <cellStyle name="Заголовок 3 3 9" xfId="2857"/>
    <cellStyle name="Заголовок 3 3_46EE.2011(v1.0)" xfId="2858"/>
    <cellStyle name="Заголовок 3 4" xfId="2859"/>
    <cellStyle name="Заголовок 3 4 2" xfId="2860"/>
    <cellStyle name="Заголовок 3 4_46EE.2011(v1.0)" xfId="2861"/>
    <cellStyle name="Заголовок 3 5" xfId="2862"/>
    <cellStyle name="Заголовок 3 5 2" xfId="2863"/>
    <cellStyle name="Заголовок 3 5_46EE.2011(v1.0)" xfId="2864"/>
    <cellStyle name="Заголовок 3 6" xfId="2865"/>
    <cellStyle name="Заголовок 3 6 2" xfId="2866"/>
    <cellStyle name="Заголовок 3 6_46EE.2011(v1.0)" xfId="2867"/>
    <cellStyle name="Заголовок 3 7" xfId="2868"/>
    <cellStyle name="Заголовок 3 7 2" xfId="2869"/>
    <cellStyle name="Заголовок 3 7_46EE.2011(v1.0)" xfId="2870"/>
    <cellStyle name="Заголовок 3 8" xfId="2871"/>
    <cellStyle name="Заголовок 3 8 2" xfId="2872"/>
    <cellStyle name="Заголовок 3 8_46EE.2011(v1.0)" xfId="2873"/>
    <cellStyle name="Заголовок 3 9" xfId="2874"/>
    <cellStyle name="Заголовок 3 9 2" xfId="2875"/>
    <cellStyle name="Заголовок 3 9_46EE.2011(v1.0)" xfId="2876"/>
    <cellStyle name="Заголовок 4" xfId="2877" builtinId="19" customBuiltin="1"/>
    <cellStyle name="Заголовок 4 10" xfId="2878"/>
    <cellStyle name="Заголовок 4 2" xfId="2879"/>
    <cellStyle name="Заголовок 4 2 10" xfId="2880"/>
    <cellStyle name="Заголовок 4 2 2" xfId="2881"/>
    <cellStyle name="Заголовок 4 2 2 2" xfId="2882"/>
    <cellStyle name="Заголовок 4 2 3" xfId="2883"/>
    <cellStyle name="Заголовок 4 2 4" xfId="2884"/>
    <cellStyle name="Заголовок 4 2 5" xfId="2885"/>
    <cellStyle name="Заголовок 4 2 6" xfId="2886"/>
    <cellStyle name="Заголовок 4 2 7" xfId="2887"/>
    <cellStyle name="Заголовок 4 2 8" xfId="2888"/>
    <cellStyle name="Заголовок 4 2 9" xfId="2889"/>
    <cellStyle name="Заголовок 4 2_МФ тепловой баланс 2015 дубль 3" xfId="2890"/>
    <cellStyle name="Заголовок 4 3" xfId="2891"/>
    <cellStyle name="Заголовок 4 3 10" xfId="2892"/>
    <cellStyle name="Заголовок 4 3 11" xfId="2893"/>
    <cellStyle name="Заголовок 4 3 2" xfId="2894"/>
    <cellStyle name="Заголовок 4 3 3" xfId="2895"/>
    <cellStyle name="Заголовок 4 3 4" xfId="2896"/>
    <cellStyle name="Заголовок 4 3 5" xfId="2897"/>
    <cellStyle name="Заголовок 4 3 6" xfId="2898"/>
    <cellStyle name="Заголовок 4 3 7" xfId="2899"/>
    <cellStyle name="Заголовок 4 3 8" xfId="2900"/>
    <cellStyle name="Заголовок 4 3 9" xfId="2901"/>
    <cellStyle name="Заголовок 4 3_МФ тепловой баланс 2015 дубль 3" xfId="2902"/>
    <cellStyle name="Заголовок 4 4" xfId="2903"/>
    <cellStyle name="Заголовок 4 4 2" xfId="2904"/>
    <cellStyle name="Заголовок 4 4_МФ тепловой баланс 2015 дубль 3" xfId="2905"/>
    <cellStyle name="Заголовок 4 5" xfId="2906"/>
    <cellStyle name="Заголовок 4 5 2" xfId="2907"/>
    <cellStyle name="Заголовок 4 5_МФ тепловой баланс 2015 дубль 3" xfId="2908"/>
    <cellStyle name="Заголовок 4 6" xfId="2909"/>
    <cellStyle name="Заголовок 4 6 2" xfId="2910"/>
    <cellStyle name="Заголовок 4 6_МФ тепловой баланс 2015 дубль 3" xfId="2911"/>
    <cellStyle name="Заголовок 4 7" xfId="2912"/>
    <cellStyle name="Заголовок 4 7 2" xfId="2913"/>
    <cellStyle name="Заголовок 4 7_МФ тепловой баланс 2015 дубль 3" xfId="2914"/>
    <cellStyle name="Заголовок 4 8" xfId="2915"/>
    <cellStyle name="Заголовок 4 8 2" xfId="2916"/>
    <cellStyle name="Заголовок 4 9" xfId="2917"/>
    <cellStyle name="Заголовок 4 9 2" xfId="2918"/>
    <cellStyle name="Заголовок 5" xfId="2919"/>
    <cellStyle name="Заголовок 6" xfId="2920"/>
    <cellStyle name="ЗАГОЛОВОК1" xfId="2921"/>
    <cellStyle name="ЗАГОЛОВОК2" xfId="2922"/>
    <cellStyle name="ЗаголовокСтолбца" xfId="2923"/>
    <cellStyle name="Защитный" xfId="2924"/>
    <cellStyle name="Значение" xfId="2925"/>
    <cellStyle name="Зоголовок" xfId="2926"/>
    <cellStyle name="Итог" xfId="2927" builtinId="25" customBuiltin="1"/>
    <cellStyle name="Итог 10" xfId="2928"/>
    <cellStyle name="Итог 2" xfId="2929"/>
    <cellStyle name="Итог 2 10" xfId="2930"/>
    <cellStyle name="Итог 2 2" xfId="2931"/>
    <cellStyle name="Итог 2 2 2" xfId="2932"/>
    <cellStyle name="Итог 2 3" xfId="2933"/>
    <cellStyle name="Итог 2 4" xfId="2934"/>
    <cellStyle name="Итог 2 5" xfId="2935"/>
    <cellStyle name="Итог 2 6" xfId="2936"/>
    <cellStyle name="Итог 2 7" xfId="2937"/>
    <cellStyle name="Итог 2 8" xfId="2938"/>
    <cellStyle name="Итог 2 9" xfId="2939"/>
    <cellStyle name="Итог 2_46EE.2011(v1.0)" xfId="2940"/>
    <cellStyle name="Итог 3" xfId="2941"/>
    <cellStyle name="Итог 3 10" xfId="2942"/>
    <cellStyle name="Итог 3 11" xfId="2943"/>
    <cellStyle name="Итог 3 2" xfId="2944"/>
    <cellStyle name="Итог 3 3" xfId="2945"/>
    <cellStyle name="Итог 3 4" xfId="2946"/>
    <cellStyle name="Итог 3 5" xfId="2947"/>
    <cellStyle name="Итог 3 6" xfId="2948"/>
    <cellStyle name="Итог 3 7" xfId="2949"/>
    <cellStyle name="Итог 3 8" xfId="2950"/>
    <cellStyle name="Итог 3 9" xfId="2951"/>
    <cellStyle name="Итог 3_46EE.2011(v1.0)" xfId="2952"/>
    <cellStyle name="Итог 4" xfId="2953"/>
    <cellStyle name="Итог 4 2" xfId="2954"/>
    <cellStyle name="Итог 4_46EE.2011(v1.0)" xfId="2955"/>
    <cellStyle name="Итог 5" xfId="2956"/>
    <cellStyle name="Итог 5 2" xfId="2957"/>
    <cellStyle name="Итог 5_46EE.2011(v1.0)" xfId="2958"/>
    <cellStyle name="Итог 6" xfId="2959"/>
    <cellStyle name="Итог 6 2" xfId="2960"/>
    <cellStyle name="Итог 6_46EE.2011(v1.0)" xfId="2961"/>
    <cellStyle name="Итог 7" xfId="2962"/>
    <cellStyle name="Итог 7 2" xfId="2963"/>
    <cellStyle name="Итог 7_46EE.2011(v1.0)" xfId="2964"/>
    <cellStyle name="Итог 8" xfId="2965"/>
    <cellStyle name="Итог 8 2" xfId="2966"/>
    <cellStyle name="Итог 8_46EE.2011(v1.0)" xfId="2967"/>
    <cellStyle name="Итог 9" xfId="2968"/>
    <cellStyle name="Итог 9 2" xfId="2969"/>
    <cellStyle name="Итог 9_46EE.2011(v1.0)" xfId="2970"/>
    <cellStyle name="Итого" xfId="2971"/>
    <cellStyle name="ИТОГОВЫЙ" xfId="2972"/>
    <cellStyle name="ИТОГОВЫЙ 2" xfId="2973"/>
    <cellStyle name="ИТОГОВЫЙ 3" xfId="2974"/>
    <cellStyle name="ИТОГОВЫЙ 4" xfId="2975"/>
    <cellStyle name="ИТОГОВЫЙ 5" xfId="2976"/>
    <cellStyle name="ИТОГОВЫЙ 6" xfId="2977"/>
    <cellStyle name="ИТОГОВЫЙ 7" xfId="2978"/>
    <cellStyle name="ИТОГОВЫЙ 8" xfId="2979"/>
    <cellStyle name="ИТОГОВЫЙ 9" xfId="2980"/>
    <cellStyle name="ИТОГОВЫЙ_1" xfId="2981"/>
    <cellStyle name="Контрольная ячейка" xfId="2982" builtinId="23" customBuiltin="1"/>
    <cellStyle name="Контрольная ячейка 10" xfId="2983"/>
    <cellStyle name="Контрольная ячейка 2" xfId="2984"/>
    <cellStyle name="Контрольная ячейка 2 10" xfId="2985"/>
    <cellStyle name="Контрольная ячейка 2 2" xfId="2986"/>
    <cellStyle name="Контрольная ячейка 2 2 2" xfId="2987"/>
    <cellStyle name="Контрольная ячейка 2 3" xfId="2988"/>
    <cellStyle name="Контрольная ячейка 2 4" xfId="2989"/>
    <cellStyle name="Контрольная ячейка 2 5" xfId="2990"/>
    <cellStyle name="Контрольная ячейка 2 6" xfId="2991"/>
    <cellStyle name="Контрольная ячейка 2 7" xfId="2992"/>
    <cellStyle name="Контрольная ячейка 2 8" xfId="2993"/>
    <cellStyle name="Контрольная ячейка 2 9" xfId="2994"/>
    <cellStyle name="Контрольная ячейка 2_46EE.2011(v1.0)" xfId="2995"/>
    <cellStyle name="Контрольная ячейка 3" xfId="2996"/>
    <cellStyle name="Контрольная ячейка 3 10" xfId="2997"/>
    <cellStyle name="Контрольная ячейка 3 11" xfId="2998"/>
    <cellStyle name="Контрольная ячейка 3 2" xfId="2999"/>
    <cellStyle name="Контрольная ячейка 3 3" xfId="3000"/>
    <cellStyle name="Контрольная ячейка 3 4" xfId="3001"/>
    <cellStyle name="Контрольная ячейка 3 5" xfId="3002"/>
    <cellStyle name="Контрольная ячейка 3 6" xfId="3003"/>
    <cellStyle name="Контрольная ячейка 3 7" xfId="3004"/>
    <cellStyle name="Контрольная ячейка 3 8" xfId="3005"/>
    <cellStyle name="Контрольная ячейка 3 9" xfId="3006"/>
    <cellStyle name="Контрольная ячейка 3_46EE.2011(v1.0)" xfId="3007"/>
    <cellStyle name="Контрольная ячейка 4" xfId="3008"/>
    <cellStyle name="Контрольная ячейка 4 2" xfId="3009"/>
    <cellStyle name="Контрольная ячейка 4_46EE.2011(v1.0)" xfId="3010"/>
    <cellStyle name="Контрольная ячейка 5" xfId="3011"/>
    <cellStyle name="Контрольная ячейка 5 2" xfId="3012"/>
    <cellStyle name="Контрольная ячейка 5_46EE.2011(v1.0)" xfId="3013"/>
    <cellStyle name="Контрольная ячейка 6" xfId="3014"/>
    <cellStyle name="Контрольная ячейка 6 2" xfId="3015"/>
    <cellStyle name="Контрольная ячейка 6_46EE.2011(v1.0)" xfId="3016"/>
    <cellStyle name="Контрольная ячейка 7" xfId="3017"/>
    <cellStyle name="Контрольная ячейка 7 2" xfId="3018"/>
    <cellStyle name="Контрольная ячейка 7_46EE.2011(v1.0)" xfId="3019"/>
    <cellStyle name="Контрольная ячейка 8" xfId="3020"/>
    <cellStyle name="Контрольная ячейка 8 2" xfId="3021"/>
    <cellStyle name="Контрольная ячейка 8_46EE.2011(v1.0)" xfId="3022"/>
    <cellStyle name="Контрольная ячейка 9" xfId="3023"/>
    <cellStyle name="Контрольная ячейка 9 2" xfId="3024"/>
    <cellStyle name="Контрольная ячейка 9_46EE.2011(v1.0)" xfId="3025"/>
    <cellStyle name="Миша (бланки отчетности)" xfId="3026"/>
    <cellStyle name="Мои наименования показателей" xfId="3031"/>
    <cellStyle name="Мои наименования показателей 2" xfId="3032"/>
    <cellStyle name="Мои наименования показателей 2 2" xfId="3033"/>
    <cellStyle name="Мои наименования показателей 2 3" xfId="3034"/>
    <cellStyle name="Мои наименования показателей 2 4" xfId="3035"/>
    <cellStyle name="Мои наименования показателей 2 5" xfId="3036"/>
    <cellStyle name="Мои наименования показателей 2 6" xfId="3037"/>
    <cellStyle name="Мои наименования показателей 2 7" xfId="3038"/>
    <cellStyle name="Мои наименования показателей 2 8" xfId="3039"/>
    <cellStyle name="Мои наименования показателей 2 9" xfId="3040"/>
    <cellStyle name="Мои наименования показателей 2_1" xfId="3041"/>
    <cellStyle name="Мои наименования показателей 3" xfId="3042"/>
    <cellStyle name="Мои наименования показателей 3 2" xfId="3043"/>
    <cellStyle name="Мои наименования показателей 3 3" xfId="3044"/>
    <cellStyle name="Мои наименования показателей 3 4" xfId="3045"/>
    <cellStyle name="Мои наименования показателей 3 5" xfId="3046"/>
    <cellStyle name="Мои наименования показателей 3 6" xfId="3047"/>
    <cellStyle name="Мои наименования показателей 3 7" xfId="3048"/>
    <cellStyle name="Мои наименования показателей 3 8" xfId="3049"/>
    <cellStyle name="Мои наименования показателей 3 9" xfId="3050"/>
    <cellStyle name="Мои наименования показателей 3_1" xfId="3051"/>
    <cellStyle name="Мои наименования показателей 4" xfId="3052"/>
    <cellStyle name="Мои наименования показателей 4 2" xfId="3053"/>
    <cellStyle name="Мои наименования показателей 4 3" xfId="3054"/>
    <cellStyle name="Мои наименования показателей 4 4" xfId="3055"/>
    <cellStyle name="Мои наименования показателей 4 5" xfId="3056"/>
    <cellStyle name="Мои наименования показателей 4 6" xfId="3057"/>
    <cellStyle name="Мои наименования показателей 4 7" xfId="3058"/>
    <cellStyle name="Мои наименования показателей 4 8" xfId="3059"/>
    <cellStyle name="Мои наименования показателей 4 9" xfId="3060"/>
    <cellStyle name="Мои наименования показателей 4_1" xfId="3061"/>
    <cellStyle name="Мои наименования показателей 5" xfId="3062"/>
    <cellStyle name="Мои наименования показателей 5 2" xfId="3063"/>
    <cellStyle name="Мои наименования показателей 5 3" xfId="3064"/>
    <cellStyle name="Мои наименования показателей 5 4" xfId="3065"/>
    <cellStyle name="Мои наименования показателей 5 5" xfId="3066"/>
    <cellStyle name="Мои наименования показателей 5 6" xfId="3067"/>
    <cellStyle name="Мои наименования показателей 5 7" xfId="3068"/>
    <cellStyle name="Мои наименования показателей 5 8" xfId="3069"/>
    <cellStyle name="Мои наименования показателей 5 9" xfId="3070"/>
    <cellStyle name="Мои наименования показателей 5_1" xfId="3071"/>
    <cellStyle name="Мои наименования показателей 6" xfId="3072"/>
    <cellStyle name="Мои наименования показателей 6 2" xfId="3073"/>
    <cellStyle name="Мои наименования показателей 6 3" xfId="3074"/>
    <cellStyle name="Мои наименования показателей 6_46EE.2011(v1.0)" xfId="3075"/>
    <cellStyle name="Мои наименования показателей 7" xfId="3076"/>
    <cellStyle name="Мои наименования показателей 7 2" xfId="3077"/>
    <cellStyle name="Мои наименования показателей 7 3" xfId="3078"/>
    <cellStyle name="Мои наименования показателей 7_46EE.2011(v1.0)" xfId="3079"/>
    <cellStyle name="Мои наименования показателей 8" xfId="3080"/>
    <cellStyle name="Мои наименования показателей 8 2" xfId="3081"/>
    <cellStyle name="Мои наименования показателей 8 3" xfId="3082"/>
    <cellStyle name="Мои наименования показателей 8_46EE.2011(v1.0)" xfId="3083"/>
    <cellStyle name="Мои наименования показателей_46EE.2011" xfId="3084"/>
    <cellStyle name="Мой заголовок" xfId="3027"/>
    <cellStyle name="Мой заголовок листа" xfId="3028"/>
    <cellStyle name="Мой заголовок листа 2" xfId="3029"/>
    <cellStyle name="Мой заголовок_Новая инструкция1_фст" xfId="3030"/>
    <cellStyle name="назв фил" xfId="3085"/>
    <cellStyle name="Название" xfId="3086" builtinId="15" customBuiltin="1"/>
    <cellStyle name="Название 10" xfId="3087"/>
    <cellStyle name="Название 2" xfId="3088"/>
    <cellStyle name="Название 2 10" xfId="3089"/>
    <cellStyle name="Название 2 2" xfId="3090"/>
    <cellStyle name="Название 2 3" xfId="3091"/>
    <cellStyle name="Название 2 4" xfId="3092"/>
    <cellStyle name="Название 2 5" xfId="3093"/>
    <cellStyle name="Название 2 6" xfId="3094"/>
    <cellStyle name="Название 2 7" xfId="3095"/>
    <cellStyle name="Название 2 8" xfId="3096"/>
    <cellStyle name="Название 2 9" xfId="3097"/>
    <cellStyle name="Название 3" xfId="3098"/>
    <cellStyle name="Название 3 10" xfId="3099"/>
    <cellStyle name="Название 3 2" xfId="3100"/>
    <cellStyle name="Название 3 3" xfId="3101"/>
    <cellStyle name="Название 3 4" xfId="3102"/>
    <cellStyle name="Название 3 5" xfId="3103"/>
    <cellStyle name="Название 3 6" xfId="3104"/>
    <cellStyle name="Название 3 7" xfId="3105"/>
    <cellStyle name="Название 3 8" xfId="3106"/>
    <cellStyle name="Название 3 9" xfId="3107"/>
    <cellStyle name="Название 4" xfId="3108"/>
    <cellStyle name="Название 4 2" xfId="3109"/>
    <cellStyle name="Название 5" xfId="3110"/>
    <cellStyle name="Название 5 2" xfId="3111"/>
    <cellStyle name="Название 6" xfId="3112"/>
    <cellStyle name="Название 6 2" xfId="3113"/>
    <cellStyle name="Название 7" xfId="3114"/>
    <cellStyle name="Название 7 2" xfId="3115"/>
    <cellStyle name="Название 8" xfId="3116"/>
    <cellStyle name="Название 8 2" xfId="3117"/>
    <cellStyle name="Название 9" xfId="3118"/>
    <cellStyle name="Название 9 2" xfId="3119"/>
    <cellStyle name="Невидимый" xfId="3120"/>
    <cellStyle name="Нейтральный" xfId="3121" builtinId="28" customBuiltin="1"/>
    <cellStyle name="Нейтральный 10" xfId="3122"/>
    <cellStyle name="Нейтральный 2" xfId="3123"/>
    <cellStyle name="Нейтральный 2 10" xfId="3124"/>
    <cellStyle name="Нейтральный 2 2" xfId="3125"/>
    <cellStyle name="Нейтральный 2 2 2" xfId="3126"/>
    <cellStyle name="Нейтральный 2 3" xfId="3127"/>
    <cellStyle name="Нейтральный 2 4" xfId="3128"/>
    <cellStyle name="Нейтральный 2 5" xfId="3129"/>
    <cellStyle name="Нейтральный 2 6" xfId="3130"/>
    <cellStyle name="Нейтральный 2 7" xfId="3131"/>
    <cellStyle name="Нейтральный 2 8" xfId="3132"/>
    <cellStyle name="Нейтральный 2 9" xfId="3133"/>
    <cellStyle name="Нейтральный 2_МФ тепловой баланс 2015 дубль 3" xfId="3134"/>
    <cellStyle name="Нейтральный 3" xfId="3135"/>
    <cellStyle name="Нейтральный 3 10" xfId="3136"/>
    <cellStyle name="Нейтральный 3 11" xfId="3137"/>
    <cellStyle name="Нейтральный 3 2" xfId="3138"/>
    <cellStyle name="Нейтральный 3 3" xfId="3139"/>
    <cellStyle name="Нейтральный 3 4" xfId="3140"/>
    <cellStyle name="Нейтральный 3 5" xfId="3141"/>
    <cellStyle name="Нейтральный 3 6" xfId="3142"/>
    <cellStyle name="Нейтральный 3 7" xfId="3143"/>
    <cellStyle name="Нейтральный 3 8" xfId="3144"/>
    <cellStyle name="Нейтральный 3 9" xfId="3145"/>
    <cellStyle name="Нейтральный 3_МФ тепловой баланс 2015 дубль 3" xfId="3146"/>
    <cellStyle name="Нейтральный 4" xfId="3147"/>
    <cellStyle name="Нейтральный 4 2" xfId="3148"/>
    <cellStyle name="Нейтральный 4_МФ тепловой баланс 2015 дубль 3" xfId="3149"/>
    <cellStyle name="Нейтральный 5" xfId="3150"/>
    <cellStyle name="Нейтральный 5 2" xfId="3151"/>
    <cellStyle name="Нейтральный 5_МФ тепловой баланс 2015 дубль 3" xfId="3152"/>
    <cellStyle name="Нейтральный 6" xfId="3153"/>
    <cellStyle name="Нейтральный 6 2" xfId="3154"/>
    <cellStyle name="Нейтральный 6_МФ тепловой баланс 2015 дубль 3" xfId="3155"/>
    <cellStyle name="Нейтральный 7" xfId="3156"/>
    <cellStyle name="Нейтральный 7 2" xfId="3157"/>
    <cellStyle name="Нейтральный 7_МФ тепловой баланс 2015 дубль 3" xfId="3158"/>
    <cellStyle name="Нейтральный 8" xfId="3159"/>
    <cellStyle name="Нейтральный 8 2" xfId="3160"/>
    <cellStyle name="Нейтральный 9" xfId="3161"/>
    <cellStyle name="Нейтральный 9 2" xfId="3162"/>
    <cellStyle name="Низ1" xfId="3163"/>
    <cellStyle name="Низ2" xfId="3164"/>
    <cellStyle name="Обычный" xfId="0" builtinId="0"/>
    <cellStyle name="Обычный 10" xfId="3165"/>
    <cellStyle name="Обычный 10 2" xfId="3166"/>
    <cellStyle name="Обычный 10 2 2" xfId="3167"/>
    <cellStyle name="Обычный 10 2 2 2" xfId="4333"/>
    <cellStyle name="Обычный 10 2 3" xfId="3168"/>
    <cellStyle name="Обычный 10 2 4" xfId="3169"/>
    <cellStyle name="Обычный 10 2 4 2" xfId="4334"/>
    <cellStyle name="Обычный 10 2 5" xfId="4332"/>
    <cellStyle name="Обычный 10 3" xfId="3170"/>
    <cellStyle name="Обычный 10 3 2" xfId="3171"/>
    <cellStyle name="Обычный 10 4" xfId="3172"/>
    <cellStyle name="Обычный 10 5" xfId="3173"/>
    <cellStyle name="Обычный 10 6" xfId="3174"/>
    <cellStyle name="Обычный 10 6 2" xfId="4335"/>
    <cellStyle name="Обычный 10 7" xfId="4331"/>
    <cellStyle name="Обычный 11" xfId="3175"/>
    <cellStyle name="Обычный 11 2" xfId="3176"/>
    <cellStyle name="Обычный 11 3" xfId="3177"/>
    <cellStyle name="Обычный 11 4" xfId="3178"/>
    <cellStyle name="Обычный 11 4 2" xfId="4337"/>
    <cellStyle name="Обычный 11 5" xfId="3179"/>
    <cellStyle name="Обычный 11 5 2" xfId="4338"/>
    <cellStyle name="Обычный 11 6" xfId="3180"/>
    <cellStyle name="Обычный 11 7" xfId="3181"/>
    <cellStyle name="Обычный 11 8" xfId="4336"/>
    <cellStyle name="Обычный 11_46EE.2011(v1.2)" xfId="3182"/>
    <cellStyle name="Обычный 12" xfId="3183"/>
    <cellStyle name="Обычный 12 2" xfId="3184"/>
    <cellStyle name="Обычный 12 2 2" xfId="3185"/>
    <cellStyle name="Обычный 12 2 2 2" xfId="3186"/>
    <cellStyle name="Обычный 12 2 3" xfId="3187"/>
    <cellStyle name="Обычный 12 3" xfId="3188"/>
    <cellStyle name="Обычный 12 3 2" xfId="3189"/>
    <cellStyle name="Обычный 12 3 2 2" xfId="3190"/>
    <cellStyle name="Обычный 12 4" xfId="3191"/>
    <cellStyle name="Обычный 12 5" xfId="3192"/>
    <cellStyle name="Обычный 12 5 2" xfId="3193"/>
    <cellStyle name="Обычный 12 5 2 2" xfId="4341"/>
    <cellStyle name="Обычный 12 5 3" xfId="4340"/>
    <cellStyle name="Обычный 12 6" xfId="4339"/>
    <cellStyle name="Обычный 13" xfId="3194"/>
    <cellStyle name="Обычный 13 2" xfId="3195"/>
    <cellStyle name="Обычный 14" xfId="3196"/>
    <cellStyle name="Обычный 14 2" xfId="3197"/>
    <cellStyle name="Обычный 15" xfId="3198"/>
    <cellStyle name="Обычный 15 2" xfId="3199"/>
    <cellStyle name="Обычный 15 2 2" xfId="3200"/>
    <cellStyle name="Обычный 15 3" xfId="4342"/>
    <cellStyle name="Обычный 16" xfId="3201"/>
    <cellStyle name="Обычный 16 2" xfId="3202"/>
    <cellStyle name="Обычный 16 3" xfId="4343"/>
    <cellStyle name="Обычный 17" xfId="3203"/>
    <cellStyle name="Обычный 17 2" xfId="3204"/>
    <cellStyle name="Обычный 17 3" xfId="4344"/>
    <cellStyle name="Обычный 18" xfId="3205"/>
    <cellStyle name="Обычный 18 2" xfId="3206"/>
    <cellStyle name="Обычный 19 2" xfId="3207"/>
    <cellStyle name="Обычный 2" xfId="3208"/>
    <cellStyle name="Обычный 2 10" xfId="3209"/>
    <cellStyle name="Обычный 2 10 2" xfId="3210"/>
    <cellStyle name="Обычный 2 10 3" xfId="3211"/>
    <cellStyle name="Обычный 2 11" xfId="3212"/>
    <cellStyle name="Обычный 2 11 2" xfId="3213"/>
    <cellStyle name="Обычный 2 12" xfId="3214"/>
    <cellStyle name="Обычный 2 12 2" xfId="3215"/>
    <cellStyle name="Обычный 2 13" xfId="3216"/>
    <cellStyle name="Обычный 2 13 2" xfId="3217"/>
    <cellStyle name="Обычный 2 14" xfId="3218"/>
    <cellStyle name="Обычный 2 15" xfId="3219"/>
    <cellStyle name="Обычный 2 16" xfId="3220"/>
    <cellStyle name="Обычный 2 2" xfId="3221"/>
    <cellStyle name="Обычный 2 2 2" xfId="3222"/>
    <cellStyle name="Обычный 2 2 2 2" xfId="3223"/>
    <cellStyle name="Обычный 2 2 3" xfId="3224"/>
    <cellStyle name="Обычный 2 2 4" xfId="3225"/>
    <cellStyle name="Обычный 2 2 4 2" xfId="3226"/>
    <cellStyle name="Обычный 2 2 5" xfId="3227"/>
    <cellStyle name="Обычный 2 2 6" xfId="3228"/>
    <cellStyle name="Обычный 2 2 7" xfId="3229"/>
    <cellStyle name="Обычный 2 2 8" xfId="3230"/>
    <cellStyle name="Обычный 2 2_2014 АрхТепло Производственная" xfId="3231"/>
    <cellStyle name="Обычный 2 3" xfId="3232"/>
    <cellStyle name="Обычный 2 3 2" xfId="3233"/>
    <cellStyle name="Обычный 2 3 3" xfId="3234"/>
    <cellStyle name="Обычный 2 3 3 2" xfId="3235"/>
    <cellStyle name="Обычный 2 3 4" xfId="3236"/>
    <cellStyle name="Обычный 2 3 5" xfId="3237"/>
    <cellStyle name="Обычный 2 3 5 2" xfId="4345"/>
    <cellStyle name="Обычный 2 3 6" xfId="3238"/>
    <cellStyle name="Обычный 2 3_46EE.2011(v1.0)" xfId="3239"/>
    <cellStyle name="Обычный 2 4" xfId="3240"/>
    <cellStyle name="Обычный 2 4 2" xfId="3241"/>
    <cellStyle name="Обычный 2 4 2 2" xfId="3242"/>
    <cellStyle name="Обычный 2 4 2 2 2" xfId="3243"/>
    <cellStyle name="Обычный 2 4 3" xfId="3244"/>
    <cellStyle name="Обычный 2 4 3 2" xfId="3245"/>
    <cellStyle name="Обычный 2 4 4" xfId="3246"/>
    <cellStyle name="Обычный 2 4_46EE.2011(v1.0)" xfId="3247"/>
    <cellStyle name="Обычный 2 5" xfId="3248"/>
    <cellStyle name="Обычный 2 5 2" xfId="3249"/>
    <cellStyle name="Обычный 2 5 2 2" xfId="3250"/>
    <cellStyle name="Обычный 2 5 3" xfId="3251"/>
    <cellStyle name="Обычный 2 5 3 2" xfId="3252"/>
    <cellStyle name="Обычный 2 5 4" xfId="3253"/>
    <cellStyle name="Обычный 2 5 5" xfId="3254"/>
    <cellStyle name="Обычный 2 5_46EE.2011(v1.0)" xfId="3255"/>
    <cellStyle name="Обычный 2 6" xfId="3256"/>
    <cellStyle name="Обычный 2 6 2" xfId="3257"/>
    <cellStyle name="Обычный 2 6 2 2" xfId="3258"/>
    <cellStyle name="Обычный 2 6 2 2 2" xfId="3259"/>
    <cellStyle name="Обычный 2 6 3" xfId="3260"/>
    <cellStyle name="Обычный 2 6 3 2" xfId="3261"/>
    <cellStyle name="Обычный 2 6_46EE.2011(v1.0)" xfId="3262"/>
    <cellStyle name="Обычный 2 7" xfId="3263"/>
    <cellStyle name="Обычный 2 7 2" xfId="3264"/>
    <cellStyle name="Обычный 2 7 2 2" xfId="4346"/>
    <cellStyle name="Обычный 2 7 3" xfId="3265"/>
    <cellStyle name="Обычный 2 8" xfId="3266"/>
    <cellStyle name="Обычный 2 8 2" xfId="3267"/>
    <cellStyle name="Обычный 2 9" xfId="3268"/>
    <cellStyle name="Обычный 2 9 2" xfId="3269"/>
    <cellStyle name="Обычный 2___Тариф ТЭ 2012 Мезенский филиал 26.04.11" xfId="3270"/>
    <cellStyle name="Обычный 20" xfId="3271"/>
    <cellStyle name="Обычный 20 2" xfId="3272"/>
    <cellStyle name="Обычный 20 3" xfId="4347"/>
    <cellStyle name="Обычный 21" xfId="3273"/>
    <cellStyle name="Обычный 21 2" xfId="3274"/>
    <cellStyle name="Обычный 21 3" xfId="4348"/>
    <cellStyle name="Обычный 22" xfId="3275"/>
    <cellStyle name="Обычный 22 2" xfId="3276"/>
    <cellStyle name="Обычный 22 3" xfId="4349"/>
    <cellStyle name="Обычный 23" xfId="3277"/>
    <cellStyle name="Обычный 23 2" xfId="4350"/>
    <cellStyle name="Обычный 24" xfId="3278"/>
    <cellStyle name="Обычный 24 2" xfId="4351"/>
    <cellStyle name="Обычный 27" xfId="3279"/>
    <cellStyle name="Обычный 3" xfId="3280"/>
    <cellStyle name="Обычный 3 2" xfId="3281"/>
    <cellStyle name="Обычный 3 2 2" xfId="3282"/>
    <cellStyle name="Обычный 3 2 3" xfId="3283"/>
    <cellStyle name="Обычный 3 2 4" xfId="3284"/>
    <cellStyle name="Обычный 3 3" xfId="3285"/>
    <cellStyle name="Обычный 3 3 2" xfId="3286"/>
    <cellStyle name="Обычный 3 3 2 2" xfId="3287"/>
    <cellStyle name="Обычный 3 3 2 3" xfId="3288"/>
    <cellStyle name="Обычный 3 3 3" xfId="3289"/>
    <cellStyle name="Обычный 3 3 4" xfId="3290"/>
    <cellStyle name="Обычный 3 4" xfId="3291"/>
    <cellStyle name="Обычный 3 4 2" xfId="3292"/>
    <cellStyle name="Обычный 3 4 3" xfId="3293"/>
    <cellStyle name="Обычный 3 5" xfId="3294"/>
    <cellStyle name="Обычный 3 5 2" xfId="3295"/>
    <cellStyle name="Обычный 3 6" xfId="3296"/>
    <cellStyle name="Обычный 3 6 2" xfId="3297"/>
    <cellStyle name="Обычный 3 6 2 2" xfId="4352"/>
    <cellStyle name="Обычный 3 7" xfId="3298"/>
    <cellStyle name="Обычный 3 8" xfId="3299"/>
    <cellStyle name="Обычный 3 9" xfId="3300"/>
    <cellStyle name="Обычный 3___Тариф ТЭ 2012 Мезенский филиал 26.04.11" xfId="3301"/>
    <cellStyle name="Обычный 4" xfId="3302"/>
    <cellStyle name="Обычный 4 10" xfId="3303"/>
    <cellStyle name="Обычный 4 11" xfId="3304"/>
    <cellStyle name="Обычный 4 11 2" xfId="4353"/>
    <cellStyle name="Обычный 4 2" xfId="3305"/>
    <cellStyle name="Обычный 4 2 2" xfId="3306"/>
    <cellStyle name="Обычный 4 2 2 2" xfId="3307"/>
    <cellStyle name="Обычный 4 2 2 2 2" xfId="3308"/>
    <cellStyle name="Обычный 4 2 2 3" xfId="3309"/>
    <cellStyle name="Обычный 4 2 2 3 2" xfId="3310"/>
    <cellStyle name="Обычный 4 2 3" xfId="3311"/>
    <cellStyle name="Обычный 4 2 3 2" xfId="3312"/>
    <cellStyle name="Обычный 4 2 4" xfId="3313"/>
    <cellStyle name="Обычный 4 2_46EP.2012(v0.1)" xfId="3314"/>
    <cellStyle name="Обычный 4 3" xfId="3315"/>
    <cellStyle name="Обычный 4 3 2" xfId="3316"/>
    <cellStyle name="Обычный 4 4" xfId="3317"/>
    <cellStyle name="Обычный 4 4 2" xfId="3318"/>
    <cellStyle name="Обычный 4 5" xfId="3319"/>
    <cellStyle name="Обычный 4 5 2" xfId="3320"/>
    <cellStyle name="Обычный 4 6" xfId="3321"/>
    <cellStyle name="Обычный 4 6 10" xfId="3322"/>
    <cellStyle name="Обычный 4 6 10 2" xfId="4355"/>
    <cellStyle name="Обычный 4 6 11" xfId="3323"/>
    <cellStyle name="Обычный 4 6 11 2" xfId="4356"/>
    <cellStyle name="Обычный 4 6 12" xfId="3324"/>
    <cellStyle name="Обычный 4 6 12 2" xfId="4357"/>
    <cellStyle name="Обычный 4 6 13" xfId="4354"/>
    <cellStyle name="Обычный 4 6 2" xfId="3325"/>
    <cellStyle name="Обычный 4 6 2 2" xfId="3326"/>
    <cellStyle name="Обычный 4 6 2 2 2" xfId="4359"/>
    <cellStyle name="Обычный 4 6 2 3" xfId="4358"/>
    <cellStyle name="Обычный 4 6 3" xfId="3327"/>
    <cellStyle name="Обычный 4 6 3 2" xfId="3328"/>
    <cellStyle name="Обычный 4 6 3 2 2" xfId="4361"/>
    <cellStyle name="Обычный 4 6 3 3" xfId="4360"/>
    <cellStyle name="Обычный 4 6 4" xfId="3329"/>
    <cellStyle name="Обычный 4 6 4 2" xfId="3330"/>
    <cellStyle name="Обычный 4 6 4 2 2" xfId="4363"/>
    <cellStyle name="Обычный 4 6 4 3" xfId="4362"/>
    <cellStyle name="Обычный 4 6 5" xfId="3331"/>
    <cellStyle name="Обычный 4 6 5 2" xfId="3332"/>
    <cellStyle name="Обычный 4 6 5 2 2" xfId="4365"/>
    <cellStyle name="Обычный 4 6 5 3" xfId="4364"/>
    <cellStyle name="Обычный 4 6 6" xfId="3333"/>
    <cellStyle name="Обычный 4 6 6 2" xfId="3334"/>
    <cellStyle name="Обычный 4 6 6 2 2" xfId="4367"/>
    <cellStyle name="Обычный 4 6 6 3" xfId="4366"/>
    <cellStyle name="Обычный 4 6 7" xfId="3335"/>
    <cellStyle name="Обычный 4 6 7 2" xfId="3336"/>
    <cellStyle name="Обычный 4 6 7 2 2" xfId="4369"/>
    <cellStyle name="Обычный 4 6 7 3" xfId="4368"/>
    <cellStyle name="Обычный 4 6 8" xfId="3337"/>
    <cellStyle name="Обычный 4 6 8 2" xfId="3338"/>
    <cellStyle name="Обычный 4 6 8 2 2" xfId="4371"/>
    <cellStyle name="Обычный 4 6 8 3" xfId="4370"/>
    <cellStyle name="Обычный 4 6 9" xfId="3339"/>
    <cellStyle name="Обычный 4 6 9 2" xfId="3340"/>
    <cellStyle name="Обычный 4 6 9 2 2" xfId="4373"/>
    <cellStyle name="Обычный 4 6 9 3" xfId="4372"/>
    <cellStyle name="Обычный 4 7" xfId="3341"/>
    <cellStyle name="Обычный 4 7 10" xfId="3342"/>
    <cellStyle name="Обычный 4 7 10 2" xfId="4375"/>
    <cellStyle name="Обычный 4 7 11" xfId="3343"/>
    <cellStyle name="Обычный 4 7 11 2" xfId="4376"/>
    <cellStyle name="Обычный 4 7 12" xfId="4374"/>
    <cellStyle name="Обычный 4 7 2" xfId="3344"/>
    <cellStyle name="Обычный 4 7 2 2" xfId="3345"/>
    <cellStyle name="Обычный 4 7 2 2 2" xfId="4378"/>
    <cellStyle name="Обычный 4 7 2 3" xfId="4377"/>
    <cellStyle name="Обычный 4 7 3" xfId="3346"/>
    <cellStyle name="Обычный 4 7 3 2" xfId="3347"/>
    <cellStyle name="Обычный 4 7 3 2 2" xfId="4380"/>
    <cellStyle name="Обычный 4 7 3 3" xfId="4379"/>
    <cellStyle name="Обычный 4 7 4" xfId="3348"/>
    <cellStyle name="Обычный 4 7 4 2" xfId="3349"/>
    <cellStyle name="Обычный 4 7 4 2 2" xfId="4382"/>
    <cellStyle name="Обычный 4 7 4 3" xfId="4381"/>
    <cellStyle name="Обычный 4 7 5" xfId="3350"/>
    <cellStyle name="Обычный 4 7 5 2" xfId="3351"/>
    <cellStyle name="Обычный 4 7 5 2 2" xfId="4384"/>
    <cellStyle name="Обычный 4 7 5 3" xfId="4383"/>
    <cellStyle name="Обычный 4 7 6" xfId="3352"/>
    <cellStyle name="Обычный 4 7 6 2" xfId="3353"/>
    <cellStyle name="Обычный 4 7 6 2 2" xfId="4386"/>
    <cellStyle name="Обычный 4 7 6 3" xfId="4385"/>
    <cellStyle name="Обычный 4 7 7" xfId="3354"/>
    <cellStyle name="Обычный 4 7 7 2" xfId="3355"/>
    <cellStyle name="Обычный 4 7 7 2 2" xfId="4388"/>
    <cellStyle name="Обычный 4 7 7 3" xfId="4387"/>
    <cellStyle name="Обычный 4 7 8" xfId="3356"/>
    <cellStyle name="Обычный 4 7 8 2" xfId="3357"/>
    <cellStyle name="Обычный 4 7 8 2 2" xfId="4390"/>
    <cellStyle name="Обычный 4 7 8 3" xfId="4389"/>
    <cellStyle name="Обычный 4 7 9" xfId="3358"/>
    <cellStyle name="Обычный 4 7 9 2" xfId="3359"/>
    <cellStyle name="Обычный 4 7 9 2 2" xfId="4392"/>
    <cellStyle name="Обычный 4 7 9 3" xfId="4391"/>
    <cellStyle name="Обычный 4 8" xfId="3360"/>
    <cellStyle name="Обычный 4 8 10" xfId="3361"/>
    <cellStyle name="Обычный 4 8 10 2" xfId="4394"/>
    <cellStyle name="Обычный 4 8 11" xfId="3362"/>
    <cellStyle name="Обычный 4 8 11 2" xfId="4395"/>
    <cellStyle name="Обычный 4 8 12" xfId="4393"/>
    <cellStyle name="Обычный 4 8 2" xfId="3363"/>
    <cellStyle name="Обычный 4 8 2 2" xfId="3364"/>
    <cellStyle name="Обычный 4 8 2 2 2" xfId="4397"/>
    <cellStyle name="Обычный 4 8 2 3" xfId="4396"/>
    <cellStyle name="Обычный 4 8 3" xfId="3365"/>
    <cellStyle name="Обычный 4 8 3 2" xfId="3366"/>
    <cellStyle name="Обычный 4 8 3 2 2" xfId="4399"/>
    <cellStyle name="Обычный 4 8 3 3" xfId="4398"/>
    <cellStyle name="Обычный 4 8 4" xfId="3367"/>
    <cellStyle name="Обычный 4 8 4 2" xfId="3368"/>
    <cellStyle name="Обычный 4 8 4 2 2" xfId="4401"/>
    <cellStyle name="Обычный 4 8 4 3" xfId="4400"/>
    <cellStyle name="Обычный 4 8 5" xfId="3369"/>
    <cellStyle name="Обычный 4 8 5 2" xfId="3370"/>
    <cellStyle name="Обычный 4 8 5 2 2" xfId="4403"/>
    <cellStyle name="Обычный 4 8 5 3" xfId="4402"/>
    <cellStyle name="Обычный 4 8 6" xfId="3371"/>
    <cellStyle name="Обычный 4 8 6 2" xfId="3372"/>
    <cellStyle name="Обычный 4 8 6 2 2" xfId="4405"/>
    <cellStyle name="Обычный 4 8 6 3" xfId="4404"/>
    <cellStyle name="Обычный 4 8 7" xfId="3373"/>
    <cellStyle name="Обычный 4 8 7 2" xfId="3374"/>
    <cellStyle name="Обычный 4 8 7 2 2" xfId="4407"/>
    <cellStyle name="Обычный 4 8 7 3" xfId="4406"/>
    <cellStyle name="Обычный 4 8 8" xfId="3375"/>
    <cellStyle name="Обычный 4 8 8 2" xfId="3376"/>
    <cellStyle name="Обычный 4 8 8 2 2" xfId="4409"/>
    <cellStyle name="Обычный 4 8 8 3" xfId="4408"/>
    <cellStyle name="Обычный 4 8 9" xfId="3377"/>
    <cellStyle name="Обычный 4 8 9 2" xfId="3378"/>
    <cellStyle name="Обычный 4 8 9 2 2" xfId="4411"/>
    <cellStyle name="Обычный 4 8 9 3" xfId="4410"/>
    <cellStyle name="Обычный 4 9" xfId="3379"/>
    <cellStyle name="Обычный 4 9 10" xfId="3380"/>
    <cellStyle name="Обычный 4 9 10 2" xfId="4413"/>
    <cellStyle name="Обычный 4 9 11" xfId="3381"/>
    <cellStyle name="Обычный 4 9 11 2" xfId="4414"/>
    <cellStyle name="Обычный 4 9 12" xfId="4412"/>
    <cellStyle name="Обычный 4 9 2" xfId="3382"/>
    <cellStyle name="Обычный 4 9 2 2" xfId="3383"/>
    <cellStyle name="Обычный 4 9 2 2 2" xfId="4416"/>
    <cellStyle name="Обычный 4 9 2 3" xfId="4415"/>
    <cellStyle name="Обычный 4 9 3" xfId="3384"/>
    <cellStyle name="Обычный 4 9 3 2" xfId="3385"/>
    <cellStyle name="Обычный 4 9 3 2 2" xfId="4418"/>
    <cellStyle name="Обычный 4 9 3 3" xfId="4417"/>
    <cellStyle name="Обычный 4 9 4" xfId="3386"/>
    <cellStyle name="Обычный 4 9 4 2" xfId="3387"/>
    <cellStyle name="Обычный 4 9 4 2 2" xfId="4420"/>
    <cellStyle name="Обычный 4 9 4 3" xfId="4419"/>
    <cellStyle name="Обычный 4 9 5" xfId="3388"/>
    <cellStyle name="Обычный 4 9 5 2" xfId="3389"/>
    <cellStyle name="Обычный 4 9 5 2 2" xfId="4422"/>
    <cellStyle name="Обычный 4 9 5 3" xfId="4421"/>
    <cellStyle name="Обычный 4 9 6" xfId="3390"/>
    <cellStyle name="Обычный 4 9 6 2" xfId="3391"/>
    <cellStyle name="Обычный 4 9 6 2 2" xfId="4424"/>
    <cellStyle name="Обычный 4 9 6 3" xfId="4423"/>
    <cellStyle name="Обычный 4 9 7" xfId="3392"/>
    <cellStyle name="Обычный 4 9 7 2" xfId="3393"/>
    <cellStyle name="Обычный 4 9 7 2 2" xfId="4426"/>
    <cellStyle name="Обычный 4 9 7 3" xfId="4425"/>
    <cellStyle name="Обычный 4 9 8" xfId="3394"/>
    <cellStyle name="Обычный 4 9 8 2" xfId="3395"/>
    <cellStyle name="Обычный 4 9 8 2 2" xfId="4428"/>
    <cellStyle name="Обычный 4 9 8 3" xfId="4427"/>
    <cellStyle name="Обычный 4 9 9" xfId="3396"/>
    <cellStyle name="Обычный 4 9 9 2" xfId="3397"/>
    <cellStyle name="Обычный 4 9 9 2 2" xfId="4430"/>
    <cellStyle name="Обычный 4 9 9 3" xfId="4429"/>
    <cellStyle name="Обычный 4_2014 АрхТепло Производственная" xfId="3398"/>
    <cellStyle name="Обычный 5" xfId="3399"/>
    <cellStyle name="Обычный 5 2" xfId="3400"/>
    <cellStyle name="Обычный 5 2 2" xfId="3401"/>
    <cellStyle name="Обычный 5 2 3" xfId="3402"/>
    <cellStyle name="Обычный 5 2 4" xfId="4431"/>
    <cellStyle name="Обычный 5 3" xfId="3403"/>
    <cellStyle name="Обычный 5 4" xfId="3404"/>
    <cellStyle name="Обычный 5 5" xfId="3405"/>
    <cellStyle name="Обычный 5 5 2" xfId="4432"/>
    <cellStyle name="Обычный 5 6" xfId="3406"/>
    <cellStyle name="Обычный 5 6 2" xfId="4433"/>
    <cellStyle name="Обычный 5 7" xfId="3407"/>
    <cellStyle name="Обычный 5 8" xfId="3408"/>
    <cellStyle name="Обычный 5 8 2" xfId="4434"/>
    <cellStyle name="Обычный 5_Мероприятия для тарифной каипании" xfId="3409"/>
    <cellStyle name="Обычный 6" xfId="3410"/>
    <cellStyle name="Обычный 6 2" xfId="3411"/>
    <cellStyle name="Обычный 6 2 2" xfId="3412"/>
    <cellStyle name="Обычный 6 2 3" xfId="3413"/>
    <cellStyle name="Обычный 6 3" xfId="3414"/>
    <cellStyle name="Обычный 6 3 2" xfId="4435"/>
    <cellStyle name="Обычный 6 4" xfId="3415"/>
    <cellStyle name="Обычный 6 4 2" xfId="3416"/>
    <cellStyle name="Обычный 6 5" xfId="3417"/>
    <cellStyle name="Обычный 6 5 2" xfId="4436"/>
    <cellStyle name="Обычный 6 6" xfId="3418"/>
    <cellStyle name="Обычный 6 6 2" xfId="4437"/>
    <cellStyle name="Обычный 6 7" xfId="3419"/>
    <cellStyle name="Обычный 6_Перерасчет тепловой энергии ООО Березниковское ТСП  на 2013" xfId="3420"/>
    <cellStyle name="Обычный 7" xfId="3421"/>
    <cellStyle name="Обычный 7 10" xfId="3422"/>
    <cellStyle name="Обычный 7 10 2" xfId="4439"/>
    <cellStyle name="Обычный 7 11" xfId="3423"/>
    <cellStyle name="Обычный 7 11 2" xfId="4440"/>
    <cellStyle name="Обычный 7 12" xfId="4438"/>
    <cellStyle name="Обычный 7 2" xfId="3424"/>
    <cellStyle name="Обычный 7 2 2" xfId="3425"/>
    <cellStyle name="Обычный 7 2 2 2" xfId="4442"/>
    <cellStyle name="Обычный 7 2 3" xfId="3426"/>
    <cellStyle name="Обычный 7 2 3 2" xfId="4443"/>
    <cellStyle name="Обычный 7 2 4" xfId="4441"/>
    <cellStyle name="Обычный 7 3" xfId="3427"/>
    <cellStyle name="Обычный 7 3 2" xfId="3428"/>
    <cellStyle name="Обычный 7 3 3" xfId="3429"/>
    <cellStyle name="Обычный 7 3 4" xfId="3430"/>
    <cellStyle name="Обычный 7 3 4 2" xfId="4445"/>
    <cellStyle name="Обычный 7 3 5" xfId="4444"/>
    <cellStyle name="Обычный 7 4" xfId="3431"/>
    <cellStyle name="Обычный 7 4 2" xfId="3432"/>
    <cellStyle name="Обычный 7 4 2 2" xfId="4447"/>
    <cellStyle name="Обычный 7 4 3" xfId="4446"/>
    <cellStyle name="Обычный 7 5" xfId="3433"/>
    <cellStyle name="Обычный 7 5 2" xfId="3434"/>
    <cellStyle name="Обычный 7 5 2 2" xfId="4449"/>
    <cellStyle name="Обычный 7 5 3" xfId="4448"/>
    <cellStyle name="Обычный 7 6" xfId="3435"/>
    <cellStyle name="Обычный 7 6 2" xfId="3436"/>
    <cellStyle name="Обычный 7 6 2 2" xfId="4451"/>
    <cellStyle name="Обычный 7 6 3" xfId="4450"/>
    <cellStyle name="Обычный 7 7" xfId="3437"/>
    <cellStyle name="Обычный 7 7 2" xfId="3438"/>
    <cellStyle name="Обычный 7 7 2 2" xfId="4453"/>
    <cellStyle name="Обычный 7 7 3" xfId="4452"/>
    <cellStyle name="Обычный 7 8" xfId="3439"/>
    <cellStyle name="Обычный 7 8 2" xfId="3440"/>
    <cellStyle name="Обычный 7 8 2 2" xfId="4455"/>
    <cellStyle name="Обычный 7 8 3" xfId="4454"/>
    <cellStyle name="Обычный 7 9" xfId="3441"/>
    <cellStyle name="Обычный 7 9 2" xfId="3442"/>
    <cellStyle name="Обычный 7 9 2 2" xfId="4457"/>
    <cellStyle name="Обычный 7 9 3" xfId="4456"/>
    <cellStyle name="Обычный 8" xfId="3443"/>
    <cellStyle name="Обычный 8 10" xfId="4458"/>
    <cellStyle name="Обычный 8 2" xfId="3444"/>
    <cellStyle name="Обычный 8 2 2" xfId="3445"/>
    <cellStyle name="Обычный 8 2 3" xfId="3446"/>
    <cellStyle name="Обычный 8 2 3 2" xfId="4460"/>
    <cellStyle name="Обычный 8 2 4" xfId="4459"/>
    <cellStyle name="Обычный 8 3" xfId="3447"/>
    <cellStyle name="Обычный 8 3 2" xfId="3448"/>
    <cellStyle name="Обычный 8 3 3" xfId="3449"/>
    <cellStyle name="Обычный 8 3 3 2" xfId="4462"/>
    <cellStyle name="Обычный 8 3 4" xfId="4461"/>
    <cellStyle name="Обычный 8 4" xfId="3450"/>
    <cellStyle name="Обычный 8 4 2" xfId="3451"/>
    <cellStyle name="Обычный 8 4 2 2" xfId="4464"/>
    <cellStyle name="Обычный 8 4 3" xfId="4463"/>
    <cellStyle name="Обычный 8 5" xfId="3452"/>
    <cellStyle name="Обычный 8 5 2" xfId="3453"/>
    <cellStyle name="Обычный 8 5 2 2" xfId="4466"/>
    <cellStyle name="Обычный 8 5 3" xfId="4465"/>
    <cellStyle name="Обычный 8 6" xfId="3454"/>
    <cellStyle name="Обычный 8 6 2" xfId="3455"/>
    <cellStyle name="Обычный 8 6 2 2" xfId="4468"/>
    <cellStyle name="Обычный 8 6 3" xfId="4467"/>
    <cellStyle name="Обычный 8 7" xfId="3456"/>
    <cellStyle name="Обычный 8 7 2" xfId="4469"/>
    <cellStyle name="Обычный 8 8" xfId="3457"/>
    <cellStyle name="Обычный 8 9" xfId="3458"/>
    <cellStyle name="Обычный 8 9 2" xfId="4470"/>
    <cellStyle name="Обычный 9" xfId="3459"/>
    <cellStyle name="Обычный 9 2" xfId="3460"/>
    <cellStyle name="Обычный 9 2 2" xfId="3461"/>
    <cellStyle name="Обычный 9 2 3" xfId="4472"/>
    <cellStyle name="Обычный 9 3" xfId="3462"/>
    <cellStyle name="Обычный 9 4" xfId="3463"/>
    <cellStyle name="Обычный 9 4 2" xfId="4473"/>
    <cellStyle name="Обычный 9 5" xfId="3464"/>
    <cellStyle name="Обычный 9 5 2" xfId="4474"/>
    <cellStyle name="Обычный 9 6" xfId="3465"/>
    <cellStyle name="Обычный 9 7" xfId="3466"/>
    <cellStyle name="Обычный 9 7 2" xfId="4475"/>
    <cellStyle name="Обычный 9 8" xfId="4471"/>
    <cellStyle name="Ошибка" xfId="3467"/>
    <cellStyle name="Плохой" xfId="3468" builtinId="27" customBuiltin="1"/>
    <cellStyle name="Плохой 10" xfId="3469"/>
    <cellStyle name="Плохой 2" xfId="3470"/>
    <cellStyle name="Плохой 2 10" xfId="3471"/>
    <cellStyle name="Плохой 2 2" xfId="3472"/>
    <cellStyle name="Плохой 2 2 2" xfId="3473"/>
    <cellStyle name="Плохой 2 3" xfId="3474"/>
    <cellStyle name="Плохой 2 4" xfId="3475"/>
    <cellStyle name="Плохой 2 5" xfId="3476"/>
    <cellStyle name="Плохой 2 6" xfId="3477"/>
    <cellStyle name="Плохой 2 7" xfId="3478"/>
    <cellStyle name="Плохой 2 8" xfId="3479"/>
    <cellStyle name="Плохой 2 9" xfId="3480"/>
    <cellStyle name="Плохой 2_МФ тепловой баланс 2015 дубль 3" xfId="3481"/>
    <cellStyle name="Плохой 3" xfId="3482"/>
    <cellStyle name="Плохой 3 10" xfId="3483"/>
    <cellStyle name="Плохой 3 11" xfId="3484"/>
    <cellStyle name="Плохой 3 2" xfId="3485"/>
    <cellStyle name="Плохой 3 3" xfId="3486"/>
    <cellStyle name="Плохой 3 4" xfId="3487"/>
    <cellStyle name="Плохой 3 5" xfId="3488"/>
    <cellStyle name="Плохой 3 6" xfId="3489"/>
    <cellStyle name="Плохой 3 7" xfId="3490"/>
    <cellStyle name="Плохой 3 8" xfId="3491"/>
    <cellStyle name="Плохой 3 9" xfId="3492"/>
    <cellStyle name="Плохой 3_МФ тепловой баланс 2015 дубль 3" xfId="3493"/>
    <cellStyle name="Плохой 4" xfId="3494"/>
    <cellStyle name="Плохой 4 2" xfId="3495"/>
    <cellStyle name="Плохой 4_МФ тепловой баланс 2015 дубль 3" xfId="3496"/>
    <cellStyle name="Плохой 5" xfId="3497"/>
    <cellStyle name="Плохой 5 2" xfId="3498"/>
    <cellStyle name="Плохой 5_МФ тепловой баланс 2015 дубль 3" xfId="3499"/>
    <cellStyle name="Плохой 6" xfId="3500"/>
    <cellStyle name="Плохой 6 2" xfId="3501"/>
    <cellStyle name="Плохой 6_МФ тепловой баланс 2015 дубль 3" xfId="3502"/>
    <cellStyle name="Плохой 7" xfId="3503"/>
    <cellStyle name="Плохой 7 2" xfId="3504"/>
    <cellStyle name="Плохой 7_МФ тепловой баланс 2015 дубль 3" xfId="3505"/>
    <cellStyle name="Плохой 8" xfId="3506"/>
    <cellStyle name="Плохой 8 2" xfId="3507"/>
    <cellStyle name="Плохой 9" xfId="3508"/>
    <cellStyle name="Плохой 9 2" xfId="3509"/>
    <cellStyle name="По центру с переносом" xfId="3510"/>
    <cellStyle name="По ширине с переносом" xfId="3511"/>
    <cellStyle name="Подгруппа" xfId="3512"/>
    <cellStyle name="Поле ввода" xfId="3513"/>
    <cellStyle name="Пояснение" xfId="3514" builtinId="53" customBuiltin="1"/>
    <cellStyle name="Пояснение 10" xfId="3515"/>
    <cellStyle name="Пояснение 2" xfId="3516"/>
    <cellStyle name="Пояснение 2 10" xfId="3517"/>
    <cellStyle name="Пояснение 2 2" xfId="3518"/>
    <cellStyle name="Пояснение 2 2 2" xfId="3519"/>
    <cellStyle name="Пояснение 2 3" xfId="3520"/>
    <cellStyle name="Пояснение 2 4" xfId="3521"/>
    <cellStyle name="Пояснение 2 5" xfId="3522"/>
    <cellStyle name="Пояснение 2 6" xfId="3523"/>
    <cellStyle name="Пояснение 2 7" xfId="3524"/>
    <cellStyle name="Пояснение 2 8" xfId="3525"/>
    <cellStyle name="Пояснение 2 9" xfId="3526"/>
    <cellStyle name="Пояснение 2_МФ тепловой баланс 2015 дубль 3" xfId="3527"/>
    <cellStyle name="Пояснение 3" xfId="3528"/>
    <cellStyle name="Пояснение 3 10" xfId="3529"/>
    <cellStyle name="Пояснение 3 11" xfId="3530"/>
    <cellStyle name="Пояснение 3 2" xfId="3531"/>
    <cellStyle name="Пояснение 3 3" xfId="3532"/>
    <cellStyle name="Пояснение 3 4" xfId="3533"/>
    <cellStyle name="Пояснение 3 5" xfId="3534"/>
    <cellStyle name="Пояснение 3 6" xfId="3535"/>
    <cellStyle name="Пояснение 3 7" xfId="3536"/>
    <cellStyle name="Пояснение 3 8" xfId="3537"/>
    <cellStyle name="Пояснение 3 9" xfId="3538"/>
    <cellStyle name="Пояснение 3_МФ тепловой баланс 2015 дубль 3" xfId="3539"/>
    <cellStyle name="Пояснение 4" xfId="3540"/>
    <cellStyle name="Пояснение 4 2" xfId="3541"/>
    <cellStyle name="Пояснение 4_МФ тепловой баланс 2015 дубль 3" xfId="3542"/>
    <cellStyle name="Пояснение 5" xfId="3543"/>
    <cellStyle name="Пояснение 5 2" xfId="3544"/>
    <cellStyle name="Пояснение 5_МФ тепловой баланс 2015 дубль 3" xfId="3545"/>
    <cellStyle name="Пояснение 6" xfId="3546"/>
    <cellStyle name="Пояснение 6 2" xfId="3547"/>
    <cellStyle name="Пояснение 6_МФ тепловой баланс 2015 дубль 3" xfId="3548"/>
    <cellStyle name="Пояснение 7" xfId="3549"/>
    <cellStyle name="Пояснение 7 2" xfId="3550"/>
    <cellStyle name="Пояснение 7_МФ тепловой баланс 2015 дубль 3" xfId="3551"/>
    <cellStyle name="Пояснение 8" xfId="3552"/>
    <cellStyle name="Пояснение 8 2" xfId="3553"/>
    <cellStyle name="Пояснение 9" xfId="3554"/>
    <cellStyle name="Пояснение 9 2" xfId="3555"/>
    <cellStyle name="Примечание" xfId="3556" builtinId="10" customBuiltin="1"/>
    <cellStyle name="Примечание 10" xfId="3557"/>
    <cellStyle name="Примечание 10 2" xfId="3558"/>
    <cellStyle name="Примечание 10 3" xfId="3559"/>
    <cellStyle name="Примечание 10_46EE.2011(v1.0)" xfId="3560"/>
    <cellStyle name="Примечание 11" xfId="3561"/>
    <cellStyle name="Примечание 11 2" xfId="3562"/>
    <cellStyle name="Примечание 11 3" xfId="3563"/>
    <cellStyle name="Примечание 11_46EE.2011(v1.0)" xfId="3564"/>
    <cellStyle name="Примечание 12" xfId="3565"/>
    <cellStyle name="Примечание 12 2" xfId="3566"/>
    <cellStyle name="Примечание 12 3" xfId="3567"/>
    <cellStyle name="Примечание 12_46EE.2011(v1.0)" xfId="3568"/>
    <cellStyle name="Примечание 13" xfId="3569"/>
    <cellStyle name="Примечание 14" xfId="3570"/>
    <cellStyle name="Примечание 14 2" xfId="3571"/>
    <cellStyle name="Примечание 15" xfId="3572"/>
    <cellStyle name="Примечание 15 2" xfId="3573"/>
    <cellStyle name="Примечание 16" xfId="4478"/>
    <cellStyle name="Примечание 17" xfId="4001"/>
    <cellStyle name="Примечание 18" xfId="4476"/>
    <cellStyle name="Примечание 19" xfId="4000"/>
    <cellStyle name="Примечание 2" xfId="3574"/>
    <cellStyle name="Примечание 2 10" xfId="3575"/>
    <cellStyle name="Примечание 2 10 2" xfId="3576"/>
    <cellStyle name="Примечание 2 10 2 2" xfId="4482"/>
    <cellStyle name="Примечание 2 10 3" xfId="4481"/>
    <cellStyle name="Примечание 2 11" xfId="3577"/>
    <cellStyle name="Примечание 2 12" xfId="3578"/>
    <cellStyle name="Примечание 2 12 2" xfId="4483"/>
    <cellStyle name="Примечание 2 13" xfId="4480"/>
    <cellStyle name="Примечание 2 2" xfId="3579"/>
    <cellStyle name="Примечание 2 2 2" xfId="3580"/>
    <cellStyle name="Примечание 2 2 3" xfId="3581"/>
    <cellStyle name="Примечание 2 2 4" xfId="3582"/>
    <cellStyle name="Примечание 2 2 4 2" xfId="4485"/>
    <cellStyle name="Примечание 2 2 5" xfId="4484"/>
    <cellStyle name="Примечание 2 3" xfId="3583"/>
    <cellStyle name="Примечание 2 3 2" xfId="3584"/>
    <cellStyle name="Примечание 2 3 3" xfId="3585"/>
    <cellStyle name="Примечание 2 3 3 2" xfId="4487"/>
    <cellStyle name="Примечание 2 3 4" xfId="4486"/>
    <cellStyle name="Примечание 2 4" xfId="3586"/>
    <cellStyle name="Примечание 2 4 2" xfId="3587"/>
    <cellStyle name="Примечание 2 4 3" xfId="3588"/>
    <cellStyle name="Примечание 2 4 3 2" xfId="4489"/>
    <cellStyle name="Примечание 2 4 4" xfId="4488"/>
    <cellStyle name="Примечание 2 5" xfId="3589"/>
    <cellStyle name="Примечание 2 5 2" xfId="3590"/>
    <cellStyle name="Примечание 2 5 3" xfId="3591"/>
    <cellStyle name="Примечание 2 5 3 2" xfId="4491"/>
    <cellStyle name="Примечание 2 5 4" xfId="4490"/>
    <cellStyle name="Примечание 2 6" xfId="3592"/>
    <cellStyle name="Примечание 2 6 2" xfId="3593"/>
    <cellStyle name="Примечание 2 6 3" xfId="3594"/>
    <cellStyle name="Примечание 2 6 3 2" xfId="4493"/>
    <cellStyle name="Примечание 2 6 4" xfId="4492"/>
    <cellStyle name="Примечание 2 7" xfId="3595"/>
    <cellStyle name="Примечание 2 7 2" xfId="3596"/>
    <cellStyle name="Примечание 2 7 3" xfId="3597"/>
    <cellStyle name="Примечание 2 7 3 2" xfId="4495"/>
    <cellStyle name="Примечание 2 7 4" xfId="4494"/>
    <cellStyle name="Примечание 2 8" xfId="3598"/>
    <cellStyle name="Примечание 2 8 2" xfId="3599"/>
    <cellStyle name="Примечание 2 8 3" xfId="3600"/>
    <cellStyle name="Примечание 2 8 3 2" xfId="4497"/>
    <cellStyle name="Примечание 2 8 4" xfId="4496"/>
    <cellStyle name="Примечание 2 9" xfId="3601"/>
    <cellStyle name="Примечание 2 9 2" xfId="3602"/>
    <cellStyle name="Примечание 2 9 3" xfId="3603"/>
    <cellStyle name="Примечание 2 9 3 2" xfId="4499"/>
    <cellStyle name="Примечание 2 9 4" xfId="4498"/>
    <cellStyle name="Примечание 2_46EE.2011(v1.0)" xfId="3604"/>
    <cellStyle name="Примечание 20" xfId="4477"/>
    <cellStyle name="Примечание 21" xfId="3999"/>
    <cellStyle name="Примечание 22" xfId="4479"/>
    <cellStyle name="Примечание 23" xfId="3998"/>
    <cellStyle name="Примечание 24" xfId="4503"/>
    <cellStyle name="Примечание 25" xfId="3997"/>
    <cellStyle name="Примечание 26" xfId="4521"/>
    <cellStyle name="Примечание 27" xfId="3996"/>
    <cellStyle name="Примечание 28" xfId="4522"/>
    <cellStyle name="Примечание 29" xfId="3995"/>
    <cellStyle name="Примечание 3" xfId="3605"/>
    <cellStyle name="Примечание 3 10" xfId="3606"/>
    <cellStyle name="Примечание 3 10 2" xfId="3607"/>
    <cellStyle name="Примечание 3 10 2 2" xfId="4502"/>
    <cellStyle name="Примечание 3 10 3" xfId="4501"/>
    <cellStyle name="Примечание 3 11" xfId="3608"/>
    <cellStyle name="Примечание 3 12" xfId="3609"/>
    <cellStyle name="Примечание 3 12 2" xfId="4504"/>
    <cellStyle name="Примечание 3 13" xfId="4500"/>
    <cellStyle name="Примечание 3 2" xfId="3610"/>
    <cellStyle name="Примечание 3 2 2" xfId="3611"/>
    <cellStyle name="Примечание 3 2 3" xfId="3612"/>
    <cellStyle name="Примечание 3 2 3 2" xfId="4506"/>
    <cellStyle name="Примечание 3 2 4" xfId="4505"/>
    <cellStyle name="Примечание 3 3" xfId="3613"/>
    <cellStyle name="Примечание 3 3 2" xfId="3614"/>
    <cellStyle name="Примечание 3 3 3" xfId="3615"/>
    <cellStyle name="Примечание 3 3 3 2" xfId="4508"/>
    <cellStyle name="Примечание 3 3 4" xfId="4507"/>
    <cellStyle name="Примечание 3 4" xfId="3616"/>
    <cellStyle name="Примечание 3 4 2" xfId="3617"/>
    <cellStyle name="Примечание 3 4 3" xfId="3618"/>
    <cellStyle name="Примечание 3 4 3 2" xfId="4510"/>
    <cellStyle name="Примечание 3 4 4" xfId="4509"/>
    <cellStyle name="Примечание 3 5" xfId="3619"/>
    <cellStyle name="Примечание 3 5 2" xfId="3620"/>
    <cellStyle name="Примечание 3 5 3" xfId="3621"/>
    <cellStyle name="Примечание 3 5 3 2" xfId="4512"/>
    <cellStyle name="Примечание 3 5 4" xfId="4511"/>
    <cellStyle name="Примечание 3 6" xfId="3622"/>
    <cellStyle name="Примечание 3 6 2" xfId="3623"/>
    <cellStyle name="Примечание 3 6 3" xfId="3624"/>
    <cellStyle name="Примечание 3 6 3 2" xfId="4514"/>
    <cellStyle name="Примечание 3 6 4" xfId="4513"/>
    <cellStyle name="Примечание 3 7" xfId="3625"/>
    <cellStyle name="Примечание 3 7 2" xfId="3626"/>
    <cellStyle name="Примечание 3 7 3" xfId="3627"/>
    <cellStyle name="Примечание 3 7 3 2" xfId="4516"/>
    <cellStyle name="Примечание 3 7 4" xfId="4515"/>
    <cellStyle name="Примечание 3 8" xfId="3628"/>
    <cellStyle name="Примечание 3 8 2" xfId="3629"/>
    <cellStyle name="Примечание 3 8 3" xfId="3630"/>
    <cellStyle name="Примечание 3 8 3 2" xfId="4518"/>
    <cellStyle name="Примечание 3 8 4" xfId="4517"/>
    <cellStyle name="Примечание 3 9" xfId="3631"/>
    <cellStyle name="Примечание 3 9 2" xfId="3632"/>
    <cellStyle name="Примечание 3 9 3" xfId="3633"/>
    <cellStyle name="Примечание 3 9 3 2" xfId="4520"/>
    <cellStyle name="Примечание 3 9 4" xfId="4519"/>
    <cellStyle name="Примечание 3_46EE.2011(v1.0)" xfId="3634"/>
    <cellStyle name="Примечание 30" xfId="4523"/>
    <cellStyle name="Примечание 31" xfId="3994"/>
    <cellStyle name="Примечание 32" xfId="4525"/>
    <cellStyle name="Примечание 33" xfId="3993"/>
    <cellStyle name="Примечание 4" xfId="3635"/>
    <cellStyle name="Примечание 4 2" xfId="3636"/>
    <cellStyle name="Примечание 4 3" xfId="3637"/>
    <cellStyle name="Примечание 4 4" xfId="3638"/>
    <cellStyle name="Примечание 4 5" xfId="3639"/>
    <cellStyle name="Примечание 4 6" xfId="3640"/>
    <cellStyle name="Примечание 4 7" xfId="3641"/>
    <cellStyle name="Примечание 4 8" xfId="3642"/>
    <cellStyle name="Примечание 4 9" xfId="3643"/>
    <cellStyle name="Примечание 4_46EE.2011(v1.0)" xfId="3644"/>
    <cellStyle name="Примечание 5" xfId="3645"/>
    <cellStyle name="Примечание 5 2" xfId="3646"/>
    <cellStyle name="Примечание 5 3" xfId="3647"/>
    <cellStyle name="Примечание 5 4" xfId="3648"/>
    <cellStyle name="Примечание 5 5" xfId="3649"/>
    <cellStyle name="Примечание 5 6" xfId="3650"/>
    <cellStyle name="Примечание 5 7" xfId="3651"/>
    <cellStyle name="Примечание 5 8" xfId="3652"/>
    <cellStyle name="Примечание 5 9" xfId="3653"/>
    <cellStyle name="Примечание 5_46EE.2011(v1.0)" xfId="3654"/>
    <cellStyle name="Примечание 6" xfId="3655"/>
    <cellStyle name="Примечание 6 2" xfId="3656"/>
    <cellStyle name="Примечание 6_46EE.2011(v1.0)" xfId="3657"/>
    <cellStyle name="Примечание 7" xfId="3658"/>
    <cellStyle name="Примечание 7 2" xfId="3659"/>
    <cellStyle name="Примечание 7_46EE.2011(v1.0)" xfId="3660"/>
    <cellStyle name="Примечание 8" xfId="3661"/>
    <cellStyle name="Примечание 8 2" xfId="3662"/>
    <cellStyle name="Примечание 8_46EE.2011(v1.0)" xfId="3663"/>
    <cellStyle name="Примечание 9" xfId="3664"/>
    <cellStyle name="Примечание 9 2" xfId="3665"/>
    <cellStyle name="Примечание 9_46EE.2011(v1.0)" xfId="3666"/>
    <cellStyle name="Продукт" xfId="3667"/>
    <cellStyle name="Процентный 10" xfId="3668"/>
    <cellStyle name="Процентный 10 2" xfId="3669"/>
    <cellStyle name="Процентный 11" xfId="3670"/>
    <cellStyle name="Процентный 11 2" xfId="3671"/>
    <cellStyle name="Процентный 12" xfId="3672"/>
    <cellStyle name="Процентный 13" xfId="3673"/>
    <cellStyle name="Процентный 14" xfId="3674"/>
    <cellStyle name="Процентный 15" xfId="3675"/>
    <cellStyle name="Процентный 2" xfId="3676"/>
    <cellStyle name="Процентный 2 2" xfId="3677"/>
    <cellStyle name="Процентный 2 2 2" xfId="3678"/>
    <cellStyle name="Процентный 2 2 2 2" xfId="3679"/>
    <cellStyle name="Процентный 2 2 3" xfId="3680"/>
    <cellStyle name="Процентный 2 2 4" xfId="3681"/>
    <cellStyle name="Процентный 2 2 5" xfId="3682"/>
    <cellStyle name="Процентный 2 3" xfId="3683"/>
    <cellStyle name="Процентный 2 3 2" xfId="3684"/>
    <cellStyle name="Процентный 2 4" xfId="3685"/>
    <cellStyle name="Процентный 2 4 2" xfId="3686"/>
    <cellStyle name="Процентный 2 5" xfId="3687"/>
    <cellStyle name="Процентный 2 6" xfId="3688"/>
    <cellStyle name="Процентный 2_2014 АрхТепло Производственная" xfId="3689"/>
    <cellStyle name="Процентный 3" xfId="3690"/>
    <cellStyle name="Процентный 3 2" xfId="3691"/>
    <cellStyle name="Процентный 3 2 2" xfId="3692"/>
    <cellStyle name="Процентный 3 2 3" xfId="3693"/>
    <cellStyle name="Процентный 3 3" xfId="3694"/>
    <cellStyle name="Процентный 3 4" xfId="3695"/>
    <cellStyle name="Процентный 3 5" xfId="3696"/>
    <cellStyle name="Процентный 3 6" xfId="4524"/>
    <cellStyle name="Процентный 3_Приложения ЛФ корр" xfId="3697"/>
    <cellStyle name="Процентный 4" xfId="3698"/>
    <cellStyle name="Процентный 4 2" xfId="3699"/>
    <cellStyle name="Процентный 4 2 2" xfId="3700"/>
    <cellStyle name="Процентный 4 2 2 2" xfId="3701"/>
    <cellStyle name="Процентный 4 2 3" xfId="3702"/>
    <cellStyle name="Процентный 4 2 4" xfId="3703"/>
    <cellStyle name="Процентный 4 2_Приложения ЛФ корр" xfId="3704"/>
    <cellStyle name="Процентный 4 3" xfId="3705"/>
    <cellStyle name="Процентный 4 3 2" xfId="3706"/>
    <cellStyle name="Процентный 4 3 3" xfId="3707"/>
    <cellStyle name="Процентный 4 3 4" xfId="3708"/>
    <cellStyle name="Процентный 4 4" xfId="3709"/>
    <cellStyle name="Процентный 4 4 2" xfId="3710"/>
    <cellStyle name="Процентный 4 4 2 2" xfId="3711"/>
    <cellStyle name="Процентный 4 5" xfId="3712"/>
    <cellStyle name="Процентный 4 5 2" xfId="3713"/>
    <cellStyle name="Процентный 4_Приложения ЛФ корр" xfId="3714"/>
    <cellStyle name="Процентный 5" xfId="3715"/>
    <cellStyle name="Процентный 5 2" xfId="3716"/>
    <cellStyle name="Процентный 5 2 2" xfId="3717"/>
    <cellStyle name="Процентный 5 2 3" xfId="3718"/>
    <cellStyle name="Процентный 5 3" xfId="3719"/>
    <cellStyle name="Процентный 5 4" xfId="3720"/>
    <cellStyle name="Процентный 5 5" xfId="3721"/>
    <cellStyle name="Процентный 5 6" xfId="3722"/>
    <cellStyle name="Процентный 6" xfId="3723"/>
    <cellStyle name="Процентный 6 2" xfId="3724"/>
    <cellStyle name="Процентный 6 3" xfId="3725"/>
    <cellStyle name="Процентный 6 3 2" xfId="3726"/>
    <cellStyle name="Процентный 6_Приложения ЛФ корр" xfId="3727"/>
    <cellStyle name="Процентный 7" xfId="3728"/>
    <cellStyle name="Процентный 7 2" xfId="3729"/>
    <cellStyle name="Процентный 7 3" xfId="3730"/>
    <cellStyle name="Процентный 8" xfId="3731"/>
    <cellStyle name="Процентный 8 2" xfId="3732"/>
    <cellStyle name="Процентный 8 2 2" xfId="3733"/>
    <cellStyle name="Процентный 8 3" xfId="3734"/>
    <cellStyle name="Процентный 9" xfId="3735"/>
    <cellStyle name="Процентный 9 2" xfId="3736"/>
    <cellStyle name="Процентный 9 3" xfId="3737"/>
    <cellStyle name="Разница" xfId="3738"/>
    <cellStyle name="Рамки" xfId="3739"/>
    <cellStyle name="Сводная таблица" xfId="3740"/>
    <cellStyle name="Связанная ячейка" xfId="3741" builtinId="24" customBuiltin="1"/>
    <cellStyle name="Связанная ячейка 10" xfId="3742"/>
    <cellStyle name="Связанная ячейка 2" xfId="3743"/>
    <cellStyle name="Связанная ячейка 2 10" xfId="3744"/>
    <cellStyle name="Связанная ячейка 2 2" xfId="3745"/>
    <cellStyle name="Связанная ячейка 2 2 2" xfId="3746"/>
    <cellStyle name="Связанная ячейка 2 3" xfId="3747"/>
    <cellStyle name="Связанная ячейка 2 4" xfId="3748"/>
    <cellStyle name="Связанная ячейка 2 5" xfId="3749"/>
    <cellStyle name="Связанная ячейка 2 6" xfId="3750"/>
    <cellStyle name="Связанная ячейка 2 7" xfId="3751"/>
    <cellStyle name="Связанная ячейка 2 8" xfId="3752"/>
    <cellStyle name="Связанная ячейка 2 9" xfId="3753"/>
    <cellStyle name="Связанная ячейка 2_46EE.2011(v1.0)" xfId="3754"/>
    <cellStyle name="Связанная ячейка 3" xfId="3755"/>
    <cellStyle name="Связанная ячейка 3 10" xfId="3756"/>
    <cellStyle name="Связанная ячейка 3 11" xfId="3757"/>
    <cellStyle name="Связанная ячейка 3 2" xfId="3758"/>
    <cellStyle name="Связанная ячейка 3 3" xfId="3759"/>
    <cellStyle name="Связанная ячейка 3 4" xfId="3760"/>
    <cellStyle name="Связанная ячейка 3 5" xfId="3761"/>
    <cellStyle name="Связанная ячейка 3 6" xfId="3762"/>
    <cellStyle name="Связанная ячейка 3 7" xfId="3763"/>
    <cellStyle name="Связанная ячейка 3 8" xfId="3764"/>
    <cellStyle name="Связанная ячейка 3 9" xfId="3765"/>
    <cellStyle name="Связанная ячейка 3_46EE.2011(v1.0)" xfId="3766"/>
    <cellStyle name="Связанная ячейка 4" xfId="3767"/>
    <cellStyle name="Связанная ячейка 4 2" xfId="3768"/>
    <cellStyle name="Связанная ячейка 4_46EE.2011(v1.0)" xfId="3769"/>
    <cellStyle name="Связанная ячейка 5" xfId="3770"/>
    <cellStyle name="Связанная ячейка 5 2" xfId="3771"/>
    <cellStyle name="Связанная ячейка 5_46EE.2011(v1.0)" xfId="3772"/>
    <cellStyle name="Связанная ячейка 6" xfId="3773"/>
    <cellStyle name="Связанная ячейка 6 2" xfId="3774"/>
    <cellStyle name="Связанная ячейка 6_46EE.2011(v1.0)" xfId="3775"/>
    <cellStyle name="Связанная ячейка 7" xfId="3776"/>
    <cellStyle name="Связанная ячейка 7 2" xfId="3777"/>
    <cellStyle name="Связанная ячейка 7_46EE.2011(v1.0)" xfId="3778"/>
    <cellStyle name="Связанная ячейка 8" xfId="3779"/>
    <cellStyle name="Связанная ячейка 8 2" xfId="3780"/>
    <cellStyle name="Связанная ячейка 8_46EE.2011(v1.0)" xfId="3781"/>
    <cellStyle name="Связанная ячейка 9" xfId="3782"/>
    <cellStyle name="Связанная ячейка 9 2" xfId="3783"/>
    <cellStyle name="Связанная ячейка 9_46EE.2011(v1.0)" xfId="3784"/>
    <cellStyle name="Стиль 1" xfId="3785"/>
    <cellStyle name="Стиль 1 2" xfId="3786"/>
    <cellStyle name="Стиль 1 2 2" xfId="3787"/>
    <cellStyle name="Стиль 1 2 3" xfId="3788"/>
    <cellStyle name="Стиль 1 2_46EP.2011(v2.0)" xfId="3789"/>
    <cellStyle name="Стиль 1 3" xfId="3790"/>
    <cellStyle name="Стиль 1_конченый" xfId="3791"/>
    <cellStyle name="Субсчет" xfId="3792"/>
    <cellStyle name="Счет" xfId="3793"/>
    <cellStyle name="ТЕКСТ" xfId="3794"/>
    <cellStyle name="ТЕКСТ 2" xfId="3795"/>
    <cellStyle name="ТЕКСТ 3" xfId="3796"/>
    <cellStyle name="ТЕКСТ 4" xfId="3797"/>
    <cellStyle name="ТЕКСТ 5" xfId="3798"/>
    <cellStyle name="ТЕКСТ 6" xfId="3799"/>
    <cellStyle name="ТЕКСТ 7" xfId="3800"/>
    <cellStyle name="ТЕКСТ 8" xfId="3801"/>
    <cellStyle name="ТЕКСТ 9" xfId="3802"/>
    <cellStyle name="Текст предупреждения" xfId="3803" builtinId="11" customBuiltin="1"/>
    <cellStyle name="Текст предупреждения 10" xfId="3804"/>
    <cellStyle name="Текст предупреждения 2" xfId="3805"/>
    <cellStyle name="Текст предупреждения 2 10" xfId="3806"/>
    <cellStyle name="Текст предупреждения 2 2" xfId="3807"/>
    <cellStyle name="Текст предупреждения 2 2 2" xfId="3808"/>
    <cellStyle name="Текст предупреждения 2 3" xfId="3809"/>
    <cellStyle name="Текст предупреждения 2 4" xfId="3810"/>
    <cellStyle name="Текст предупреждения 2 5" xfId="3811"/>
    <cellStyle name="Текст предупреждения 2 6" xfId="3812"/>
    <cellStyle name="Текст предупреждения 2 7" xfId="3813"/>
    <cellStyle name="Текст предупреждения 2 8" xfId="3814"/>
    <cellStyle name="Текст предупреждения 2 9" xfId="3815"/>
    <cellStyle name="Текст предупреждения 2_МФ тепловой баланс 2015 дубль 4 31.03.2014" xfId="3816"/>
    <cellStyle name="Текст предупреждения 3" xfId="3817"/>
    <cellStyle name="Текст предупреждения 3 10" xfId="3818"/>
    <cellStyle name="Текст предупреждения 3 11" xfId="3819"/>
    <cellStyle name="Текст предупреждения 3 2" xfId="3820"/>
    <cellStyle name="Текст предупреждения 3 3" xfId="3821"/>
    <cellStyle name="Текст предупреждения 3 4" xfId="3822"/>
    <cellStyle name="Текст предупреждения 3 5" xfId="3823"/>
    <cellStyle name="Текст предупреждения 3 6" xfId="3824"/>
    <cellStyle name="Текст предупреждения 3 7" xfId="3825"/>
    <cellStyle name="Текст предупреждения 3 8" xfId="3826"/>
    <cellStyle name="Текст предупреждения 3 9" xfId="3827"/>
    <cellStyle name="Текст предупреждения 3_МФ тепловой баланс 2015 дубль 4 31.03.2014" xfId="3828"/>
    <cellStyle name="Текст предупреждения 4" xfId="3829"/>
    <cellStyle name="Текст предупреждения 4 2" xfId="3830"/>
    <cellStyle name="Текст предупреждения 4_МФ тепловой баланс 2015 дубль 4 31.03.2014" xfId="3831"/>
    <cellStyle name="Текст предупреждения 5" xfId="3832"/>
    <cellStyle name="Текст предупреждения 5 2" xfId="3833"/>
    <cellStyle name="Текст предупреждения 5_МФ тепловой баланс 2015 дубль 4 31.03.2014" xfId="3834"/>
    <cellStyle name="Текст предупреждения 6" xfId="3835"/>
    <cellStyle name="Текст предупреждения 6 2" xfId="3836"/>
    <cellStyle name="Текст предупреждения 6_МФ тепловой баланс 2015 дубль 4 31.03.2014" xfId="3837"/>
    <cellStyle name="Текст предупреждения 7" xfId="3838"/>
    <cellStyle name="Текст предупреждения 7 2" xfId="3839"/>
    <cellStyle name="Текст предупреждения 7_МФ тепловой баланс 2015 дубль 4 31.03.2014" xfId="3840"/>
    <cellStyle name="Текст предупреждения 8" xfId="3841"/>
    <cellStyle name="Текст предупреждения 8 2" xfId="3842"/>
    <cellStyle name="Текст предупреждения 9" xfId="3843"/>
    <cellStyle name="Текст предупреждения 9 2" xfId="3844"/>
    <cellStyle name="Текстовый" xfId="3845"/>
    <cellStyle name="Текстовый 2" xfId="3846"/>
    <cellStyle name="Текстовый 3" xfId="3847"/>
    <cellStyle name="Текстовый 4" xfId="3848"/>
    <cellStyle name="Текстовый 5" xfId="3849"/>
    <cellStyle name="Текстовый 6" xfId="3850"/>
    <cellStyle name="Текстовый 7" xfId="3851"/>
    <cellStyle name="Текстовый 8" xfId="3852"/>
    <cellStyle name="Текстовый 9" xfId="3853"/>
    <cellStyle name="Текстовый_1" xfId="3854"/>
    <cellStyle name="Тысячи [0]_1 кв.95 и 96 года .в ц.соп." xfId="3855"/>
    <cellStyle name="Тысячи [а]" xfId="3856"/>
    <cellStyle name="Тысячи![0]_Цены 95г._Расчет ТП на февраль_Расчет ТП на февраль посл.._Расчет ТП на май" xfId="3857"/>
    <cellStyle name="Тысячи_1 кв.95 и 96 года .в ц.соп." xfId="3858"/>
    <cellStyle name="ФИКСИРОВАННЫЙ" xfId="3859"/>
    <cellStyle name="ФИКСИРОВАННЫЙ 2" xfId="3860"/>
    <cellStyle name="ФИКСИРОВАННЫЙ 3" xfId="3861"/>
    <cellStyle name="ФИКСИРОВАННЫЙ 4" xfId="3862"/>
    <cellStyle name="ФИКСИРОВАННЫЙ 5" xfId="3863"/>
    <cellStyle name="ФИКСИРОВАННЫЙ 6" xfId="3864"/>
    <cellStyle name="ФИКСИРОВАННЫЙ 7" xfId="3865"/>
    <cellStyle name="ФИКСИРОВАННЫЙ 8" xfId="3866"/>
    <cellStyle name="ФИКСИРОВАННЫЙ 9" xfId="3867"/>
    <cellStyle name="ФИКСИРОВАННЫЙ_1" xfId="3868"/>
    <cellStyle name="Финансовый" xfId="3869" builtinId="3"/>
    <cellStyle name="Финансовый [0] 2" xfId="3870"/>
    <cellStyle name="Финансовый 10" xfId="3871"/>
    <cellStyle name="Финансовый 10 2" xfId="3872"/>
    <cellStyle name="Финансовый 11" xfId="3873"/>
    <cellStyle name="Финансовый 12" xfId="3874"/>
    <cellStyle name="Финансовый 13" xfId="3875"/>
    <cellStyle name="Финансовый 14" xfId="3876"/>
    <cellStyle name="Финансовый 15" xfId="3877"/>
    <cellStyle name="Финансовый 16" xfId="3878"/>
    <cellStyle name="Финансовый 17" xfId="3879"/>
    <cellStyle name="Финансовый 17 2" xfId="3880"/>
    <cellStyle name="Финансовый 2" xfId="3881"/>
    <cellStyle name="Финансовый 2 10" xfId="4527"/>
    <cellStyle name="Финансовый 2 2" xfId="3882"/>
    <cellStyle name="Финансовый 2 2 2" xfId="3883"/>
    <cellStyle name="Финансовый 2 2 2 2" xfId="3884"/>
    <cellStyle name="Финансовый 2 2 3" xfId="3885"/>
    <cellStyle name="Финансовый 2 2 4" xfId="3886"/>
    <cellStyle name="Финансовый 2 2_INDEX.STATION.2012(v1.0)_" xfId="3887"/>
    <cellStyle name="Финансовый 2 3" xfId="3888"/>
    <cellStyle name="Финансовый 2 3 2" xfId="3889"/>
    <cellStyle name="Финансовый 2 4" xfId="3890"/>
    <cellStyle name="Финансовый 2 5" xfId="3891"/>
    <cellStyle name="Финансовый 2 6" xfId="3892"/>
    <cellStyle name="Финансовый 2 7" xfId="3893"/>
    <cellStyle name="Финансовый 2 8" xfId="4526"/>
    <cellStyle name="Финансовый 2 9" xfId="4529"/>
    <cellStyle name="Финансовый 2_46EE.2011(v1.0)" xfId="3894"/>
    <cellStyle name="Финансовый 3" xfId="3895"/>
    <cellStyle name="Финансовый 3 2" xfId="3896"/>
    <cellStyle name="Финансовый 3 2 2" xfId="3897"/>
    <cellStyle name="Финансовый 3 2 3" xfId="3898"/>
    <cellStyle name="Финансовый 3 3" xfId="3899"/>
    <cellStyle name="Финансовый 3 4" xfId="3900"/>
    <cellStyle name="Финансовый 3 5" xfId="3901"/>
    <cellStyle name="Финансовый 3 6" xfId="3902"/>
    <cellStyle name="Финансовый 3_INDEX.STATION.2012(v1.0)_" xfId="3903"/>
    <cellStyle name="Финансовый 4" xfId="3904"/>
    <cellStyle name="Финансовый 4 2" xfId="3905"/>
    <cellStyle name="Финансовый 4 2 2" xfId="3906"/>
    <cellStyle name="Финансовый 4 2 3" xfId="3907"/>
    <cellStyle name="Финансовый 5" xfId="3908"/>
    <cellStyle name="Финансовый 5 2" xfId="3909"/>
    <cellStyle name="Финансовый 5 3" xfId="3910"/>
    <cellStyle name="Финансовый 5 4" xfId="4528"/>
    <cellStyle name="Финансовый 6" xfId="3911"/>
    <cellStyle name="Финансовый 7" xfId="3912"/>
    <cellStyle name="Финансовый 8" xfId="3913"/>
    <cellStyle name="Финансовый 9" xfId="3914"/>
    <cellStyle name="Финансовый0[0]_FU_bal" xfId="3915"/>
    <cellStyle name="Формула" xfId="3916"/>
    <cellStyle name="Формула 10" xfId="3917"/>
    <cellStyle name="Формула 11" xfId="3918"/>
    <cellStyle name="Формула 12" xfId="3919"/>
    <cellStyle name="Формула 13" xfId="3920"/>
    <cellStyle name="Формула 14" xfId="3921"/>
    <cellStyle name="Формула 15" xfId="3922"/>
    <cellStyle name="Формула 16" xfId="3923"/>
    <cellStyle name="Формула 17" xfId="3924"/>
    <cellStyle name="Формула 18" xfId="3925"/>
    <cellStyle name="Формула 2" xfId="3926"/>
    <cellStyle name="Формула 2 2" xfId="3927"/>
    <cellStyle name="Формула 3" xfId="3928"/>
    <cellStyle name="Формула 4" xfId="3929"/>
    <cellStyle name="Формула 5" xfId="3930"/>
    <cellStyle name="Формула 6" xfId="3931"/>
    <cellStyle name="Формула 7" xfId="3932"/>
    <cellStyle name="Формула 8" xfId="3933"/>
    <cellStyle name="Формула 9" xfId="3934"/>
    <cellStyle name="Формула_A РТ 2009 Рязаньэнерго" xfId="3935"/>
    <cellStyle name="ФормулаВБ" xfId="3936"/>
    <cellStyle name="ФормулаВБ 2" xfId="3937"/>
    <cellStyle name="ФормулаНаКонтроль" xfId="3938"/>
    <cellStyle name="ФормулаНаКонтроль 2" xfId="3939"/>
    <cellStyle name="Хороший" xfId="3940" builtinId="26" customBuiltin="1"/>
    <cellStyle name="Хороший 10" xfId="3941"/>
    <cellStyle name="Хороший 2" xfId="3942"/>
    <cellStyle name="Хороший 2 10" xfId="3943"/>
    <cellStyle name="Хороший 2 2" xfId="3944"/>
    <cellStyle name="Хороший 2 2 2" xfId="3945"/>
    <cellStyle name="Хороший 2 3" xfId="3946"/>
    <cellStyle name="Хороший 2 4" xfId="3947"/>
    <cellStyle name="Хороший 2 5" xfId="3948"/>
    <cellStyle name="Хороший 2 6" xfId="3949"/>
    <cellStyle name="Хороший 2 7" xfId="3950"/>
    <cellStyle name="Хороший 2 8" xfId="3951"/>
    <cellStyle name="Хороший 2 9" xfId="3952"/>
    <cellStyle name="Хороший 2_МФ тепловой баланс 2015 дубль 4 31.03.2014" xfId="3953"/>
    <cellStyle name="Хороший 3" xfId="3954"/>
    <cellStyle name="Хороший 3 10" xfId="3955"/>
    <cellStyle name="Хороший 3 11" xfId="3956"/>
    <cellStyle name="Хороший 3 2" xfId="3957"/>
    <cellStyle name="Хороший 3 3" xfId="3958"/>
    <cellStyle name="Хороший 3 4" xfId="3959"/>
    <cellStyle name="Хороший 3 5" xfId="3960"/>
    <cellStyle name="Хороший 3 6" xfId="3961"/>
    <cellStyle name="Хороший 3 7" xfId="3962"/>
    <cellStyle name="Хороший 3 8" xfId="3963"/>
    <cellStyle name="Хороший 3 9" xfId="3964"/>
    <cellStyle name="Хороший 3_МФ тепловой баланс 2015 дубль 4 31.03.2014" xfId="3965"/>
    <cellStyle name="Хороший 4" xfId="3966"/>
    <cellStyle name="Хороший 4 2" xfId="3967"/>
    <cellStyle name="Хороший 4_МФ тепловой баланс 2015 дубль 4 31.03.2014" xfId="3968"/>
    <cellStyle name="Хороший 5" xfId="3969"/>
    <cellStyle name="Хороший 5 2" xfId="3970"/>
    <cellStyle name="Хороший 5_МФ тепловой баланс 2015 дубль 4 31.03.2014" xfId="3971"/>
    <cellStyle name="Хороший 6" xfId="3972"/>
    <cellStyle name="Хороший 6 2" xfId="3973"/>
    <cellStyle name="Хороший 6_МФ тепловой баланс 2015 дубль 4 31.03.2014" xfId="3974"/>
    <cellStyle name="Хороший 7" xfId="3975"/>
    <cellStyle name="Хороший 7 2" xfId="3976"/>
    <cellStyle name="Хороший 7_МФ тепловой баланс 2015 дубль 4 31.03.2014" xfId="3977"/>
    <cellStyle name="Хороший 8" xfId="3978"/>
    <cellStyle name="Хороший 8 2" xfId="3979"/>
    <cellStyle name="Хороший 9" xfId="3980"/>
    <cellStyle name="Хороший 9 2" xfId="3981"/>
    <cellStyle name="Цена_продукта" xfId="3982"/>
    <cellStyle name="Цифры по центру с десятыми" xfId="3983"/>
    <cellStyle name="число" xfId="3984"/>
    <cellStyle name="Џђћ–…ќ’ќ›‰" xfId="3985"/>
    <cellStyle name="Шапка" xfId="3986"/>
    <cellStyle name="Шапка таблицы" xfId="3987"/>
    <cellStyle name="Шапка_4DNS.UPDATE.EXAMPLE" xfId="3988"/>
    <cellStyle name="ШАУ" xfId="3989"/>
    <cellStyle name="標準_PL-CF sheet" xfId="3990"/>
    <cellStyle name="㼿" xfId="3991"/>
    <cellStyle name="䁺_x0001_" xfId="39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3"/>
  <sheetViews>
    <sheetView tabSelected="1" zoomScaleNormal="100" workbookViewId="0">
      <pane xSplit="4" ySplit="10" topLeftCell="M165" activePane="bottomRight" state="frozen"/>
      <selection pane="topRight" activeCell="E1" sqref="E1"/>
      <selection pane="bottomLeft" activeCell="A5" sqref="A5"/>
      <selection pane="bottomRight" activeCell="B3" sqref="B3"/>
    </sheetView>
  </sheetViews>
  <sheetFormatPr defaultColWidth="9.140625" defaultRowHeight="12.75" outlineLevelRow="1" outlineLevelCol="1"/>
  <cols>
    <col min="1" max="1" width="11.7109375" style="100" customWidth="1"/>
    <col min="2" max="2" width="44.42578125" style="100" customWidth="1"/>
    <col min="3" max="3" width="21.42578125" style="100" customWidth="1"/>
    <col min="4" max="4" width="24" style="100" hidden="1" customWidth="1" outlineLevel="1"/>
    <col min="5" max="5" width="14.42578125" style="100" customWidth="1" collapsed="1"/>
    <col min="6" max="6" width="14.7109375" style="100" customWidth="1"/>
    <col min="7" max="7" width="14.28515625" style="100" customWidth="1"/>
    <col min="8" max="8" width="14.140625" style="100" customWidth="1"/>
    <col min="9" max="9" width="14.85546875" style="100" customWidth="1"/>
    <col min="10" max="12" width="14.85546875" style="100" hidden="1" customWidth="1" outlineLevel="1"/>
    <col min="13" max="13" width="11.85546875" style="100" customWidth="1" collapsed="1"/>
    <col min="14" max="16" width="11.140625" style="100" customWidth="1"/>
    <col min="17" max="21" width="15.140625" style="92" customWidth="1"/>
    <col min="22" max="22" width="15" style="92" customWidth="1"/>
    <col min="23" max="23" width="15.85546875" style="100" customWidth="1"/>
    <col min="24" max="24" width="16.42578125" style="92" customWidth="1"/>
    <col min="25" max="25" width="16" style="92" customWidth="1"/>
    <col min="26" max="28" width="11.140625" style="100" customWidth="1"/>
    <col min="29" max="16384" width="9.140625" style="100"/>
  </cols>
  <sheetData>
    <row r="1" spans="1:26" s="125" customFormat="1">
      <c r="Q1" s="92"/>
      <c r="R1" s="92"/>
      <c r="S1" s="92"/>
      <c r="T1" s="92"/>
      <c r="U1" s="92"/>
      <c r="V1" s="92"/>
      <c r="X1" s="126" t="s">
        <v>466</v>
      </c>
      <c r="Y1" s="92"/>
    </row>
    <row r="2" spans="1:26" s="125" customFormat="1">
      <c r="Q2" s="92"/>
      <c r="R2" s="92"/>
      <c r="S2" s="92"/>
      <c r="T2" s="92"/>
      <c r="U2" s="92"/>
      <c r="V2" s="92"/>
      <c r="X2" s="126" t="s">
        <v>465</v>
      </c>
      <c r="Y2" s="92"/>
    </row>
    <row r="3" spans="1:26" s="125" customFormat="1">
      <c r="Q3" s="92"/>
      <c r="R3" s="92"/>
      <c r="S3" s="92"/>
      <c r="T3" s="92"/>
      <c r="U3" s="92"/>
      <c r="V3" s="92"/>
      <c r="X3" s="126"/>
      <c r="Y3" s="92"/>
    </row>
    <row r="4" spans="1:26" s="125" customFormat="1">
      <c r="Q4" s="92"/>
      <c r="R4" s="92"/>
      <c r="S4" s="92"/>
      <c r="T4" s="92"/>
      <c r="U4" s="92"/>
      <c r="V4" s="92"/>
      <c r="X4" s="126" t="s">
        <v>467</v>
      </c>
      <c r="Y4" s="92"/>
    </row>
    <row r="5" spans="1:26" s="127" customFormat="1" ht="20.25" customHeight="1">
      <c r="Q5" s="92"/>
      <c r="R5" s="92"/>
      <c r="S5" s="92"/>
      <c r="T5" s="92"/>
      <c r="U5" s="92"/>
      <c r="V5" s="92"/>
      <c r="X5" s="126"/>
      <c r="Y5" s="92"/>
    </row>
    <row r="6" spans="1:26" s="92" customFormat="1" ht="50.25" customHeight="1">
      <c r="A6" s="129" t="s">
        <v>399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13"/>
    </row>
    <row r="7" spans="1:26" s="92" customFormat="1" ht="21" customHeigh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1:26" s="92" customFormat="1">
      <c r="A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6" ht="84" customHeight="1">
      <c r="A9" s="143" t="s">
        <v>7</v>
      </c>
      <c r="B9" s="134" t="s">
        <v>8</v>
      </c>
      <c r="C9" s="134" t="s">
        <v>0</v>
      </c>
      <c r="D9" s="134" t="s">
        <v>1</v>
      </c>
      <c r="E9" s="134" t="s">
        <v>400</v>
      </c>
      <c r="F9" s="134"/>
      <c r="G9" s="134"/>
      <c r="H9" s="134"/>
      <c r="I9" s="134"/>
      <c r="J9" s="134" t="s">
        <v>456</v>
      </c>
      <c r="K9" s="144" t="s">
        <v>417</v>
      </c>
      <c r="L9" s="145"/>
      <c r="M9" s="134" t="s">
        <v>375</v>
      </c>
      <c r="N9" s="134"/>
      <c r="O9" s="134" t="s">
        <v>376</v>
      </c>
      <c r="P9" s="134"/>
      <c r="Q9" s="140" t="s">
        <v>377</v>
      </c>
      <c r="R9" s="141"/>
      <c r="S9" s="141"/>
      <c r="T9" s="141"/>
      <c r="U9" s="142"/>
      <c r="V9" s="139" t="s">
        <v>401</v>
      </c>
      <c r="W9" s="139" t="s">
        <v>461</v>
      </c>
      <c r="X9" s="139" t="s">
        <v>402</v>
      </c>
      <c r="Y9" s="139" t="s">
        <v>462</v>
      </c>
    </row>
    <row r="10" spans="1:26" ht="31.5" customHeight="1">
      <c r="A10" s="143"/>
      <c r="B10" s="134"/>
      <c r="C10" s="134"/>
      <c r="D10" s="134"/>
      <c r="E10" s="110" t="s">
        <v>396</v>
      </c>
      <c r="F10" s="110" t="s">
        <v>397</v>
      </c>
      <c r="G10" s="110" t="s">
        <v>4</v>
      </c>
      <c r="H10" s="110" t="s">
        <v>398</v>
      </c>
      <c r="I10" s="110" t="s">
        <v>6</v>
      </c>
      <c r="J10" s="134"/>
      <c r="K10" s="110" t="s">
        <v>418</v>
      </c>
      <c r="L10" s="110" t="s">
        <v>419</v>
      </c>
      <c r="M10" s="112" t="s">
        <v>338</v>
      </c>
      <c r="N10" s="112" t="s">
        <v>339</v>
      </c>
      <c r="O10" s="112" t="s">
        <v>338</v>
      </c>
      <c r="P10" s="112" t="s">
        <v>339</v>
      </c>
      <c r="Q10" s="112" t="s">
        <v>2</v>
      </c>
      <c r="R10" s="112" t="s">
        <v>3</v>
      </c>
      <c r="S10" s="112" t="s">
        <v>4</v>
      </c>
      <c r="T10" s="112" t="s">
        <v>5</v>
      </c>
      <c r="U10" s="112" t="s">
        <v>337</v>
      </c>
      <c r="V10" s="139"/>
      <c r="W10" s="139"/>
      <c r="X10" s="139"/>
      <c r="Y10" s="139"/>
    </row>
    <row r="11" spans="1:26" ht="25.5" customHeight="1">
      <c r="A11" s="133" t="s">
        <v>11</v>
      </c>
      <c r="B11" s="133"/>
      <c r="C11" s="133"/>
      <c r="D11" s="133"/>
      <c r="J11" s="114"/>
      <c r="Q11" s="20"/>
      <c r="R11" s="20"/>
      <c r="S11" s="20"/>
      <c r="T11" s="20"/>
      <c r="U11" s="20"/>
      <c r="V11" s="20"/>
      <c r="W11" s="20">
        <f>SUM(W12:W36)</f>
        <v>0</v>
      </c>
      <c r="X11" s="20">
        <f>SUM(X12:X36)</f>
        <v>0</v>
      </c>
      <c r="Y11" s="20">
        <f>SUM(Y12:Y36)</f>
        <v>0</v>
      </c>
    </row>
    <row r="12" spans="1:26" ht="21.75" customHeight="1">
      <c r="A12" s="94" t="s">
        <v>9</v>
      </c>
      <c r="B12" s="94" t="s">
        <v>10</v>
      </c>
      <c r="C12" s="94" t="s">
        <v>12</v>
      </c>
      <c r="D12" s="90"/>
      <c r="E12" s="21">
        <f>149.715</f>
        <v>149.715</v>
      </c>
      <c r="F12" s="21">
        <f>52.526+0</f>
        <v>52.526000000000003</v>
      </c>
      <c r="G12" s="21">
        <v>49.384999999999998</v>
      </c>
      <c r="H12" s="21">
        <v>168.33199999999999</v>
      </c>
      <c r="I12" s="88">
        <f>SUM(E12:H12)</f>
        <v>419.95799999999997</v>
      </c>
      <c r="J12" s="87">
        <v>380.4</v>
      </c>
      <c r="K12" s="86">
        <v>207.7</v>
      </c>
      <c r="L12" s="86">
        <v>172.7</v>
      </c>
      <c r="M12" s="87">
        <v>3681.02</v>
      </c>
      <c r="N12" s="86">
        <v>3828.26</v>
      </c>
      <c r="O12" s="86">
        <v>1325</v>
      </c>
      <c r="P12" s="86">
        <v>1378</v>
      </c>
      <c r="Q12" s="10">
        <f>E12*(M12-O12)</f>
        <v>352731.5343</v>
      </c>
      <c r="R12" s="10">
        <f>F12*(M12-O12)</f>
        <v>123752.30652000001</v>
      </c>
      <c r="S12" s="10">
        <f>G12*(N12-P12)</f>
        <v>121006.0901</v>
      </c>
      <c r="T12" s="10">
        <f>(N12-P12)*H12</f>
        <v>412457.16632000002</v>
      </c>
      <c r="U12" s="10">
        <f>SUM(Q12:T12)</f>
        <v>1009947.09724</v>
      </c>
      <c r="V12" s="101"/>
      <c r="W12" s="101"/>
      <c r="X12" s="101"/>
      <c r="Y12" s="101"/>
    </row>
    <row r="13" spans="1:26" ht="21.75" customHeight="1">
      <c r="A13" s="94" t="s">
        <v>13</v>
      </c>
      <c r="B13" s="94" t="s">
        <v>14</v>
      </c>
      <c r="C13" s="94" t="s">
        <v>15</v>
      </c>
      <c r="D13" s="90"/>
      <c r="E13" s="21">
        <v>1520.76</v>
      </c>
      <c r="F13" s="21">
        <f>496.82+496.42+7.2</f>
        <v>1000.44</v>
      </c>
      <c r="G13" s="21">
        <v>249.96</v>
      </c>
      <c r="H13" s="21">
        <v>1527.91</v>
      </c>
      <c r="I13" s="88">
        <f t="shared" ref="I13:I100" si="0">SUM(E13:H13)</f>
        <v>4299.07</v>
      </c>
      <c r="J13" s="115">
        <f>SUM(K13:L13)</f>
        <v>3959.002</v>
      </c>
      <c r="K13" s="88">
        <v>2226.9389999999999</v>
      </c>
      <c r="L13" s="88">
        <v>1732.0630000000001</v>
      </c>
      <c r="M13" s="87">
        <v>3740.12</v>
      </c>
      <c r="N13" s="86">
        <v>3889.72</v>
      </c>
      <c r="O13" s="86">
        <v>1312.35</v>
      </c>
      <c r="P13" s="86">
        <f>O13*1.04</f>
        <v>1364.8440000000001</v>
      </c>
      <c r="Q13" s="10">
        <f t="shared" ref="Q13:Q76" si="1">E13*(M13-O13)</f>
        <v>3692055.5052</v>
      </c>
      <c r="R13" s="10">
        <f t="shared" ref="R13:R76" si="2">F13*(M13-O13)</f>
        <v>2428838.2187999999</v>
      </c>
      <c r="S13" s="10">
        <f t="shared" ref="S13:S76" si="3">G13*(N13-P13)</f>
        <v>631118.00495999993</v>
      </c>
      <c r="T13" s="10">
        <f t="shared" ref="T13:T76" si="4">(N13-P13)*H13</f>
        <v>3857783.2891599997</v>
      </c>
      <c r="U13" s="10">
        <f t="shared" ref="U13:U76" si="5">SUM(Q13:T13)</f>
        <v>10609795.018119998</v>
      </c>
      <c r="V13" s="101"/>
      <c r="W13" s="101"/>
      <c r="X13" s="101"/>
      <c r="Y13" s="101"/>
    </row>
    <row r="14" spans="1:26" ht="21.75" customHeight="1">
      <c r="A14" s="97" t="s">
        <v>16</v>
      </c>
      <c r="B14" s="97" t="s">
        <v>17</v>
      </c>
      <c r="C14" s="97" t="s">
        <v>18</v>
      </c>
      <c r="D14" s="89"/>
      <c r="E14" s="21">
        <v>419.7</v>
      </c>
      <c r="F14" s="21">
        <f>139.9+139.9</f>
        <v>279.8</v>
      </c>
      <c r="G14" s="21">
        <v>74.566999999999993</v>
      </c>
      <c r="H14" s="21">
        <v>419.7</v>
      </c>
      <c r="I14" s="88">
        <f t="shared" si="0"/>
        <v>1193.7670000000001</v>
      </c>
      <c r="J14" s="115">
        <f>SUM(K14:L14)</f>
        <v>1119.2</v>
      </c>
      <c r="K14" s="88">
        <v>568.6</v>
      </c>
      <c r="L14" s="88">
        <v>550.6</v>
      </c>
      <c r="M14" s="87">
        <v>3162.82</v>
      </c>
      <c r="N14" s="86">
        <v>3289.33</v>
      </c>
      <c r="O14" s="86">
        <v>1312.35</v>
      </c>
      <c r="P14" s="86">
        <f>O14*1.04</f>
        <v>1364.8440000000001</v>
      </c>
      <c r="Q14" s="10">
        <f t="shared" si="1"/>
        <v>776642.25900000008</v>
      </c>
      <c r="R14" s="10">
        <f t="shared" si="2"/>
        <v>517761.50600000011</v>
      </c>
      <c r="S14" s="10">
        <f t="shared" si="3"/>
        <v>143503.14756199997</v>
      </c>
      <c r="T14" s="10">
        <f t="shared" si="4"/>
        <v>807706.77419999987</v>
      </c>
      <c r="U14" s="10">
        <f t="shared" si="5"/>
        <v>2245613.686762</v>
      </c>
      <c r="V14" s="116"/>
      <c r="W14" s="116"/>
      <c r="X14" s="116"/>
      <c r="Y14" s="116"/>
    </row>
    <row r="15" spans="1:26" ht="21.75" customHeight="1">
      <c r="A15" s="94" t="s">
        <v>19</v>
      </c>
      <c r="B15" s="94" t="s">
        <v>20</v>
      </c>
      <c r="C15" s="94" t="s">
        <v>21</v>
      </c>
      <c r="D15" s="90"/>
      <c r="E15" s="21">
        <v>166.71</v>
      </c>
      <c r="F15" s="21">
        <f>54.75+54.75+16.43</f>
        <v>125.93</v>
      </c>
      <c r="G15" s="21">
        <v>35.524999999999999</v>
      </c>
      <c r="H15" s="21">
        <v>176.11</v>
      </c>
      <c r="I15" s="88">
        <f t="shared" si="0"/>
        <v>504.27499999999998</v>
      </c>
      <c r="J15" s="117">
        <f>SUM(K15:L15)</f>
        <v>438</v>
      </c>
      <c r="K15" s="88">
        <v>246.15600000000001</v>
      </c>
      <c r="L15" s="88">
        <v>191.84399999999999</v>
      </c>
      <c r="M15" s="86">
        <v>3419.32</v>
      </c>
      <c r="N15" s="86">
        <v>3556.09</v>
      </c>
      <c r="O15" s="86">
        <v>1235.18</v>
      </c>
      <c r="P15" s="86">
        <f>O15*1.04</f>
        <v>1284.5872000000002</v>
      </c>
      <c r="Q15" s="10">
        <f t="shared" si="1"/>
        <v>364117.97940000007</v>
      </c>
      <c r="R15" s="10">
        <f t="shared" si="2"/>
        <v>275048.75020000007</v>
      </c>
      <c r="S15" s="10">
        <f t="shared" si="3"/>
        <v>80695.136970000007</v>
      </c>
      <c r="T15" s="10">
        <f t="shared" si="4"/>
        <v>400034.35810800007</v>
      </c>
      <c r="U15" s="10">
        <f t="shared" si="5"/>
        <v>1119896.2246780002</v>
      </c>
      <c r="V15" s="101"/>
      <c r="W15" s="101"/>
      <c r="X15" s="101"/>
      <c r="Y15" s="101"/>
    </row>
    <row r="16" spans="1:26" ht="21.75" customHeight="1">
      <c r="A16" s="94" t="s">
        <v>22</v>
      </c>
      <c r="B16" s="94" t="s">
        <v>23</v>
      </c>
      <c r="C16" s="94" t="s">
        <v>21</v>
      </c>
      <c r="D16" s="90"/>
      <c r="E16" s="21">
        <v>2956.6579999999999</v>
      </c>
      <c r="F16" s="21">
        <f>887.291+788.884+70.697</f>
        <v>1746.8720000000003</v>
      </c>
      <c r="G16" s="21">
        <v>287.20100000000002</v>
      </c>
      <c r="H16" s="21">
        <v>2469.3589999999999</v>
      </c>
      <c r="I16" s="21">
        <f t="shared" si="0"/>
        <v>7460.09</v>
      </c>
      <c r="J16" s="118">
        <v>6109.95</v>
      </c>
      <c r="K16" s="119">
        <v>3690.4097999999999</v>
      </c>
      <c r="L16" s="119">
        <v>2419.5401999999999</v>
      </c>
      <c r="M16" s="86">
        <v>3214.52</v>
      </c>
      <c r="N16" s="86">
        <v>3744.5</v>
      </c>
      <c r="O16" s="86">
        <v>1521.46</v>
      </c>
      <c r="P16" s="86">
        <f>O16*1.04</f>
        <v>1582.3184000000001</v>
      </c>
      <c r="Q16" s="10">
        <f t="shared" si="1"/>
        <v>5005799.3934800001</v>
      </c>
      <c r="R16" s="10">
        <f t="shared" si="2"/>
        <v>2957559.1083200006</v>
      </c>
      <c r="S16" s="10">
        <f t="shared" si="3"/>
        <v>620980.71770160005</v>
      </c>
      <c r="T16" s="10">
        <f t="shared" si="4"/>
        <v>5339202.5935943993</v>
      </c>
      <c r="U16" s="10">
        <f t="shared" si="5"/>
        <v>13923541.813096002</v>
      </c>
      <c r="V16" s="101"/>
      <c r="W16" s="101"/>
      <c r="X16" s="101"/>
      <c r="Y16" s="101"/>
    </row>
    <row r="17" spans="1:25" ht="30" customHeight="1">
      <c r="A17" s="133" t="s">
        <v>26</v>
      </c>
      <c r="B17" s="133"/>
      <c r="C17" s="133"/>
      <c r="D17" s="133"/>
      <c r="E17" s="116"/>
      <c r="F17" s="116"/>
      <c r="G17" s="116"/>
      <c r="H17" s="116"/>
      <c r="I17" s="116"/>
      <c r="J17" s="120"/>
      <c r="K17" s="101"/>
      <c r="L17" s="101"/>
      <c r="M17" s="109"/>
      <c r="N17" s="109"/>
      <c r="O17" s="109"/>
      <c r="P17" s="109"/>
      <c r="Q17" s="10">
        <f t="shared" si="1"/>
        <v>0</v>
      </c>
      <c r="R17" s="10">
        <f t="shared" si="2"/>
        <v>0</v>
      </c>
      <c r="S17" s="10">
        <f t="shared" si="3"/>
        <v>0</v>
      </c>
      <c r="T17" s="10">
        <f t="shared" si="4"/>
        <v>0</v>
      </c>
      <c r="U17" s="10">
        <f t="shared" si="5"/>
        <v>0</v>
      </c>
      <c r="V17" s="101"/>
      <c r="W17" s="101"/>
      <c r="X17" s="101"/>
      <c r="Y17" s="101"/>
    </row>
    <row r="18" spans="1:25" ht="21.75">
      <c r="A18" s="96" t="s">
        <v>24</v>
      </c>
      <c r="B18" s="27" t="s">
        <v>25</v>
      </c>
      <c r="C18" s="27" t="s">
        <v>27</v>
      </c>
      <c r="D18" s="121" t="s">
        <v>28</v>
      </c>
      <c r="E18" s="21">
        <v>540.08699999999999</v>
      </c>
      <c r="F18" s="21">
        <f>140.104+94.782</f>
        <v>234.88600000000002</v>
      </c>
      <c r="G18" s="21">
        <v>59.7</v>
      </c>
      <c r="H18" s="21">
        <v>496.04700000000003</v>
      </c>
      <c r="I18" s="21">
        <f t="shared" si="0"/>
        <v>1330.72</v>
      </c>
      <c r="J18" s="21">
        <v>1151.46</v>
      </c>
      <c r="K18" s="21">
        <v>648.27197999999999</v>
      </c>
      <c r="L18" s="21">
        <v>503.18801999999999</v>
      </c>
      <c r="M18" s="76">
        <v>3726.43</v>
      </c>
      <c r="N18" s="76">
        <v>3875.49</v>
      </c>
      <c r="O18" s="76">
        <v>1756.87</v>
      </c>
      <c r="P18" s="76">
        <f>O18*1.04</f>
        <v>1827.1448</v>
      </c>
      <c r="Q18" s="10">
        <f t="shared" si="1"/>
        <v>1063733.7517200001</v>
      </c>
      <c r="R18" s="10">
        <f t="shared" si="2"/>
        <v>462622.07016000006</v>
      </c>
      <c r="S18" s="10">
        <f t="shared" si="3"/>
        <v>122286.20843999999</v>
      </c>
      <c r="T18" s="10">
        <f t="shared" si="4"/>
        <v>1016075.4914243999</v>
      </c>
      <c r="U18" s="10">
        <f t="shared" si="5"/>
        <v>2664717.5217444003</v>
      </c>
      <c r="V18" s="101"/>
      <c r="W18" s="101"/>
      <c r="X18" s="101"/>
      <c r="Y18" s="101"/>
    </row>
    <row r="19" spans="1:25" ht="32.25">
      <c r="A19" s="28" t="s">
        <v>24</v>
      </c>
      <c r="B19" s="27" t="s">
        <v>25</v>
      </c>
      <c r="C19" s="27" t="s">
        <v>27</v>
      </c>
      <c r="D19" s="121" t="s">
        <v>29</v>
      </c>
      <c r="E19" s="21">
        <v>109.57899999999999</v>
      </c>
      <c r="F19" s="21">
        <f>36.303+17.82</f>
        <v>54.122999999999998</v>
      </c>
      <c r="G19" s="21">
        <v>22.87</v>
      </c>
      <c r="H19" s="21">
        <v>109.239</v>
      </c>
      <c r="I19" s="21">
        <f t="shared" si="0"/>
        <v>295.81100000000004</v>
      </c>
      <c r="J19" s="21">
        <v>282.67999999999995</v>
      </c>
      <c r="K19" s="21">
        <v>159.14883999999998</v>
      </c>
      <c r="L19" s="21">
        <v>123.53116</v>
      </c>
      <c r="M19" s="76">
        <v>3726.43</v>
      </c>
      <c r="N19" s="76">
        <v>3875.49</v>
      </c>
      <c r="O19" s="76">
        <v>1304.8900000000001</v>
      </c>
      <c r="P19" s="76">
        <f t="shared" ref="P19:P26" si="6">O19*1.04</f>
        <v>1357.0856000000001</v>
      </c>
      <c r="Q19" s="10">
        <f t="shared" si="1"/>
        <v>265349.93166</v>
      </c>
      <c r="R19" s="10">
        <f t="shared" si="2"/>
        <v>131061.00941999999</v>
      </c>
      <c r="S19" s="10">
        <f t="shared" si="3"/>
        <v>57595.90862799999</v>
      </c>
      <c r="T19" s="10">
        <f t="shared" si="4"/>
        <v>275107.97825159994</v>
      </c>
      <c r="U19" s="10">
        <f t="shared" si="5"/>
        <v>729114.8279595999</v>
      </c>
      <c r="V19" s="101"/>
      <c r="W19" s="101"/>
      <c r="X19" s="101"/>
      <c r="Y19" s="101"/>
    </row>
    <row r="20" spans="1:25" ht="23.25" customHeight="1">
      <c r="A20" s="28" t="s">
        <v>385</v>
      </c>
      <c r="B20" s="27" t="s">
        <v>25</v>
      </c>
      <c r="C20" s="27" t="s">
        <v>27</v>
      </c>
      <c r="D20" s="121" t="s">
        <v>386</v>
      </c>
      <c r="E20" s="21">
        <v>20.265000000000001</v>
      </c>
      <c r="F20" s="21">
        <f>13.51+6.54</f>
        <v>20.05</v>
      </c>
      <c r="G20" s="21">
        <v>6.7549999999999999</v>
      </c>
      <c r="H20" s="21">
        <v>36.475000000000001</v>
      </c>
      <c r="I20" s="21">
        <f t="shared" si="0"/>
        <v>83.545000000000002</v>
      </c>
      <c r="J20" s="21">
        <v>108.08</v>
      </c>
      <c r="K20" s="21">
        <v>64.847999999999999</v>
      </c>
      <c r="L20" s="21">
        <v>43.231999999999999</v>
      </c>
      <c r="M20" s="76">
        <v>9275.1299999999992</v>
      </c>
      <c r="N20" s="76">
        <v>9965.5</v>
      </c>
      <c r="O20" s="76">
        <v>1525</v>
      </c>
      <c r="P20" s="76">
        <f t="shared" si="6"/>
        <v>1586</v>
      </c>
      <c r="Q20" s="10">
        <f t="shared" si="1"/>
        <v>157056.38444999998</v>
      </c>
      <c r="R20" s="10">
        <f t="shared" si="2"/>
        <v>155390.10649999999</v>
      </c>
      <c r="S20" s="10">
        <f t="shared" si="3"/>
        <v>56603.522499999999</v>
      </c>
      <c r="T20" s="10">
        <f t="shared" si="4"/>
        <v>305642.26250000001</v>
      </c>
      <c r="U20" s="10">
        <f t="shared" si="5"/>
        <v>674692.27595000004</v>
      </c>
      <c r="V20" s="101"/>
      <c r="W20" s="101"/>
      <c r="X20" s="101"/>
      <c r="Y20" s="101"/>
    </row>
    <row r="21" spans="1:25" ht="23.25" customHeight="1">
      <c r="A21" s="28" t="s">
        <v>30</v>
      </c>
      <c r="B21" s="27" t="s">
        <v>31</v>
      </c>
      <c r="C21" s="27" t="s">
        <v>32</v>
      </c>
      <c r="D21" s="101"/>
      <c r="E21" s="21">
        <v>567.24</v>
      </c>
      <c r="F21" s="21">
        <f>189.082+121.591+1.136</f>
        <v>311.80900000000003</v>
      </c>
      <c r="G21" s="21">
        <v>85.826999999999998</v>
      </c>
      <c r="H21" s="21">
        <v>568.48900000000003</v>
      </c>
      <c r="I21" s="21">
        <f t="shared" si="0"/>
        <v>1533.365</v>
      </c>
      <c r="J21" s="21">
        <v>1615.83</v>
      </c>
      <c r="K21" s="21">
        <v>974.34548999999993</v>
      </c>
      <c r="L21" s="21">
        <v>641.48451</v>
      </c>
      <c r="M21" s="76">
        <v>3071.62</v>
      </c>
      <c r="N21" s="76">
        <v>3194.48</v>
      </c>
      <c r="O21" s="76">
        <v>1462.76</v>
      </c>
      <c r="P21" s="76">
        <f t="shared" si="6"/>
        <v>1521.2704000000001</v>
      </c>
      <c r="Q21" s="10">
        <f t="shared" si="1"/>
        <v>912609.74639999995</v>
      </c>
      <c r="R21" s="10">
        <f t="shared" si="2"/>
        <v>501657.02773999999</v>
      </c>
      <c r="S21" s="10">
        <f t="shared" si="3"/>
        <v>143606.56033919999</v>
      </c>
      <c r="T21" s="10">
        <f t="shared" si="4"/>
        <v>951201.25229440001</v>
      </c>
      <c r="U21" s="10">
        <f t="shared" si="5"/>
        <v>2509074.5867736</v>
      </c>
      <c r="V21" s="101"/>
      <c r="W21" s="101"/>
      <c r="X21" s="101"/>
      <c r="Y21" s="101"/>
    </row>
    <row r="22" spans="1:25" ht="23.25" customHeight="1">
      <c r="A22" s="96" t="s">
        <v>33</v>
      </c>
      <c r="B22" s="27" t="s">
        <v>34</v>
      </c>
      <c r="C22" s="27" t="s">
        <v>35</v>
      </c>
      <c r="D22" s="101"/>
      <c r="E22" s="21">
        <v>94.2</v>
      </c>
      <c r="F22" s="21">
        <f>31.4+23.09</f>
        <v>54.489999999999995</v>
      </c>
      <c r="G22" s="21">
        <v>6.27</v>
      </c>
      <c r="H22" s="21">
        <v>94.2</v>
      </c>
      <c r="I22" s="21">
        <f t="shared" si="0"/>
        <v>249.16000000000003</v>
      </c>
      <c r="J22" s="21">
        <v>282.58999999999997</v>
      </c>
      <c r="K22" s="21">
        <v>169.55399999999997</v>
      </c>
      <c r="L22" s="21">
        <v>113.036</v>
      </c>
      <c r="M22" s="76">
        <v>5095.43</v>
      </c>
      <c r="N22" s="76">
        <v>5492.77</v>
      </c>
      <c r="O22" s="76">
        <v>1805.65</v>
      </c>
      <c r="P22" s="76">
        <f t="shared" si="6"/>
        <v>1877.8760000000002</v>
      </c>
      <c r="Q22" s="10">
        <f t="shared" si="1"/>
        <v>309897.27600000001</v>
      </c>
      <c r="R22" s="10">
        <f t="shared" si="2"/>
        <v>179260.1122</v>
      </c>
      <c r="S22" s="10">
        <f t="shared" si="3"/>
        <v>22665.38538</v>
      </c>
      <c r="T22" s="10">
        <f t="shared" si="4"/>
        <v>340523.0148</v>
      </c>
      <c r="U22" s="10">
        <f t="shared" si="5"/>
        <v>852345.78838000004</v>
      </c>
      <c r="V22" s="101"/>
      <c r="W22" s="101"/>
      <c r="X22" s="101"/>
      <c r="Y22" s="101"/>
    </row>
    <row r="23" spans="1:25" ht="23.25" customHeight="1">
      <c r="A23" s="28" t="s">
        <v>36</v>
      </c>
      <c r="B23" s="27" t="s">
        <v>37</v>
      </c>
      <c r="C23" s="27" t="s">
        <v>27</v>
      </c>
      <c r="D23" s="101"/>
      <c r="E23" s="21">
        <v>162.94999999999999</v>
      </c>
      <c r="F23" s="21">
        <f>51.05+32.808</f>
        <v>83.858000000000004</v>
      </c>
      <c r="G23" s="21">
        <v>21.524999999999999</v>
      </c>
      <c r="H23" s="21">
        <v>160.35</v>
      </c>
      <c r="I23" s="21">
        <f t="shared" si="0"/>
        <v>428.68299999999999</v>
      </c>
      <c r="J23" s="21">
        <v>487.53</v>
      </c>
      <c r="K23" s="21">
        <v>292.51799999999997</v>
      </c>
      <c r="L23" s="21">
        <v>195.012</v>
      </c>
      <c r="M23" s="76">
        <v>4650.63</v>
      </c>
      <c r="N23" s="76">
        <v>4836.6552000000001</v>
      </c>
      <c r="O23" s="76">
        <v>1333.37</v>
      </c>
      <c r="P23" s="76">
        <f t="shared" si="6"/>
        <v>1386.7048</v>
      </c>
      <c r="Q23" s="10">
        <f t="shared" si="1"/>
        <v>540547.51699999999</v>
      </c>
      <c r="R23" s="10">
        <f t="shared" si="2"/>
        <v>278178.78908000002</v>
      </c>
      <c r="S23" s="10">
        <f t="shared" si="3"/>
        <v>74260.182359999992</v>
      </c>
      <c r="T23" s="10">
        <f t="shared" si="4"/>
        <v>553199.54663999996</v>
      </c>
      <c r="U23" s="10">
        <f t="shared" si="5"/>
        <v>1446186.0350799998</v>
      </c>
      <c r="V23" s="101"/>
      <c r="W23" s="101"/>
      <c r="X23" s="101"/>
      <c r="Y23" s="101"/>
    </row>
    <row r="24" spans="1:25" ht="23.25" customHeight="1">
      <c r="A24" s="28" t="s">
        <v>38</v>
      </c>
      <c r="B24" s="27" t="s">
        <v>39</v>
      </c>
      <c r="C24" s="27" t="s">
        <v>40</v>
      </c>
      <c r="D24" s="101"/>
      <c r="E24" s="21">
        <v>296.10000000000002</v>
      </c>
      <c r="F24" s="21">
        <f>98.7+66.8+26.31</f>
        <v>191.81</v>
      </c>
      <c r="G24" s="21">
        <v>59.22</v>
      </c>
      <c r="H24" s="21">
        <v>282.37</v>
      </c>
      <c r="I24" s="21">
        <f t="shared" si="0"/>
        <v>829.5</v>
      </c>
      <c r="J24" s="21">
        <v>784.67</v>
      </c>
      <c r="K24" s="21">
        <v>477.07935999999995</v>
      </c>
      <c r="L24" s="21">
        <v>307.59064000000001</v>
      </c>
      <c r="M24" s="76">
        <v>2839.85</v>
      </c>
      <c r="N24" s="76">
        <v>2953.444</v>
      </c>
      <c r="O24" s="76">
        <v>1704.96</v>
      </c>
      <c r="P24" s="76">
        <f t="shared" si="6"/>
        <v>1773.1584</v>
      </c>
      <c r="Q24" s="10">
        <f t="shared" si="1"/>
        <v>336040.929</v>
      </c>
      <c r="R24" s="10">
        <f t="shared" si="2"/>
        <v>217683.25089999998</v>
      </c>
      <c r="S24" s="10">
        <f t="shared" si="3"/>
        <v>69896.513231999998</v>
      </c>
      <c r="T24" s="10">
        <f t="shared" si="4"/>
        <v>333277.24487200001</v>
      </c>
      <c r="U24" s="10">
        <f t="shared" si="5"/>
        <v>956897.93800400011</v>
      </c>
      <c r="V24" s="101"/>
      <c r="W24" s="101"/>
      <c r="X24" s="101"/>
      <c r="Y24" s="101"/>
    </row>
    <row r="25" spans="1:25" ht="23.25" customHeight="1">
      <c r="A25" s="28" t="s">
        <v>41</v>
      </c>
      <c r="B25" s="27" t="s">
        <v>42</v>
      </c>
      <c r="C25" s="27" t="s">
        <v>43</v>
      </c>
      <c r="D25" s="101"/>
      <c r="E25" s="21">
        <v>411.36</v>
      </c>
      <c r="F25" s="21">
        <f>137.12+68.56</f>
        <v>205.68</v>
      </c>
      <c r="G25" s="21">
        <v>68.56</v>
      </c>
      <c r="H25" s="21">
        <v>411.36</v>
      </c>
      <c r="I25" s="21">
        <f t="shared" si="0"/>
        <v>1096.96</v>
      </c>
      <c r="J25" s="21">
        <v>1100.27</v>
      </c>
      <c r="K25" s="21">
        <v>659.06173000000001</v>
      </c>
      <c r="L25" s="21">
        <v>441.20827000000003</v>
      </c>
      <c r="M25" s="76">
        <v>2526.71</v>
      </c>
      <c r="N25" s="76">
        <v>2627.78</v>
      </c>
      <c r="O25" s="76">
        <v>1687.92</v>
      </c>
      <c r="P25" s="76">
        <f t="shared" si="6"/>
        <v>1755.4368000000002</v>
      </c>
      <c r="Q25" s="10">
        <f t="shared" si="1"/>
        <v>345044.6544</v>
      </c>
      <c r="R25" s="10">
        <f t="shared" si="2"/>
        <v>172522.3272</v>
      </c>
      <c r="S25" s="10">
        <f t="shared" si="3"/>
        <v>59807.849792000001</v>
      </c>
      <c r="T25" s="10">
        <f t="shared" si="4"/>
        <v>358847.09875200002</v>
      </c>
      <c r="U25" s="10">
        <f t="shared" si="5"/>
        <v>936221.93014399998</v>
      </c>
      <c r="V25" s="101"/>
      <c r="W25" s="101"/>
      <c r="X25" s="101"/>
      <c r="Y25" s="101"/>
    </row>
    <row r="26" spans="1:25" ht="23.25" customHeight="1">
      <c r="A26" s="96" t="s">
        <v>22</v>
      </c>
      <c r="B26" s="27" t="s">
        <v>23</v>
      </c>
      <c r="C26" s="27" t="s">
        <v>27</v>
      </c>
      <c r="D26" s="101"/>
      <c r="E26" s="21">
        <v>4941.0860000000002</v>
      </c>
      <c r="F26" s="21">
        <f>1375.899+767.172</f>
        <v>2143.0709999999999</v>
      </c>
      <c r="G26" s="21">
        <v>599.72199999999998</v>
      </c>
      <c r="H26" s="21">
        <v>4598.973</v>
      </c>
      <c r="I26" s="21">
        <f t="shared" si="0"/>
        <v>12282.851999999999</v>
      </c>
      <c r="J26" s="21">
        <v>11891.03</v>
      </c>
      <c r="K26" s="21">
        <v>6977.6564040000003</v>
      </c>
      <c r="L26" s="21">
        <v>4913.3735960000004</v>
      </c>
      <c r="M26" s="76">
        <v>2915.3</v>
      </c>
      <c r="N26" s="76">
        <v>3438.36</v>
      </c>
      <c r="O26" s="76">
        <v>1517.51</v>
      </c>
      <c r="P26" s="76">
        <f t="shared" si="6"/>
        <v>1578.2103999999999</v>
      </c>
      <c r="Q26" s="10">
        <f t="shared" si="1"/>
        <v>6906600.599940001</v>
      </c>
      <c r="R26" s="10">
        <f t="shared" si="2"/>
        <v>2995563.2130900002</v>
      </c>
      <c r="S26" s="10">
        <f t="shared" si="3"/>
        <v>1115572.6384112001</v>
      </c>
      <c r="T26" s="10">
        <f t="shared" si="4"/>
        <v>8554777.7863608003</v>
      </c>
      <c r="U26" s="10">
        <f t="shared" si="5"/>
        <v>19572514.237801999</v>
      </c>
      <c r="V26" s="101"/>
      <c r="W26" s="101"/>
      <c r="X26" s="101"/>
      <c r="Y26" s="101"/>
    </row>
    <row r="27" spans="1:25" ht="32.25" customHeight="1">
      <c r="A27" s="133" t="s">
        <v>44</v>
      </c>
      <c r="B27" s="133"/>
      <c r="C27" s="133"/>
      <c r="D27" s="133"/>
      <c r="E27" s="21"/>
      <c r="F27" s="21"/>
      <c r="G27" s="21"/>
      <c r="H27" s="21"/>
      <c r="I27" s="21"/>
      <c r="J27" s="21"/>
      <c r="K27" s="21"/>
      <c r="L27" s="21"/>
      <c r="M27" s="76"/>
      <c r="N27" s="76"/>
      <c r="O27" s="76"/>
      <c r="P27" s="76"/>
      <c r="Q27" s="10">
        <f t="shared" si="1"/>
        <v>0</v>
      </c>
      <c r="R27" s="10">
        <f t="shared" si="2"/>
        <v>0</v>
      </c>
      <c r="S27" s="10">
        <f t="shared" si="3"/>
        <v>0</v>
      </c>
      <c r="T27" s="10">
        <f t="shared" si="4"/>
        <v>0</v>
      </c>
      <c r="U27" s="10">
        <f t="shared" si="5"/>
        <v>0</v>
      </c>
      <c r="V27" s="101"/>
      <c r="W27" s="101"/>
      <c r="X27" s="101"/>
      <c r="Y27" s="101"/>
    </row>
    <row r="28" spans="1:25" ht="24.75" customHeight="1">
      <c r="A28" s="28" t="s">
        <v>9</v>
      </c>
      <c r="B28" s="27" t="s">
        <v>10</v>
      </c>
      <c r="C28" s="27" t="s">
        <v>45</v>
      </c>
      <c r="D28" s="101"/>
      <c r="E28" s="21">
        <f>106.935-9.71-11.426</f>
        <v>85.798999999999992</v>
      </c>
      <c r="F28" s="21">
        <f>37.47+37.47</f>
        <v>74.94</v>
      </c>
      <c r="G28" s="21">
        <v>94.938000000000002</v>
      </c>
      <c r="H28" s="21">
        <v>124.664</v>
      </c>
      <c r="I28" s="21">
        <f t="shared" si="0"/>
        <v>380.34099999999995</v>
      </c>
      <c r="J28" s="21">
        <v>373</v>
      </c>
      <c r="K28" s="21">
        <f>J28*0.59</f>
        <v>220.07</v>
      </c>
      <c r="L28" s="21">
        <f>J28-K28</f>
        <v>152.93</v>
      </c>
      <c r="M28" s="76">
        <v>3658.29</v>
      </c>
      <c r="N28" s="76">
        <v>3804.6215999999999</v>
      </c>
      <c r="O28" s="76">
        <v>1455.8888000000002</v>
      </c>
      <c r="P28" s="76">
        <v>1514.1243520000003</v>
      </c>
      <c r="Q28" s="10">
        <f t="shared" si="1"/>
        <v>188963.82055879995</v>
      </c>
      <c r="R28" s="10">
        <f t="shared" si="2"/>
        <v>165047.94592799997</v>
      </c>
      <c r="S28" s="10">
        <f t="shared" si="3"/>
        <v>217455.22773062397</v>
      </c>
      <c r="T28" s="10">
        <f t="shared" si="4"/>
        <v>285542.54892467195</v>
      </c>
      <c r="U28" s="10">
        <f t="shared" si="5"/>
        <v>857009.54314209591</v>
      </c>
      <c r="V28" s="101"/>
      <c r="W28" s="101"/>
      <c r="X28" s="101"/>
      <c r="Y28" s="101"/>
    </row>
    <row r="29" spans="1:25" ht="24.75" customHeight="1">
      <c r="A29" s="28" t="s">
        <v>9</v>
      </c>
      <c r="B29" s="27" t="s">
        <v>10</v>
      </c>
      <c r="C29" s="27" t="s">
        <v>46</v>
      </c>
      <c r="D29" s="101"/>
      <c r="E29" s="21">
        <f>416.733-11.7-14.368</f>
        <v>390.66500000000002</v>
      </c>
      <c r="F29" s="21">
        <f>141.394+141.394</f>
        <v>282.78800000000001</v>
      </c>
      <c r="G29" s="21">
        <v>92.283000000000001</v>
      </c>
      <c r="H29" s="21">
        <v>416.07799999999997</v>
      </c>
      <c r="I29" s="21">
        <f t="shared" si="0"/>
        <v>1181.8139999999999</v>
      </c>
      <c r="J29" s="21">
        <v>1390</v>
      </c>
      <c r="K29" s="21">
        <f>J29*0.59</f>
        <v>820.09999999999991</v>
      </c>
      <c r="L29" s="21">
        <f>J29-K29</f>
        <v>569.90000000000009</v>
      </c>
      <c r="M29" s="76">
        <v>3658.29</v>
      </c>
      <c r="N29" s="76">
        <v>3804.6215999999999</v>
      </c>
      <c r="O29" s="76">
        <v>1455.8888000000002</v>
      </c>
      <c r="P29" s="76">
        <v>1514.1243520000003</v>
      </c>
      <c r="Q29" s="10">
        <f t="shared" si="1"/>
        <v>860401.06479799992</v>
      </c>
      <c r="R29" s="10">
        <f t="shared" si="2"/>
        <v>622812.63054559997</v>
      </c>
      <c r="S29" s="10">
        <f t="shared" si="3"/>
        <v>211373.95753718397</v>
      </c>
      <c r="T29" s="10">
        <f t="shared" si="4"/>
        <v>953025.51395334385</v>
      </c>
      <c r="U29" s="10">
        <f t="shared" si="5"/>
        <v>2647613.1668341276</v>
      </c>
      <c r="V29" s="101"/>
      <c r="W29" s="101"/>
      <c r="X29" s="101"/>
      <c r="Y29" s="101"/>
    </row>
    <row r="30" spans="1:25" ht="24.75" customHeight="1">
      <c r="A30" s="28" t="s">
        <v>47</v>
      </c>
      <c r="B30" s="27" t="s">
        <v>48</v>
      </c>
      <c r="C30" s="27" t="s">
        <v>46</v>
      </c>
      <c r="D30" s="101"/>
      <c r="E30" s="21">
        <v>48.66</v>
      </c>
      <c r="F30" s="21">
        <f>16.22+16.22</f>
        <v>32.44</v>
      </c>
      <c r="G30" s="21">
        <v>4.9000000000000004</v>
      </c>
      <c r="H30" s="21">
        <v>41.73</v>
      </c>
      <c r="I30" s="21">
        <f t="shared" si="0"/>
        <v>127.72999999999999</v>
      </c>
      <c r="J30" s="21">
        <f t="shared" ref="J30:J34" si="7">SUM(K30:L30)</f>
        <v>159.738</v>
      </c>
      <c r="K30" s="21">
        <v>97.918999999999997</v>
      </c>
      <c r="L30" s="21">
        <v>61.819000000000003</v>
      </c>
      <c r="M30" s="76">
        <v>2889.36</v>
      </c>
      <c r="N30" s="76">
        <v>3004.93</v>
      </c>
      <c r="O30" s="76">
        <v>1428.42</v>
      </c>
      <c r="P30" s="76">
        <v>1485.56</v>
      </c>
      <c r="Q30" s="10">
        <f t="shared" si="1"/>
        <v>71089.340400000001</v>
      </c>
      <c r="R30" s="10">
        <f t="shared" si="2"/>
        <v>47392.893599999996</v>
      </c>
      <c r="S30" s="10">
        <f t="shared" si="3"/>
        <v>7444.9129999999996</v>
      </c>
      <c r="T30" s="10">
        <f t="shared" si="4"/>
        <v>63403.310099999988</v>
      </c>
      <c r="U30" s="10">
        <f t="shared" si="5"/>
        <v>189330.4571</v>
      </c>
      <c r="V30" s="101"/>
      <c r="W30" s="101"/>
      <c r="X30" s="101"/>
      <c r="Y30" s="101"/>
    </row>
    <row r="31" spans="1:25" ht="24.75" customHeight="1">
      <c r="A31" s="28" t="s">
        <v>49</v>
      </c>
      <c r="B31" s="27" t="s">
        <v>50</v>
      </c>
      <c r="C31" s="27" t="s">
        <v>51</v>
      </c>
      <c r="D31" s="101"/>
      <c r="E31" s="21">
        <v>2125.4499999999998</v>
      </c>
      <c r="F31" s="21">
        <f>672.71+539.889+130.614</f>
        <v>1343.2130000000002</v>
      </c>
      <c r="G31" s="21">
        <v>65.394999999999996</v>
      </c>
      <c r="H31" s="21">
        <v>1884.0360000000001</v>
      </c>
      <c r="I31" s="21">
        <f t="shared" si="0"/>
        <v>5418.0940000000001</v>
      </c>
      <c r="J31" s="21">
        <f t="shared" si="7"/>
        <v>5751</v>
      </c>
      <c r="K31" s="21">
        <v>3335.58</v>
      </c>
      <c r="L31" s="21">
        <v>2415.42</v>
      </c>
      <c r="M31" s="76">
        <v>3684.36</v>
      </c>
      <c r="N31" s="76">
        <v>3928.51</v>
      </c>
      <c r="O31" s="76">
        <v>1614.19</v>
      </c>
      <c r="P31" s="76">
        <v>1678.762176</v>
      </c>
      <c r="Q31" s="10">
        <f t="shared" si="1"/>
        <v>4400042.8264999995</v>
      </c>
      <c r="R31" s="10">
        <f t="shared" si="2"/>
        <v>2780679.2562100007</v>
      </c>
      <c r="S31" s="10">
        <f t="shared" si="3"/>
        <v>147122.25895048</v>
      </c>
      <c r="T31" s="10">
        <f t="shared" si="4"/>
        <v>4238605.8913376639</v>
      </c>
      <c r="U31" s="10">
        <f t="shared" si="5"/>
        <v>11566450.232998144</v>
      </c>
      <c r="V31" s="101"/>
      <c r="W31" s="101"/>
      <c r="X31" s="101"/>
      <c r="Y31" s="101"/>
    </row>
    <row r="32" spans="1:25" ht="24.75" customHeight="1">
      <c r="A32" s="28" t="s">
        <v>49</v>
      </c>
      <c r="B32" s="27" t="s">
        <v>50</v>
      </c>
      <c r="C32" s="27" t="s">
        <v>52</v>
      </c>
      <c r="D32" s="101"/>
      <c r="E32" s="21">
        <v>3467.5810000000001</v>
      </c>
      <c r="F32" s="21">
        <f>1142.51+1066.81+259.99</f>
        <v>2469.3099999999995</v>
      </c>
      <c r="G32" s="21">
        <v>651.16200000000003</v>
      </c>
      <c r="H32" s="21">
        <v>3235.7510000000002</v>
      </c>
      <c r="I32" s="21">
        <f t="shared" si="0"/>
        <v>9823.8040000000001</v>
      </c>
      <c r="J32" s="21">
        <f t="shared" si="7"/>
        <v>9898.59</v>
      </c>
      <c r="K32" s="21">
        <v>5741.18</v>
      </c>
      <c r="L32" s="21">
        <v>4157.41</v>
      </c>
      <c r="M32" s="76">
        <v>3055.6200000000003</v>
      </c>
      <c r="N32" s="76">
        <v>3269.5134000000007</v>
      </c>
      <c r="O32" s="76">
        <v>1255.54</v>
      </c>
      <c r="P32" s="76">
        <v>1305.7616</v>
      </c>
      <c r="Q32" s="10">
        <f t="shared" si="1"/>
        <v>6241923.2064800011</v>
      </c>
      <c r="R32" s="10">
        <f t="shared" si="2"/>
        <v>4444955.5448000003</v>
      </c>
      <c r="S32" s="10">
        <f t="shared" si="3"/>
        <v>1278720.5495916004</v>
      </c>
      <c r="T32" s="10">
        <f t="shared" si="4"/>
        <v>6354211.8506018026</v>
      </c>
      <c r="U32" s="10">
        <f t="shared" si="5"/>
        <v>18319811.151473407</v>
      </c>
      <c r="V32" s="101"/>
      <c r="W32" s="101"/>
      <c r="X32" s="101"/>
      <c r="Y32" s="101"/>
    </row>
    <row r="33" spans="1:25" ht="24.75" customHeight="1">
      <c r="A33" s="28" t="s">
        <v>53</v>
      </c>
      <c r="B33" s="27" t="s">
        <v>54</v>
      </c>
      <c r="C33" s="27" t="s">
        <v>46</v>
      </c>
      <c r="D33" s="101"/>
      <c r="E33" s="21">
        <v>6689.7150000000001</v>
      </c>
      <c r="F33" s="21">
        <f>2222.016+2216+506.931</f>
        <v>4944.9469999999992</v>
      </c>
      <c r="G33" s="21">
        <v>1276.451</v>
      </c>
      <c r="H33" s="21">
        <v>6615.1980000000003</v>
      </c>
      <c r="I33" s="21">
        <f t="shared" si="0"/>
        <v>19526.311000000002</v>
      </c>
      <c r="J33" s="21">
        <f t="shared" si="7"/>
        <v>18783</v>
      </c>
      <c r="K33" s="21">
        <v>11269.8</v>
      </c>
      <c r="L33" s="21">
        <v>7513.2</v>
      </c>
      <c r="M33" s="103">
        <v>2919.86</v>
      </c>
      <c r="N33" s="103">
        <v>3036.6544000000004</v>
      </c>
      <c r="O33" s="103">
        <v>1428.42</v>
      </c>
      <c r="P33" s="103">
        <v>1485.5568000000001</v>
      </c>
      <c r="Q33" s="10">
        <f t="shared" si="1"/>
        <v>9977308.5395999998</v>
      </c>
      <c r="R33" s="10">
        <f t="shared" si="2"/>
        <v>7375091.7536799992</v>
      </c>
      <c r="S33" s="10">
        <f t="shared" si="3"/>
        <v>1979900.0826176004</v>
      </c>
      <c r="T33" s="10">
        <f t="shared" si="4"/>
        <v>10260817.741324803</v>
      </c>
      <c r="U33" s="10">
        <f t="shared" si="5"/>
        <v>29593118.117222399</v>
      </c>
      <c r="V33" s="101"/>
      <c r="W33" s="101"/>
      <c r="X33" s="101"/>
      <c r="Y33" s="101"/>
    </row>
    <row r="34" spans="1:25" ht="24.75" customHeight="1">
      <c r="A34" s="28" t="s">
        <v>55</v>
      </c>
      <c r="B34" s="27" t="s">
        <v>56</v>
      </c>
      <c r="C34" s="27" t="s">
        <v>57</v>
      </c>
      <c r="D34" s="101"/>
      <c r="E34" s="21">
        <v>526.75199999999995</v>
      </c>
      <c r="F34" s="21">
        <f>175.584+175.584</f>
        <v>351.16800000000001</v>
      </c>
      <c r="G34" s="21">
        <v>270.73399999999998</v>
      </c>
      <c r="H34" s="21">
        <v>498.99200000000002</v>
      </c>
      <c r="I34" s="21">
        <f t="shared" si="0"/>
        <v>1647.646</v>
      </c>
      <c r="J34" s="21">
        <f t="shared" si="7"/>
        <v>1524.6999999999998</v>
      </c>
      <c r="K34" s="21">
        <v>869.07899999999995</v>
      </c>
      <c r="L34" s="21">
        <v>655.62099999999998</v>
      </c>
      <c r="M34" s="76">
        <v>5412.12</v>
      </c>
      <c r="N34" s="76">
        <v>5628.6</v>
      </c>
      <c r="O34" s="76">
        <v>1614.2</v>
      </c>
      <c r="P34" s="76">
        <v>1678.77</v>
      </c>
      <c r="Q34" s="10">
        <f t="shared" si="1"/>
        <v>2000561.95584</v>
      </c>
      <c r="R34" s="10">
        <f t="shared" si="2"/>
        <v>1333707.97056</v>
      </c>
      <c r="S34" s="10">
        <f t="shared" si="3"/>
        <v>1069353.27522</v>
      </c>
      <c r="T34" s="10">
        <f t="shared" si="4"/>
        <v>1970933.5713600002</v>
      </c>
      <c r="U34" s="10">
        <f t="shared" si="5"/>
        <v>6374556.7729800008</v>
      </c>
      <c r="V34" s="101"/>
      <c r="W34" s="101"/>
      <c r="X34" s="101"/>
      <c r="Y34" s="101"/>
    </row>
    <row r="35" spans="1:25" ht="29.25" customHeight="1">
      <c r="A35" s="131" t="s">
        <v>60</v>
      </c>
      <c r="B35" s="132"/>
      <c r="C35" s="132"/>
      <c r="D35" s="135"/>
      <c r="E35" s="21"/>
      <c r="F35" s="21"/>
      <c r="G35" s="21"/>
      <c r="H35" s="21"/>
      <c r="I35" s="21"/>
      <c r="J35" s="21"/>
      <c r="K35" s="21"/>
      <c r="L35" s="21"/>
      <c r="M35" s="76"/>
      <c r="N35" s="76"/>
      <c r="O35" s="76"/>
      <c r="P35" s="76"/>
      <c r="Q35" s="10">
        <f t="shared" si="1"/>
        <v>0</v>
      </c>
      <c r="R35" s="10">
        <f t="shared" si="2"/>
        <v>0</v>
      </c>
      <c r="S35" s="10">
        <f t="shared" si="3"/>
        <v>0</v>
      </c>
      <c r="T35" s="10">
        <f t="shared" si="4"/>
        <v>0</v>
      </c>
      <c r="U35" s="10">
        <f t="shared" si="5"/>
        <v>0</v>
      </c>
      <c r="V35" s="101"/>
      <c r="W35" s="101"/>
      <c r="X35" s="101"/>
      <c r="Y35" s="101"/>
    </row>
    <row r="36" spans="1:25" ht="25.5" customHeight="1">
      <c r="A36" s="28" t="s">
        <v>58</v>
      </c>
      <c r="B36" s="27" t="s">
        <v>59</v>
      </c>
      <c r="C36" s="27" t="s">
        <v>61</v>
      </c>
      <c r="D36" s="27"/>
      <c r="E36" s="21">
        <v>179.01</v>
      </c>
      <c r="F36" s="21">
        <f>55.97+38.42</f>
        <v>94.39</v>
      </c>
      <c r="G36" s="21">
        <v>24.55</v>
      </c>
      <c r="H36" s="21">
        <v>172.88</v>
      </c>
      <c r="I36" s="21">
        <f t="shared" si="0"/>
        <v>470.83</v>
      </c>
      <c r="J36" s="122">
        <f>SUM(K36:L36)</f>
        <v>619.14499999999998</v>
      </c>
      <c r="K36" s="122">
        <v>346.721</v>
      </c>
      <c r="L36" s="122">
        <v>272.42399999999998</v>
      </c>
      <c r="M36" s="76">
        <v>3131.2269307718107</v>
      </c>
      <c r="N36" s="76">
        <f>M36</f>
        <v>3131.2269307718107</v>
      </c>
      <c r="O36" s="76">
        <v>1303.3699999999999</v>
      </c>
      <c r="P36" s="76">
        <v>1355.5</v>
      </c>
      <c r="Q36" s="10">
        <f t="shared" si="1"/>
        <v>327204.66917746182</v>
      </c>
      <c r="R36" s="10">
        <f t="shared" si="2"/>
        <v>172531.41569555123</v>
      </c>
      <c r="S36" s="10">
        <f t="shared" si="3"/>
        <v>43594.096150447956</v>
      </c>
      <c r="T36" s="10">
        <f t="shared" si="4"/>
        <v>306987.67179183062</v>
      </c>
      <c r="U36" s="10">
        <f t="shared" si="5"/>
        <v>850317.85281529161</v>
      </c>
      <c r="V36" s="101"/>
      <c r="W36" s="101"/>
      <c r="X36" s="101"/>
      <c r="Y36" s="101"/>
    </row>
    <row r="37" spans="1:25" ht="25.5" customHeight="1">
      <c r="A37" s="28" t="s">
        <v>62</v>
      </c>
      <c r="B37" s="27" t="s">
        <v>63</v>
      </c>
      <c r="C37" s="27" t="s">
        <v>64</v>
      </c>
      <c r="D37" s="27"/>
      <c r="E37" s="21">
        <v>136.76400000000001</v>
      </c>
      <c r="F37" s="21">
        <f>45.588+32.352</f>
        <v>77.94</v>
      </c>
      <c r="G37" s="21">
        <v>27.353000000000002</v>
      </c>
      <c r="H37" s="21">
        <v>136.76300000000001</v>
      </c>
      <c r="I37" s="21">
        <f t="shared" si="0"/>
        <v>378.82000000000005</v>
      </c>
      <c r="J37" s="122">
        <f t="shared" ref="J37:J43" si="8">SUM(K37:L37)</f>
        <v>424.90999999999997</v>
      </c>
      <c r="K37" s="122">
        <v>237.65</v>
      </c>
      <c r="L37" s="122">
        <v>187.26</v>
      </c>
      <c r="M37" s="76">
        <v>2913.04</v>
      </c>
      <c r="N37" s="76">
        <v>3029.5606302153628</v>
      </c>
      <c r="O37" s="76">
        <v>1499.62</v>
      </c>
      <c r="P37" s="76">
        <v>1559.6</v>
      </c>
      <c r="Q37" s="10">
        <f t="shared" si="1"/>
        <v>193304.97288000002</v>
      </c>
      <c r="R37" s="10">
        <f t="shared" si="2"/>
        <v>110161.95480000001</v>
      </c>
      <c r="S37" s="10">
        <f t="shared" si="3"/>
        <v>40207.833118280825</v>
      </c>
      <c r="T37" s="10">
        <f t="shared" si="4"/>
        <v>201036.2256701437</v>
      </c>
      <c r="U37" s="10">
        <f t="shared" si="5"/>
        <v>544710.98646842455</v>
      </c>
      <c r="V37" s="101"/>
      <c r="W37" s="101"/>
      <c r="X37" s="101"/>
      <c r="Y37" s="101"/>
    </row>
    <row r="38" spans="1:25" ht="21" customHeight="1">
      <c r="A38" s="28" t="s">
        <v>65</v>
      </c>
      <c r="B38" s="27" t="s">
        <v>66</v>
      </c>
      <c r="C38" s="27" t="s">
        <v>67</v>
      </c>
      <c r="D38" s="27"/>
      <c r="E38" s="21">
        <f>4879.325+194.762</f>
        <v>5074.0869999999995</v>
      </c>
      <c r="F38" s="21">
        <f>1410.427+1126.538+118.098</f>
        <v>2655.0630000000001</v>
      </c>
      <c r="G38" s="21">
        <f>534.755+30.982</f>
        <v>565.73699999999997</v>
      </c>
      <c r="H38" s="21">
        <f>5133.77-G38+187.422</f>
        <v>4755.4549999999999</v>
      </c>
      <c r="I38" s="21">
        <f>SUM(E38:H38)</f>
        <v>13050.341999999999</v>
      </c>
      <c r="J38" s="122">
        <f t="shared" si="8"/>
        <v>12200.07</v>
      </c>
      <c r="K38" s="122">
        <v>7032.6660000000002</v>
      </c>
      <c r="L38" s="122">
        <v>5167.4040000000005</v>
      </c>
      <c r="M38" s="76">
        <v>2609.11</v>
      </c>
      <c r="N38" s="76">
        <v>2713.4744000000001</v>
      </c>
      <c r="O38" s="76">
        <v>1396.73</v>
      </c>
      <c r="P38" s="76">
        <v>1452.6</v>
      </c>
      <c r="Q38" s="10">
        <f t="shared" si="1"/>
        <v>6151721.5970599996</v>
      </c>
      <c r="R38" s="10">
        <f t="shared" si="2"/>
        <v>3218945.2799400003</v>
      </c>
      <c r="S38" s="10">
        <f t="shared" si="3"/>
        <v>713323.30043280008</v>
      </c>
      <c r="T38" s="10">
        <f t="shared" si="4"/>
        <v>5996031.4698520005</v>
      </c>
      <c r="U38" s="10">
        <f t="shared" si="5"/>
        <v>16080021.6472848</v>
      </c>
      <c r="V38" s="101"/>
      <c r="W38" s="101"/>
      <c r="X38" s="101"/>
      <c r="Y38" s="101"/>
    </row>
    <row r="39" spans="1:25" ht="23.25" customHeight="1">
      <c r="A39" s="28" t="s">
        <v>68</v>
      </c>
      <c r="B39" s="27" t="s">
        <v>69</v>
      </c>
      <c r="C39" s="27" t="s">
        <v>64</v>
      </c>
      <c r="D39" s="27"/>
      <c r="E39" s="21">
        <v>126.447</v>
      </c>
      <c r="F39" s="21">
        <f>28.553+42.149</f>
        <v>70.701999999999998</v>
      </c>
      <c r="G39" s="21">
        <v>25.373999999999999</v>
      </c>
      <c r="H39" s="21">
        <v>126.87</v>
      </c>
      <c r="I39" s="21">
        <f t="shared" si="0"/>
        <v>349.39300000000003</v>
      </c>
      <c r="J39" s="122">
        <f t="shared" si="8"/>
        <v>380.63900000000001</v>
      </c>
      <c r="K39" s="122">
        <v>214.309</v>
      </c>
      <c r="L39" s="122">
        <v>166.33</v>
      </c>
      <c r="M39" s="76">
        <v>3835.2</v>
      </c>
      <c r="N39" s="76">
        <v>3988.6059182944068</v>
      </c>
      <c r="O39" s="76">
        <v>1478.84</v>
      </c>
      <c r="P39" s="76">
        <v>1537.99</v>
      </c>
      <c r="Q39" s="10">
        <f t="shared" si="1"/>
        <v>297954.65291999996</v>
      </c>
      <c r="R39" s="10">
        <f t="shared" si="2"/>
        <v>166599.36471999998</v>
      </c>
      <c r="S39" s="10">
        <f t="shared" si="3"/>
        <v>62181.928310802272</v>
      </c>
      <c r="T39" s="10">
        <f t="shared" si="4"/>
        <v>310909.64155401138</v>
      </c>
      <c r="U39" s="10">
        <f t="shared" si="5"/>
        <v>837645.58750481368</v>
      </c>
      <c r="V39" s="101"/>
      <c r="W39" s="101"/>
      <c r="X39" s="101"/>
      <c r="Y39" s="101"/>
    </row>
    <row r="40" spans="1:25" ht="24" customHeight="1">
      <c r="A40" s="28" t="s">
        <v>70</v>
      </c>
      <c r="B40" s="27" t="s">
        <v>71</v>
      </c>
      <c r="C40" s="27" t="s">
        <v>72</v>
      </c>
      <c r="D40" s="27"/>
      <c r="E40" s="21">
        <v>155.55000000000001</v>
      </c>
      <c r="F40" s="21">
        <f>51.85+36.78</f>
        <v>88.63</v>
      </c>
      <c r="G40" s="21">
        <v>31.1</v>
      </c>
      <c r="H40" s="21">
        <v>155.55000000000001</v>
      </c>
      <c r="I40" s="21">
        <f t="shared" si="0"/>
        <v>430.83000000000004</v>
      </c>
      <c r="J40" s="122">
        <f t="shared" si="8"/>
        <v>460.334</v>
      </c>
      <c r="K40" s="122">
        <v>248.73599999999999</v>
      </c>
      <c r="L40" s="122">
        <v>211.59800000000001</v>
      </c>
      <c r="M40" s="76">
        <v>3861.7352328699048</v>
      </c>
      <c r="N40" s="76">
        <v>4044.8096</v>
      </c>
      <c r="O40" s="76">
        <v>1407.67</v>
      </c>
      <c r="P40" s="76">
        <v>1463.98</v>
      </c>
      <c r="Q40" s="10">
        <f t="shared" si="1"/>
        <v>381729.84697291371</v>
      </c>
      <c r="R40" s="10">
        <f t="shared" si="2"/>
        <v>217503.80158925964</v>
      </c>
      <c r="S40" s="10">
        <f t="shared" si="3"/>
        <v>80263.800560000003</v>
      </c>
      <c r="T40" s="10">
        <f t="shared" si="4"/>
        <v>401448.04428000003</v>
      </c>
      <c r="U40" s="10">
        <f t="shared" si="5"/>
        <v>1080945.4934021733</v>
      </c>
      <c r="V40" s="101"/>
      <c r="W40" s="101"/>
      <c r="X40" s="101"/>
      <c r="Y40" s="101"/>
    </row>
    <row r="41" spans="1:25" ht="24" customHeight="1">
      <c r="A41" s="28" t="s">
        <v>73</v>
      </c>
      <c r="B41" s="27" t="s">
        <v>74</v>
      </c>
      <c r="C41" s="27" t="s">
        <v>43</v>
      </c>
      <c r="D41" s="27"/>
      <c r="E41" s="21">
        <v>249.66300000000001</v>
      </c>
      <c r="F41" s="21">
        <f>83.221+83.221</f>
        <v>166.44200000000001</v>
      </c>
      <c r="G41" s="21">
        <v>49.932000000000002</v>
      </c>
      <c r="H41" s="21">
        <v>244.11500000000001</v>
      </c>
      <c r="I41" s="21">
        <f t="shared" si="0"/>
        <v>710.15200000000004</v>
      </c>
      <c r="J41" s="122">
        <f t="shared" si="8"/>
        <v>762.245</v>
      </c>
      <c r="K41" s="122">
        <v>438.209</v>
      </c>
      <c r="L41" s="122">
        <v>324.036</v>
      </c>
      <c r="M41" s="76">
        <v>3257.16</v>
      </c>
      <c r="N41" s="76">
        <v>3387.448063526695</v>
      </c>
      <c r="O41" s="76">
        <v>1356.52</v>
      </c>
      <c r="P41" s="76">
        <v>1410.78</v>
      </c>
      <c r="Q41" s="10">
        <f t="shared" si="1"/>
        <v>474519.48431999999</v>
      </c>
      <c r="R41" s="10">
        <f t="shared" si="2"/>
        <v>316346.32287999999</v>
      </c>
      <c r="S41" s="10">
        <f t="shared" si="3"/>
        <v>98698.989748014938</v>
      </c>
      <c r="T41" s="10">
        <f t="shared" si="4"/>
        <v>482534.32432781917</v>
      </c>
      <c r="U41" s="10">
        <f t="shared" si="5"/>
        <v>1372099.121275834</v>
      </c>
      <c r="V41" s="101"/>
      <c r="W41" s="101"/>
      <c r="X41" s="101"/>
      <c r="Y41" s="101"/>
    </row>
    <row r="42" spans="1:25" ht="22.5" customHeight="1">
      <c r="A42" s="28" t="s">
        <v>75</v>
      </c>
      <c r="B42" s="27" t="s">
        <v>76</v>
      </c>
      <c r="C42" s="27" t="s">
        <v>77</v>
      </c>
      <c r="D42" s="27"/>
      <c r="E42" s="21">
        <v>134.90600000000001</v>
      </c>
      <c r="F42" s="21">
        <f>46.55+46.55</f>
        <v>93.1</v>
      </c>
      <c r="G42" s="21">
        <v>48.536999999999999</v>
      </c>
      <c r="H42" s="21">
        <v>143.624</v>
      </c>
      <c r="I42" s="21">
        <f>SUM(E42:H42)</f>
        <v>420.16700000000003</v>
      </c>
      <c r="J42" s="122">
        <f t="shared" si="8"/>
        <v>254.10999999999999</v>
      </c>
      <c r="K42" s="122">
        <v>141.53899999999999</v>
      </c>
      <c r="L42" s="122">
        <v>112.571</v>
      </c>
      <c r="M42" s="76">
        <v>3645.75</v>
      </c>
      <c r="N42" s="76">
        <v>3791.575415181781</v>
      </c>
      <c r="O42" s="76">
        <v>1330.38</v>
      </c>
      <c r="P42" s="76">
        <v>1383.6</v>
      </c>
      <c r="Q42" s="10">
        <f t="shared" si="1"/>
        <v>312357.30521999998</v>
      </c>
      <c r="R42" s="10">
        <f t="shared" si="2"/>
        <v>215560.94699999999</v>
      </c>
      <c r="S42" s="10">
        <f t="shared" si="3"/>
        <v>116875.9027266781</v>
      </c>
      <c r="T42" s="10">
        <f t="shared" si="4"/>
        <v>345843.06103006809</v>
      </c>
      <c r="U42" s="10">
        <f t="shared" si="5"/>
        <v>990637.21597674605</v>
      </c>
      <c r="V42" s="101"/>
      <c r="W42" s="101"/>
      <c r="X42" s="101"/>
      <c r="Y42" s="101"/>
    </row>
    <row r="43" spans="1:25" ht="22.5" customHeight="1">
      <c r="A43" s="28" t="s">
        <v>428</v>
      </c>
      <c r="B43" s="27" t="s">
        <v>429</v>
      </c>
      <c r="C43" s="27" t="s">
        <v>430</v>
      </c>
      <c r="D43" s="27"/>
      <c r="E43" s="21">
        <v>196.97039999999998</v>
      </c>
      <c r="F43" s="21">
        <v>131.31360000000001</v>
      </c>
      <c r="G43" s="21">
        <v>51.587600000000002</v>
      </c>
      <c r="H43" s="21">
        <v>206.35039999999998</v>
      </c>
      <c r="I43" s="21">
        <f t="shared" si="0"/>
        <v>586.22199999999998</v>
      </c>
      <c r="J43" s="122">
        <f t="shared" si="8"/>
        <v>586.22199999999998</v>
      </c>
      <c r="K43" s="122">
        <v>328.28399999999999</v>
      </c>
      <c r="L43" s="122">
        <v>257.93799999999999</v>
      </c>
      <c r="M43" s="76">
        <v>2113.41</v>
      </c>
      <c r="N43" s="76">
        <v>2197.9463999999998</v>
      </c>
      <c r="O43" s="76">
        <v>1396.73</v>
      </c>
      <c r="P43" s="76">
        <v>1452.6</v>
      </c>
      <c r="Q43" s="10">
        <f t="shared" si="1"/>
        <v>141164.74627199996</v>
      </c>
      <c r="R43" s="10">
        <f t="shared" si="2"/>
        <v>94109.830847999983</v>
      </c>
      <c r="S43" s="10">
        <f t="shared" si="3"/>
        <v>38450.631944639994</v>
      </c>
      <c r="T43" s="10">
        <f t="shared" si="4"/>
        <v>153802.52777855998</v>
      </c>
      <c r="U43" s="10">
        <f t="shared" si="5"/>
        <v>427527.73684319993</v>
      </c>
      <c r="V43" s="101"/>
      <c r="W43" s="101"/>
      <c r="X43" s="101"/>
      <c r="Y43" s="101"/>
    </row>
    <row r="44" spans="1:25" ht="27" customHeight="1">
      <c r="A44" s="133" t="s">
        <v>80</v>
      </c>
      <c r="B44" s="133"/>
      <c r="C44" s="133"/>
      <c r="D44" s="133"/>
      <c r="E44" s="21"/>
      <c r="F44" s="21"/>
      <c r="G44" s="21"/>
      <c r="H44" s="21"/>
      <c r="I44" s="21"/>
      <c r="J44" s="120"/>
      <c r="K44" s="101"/>
      <c r="L44" s="101"/>
      <c r="M44" s="76"/>
      <c r="N44" s="76"/>
      <c r="O44" s="76"/>
      <c r="P44" s="76"/>
      <c r="Q44" s="10">
        <f t="shared" si="1"/>
        <v>0</v>
      </c>
      <c r="R44" s="10">
        <f t="shared" si="2"/>
        <v>0</v>
      </c>
      <c r="S44" s="10">
        <f t="shared" si="3"/>
        <v>0</v>
      </c>
      <c r="T44" s="10">
        <f t="shared" si="4"/>
        <v>0</v>
      </c>
      <c r="U44" s="10">
        <f t="shared" si="5"/>
        <v>0</v>
      </c>
      <c r="V44" s="101"/>
      <c r="W44" s="101"/>
      <c r="X44" s="101"/>
      <c r="Y44" s="101"/>
    </row>
    <row r="45" spans="1:25" ht="21.75" customHeight="1">
      <c r="A45" s="28">
        <v>2912006719</v>
      </c>
      <c r="B45" s="27" t="s">
        <v>378</v>
      </c>
      <c r="C45" s="27" t="s">
        <v>450</v>
      </c>
      <c r="D45" s="27"/>
      <c r="E45" s="21">
        <v>77.459214000000003</v>
      </c>
      <c r="F45" s="21">
        <v>51.639476000000002</v>
      </c>
      <c r="G45" s="21">
        <v>20.744261999999999</v>
      </c>
      <c r="H45" s="21">
        <v>82.977047999999996</v>
      </c>
      <c r="I45" s="21">
        <f t="shared" si="0"/>
        <v>232.82</v>
      </c>
      <c r="J45" s="21">
        <v>232.82</v>
      </c>
      <c r="K45" s="21">
        <v>129.09869</v>
      </c>
      <c r="L45" s="21">
        <f t="shared" ref="L45:L52" si="9">J45-K45</f>
        <v>103.72130999999999</v>
      </c>
      <c r="M45" s="76">
        <v>3168.03</v>
      </c>
      <c r="N45" s="76">
        <v>3168.03</v>
      </c>
      <c r="O45" s="76">
        <v>1542.3106</v>
      </c>
      <c r="P45" s="76">
        <v>1604.0030240000001</v>
      </c>
      <c r="Q45" s="10">
        <f t="shared" si="1"/>
        <v>125926.94690855162</v>
      </c>
      <c r="R45" s="10">
        <f t="shared" si="2"/>
        <v>83951.297939034412</v>
      </c>
      <c r="S45" s="10">
        <f t="shared" si="3"/>
        <v>32444.585365211711</v>
      </c>
      <c r="T45" s="10">
        <f t="shared" si="4"/>
        <v>129778.34146084684</v>
      </c>
      <c r="U45" s="10">
        <f t="shared" si="5"/>
        <v>372101.17167364457</v>
      </c>
      <c r="V45" s="101"/>
      <c r="W45" s="101"/>
      <c r="X45" s="101"/>
      <c r="Y45" s="101"/>
    </row>
    <row r="46" spans="1:25" ht="21" customHeight="1">
      <c r="A46" s="28" t="s">
        <v>78</v>
      </c>
      <c r="B46" s="27" t="s">
        <v>79</v>
      </c>
      <c r="C46" s="27" t="s">
        <v>81</v>
      </c>
      <c r="D46" s="27"/>
      <c r="E46" s="21">
        <v>3326.36</v>
      </c>
      <c r="F46" s="21">
        <f>1108.88+1091.38</f>
        <v>2200.2600000000002</v>
      </c>
      <c r="G46" s="21">
        <v>551.75</v>
      </c>
      <c r="H46" s="21">
        <v>3342.14</v>
      </c>
      <c r="I46" s="21">
        <f t="shared" si="0"/>
        <v>9420.51</v>
      </c>
      <c r="J46" s="21">
        <v>8907.31</v>
      </c>
      <c r="K46" s="21">
        <v>5032.630149999999</v>
      </c>
      <c r="L46" s="21">
        <f t="shared" si="9"/>
        <v>3874.6798500000004</v>
      </c>
      <c r="M46" s="76">
        <v>3238.75</v>
      </c>
      <c r="N46" s="76">
        <v>3368.3</v>
      </c>
      <c r="O46" s="76">
        <v>1469.1918000000001</v>
      </c>
      <c r="P46" s="76">
        <v>1527.959472</v>
      </c>
      <c r="Q46" s="10">
        <f t="shared" si="1"/>
        <v>5886187.6141520003</v>
      </c>
      <c r="R46" s="10">
        <f t="shared" si="2"/>
        <v>3893488.1251320001</v>
      </c>
      <c r="S46" s="10">
        <f t="shared" si="3"/>
        <v>1015407.8863240001</v>
      </c>
      <c r="T46" s="10">
        <f t="shared" si="4"/>
        <v>6150675.6922499202</v>
      </c>
      <c r="U46" s="10">
        <f t="shared" si="5"/>
        <v>16945759.317857921</v>
      </c>
      <c r="V46" s="101"/>
      <c r="W46" s="101"/>
      <c r="X46" s="101"/>
      <c r="Y46" s="101"/>
    </row>
    <row r="47" spans="1:25" ht="21" customHeight="1">
      <c r="A47" s="28" t="s">
        <v>82</v>
      </c>
      <c r="B47" s="27" t="s">
        <v>83</v>
      </c>
      <c r="C47" s="27" t="s">
        <v>84</v>
      </c>
      <c r="D47" s="27"/>
      <c r="E47" s="21">
        <v>220.274</v>
      </c>
      <c r="F47" s="21">
        <f>60.696+61.478</f>
        <v>122.17400000000001</v>
      </c>
      <c r="G47" s="21">
        <v>13.88</v>
      </c>
      <c r="H47" s="21">
        <v>192.24600000000001</v>
      </c>
      <c r="I47" s="21">
        <f t="shared" si="0"/>
        <v>548.57399999999996</v>
      </c>
      <c r="J47" s="21">
        <v>570.79999999999995</v>
      </c>
      <c r="K47" s="21">
        <v>317.39999999999998</v>
      </c>
      <c r="L47" s="21">
        <f t="shared" si="9"/>
        <v>253.39999999999998</v>
      </c>
      <c r="M47" s="76">
        <v>2632.72</v>
      </c>
      <c r="N47" s="76">
        <v>2738.0288</v>
      </c>
      <c r="O47" s="76">
        <v>1966.3106</v>
      </c>
      <c r="P47" s="76">
        <v>2044.9630240000001</v>
      </c>
      <c r="Q47" s="10">
        <f t="shared" si="1"/>
        <v>146792.66417559996</v>
      </c>
      <c r="R47" s="10">
        <f t="shared" si="2"/>
        <v>81417.902035599982</v>
      </c>
      <c r="S47" s="10">
        <f t="shared" si="3"/>
        <v>9619.7529708799993</v>
      </c>
      <c r="T47" s="10">
        <f t="shared" si="4"/>
        <v>133239.12317289598</v>
      </c>
      <c r="U47" s="10">
        <f t="shared" si="5"/>
        <v>371069.44235497591</v>
      </c>
      <c r="V47" s="101"/>
      <c r="W47" s="101"/>
      <c r="X47" s="101"/>
      <c r="Y47" s="101"/>
    </row>
    <row r="48" spans="1:25" ht="21" customHeight="1">
      <c r="A48" s="28" t="s">
        <v>85</v>
      </c>
      <c r="B48" s="27" t="s">
        <v>86</v>
      </c>
      <c r="C48" s="27" t="s">
        <v>84</v>
      </c>
      <c r="D48" s="27"/>
      <c r="E48" s="21">
        <v>10521.2</v>
      </c>
      <c r="F48" s="21">
        <f>3183.29+3170.81</f>
        <v>6354.1</v>
      </c>
      <c r="G48" s="21">
        <v>607.32000000000005</v>
      </c>
      <c r="H48" s="21">
        <v>10103.18</v>
      </c>
      <c r="I48" s="21">
        <f t="shared" si="0"/>
        <v>27585.800000000003</v>
      </c>
      <c r="J48" s="21">
        <v>27920</v>
      </c>
      <c r="K48" s="21">
        <v>17366.240000000002</v>
      </c>
      <c r="L48" s="21">
        <f t="shared" si="9"/>
        <v>10553.759999999998</v>
      </c>
      <c r="M48" s="76">
        <v>3270.51</v>
      </c>
      <c r="N48" s="76">
        <v>3270.51</v>
      </c>
      <c r="O48" s="76">
        <v>1365.07</v>
      </c>
      <c r="P48" s="76">
        <v>1419.6728000000001</v>
      </c>
      <c r="Q48" s="10">
        <f t="shared" si="1"/>
        <v>20047515.328000005</v>
      </c>
      <c r="R48" s="10">
        <f t="shared" si="2"/>
        <v>12107356.304000003</v>
      </c>
      <c r="S48" s="10">
        <f t="shared" si="3"/>
        <v>1124050.4483040001</v>
      </c>
      <c r="T48" s="10">
        <f t="shared" si="4"/>
        <v>18699341.382296003</v>
      </c>
      <c r="U48" s="10">
        <f t="shared" si="5"/>
        <v>51978263.462600008</v>
      </c>
      <c r="V48" s="101"/>
      <c r="W48" s="101"/>
      <c r="X48" s="101"/>
      <c r="Y48" s="101"/>
    </row>
    <row r="49" spans="1:25" ht="21" customHeight="1">
      <c r="A49" s="28" t="s">
        <v>87</v>
      </c>
      <c r="B49" s="27" t="s">
        <v>88</v>
      </c>
      <c r="C49" s="27" t="s">
        <v>89</v>
      </c>
      <c r="D49" s="27"/>
      <c r="E49" s="21">
        <v>116.61</v>
      </c>
      <c r="F49" s="21">
        <f>31.33+38.87</f>
        <v>70.199999999999989</v>
      </c>
      <c r="G49" s="21">
        <v>20.73</v>
      </c>
      <c r="H49" s="21">
        <v>116.61</v>
      </c>
      <c r="I49" s="21">
        <f t="shared" si="0"/>
        <v>324.14999999999998</v>
      </c>
      <c r="J49" s="21">
        <v>499.67157239999995</v>
      </c>
      <c r="K49" s="21">
        <v>294.80622771599997</v>
      </c>
      <c r="L49" s="21">
        <f t="shared" si="9"/>
        <v>204.86534468399998</v>
      </c>
      <c r="M49" s="76">
        <v>3417.53</v>
      </c>
      <c r="N49" s="76">
        <v>3417.53</v>
      </c>
      <c r="O49" s="76">
        <v>1452.56</v>
      </c>
      <c r="P49" s="76">
        <v>1510.6618175999999</v>
      </c>
      <c r="Q49" s="10">
        <f t="shared" si="1"/>
        <v>229135.15170000002</v>
      </c>
      <c r="R49" s="10">
        <f t="shared" si="2"/>
        <v>137940.894</v>
      </c>
      <c r="S49" s="10">
        <f t="shared" si="3"/>
        <v>39529.377421152007</v>
      </c>
      <c r="T49" s="10">
        <f t="shared" si="4"/>
        <v>222359.89874966402</v>
      </c>
      <c r="U49" s="10">
        <f t="shared" si="5"/>
        <v>628965.32187081606</v>
      </c>
      <c r="V49" s="101"/>
      <c r="W49" s="101"/>
      <c r="X49" s="101"/>
      <c r="Y49" s="101"/>
    </row>
    <row r="50" spans="1:25" ht="21" customHeight="1">
      <c r="A50" s="28" t="s">
        <v>90</v>
      </c>
      <c r="B50" s="27" t="s">
        <v>91</v>
      </c>
      <c r="C50" s="27" t="s">
        <v>84</v>
      </c>
      <c r="D50" s="27"/>
      <c r="E50" s="21">
        <v>744.37</v>
      </c>
      <c r="F50" s="21">
        <f>221.143+222.938</f>
        <v>444.08100000000002</v>
      </c>
      <c r="G50" s="21">
        <v>157.68</v>
      </c>
      <c r="H50" s="21">
        <v>726.13199999999995</v>
      </c>
      <c r="I50" s="21">
        <f t="shared" si="0"/>
        <v>2072.2629999999999</v>
      </c>
      <c r="J50" s="21">
        <v>2637.6408626797565</v>
      </c>
      <c r="K50" s="21">
        <v>1463.890678787265</v>
      </c>
      <c r="L50" s="21">
        <f t="shared" si="9"/>
        <v>1173.7501838924916</v>
      </c>
      <c r="M50" s="76">
        <v>3202.3</v>
      </c>
      <c r="N50" s="76">
        <v>3330.3920000000003</v>
      </c>
      <c r="O50" s="76">
        <v>1399</v>
      </c>
      <c r="P50" s="76">
        <v>1454.96</v>
      </c>
      <c r="Q50" s="10">
        <f t="shared" si="1"/>
        <v>1342322.4210000001</v>
      </c>
      <c r="R50" s="10">
        <f t="shared" si="2"/>
        <v>800811.26730000007</v>
      </c>
      <c r="S50" s="10">
        <f t="shared" si="3"/>
        <v>295718.11776000005</v>
      </c>
      <c r="T50" s="10">
        <f t="shared" si="4"/>
        <v>1361811.1890240002</v>
      </c>
      <c r="U50" s="10">
        <f t="shared" si="5"/>
        <v>3800662.9950840008</v>
      </c>
      <c r="V50" s="101"/>
      <c r="W50" s="101"/>
      <c r="X50" s="101"/>
      <c r="Y50" s="101"/>
    </row>
    <row r="51" spans="1:25" ht="21" customHeight="1">
      <c r="A51" s="28" t="s">
        <v>92</v>
      </c>
      <c r="B51" s="27" t="s">
        <v>413</v>
      </c>
      <c r="C51" s="27" t="s">
        <v>94</v>
      </c>
      <c r="D51" s="27"/>
      <c r="E51" s="21">
        <v>34.56</v>
      </c>
      <c r="F51" s="21">
        <f>11.52+8.917</f>
        <v>20.436999999999998</v>
      </c>
      <c r="G51" s="21">
        <v>5.7590000000000003</v>
      </c>
      <c r="H51" s="21">
        <v>34.554000000000002</v>
      </c>
      <c r="I51" s="21">
        <f t="shared" si="0"/>
        <v>95.31</v>
      </c>
      <c r="J51" s="21">
        <v>103.66</v>
      </c>
      <c r="K51" s="21">
        <v>57.479469999999999</v>
      </c>
      <c r="L51" s="21">
        <f t="shared" si="9"/>
        <v>46.180529999999997</v>
      </c>
      <c r="M51" s="76">
        <v>5349.57</v>
      </c>
      <c r="N51" s="76">
        <v>5349.57</v>
      </c>
      <c r="O51" s="76">
        <v>1469.19</v>
      </c>
      <c r="P51" s="76">
        <v>1527.9576000000002</v>
      </c>
      <c r="Q51" s="10">
        <f t="shared" si="1"/>
        <v>134105.93280000001</v>
      </c>
      <c r="R51" s="10">
        <f t="shared" si="2"/>
        <v>79303.326059999978</v>
      </c>
      <c r="S51" s="10">
        <f t="shared" si="3"/>
        <v>22008.6658116</v>
      </c>
      <c r="T51" s="10">
        <f t="shared" si="4"/>
        <v>132051.99486959999</v>
      </c>
      <c r="U51" s="10">
        <f t="shared" si="5"/>
        <v>367469.91954119998</v>
      </c>
      <c r="V51" s="101"/>
      <c r="W51" s="101"/>
      <c r="X51" s="101"/>
      <c r="Y51" s="101"/>
    </row>
    <row r="52" spans="1:25" ht="21" customHeight="1" outlineLevel="1">
      <c r="A52" s="28" t="s">
        <v>340</v>
      </c>
      <c r="B52" s="27" t="s">
        <v>341</v>
      </c>
      <c r="C52" s="27" t="s">
        <v>342</v>
      </c>
      <c r="D52" s="27"/>
      <c r="E52" s="21">
        <v>71.13</v>
      </c>
      <c r="F52" s="21">
        <f>23.71+11.86</f>
        <v>35.57</v>
      </c>
      <c r="G52" s="21">
        <v>11.86</v>
      </c>
      <c r="H52" s="21">
        <v>71.12</v>
      </c>
      <c r="I52" s="21">
        <f t="shared" si="0"/>
        <v>189.68</v>
      </c>
      <c r="J52" s="21">
        <v>213.42410999999996</v>
      </c>
      <c r="K52" s="21">
        <v>123.14571146999997</v>
      </c>
      <c r="L52" s="21">
        <f t="shared" si="9"/>
        <v>90.27839852999999</v>
      </c>
      <c r="M52" s="76">
        <v>4873</v>
      </c>
      <c r="N52" s="76">
        <v>5067.92</v>
      </c>
      <c r="O52" s="76">
        <v>1469.19</v>
      </c>
      <c r="P52" s="76">
        <v>1527.959472</v>
      </c>
      <c r="Q52" s="10">
        <f t="shared" si="1"/>
        <v>242113.00529999999</v>
      </c>
      <c r="R52" s="10">
        <f t="shared" si="2"/>
        <v>121073.5217</v>
      </c>
      <c r="S52" s="10">
        <f t="shared" si="3"/>
        <v>41983.931862079997</v>
      </c>
      <c r="T52" s="10">
        <f t="shared" si="4"/>
        <v>251761.99275136003</v>
      </c>
      <c r="U52" s="10">
        <f t="shared" si="5"/>
        <v>656932.45161344006</v>
      </c>
      <c r="V52" s="101"/>
      <c r="W52" s="101"/>
      <c r="X52" s="101"/>
      <c r="Y52" s="101"/>
    </row>
    <row r="53" spans="1:25" ht="21.75" customHeight="1" outlineLevel="1">
      <c r="A53" s="28" t="s">
        <v>415</v>
      </c>
      <c r="B53" s="27" t="s">
        <v>414</v>
      </c>
      <c r="C53" s="27" t="s">
        <v>348</v>
      </c>
      <c r="D53" s="27"/>
      <c r="E53" s="21">
        <v>278.625</v>
      </c>
      <c r="F53" s="21">
        <v>146.37100000000001</v>
      </c>
      <c r="G53" s="21">
        <v>69.099000000000004</v>
      </c>
      <c r="H53" s="21">
        <v>278.625</v>
      </c>
      <c r="I53" s="21">
        <f t="shared" si="0"/>
        <v>772.72</v>
      </c>
      <c r="J53" s="21">
        <f t="shared" ref="J53:J57" si="10">SUM(K53:L53)</f>
        <v>773</v>
      </c>
      <c r="K53" s="21">
        <v>425.15</v>
      </c>
      <c r="L53" s="21">
        <v>347.85</v>
      </c>
      <c r="M53" s="76">
        <v>2692.07</v>
      </c>
      <c r="N53" s="76">
        <v>2880.51</v>
      </c>
      <c r="O53" s="76">
        <v>1521.35</v>
      </c>
      <c r="P53" s="76">
        <v>1582.2</v>
      </c>
      <c r="Q53" s="10">
        <f t="shared" si="1"/>
        <v>326191.86000000004</v>
      </c>
      <c r="R53" s="10">
        <f t="shared" si="2"/>
        <v>171359.45712000004</v>
      </c>
      <c r="S53" s="10">
        <f t="shared" si="3"/>
        <v>89711.922690000021</v>
      </c>
      <c r="T53" s="10">
        <f t="shared" si="4"/>
        <v>361741.62375000003</v>
      </c>
      <c r="U53" s="10">
        <f t="shared" si="5"/>
        <v>949004.86356000009</v>
      </c>
      <c r="V53" s="101"/>
      <c r="W53" s="101"/>
      <c r="X53" s="101"/>
      <c r="Y53" s="101"/>
    </row>
    <row r="54" spans="1:25" ht="21.75" customHeight="1" outlineLevel="1">
      <c r="A54" s="28" t="s">
        <v>292</v>
      </c>
      <c r="B54" s="27" t="s">
        <v>293</v>
      </c>
      <c r="C54" s="27" t="s">
        <v>84</v>
      </c>
      <c r="D54" s="27"/>
      <c r="E54" s="21">
        <v>158.64099999999999</v>
      </c>
      <c r="F54" s="21">
        <f>49.192-0.897+47.769-0.149+5.945-0.149</f>
        <v>101.71099999999998</v>
      </c>
      <c r="G54" s="21">
        <v>33.323999999999998</v>
      </c>
      <c r="H54" s="21">
        <v>155.22</v>
      </c>
      <c r="I54" s="21">
        <f t="shared" si="0"/>
        <v>448.89599999999996</v>
      </c>
      <c r="J54" s="21">
        <f t="shared" si="10"/>
        <v>436.82</v>
      </c>
      <c r="K54" s="21">
        <v>262.09199999999998</v>
      </c>
      <c r="L54" s="21">
        <v>174.72800000000001</v>
      </c>
      <c r="M54" s="76">
        <v>3219.06</v>
      </c>
      <c r="N54" s="76">
        <v>3219.06</v>
      </c>
      <c r="O54" s="76">
        <v>1541.76</v>
      </c>
      <c r="P54" s="76">
        <v>1603.43</v>
      </c>
      <c r="Q54" s="10">
        <f t="shared" si="1"/>
        <v>266088.54929999996</v>
      </c>
      <c r="R54" s="10">
        <f t="shared" si="2"/>
        <v>170599.86029999997</v>
      </c>
      <c r="S54" s="10">
        <f t="shared" si="3"/>
        <v>53839.254119999991</v>
      </c>
      <c r="T54" s="10">
        <f t="shared" si="4"/>
        <v>250778.08859999999</v>
      </c>
      <c r="U54" s="10">
        <f t="shared" si="5"/>
        <v>741305.75231999985</v>
      </c>
      <c r="V54" s="101"/>
      <c r="W54" s="101"/>
      <c r="X54" s="101"/>
      <c r="Y54" s="101"/>
    </row>
    <row r="55" spans="1:25" ht="26.25" customHeight="1" outlineLevel="1">
      <c r="A55" s="133" t="s">
        <v>349</v>
      </c>
      <c r="B55" s="133"/>
      <c r="C55" s="133"/>
      <c r="D55" s="101"/>
      <c r="E55" s="21"/>
      <c r="F55" s="21"/>
      <c r="G55" s="21"/>
      <c r="H55" s="21"/>
      <c r="I55" s="21"/>
      <c r="J55" s="21"/>
      <c r="K55" s="21"/>
      <c r="L55" s="21"/>
      <c r="M55" s="76"/>
      <c r="N55" s="76"/>
      <c r="O55" s="76"/>
      <c r="P55" s="76"/>
      <c r="Q55" s="10">
        <f t="shared" si="1"/>
        <v>0</v>
      </c>
      <c r="R55" s="10">
        <f t="shared" si="2"/>
        <v>0</v>
      </c>
      <c r="S55" s="10">
        <f t="shared" si="3"/>
        <v>0</v>
      </c>
      <c r="T55" s="10">
        <f t="shared" si="4"/>
        <v>0</v>
      </c>
      <c r="U55" s="10">
        <f t="shared" si="5"/>
        <v>0</v>
      </c>
      <c r="V55" s="101"/>
      <c r="W55" s="101"/>
      <c r="X55" s="101"/>
      <c r="Y55" s="101"/>
    </row>
    <row r="56" spans="1:25" ht="21" customHeight="1" outlineLevel="1">
      <c r="A56" s="28" t="s">
        <v>415</v>
      </c>
      <c r="B56" s="27" t="s">
        <v>414</v>
      </c>
      <c r="C56" s="27" t="s">
        <v>350</v>
      </c>
      <c r="D56" s="27"/>
      <c r="E56" s="21">
        <v>459.03199999999998</v>
      </c>
      <c r="F56" s="21">
        <v>268.61799999999999</v>
      </c>
      <c r="G56" s="21">
        <v>136.31800000000001</v>
      </c>
      <c r="H56" s="21">
        <v>459.03199999999998</v>
      </c>
      <c r="I56" s="21">
        <f t="shared" si="0"/>
        <v>1323</v>
      </c>
      <c r="J56" s="21">
        <f t="shared" si="10"/>
        <v>1323</v>
      </c>
      <c r="K56" s="21">
        <v>727.65</v>
      </c>
      <c r="L56" s="21">
        <v>595.35</v>
      </c>
      <c r="M56" s="76">
        <v>5149.1499999999996</v>
      </c>
      <c r="N56" s="76">
        <v>5509.59</v>
      </c>
      <c r="O56" s="76">
        <v>1874.03</v>
      </c>
      <c r="P56" s="76">
        <v>1949</v>
      </c>
      <c r="Q56" s="10">
        <f t="shared" si="1"/>
        <v>1503384.8838399998</v>
      </c>
      <c r="R56" s="10">
        <f t="shared" si="2"/>
        <v>879756.18415999995</v>
      </c>
      <c r="S56" s="10">
        <f t="shared" si="3"/>
        <v>485372.50762000005</v>
      </c>
      <c r="T56" s="10">
        <f t="shared" si="4"/>
        <v>1634424.7488800001</v>
      </c>
      <c r="U56" s="10">
        <f t="shared" si="5"/>
        <v>4502938.3245000001</v>
      </c>
      <c r="V56" s="101"/>
      <c r="W56" s="101"/>
      <c r="X56" s="101"/>
      <c r="Y56" s="101"/>
    </row>
    <row r="57" spans="1:25" outlineLevel="1">
      <c r="A57" s="28" t="s">
        <v>292</v>
      </c>
      <c r="B57" s="27" t="s">
        <v>351</v>
      </c>
      <c r="C57" s="27"/>
      <c r="D57" s="27"/>
      <c r="E57" s="21">
        <v>2682.2089999999998</v>
      </c>
      <c r="F57" s="21">
        <f>652.423+542.604+192.289-48.186</f>
        <v>1339.13</v>
      </c>
      <c r="G57" s="21">
        <v>436.26499999999999</v>
      </c>
      <c r="H57" s="21">
        <v>1933.26</v>
      </c>
      <c r="I57" s="21">
        <f t="shared" si="0"/>
        <v>6390.8640000000005</v>
      </c>
      <c r="J57" s="21">
        <f t="shared" si="10"/>
        <v>5286.87</v>
      </c>
      <c r="K57" s="21">
        <f>5286.87*0.6</f>
        <v>3172.1219999999998</v>
      </c>
      <c r="L57" s="21">
        <f>5286.87*0.4</f>
        <v>2114.748</v>
      </c>
      <c r="M57" s="103">
        <v>1756.02</v>
      </c>
      <c r="N57" s="103">
        <v>1966.44</v>
      </c>
      <c r="O57" s="76">
        <v>1527.2</v>
      </c>
      <c r="P57" s="76">
        <v>1588.29</v>
      </c>
      <c r="Q57" s="10">
        <f t="shared" si="1"/>
        <v>613743.06337999983</v>
      </c>
      <c r="R57" s="10">
        <f t="shared" si="2"/>
        <v>306419.72659999994</v>
      </c>
      <c r="S57" s="10">
        <f t="shared" si="3"/>
        <v>164973.60975000003</v>
      </c>
      <c r="T57" s="10">
        <f t="shared" si="4"/>
        <v>731062.2690000002</v>
      </c>
      <c r="U57" s="10">
        <f t="shared" si="5"/>
        <v>1816198.66873</v>
      </c>
      <c r="V57" s="101"/>
      <c r="W57" s="101"/>
      <c r="X57" s="101"/>
      <c r="Y57" s="101"/>
    </row>
    <row r="58" spans="1:25" ht="28.5" customHeight="1">
      <c r="A58" s="131" t="s">
        <v>97</v>
      </c>
      <c r="B58" s="132"/>
      <c r="C58" s="132"/>
      <c r="D58" s="135"/>
      <c r="E58" s="21"/>
      <c r="F58" s="21"/>
      <c r="G58" s="21"/>
      <c r="H58" s="21"/>
      <c r="I58" s="21"/>
      <c r="J58" s="21"/>
      <c r="K58" s="21"/>
      <c r="L58" s="21"/>
      <c r="M58" s="76"/>
      <c r="N58" s="76"/>
      <c r="O58" s="76"/>
      <c r="P58" s="76"/>
      <c r="Q58" s="10">
        <f t="shared" si="1"/>
        <v>0</v>
      </c>
      <c r="R58" s="10">
        <f t="shared" si="2"/>
        <v>0</v>
      </c>
      <c r="S58" s="10">
        <f t="shared" si="3"/>
        <v>0</v>
      </c>
      <c r="T58" s="10">
        <f t="shared" si="4"/>
        <v>0</v>
      </c>
      <c r="U58" s="10">
        <f t="shared" si="5"/>
        <v>0</v>
      </c>
      <c r="V58" s="101"/>
      <c r="W58" s="101"/>
      <c r="X58" s="101"/>
      <c r="Y58" s="101"/>
    </row>
    <row r="59" spans="1:25" ht="30" customHeight="1">
      <c r="A59" s="28" t="s">
        <v>95</v>
      </c>
      <c r="B59" s="27" t="s">
        <v>96</v>
      </c>
      <c r="C59" s="27" t="s">
        <v>98</v>
      </c>
      <c r="D59" s="27"/>
      <c r="E59" s="21">
        <v>206.79599999999999</v>
      </c>
      <c r="F59" s="21">
        <f>68.933+68.933+11.489</f>
        <v>149.35500000000002</v>
      </c>
      <c r="G59" s="21">
        <v>36.764000000000003</v>
      </c>
      <c r="H59" s="21">
        <v>206.79900000000001</v>
      </c>
      <c r="I59" s="21">
        <f t="shared" si="0"/>
        <v>599.71400000000006</v>
      </c>
      <c r="J59" s="122">
        <f>SUM(K59:L59)</f>
        <v>594.4</v>
      </c>
      <c r="K59" s="122">
        <v>356.04599999999999</v>
      </c>
      <c r="L59" s="122">
        <v>238.35400000000001</v>
      </c>
      <c r="M59" s="76">
        <v>4440.04</v>
      </c>
      <c r="N59" s="76">
        <v>4617.6400000000003</v>
      </c>
      <c r="O59" s="76">
        <v>1437.56</v>
      </c>
      <c r="P59" s="76">
        <f>O59*1.04</f>
        <v>1495.0624</v>
      </c>
      <c r="Q59" s="10">
        <f t="shared" si="1"/>
        <v>620900.85407999996</v>
      </c>
      <c r="R59" s="10">
        <f t="shared" si="2"/>
        <v>448435.40040000004</v>
      </c>
      <c r="S59" s="10">
        <f t="shared" si="3"/>
        <v>114798.44288640002</v>
      </c>
      <c r="T59" s="10">
        <f t="shared" si="4"/>
        <v>645745.92510240013</v>
      </c>
      <c r="U59" s="10">
        <f t="shared" si="5"/>
        <v>1829880.6224688003</v>
      </c>
      <c r="V59" s="101"/>
      <c r="W59" s="101"/>
      <c r="X59" s="101"/>
      <c r="Y59" s="101"/>
    </row>
    <row r="60" spans="1:25" ht="30" customHeight="1">
      <c r="A60" s="28" t="s">
        <v>99</v>
      </c>
      <c r="B60" s="27" t="s">
        <v>100</v>
      </c>
      <c r="C60" s="27" t="s">
        <v>101</v>
      </c>
      <c r="D60" s="27"/>
      <c r="E60" s="21">
        <v>243.02099999999999</v>
      </c>
      <c r="F60" s="21">
        <f>58.892+26.666</f>
        <v>85.558000000000007</v>
      </c>
      <c r="G60" s="21">
        <v>46.6</v>
      </c>
      <c r="H60" s="21">
        <v>222.39</v>
      </c>
      <c r="I60" s="21">
        <f t="shared" si="0"/>
        <v>597.56899999999996</v>
      </c>
      <c r="J60" s="122">
        <f t="shared" ref="J60:J61" si="11">SUM(K60:L60)</f>
        <v>662.6</v>
      </c>
      <c r="K60" s="122">
        <v>393.608</v>
      </c>
      <c r="L60" s="122">
        <v>268.99200000000002</v>
      </c>
      <c r="M60" s="76">
        <v>4998.47</v>
      </c>
      <c r="N60" s="76">
        <f>M60</f>
        <v>4998.47</v>
      </c>
      <c r="O60" s="76">
        <v>1452.53</v>
      </c>
      <c r="P60" s="76">
        <f t="shared" ref="P60:P75" si="12">O60*1.04</f>
        <v>1510.6312</v>
      </c>
      <c r="Q60" s="10">
        <f t="shared" si="1"/>
        <v>861737.88474000013</v>
      </c>
      <c r="R60" s="10">
        <f t="shared" si="2"/>
        <v>303383.53452000004</v>
      </c>
      <c r="S60" s="10">
        <f t="shared" si="3"/>
        <v>162533.28808000003</v>
      </c>
      <c r="T60" s="10">
        <f t="shared" si="4"/>
        <v>775660.47073200007</v>
      </c>
      <c r="U60" s="10">
        <f t="shared" si="5"/>
        <v>2103315.1780720004</v>
      </c>
      <c r="V60" s="101"/>
      <c r="W60" s="101"/>
      <c r="X60" s="101"/>
      <c r="Y60" s="101"/>
    </row>
    <row r="61" spans="1:25" ht="30" customHeight="1">
      <c r="A61" s="28" t="s">
        <v>431</v>
      </c>
      <c r="B61" s="27" t="s">
        <v>432</v>
      </c>
      <c r="C61" s="27" t="s">
        <v>433</v>
      </c>
      <c r="D61" s="27"/>
      <c r="E61" s="21">
        <v>6550.4831999999997</v>
      </c>
      <c r="F61" s="21">
        <v>4366.9888000000001</v>
      </c>
      <c r="G61" s="21">
        <v>1536.2575999999999</v>
      </c>
      <c r="H61" s="21">
        <v>6145.0303999999996</v>
      </c>
      <c r="I61" s="21">
        <f>SUM(E61:H61)</f>
        <v>18598.759999999998</v>
      </c>
      <c r="J61" s="122">
        <f t="shared" si="11"/>
        <v>13758</v>
      </c>
      <c r="K61" s="122">
        <v>8075.9459999999999</v>
      </c>
      <c r="L61" s="122">
        <v>5682.0540000000001</v>
      </c>
      <c r="M61" s="76">
        <v>1136.32</v>
      </c>
      <c r="N61" s="76">
        <v>1181.7728</v>
      </c>
      <c r="O61" s="76">
        <v>1136.32</v>
      </c>
      <c r="P61" s="76">
        <f>O61*1.04</f>
        <v>1181.7728</v>
      </c>
      <c r="Q61" s="10">
        <f t="shared" si="1"/>
        <v>0</v>
      </c>
      <c r="R61" s="10">
        <f t="shared" si="2"/>
        <v>0</v>
      </c>
      <c r="S61" s="10">
        <f t="shared" si="3"/>
        <v>0</v>
      </c>
      <c r="T61" s="10">
        <f t="shared" si="4"/>
        <v>0</v>
      </c>
      <c r="U61" s="10">
        <f t="shared" si="5"/>
        <v>0</v>
      </c>
      <c r="V61" s="101"/>
      <c r="W61" s="101"/>
      <c r="X61" s="101"/>
      <c r="Y61" s="101"/>
    </row>
    <row r="62" spans="1:25" ht="30" customHeight="1">
      <c r="A62" s="28" t="s">
        <v>22</v>
      </c>
      <c r="B62" s="27" t="s">
        <v>23</v>
      </c>
      <c r="C62" s="27" t="s">
        <v>98</v>
      </c>
      <c r="D62" s="27" t="s">
        <v>102</v>
      </c>
      <c r="E62" s="21">
        <v>592.47699999999998</v>
      </c>
      <c r="F62" s="21">
        <f>192.254+75.696</f>
        <v>267.95</v>
      </c>
      <c r="G62" s="21">
        <v>117.15600000000001</v>
      </c>
      <c r="H62" s="21">
        <v>587.27700000000004</v>
      </c>
      <c r="I62" s="21">
        <f t="shared" si="0"/>
        <v>1564.86</v>
      </c>
      <c r="J62" s="21">
        <v>1555.9259999999999</v>
      </c>
      <c r="K62" s="21">
        <v>878.78700479999986</v>
      </c>
      <c r="L62" s="21">
        <v>677.13899519999995</v>
      </c>
      <c r="M62" s="76">
        <v>2661.58</v>
      </c>
      <c r="N62" s="76">
        <v>2839.83</v>
      </c>
      <c r="O62" s="76">
        <v>1395</v>
      </c>
      <c r="P62" s="76">
        <f t="shared" si="12"/>
        <v>1450.8</v>
      </c>
      <c r="Q62" s="10">
        <f t="shared" si="1"/>
        <v>750419.51865999994</v>
      </c>
      <c r="R62" s="10">
        <f t="shared" si="2"/>
        <v>339380.11099999998</v>
      </c>
      <c r="S62" s="10">
        <f t="shared" si="3"/>
        <v>162733.19868</v>
      </c>
      <c r="T62" s="10">
        <f t="shared" si="4"/>
        <v>815745.37131000008</v>
      </c>
      <c r="U62" s="10">
        <f t="shared" si="5"/>
        <v>2068278.1996499998</v>
      </c>
      <c r="V62" s="101"/>
      <c r="W62" s="101"/>
      <c r="X62" s="101"/>
      <c r="Y62" s="101"/>
    </row>
    <row r="63" spans="1:25" ht="30" customHeight="1">
      <c r="A63" s="28" t="s">
        <v>22</v>
      </c>
      <c r="B63" s="27" t="s">
        <v>23</v>
      </c>
      <c r="C63" s="27" t="s">
        <v>98</v>
      </c>
      <c r="D63" s="27" t="s">
        <v>103</v>
      </c>
      <c r="E63" s="21">
        <v>704.56200000000001</v>
      </c>
      <c r="F63" s="21">
        <f>234.854+91.86</f>
        <v>326.714</v>
      </c>
      <c r="G63" s="21">
        <v>142.988</v>
      </c>
      <c r="H63" s="21">
        <v>704.56200000000001</v>
      </c>
      <c r="I63" s="21">
        <f t="shared" si="0"/>
        <v>1878.826</v>
      </c>
      <c r="J63" s="21">
        <v>1878.5139999999997</v>
      </c>
      <c r="K63" s="21">
        <v>1060.9847071999998</v>
      </c>
      <c r="L63" s="21">
        <v>817.52929279999989</v>
      </c>
      <c r="M63" s="76">
        <v>2661.58</v>
      </c>
      <c r="N63" s="76">
        <v>2839.83</v>
      </c>
      <c r="O63" s="76">
        <v>1291.9000000000001</v>
      </c>
      <c r="P63" s="76">
        <f t="shared" si="12"/>
        <v>1343.5760000000002</v>
      </c>
      <c r="Q63" s="10">
        <f t="shared" si="1"/>
        <v>965024.48015999992</v>
      </c>
      <c r="R63" s="10">
        <f t="shared" si="2"/>
        <v>447493.63151999994</v>
      </c>
      <c r="S63" s="10">
        <f t="shared" si="3"/>
        <v>213946.36695199995</v>
      </c>
      <c r="T63" s="10">
        <f t="shared" si="4"/>
        <v>1054203.7107479998</v>
      </c>
      <c r="U63" s="10">
        <f t="shared" si="5"/>
        <v>2680668.1893799994</v>
      </c>
      <c r="V63" s="101"/>
      <c r="W63" s="101"/>
      <c r="X63" s="101"/>
      <c r="Y63" s="101"/>
    </row>
    <row r="64" spans="1:25" ht="30" customHeight="1">
      <c r="A64" s="28" t="s">
        <v>22</v>
      </c>
      <c r="B64" s="27" t="s">
        <v>23</v>
      </c>
      <c r="C64" s="27" t="s">
        <v>104</v>
      </c>
      <c r="D64" s="27"/>
      <c r="E64" s="21">
        <v>4783.4129999999996</v>
      </c>
      <c r="F64" s="21">
        <f>1598.267+694.435+24.423</f>
        <v>2317.125</v>
      </c>
      <c r="G64" s="21">
        <v>958.28200000000004</v>
      </c>
      <c r="H64" s="21">
        <v>4752.0529999999999</v>
      </c>
      <c r="I64" s="21">
        <f t="shared" si="0"/>
        <v>12810.873</v>
      </c>
      <c r="J64" s="21">
        <v>12633.279999999999</v>
      </c>
      <c r="K64" s="21">
        <v>7390.4687999999996</v>
      </c>
      <c r="L64" s="21">
        <v>5242.8112000000001</v>
      </c>
      <c r="M64" s="76">
        <v>2098.73</v>
      </c>
      <c r="N64" s="76">
        <v>2182.6799999999998</v>
      </c>
      <c r="O64" s="76">
        <v>1424.24</v>
      </c>
      <c r="P64" s="76">
        <f t="shared" si="12"/>
        <v>1481.2096000000001</v>
      </c>
      <c r="Q64" s="10">
        <f t="shared" si="1"/>
        <v>3226364.2343699997</v>
      </c>
      <c r="R64" s="10">
        <f t="shared" si="2"/>
        <v>1562877.6412500001</v>
      </c>
      <c r="S64" s="10">
        <f t="shared" si="3"/>
        <v>672206.45785279979</v>
      </c>
      <c r="T64" s="10">
        <f t="shared" si="4"/>
        <v>3333424.5187311983</v>
      </c>
      <c r="U64" s="10">
        <f t="shared" si="5"/>
        <v>8794872.8522039987</v>
      </c>
      <c r="V64" s="101"/>
      <c r="W64" s="101"/>
      <c r="X64" s="101"/>
      <c r="Y64" s="101"/>
    </row>
    <row r="65" spans="1:25" ht="30" customHeight="1" outlineLevel="1">
      <c r="A65" s="28" t="s">
        <v>355</v>
      </c>
      <c r="B65" s="27" t="s">
        <v>23</v>
      </c>
      <c r="C65" s="27" t="s">
        <v>352</v>
      </c>
      <c r="D65" s="27"/>
      <c r="E65" s="21">
        <v>3292.7489999999998</v>
      </c>
      <c r="F65" s="21">
        <f>1308.559+642.463+57.572-9.12</f>
        <v>1999.4740000000002</v>
      </c>
      <c r="G65" s="21">
        <v>779.89499999999998</v>
      </c>
      <c r="H65" s="21">
        <v>3999.7489999999998</v>
      </c>
      <c r="I65" s="21">
        <f t="shared" si="0"/>
        <v>10071.867</v>
      </c>
      <c r="J65" s="122">
        <f>SUM(K65:L65)</f>
        <v>13912.482</v>
      </c>
      <c r="K65" s="122">
        <v>7944.027</v>
      </c>
      <c r="L65" s="122">
        <v>5968.4549999999999</v>
      </c>
      <c r="M65" s="76">
        <v>3958.81</v>
      </c>
      <c r="N65" s="76">
        <v>4117.16</v>
      </c>
      <c r="O65" s="76">
        <v>1401.71</v>
      </c>
      <c r="P65" s="76">
        <f t="shared" si="12"/>
        <v>1457.7784000000001</v>
      </c>
      <c r="Q65" s="10">
        <f t="shared" si="1"/>
        <v>8419888.4678999986</v>
      </c>
      <c r="R65" s="10">
        <f t="shared" si="2"/>
        <v>5112854.9654000001</v>
      </c>
      <c r="S65" s="10">
        <f t="shared" si="3"/>
        <v>2074038.4129319997</v>
      </c>
      <c r="T65" s="10">
        <f t="shared" si="4"/>
        <v>10636858.895218398</v>
      </c>
      <c r="U65" s="10">
        <f t="shared" si="5"/>
        <v>26243640.741450399</v>
      </c>
      <c r="V65" s="101"/>
      <c r="W65" s="101"/>
      <c r="X65" s="101"/>
      <c r="Y65" s="101"/>
    </row>
    <row r="66" spans="1:25" ht="30" customHeight="1" outlineLevel="1">
      <c r="A66" s="28" t="s">
        <v>356</v>
      </c>
      <c r="B66" s="27" t="s">
        <v>23</v>
      </c>
      <c r="C66" s="27" t="s">
        <v>353</v>
      </c>
      <c r="D66" s="27"/>
      <c r="E66" s="21">
        <v>533.86199999999997</v>
      </c>
      <c r="F66" s="21">
        <f>213.615+185.575+30.928</f>
        <v>430.11799999999999</v>
      </c>
      <c r="G66" s="21">
        <v>137.417</v>
      </c>
      <c r="H66" s="21">
        <v>704.75099999999998</v>
      </c>
      <c r="I66" s="21">
        <f t="shared" si="0"/>
        <v>1806.1479999999999</v>
      </c>
      <c r="J66" s="122">
        <f t="shared" ref="J66:J68" si="13">SUM(K66:L66)</f>
        <v>2454.6538555910606</v>
      </c>
      <c r="K66" s="122">
        <v>1401.6073515424926</v>
      </c>
      <c r="L66" s="122">
        <v>1053.0465040485681</v>
      </c>
      <c r="M66" s="76">
        <v>3958.81</v>
      </c>
      <c r="N66" s="76">
        <v>4117.16</v>
      </c>
      <c r="O66" s="76">
        <v>2021.03</v>
      </c>
      <c r="P66" s="76">
        <f t="shared" si="12"/>
        <v>2101.8712</v>
      </c>
      <c r="Q66" s="10">
        <f t="shared" si="1"/>
        <v>1034507.10636</v>
      </c>
      <c r="R66" s="10">
        <f t="shared" si="2"/>
        <v>833474.05804000003</v>
      </c>
      <c r="S66" s="10">
        <f t="shared" si="3"/>
        <v>276934.94102959998</v>
      </c>
      <c r="T66" s="10">
        <f t="shared" si="4"/>
        <v>1420276.7970887998</v>
      </c>
      <c r="U66" s="10">
        <f t="shared" si="5"/>
        <v>3565192.9025184</v>
      </c>
      <c r="V66" s="101"/>
      <c r="W66" s="101"/>
      <c r="X66" s="101"/>
      <c r="Y66" s="101"/>
    </row>
    <row r="67" spans="1:25" ht="30" customHeight="1" outlineLevel="1">
      <c r="A67" s="28" t="s">
        <v>357</v>
      </c>
      <c r="B67" s="27" t="s">
        <v>23</v>
      </c>
      <c r="C67" s="27" t="s">
        <v>354</v>
      </c>
      <c r="D67" s="27"/>
      <c r="E67" s="21">
        <v>310.834</v>
      </c>
      <c r="F67" s="21">
        <f>161.952+66.574</f>
        <v>228.52600000000001</v>
      </c>
      <c r="G67" s="21">
        <v>86.552999999999997</v>
      </c>
      <c r="H67" s="21">
        <v>443.89299999999997</v>
      </c>
      <c r="I67" s="21">
        <f t="shared" si="0"/>
        <v>1069.806</v>
      </c>
      <c r="J67" s="122">
        <f t="shared" si="13"/>
        <v>2966.1336585803383</v>
      </c>
      <c r="K67" s="122">
        <v>1693.6623190493729</v>
      </c>
      <c r="L67" s="122">
        <v>1272.4713395309657</v>
      </c>
      <c r="M67" s="76">
        <v>3958.81</v>
      </c>
      <c r="N67" s="76">
        <v>4117.16</v>
      </c>
      <c r="O67" s="76">
        <v>1316.53</v>
      </c>
      <c r="P67" s="76">
        <f t="shared" si="12"/>
        <v>1369.1912</v>
      </c>
      <c r="Q67" s="10">
        <f t="shared" si="1"/>
        <v>821310.4615199999</v>
      </c>
      <c r="R67" s="10">
        <f t="shared" si="2"/>
        <v>603829.67927999992</v>
      </c>
      <c r="S67" s="10">
        <f t="shared" si="3"/>
        <v>237844.94354639997</v>
      </c>
      <c r="T67" s="10">
        <f t="shared" si="4"/>
        <v>1219804.1145383997</v>
      </c>
      <c r="U67" s="10">
        <f t="shared" si="5"/>
        <v>2882789.1988847991</v>
      </c>
      <c r="V67" s="101"/>
      <c r="W67" s="101"/>
      <c r="X67" s="101"/>
      <c r="Y67" s="101"/>
    </row>
    <row r="68" spans="1:25" ht="30" customHeight="1">
      <c r="A68" s="28" t="s">
        <v>105</v>
      </c>
      <c r="B68" s="27" t="s">
        <v>106</v>
      </c>
      <c r="C68" s="27" t="s">
        <v>101</v>
      </c>
      <c r="D68" s="27"/>
      <c r="E68" s="21">
        <v>249.15700000000001</v>
      </c>
      <c r="F68" s="21">
        <f>66.969+41.839</f>
        <v>108.80799999999999</v>
      </c>
      <c r="G68" s="21">
        <v>37.027000000000001</v>
      </c>
      <c r="H68" s="21">
        <v>251.48699999999999</v>
      </c>
      <c r="I68" s="21">
        <f t="shared" si="0"/>
        <v>646.47900000000004</v>
      </c>
      <c r="J68" s="122">
        <f t="shared" si="13"/>
        <v>446.99</v>
      </c>
      <c r="K68" s="122">
        <v>262.83</v>
      </c>
      <c r="L68" s="122">
        <v>184.16</v>
      </c>
      <c r="M68" s="76">
        <v>5361.09</v>
      </c>
      <c r="N68" s="76">
        <v>5575.53</v>
      </c>
      <c r="O68" s="76">
        <v>1452.53</v>
      </c>
      <c r="P68" s="76">
        <f t="shared" si="12"/>
        <v>1510.6312</v>
      </c>
      <c r="Q68" s="10">
        <f t="shared" si="1"/>
        <v>973845.08392000012</v>
      </c>
      <c r="R68" s="10">
        <f t="shared" si="2"/>
        <v>425282.59648000001</v>
      </c>
      <c r="S68" s="10">
        <f t="shared" si="3"/>
        <v>150511.00786760001</v>
      </c>
      <c r="T68" s="10">
        <f t="shared" si="4"/>
        <v>1022269.2045156</v>
      </c>
      <c r="U68" s="10">
        <f t="shared" si="5"/>
        <v>2571907.8927832004</v>
      </c>
      <c r="V68" s="101"/>
      <c r="W68" s="101"/>
      <c r="X68" s="101"/>
      <c r="Y68" s="101"/>
    </row>
    <row r="69" spans="1:25" ht="28.5" customHeight="1" outlineLevel="1">
      <c r="A69" s="28" t="s">
        <v>415</v>
      </c>
      <c r="B69" s="27" t="s">
        <v>414</v>
      </c>
      <c r="C69" s="27" t="s">
        <v>101</v>
      </c>
      <c r="D69" s="27" t="s">
        <v>358</v>
      </c>
      <c r="E69" s="21">
        <v>3408.4470000000001</v>
      </c>
      <c r="F69" s="21">
        <v>1001</v>
      </c>
      <c r="G69" s="21">
        <v>455.72899999999998</v>
      </c>
      <c r="H69" s="21">
        <v>3152</v>
      </c>
      <c r="I69" s="21">
        <f>SUM(E69:H69)</f>
        <v>8017.1760000000004</v>
      </c>
      <c r="J69" s="21">
        <f>SUM(K69:L69)</f>
        <v>8017.1759999999995</v>
      </c>
      <c r="K69" s="21">
        <v>4409.4470000000001</v>
      </c>
      <c r="L69" s="21">
        <v>3607.7289999999998</v>
      </c>
      <c r="M69" s="103">
        <v>1870.39</v>
      </c>
      <c r="N69" s="103">
        <v>2001.3173000000002</v>
      </c>
      <c r="O69" s="76">
        <v>1260.21</v>
      </c>
      <c r="P69" s="76">
        <f>O69*1.04</f>
        <v>1310.6184000000001</v>
      </c>
      <c r="Q69" s="10">
        <f t="shared" si="1"/>
        <v>2079766.1904600002</v>
      </c>
      <c r="R69" s="10">
        <f t="shared" si="2"/>
        <v>610790.18000000005</v>
      </c>
      <c r="S69" s="10">
        <f t="shared" si="3"/>
        <v>314771.51899810001</v>
      </c>
      <c r="T69" s="10">
        <f t="shared" si="4"/>
        <v>2177082.9328000001</v>
      </c>
      <c r="U69" s="10">
        <f t="shared" si="5"/>
        <v>5182410.8222580999</v>
      </c>
      <c r="V69" s="101"/>
      <c r="W69" s="101"/>
      <c r="X69" s="101"/>
      <c r="Y69" s="101"/>
    </row>
    <row r="70" spans="1:25" ht="28.5" customHeight="1" outlineLevel="1">
      <c r="A70" s="28" t="s">
        <v>459</v>
      </c>
      <c r="B70" s="27" t="s">
        <v>460</v>
      </c>
      <c r="C70" s="27" t="s">
        <v>104</v>
      </c>
      <c r="D70" s="27"/>
      <c r="E70" s="21">
        <v>45.211920000000006</v>
      </c>
      <c r="F70" s="21">
        <v>30.141280000000009</v>
      </c>
      <c r="G70" s="21">
        <v>11.889360000000002</v>
      </c>
      <c r="H70" s="21">
        <v>47.557440000000007</v>
      </c>
      <c r="I70" s="21">
        <f>SUM(E70:H70)</f>
        <v>134.80000000000001</v>
      </c>
      <c r="J70" s="21">
        <v>134.80000000000001</v>
      </c>
      <c r="K70" s="21">
        <v>75.353200000000015</v>
      </c>
      <c r="L70" s="21">
        <v>59.446800000000003</v>
      </c>
      <c r="M70" s="103">
        <v>1688.96</v>
      </c>
      <c r="N70" s="103">
        <v>1756.5184000000002</v>
      </c>
      <c r="O70" s="76">
        <v>1424.24</v>
      </c>
      <c r="P70" s="76">
        <v>1481.2096000000001</v>
      </c>
      <c r="Q70" s="10">
        <f t="shared" si="1"/>
        <v>11968.499462400003</v>
      </c>
      <c r="R70" s="10">
        <f t="shared" si="2"/>
        <v>7978.9996416000031</v>
      </c>
      <c r="S70" s="10">
        <f t="shared" si="3"/>
        <v>3273.2454343680006</v>
      </c>
      <c r="T70" s="10">
        <f t="shared" si="4"/>
        <v>13092.981737472002</v>
      </c>
      <c r="U70" s="10">
        <f t="shared" si="5"/>
        <v>36313.72627584001</v>
      </c>
      <c r="V70" s="101"/>
      <c r="W70" s="101"/>
      <c r="X70" s="101"/>
      <c r="Y70" s="101"/>
    </row>
    <row r="71" spans="1:25" ht="28.5" customHeight="1" outlineLevel="1">
      <c r="A71" s="28" t="s">
        <v>434</v>
      </c>
      <c r="B71" s="27" t="s">
        <v>435</v>
      </c>
      <c r="C71" s="27" t="s">
        <v>436</v>
      </c>
      <c r="D71" s="27"/>
      <c r="E71" s="21">
        <v>174.08459999999999</v>
      </c>
      <c r="F71" s="21">
        <v>116.05640000000002</v>
      </c>
      <c r="G71" s="21">
        <v>44.891800000000003</v>
      </c>
      <c r="H71" s="21">
        <v>179.56720000000001</v>
      </c>
      <c r="I71" s="21">
        <f>SUM(E71:H71)</f>
        <v>514.6</v>
      </c>
      <c r="J71" s="21">
        <v>514.6</v>
      </c>
      <c r="K71" s="21">
        <v>290.14100000000002</v>
      </c>
      <c r="L71" s="21">
        <f>J71-K71</f>
        <v>224.459</v>
      </c>
      <c r="M71" s="76">
        <v>2328.63</v>
      </c>
      <c r="N71" s="76">
        <v>2421.7800000000002</v>
      </c>
      <c r="O71" s="76">
        <v>1786.56</v>
      </c>
      <c r="P71" s="76">
        <f>O71*1.04</f>
        <v>1858.0224000000001</v>
      </c>
      <c r="Q71" s="10">
        <f t="shared" si="1"/>
        <v>94366.039122000031</v>
      </c>
      <c r="R71" s="10">
        <f t="shared" si="2"/>
        <v>62910.69274800003</v>
      </c>
      <c r="S71" s="10">
        <f t="shared" si="3"/>
        <v>25308.093427680007</v>
      </c>
      <c r="T71" s="10">
        <f t="shared" si="4"/>
        <v>101232.37371072003</v>
      </c>
      <c r="U71" s="10">
        <f t="shared" si="5"/>
        <v>283817.19900840009</v>
      </c>
      <c r="V71" s="101"/>
      <c r="W71" s="101"/>
      <c r="X71" s="101"/>
      <c r="Y71" s="101"/>
    </row>
    <row r="72" spans="1:25" ht="21" customHeight="1">
      <c r="A72" s="131" t="s">
        <v>109</v>
      </c>
      <c r="B72" s="132"/>
      <c r="C72" s="132"/>
      <c r="D72" s="135"/>
      <c r="E72" s="21"/>
      <c r="F72" s="21"/>
      <c r="G72" s="21"/>
      <c r="H72" s="21"/>
      <c r="I72" s="21">
        <f t="shared" si="0"/>
        <v>0</v>
      </c>
      <c r="J72" s="21"/>
      <c r="K72" s="21"/>
      <c r="L72" s="21"/>
      <c r="M72" s="76"/>
      <c r="N72" s="76"/>
      <c r="O72" s="76"/>
      <c r="P72" s="76"/>
      <c r="Q72" s="10">
        <f t="shared" si="1"/>
        <v>0</v>
      </c>
      <c r="R72" s="10">
        <f t="shared" si="2"/>
        <v>0</v>
      </c>
      <c r="S72" s="10">
        <f t="shared" si="3"/>
        <v>0</v>
      </c>
      <c r="T72" s="10">
        <f t="shared" si="4"/>
        <v>0</v>
      </c>
      <c r="U72" s="10">
        <f t="shared" si="5"/>
        <v>0</v>
      </c>
      <c r="V72" s="101"/>
      <c r="W72" s="101"/>
      <c r="X72" s="101"/>
      <c r="Y72" s="101"/>
    </row>
    <row r="73" spans="1:25" ht="25.5" customHeight="1">
      <c r="A73" s="28" t="s">
        <v>107</v>
      </c>
      <c r="B73" s="27" t="s">
        <v>108</v>
      </c>
      <c r="C73" s="27" t="s">
        <v>110</v>
      </c>
      <c r="D73" s="27"/>
      <c r="E73" s="21">
        <v>302.73500000000001</v>
      </c>
      <c r="F73" s="21">
        <f>99.987+79.98</f>
        <v>179.96699999999998</v>
      </c>
      <c r="G73" s="21">
        <v>61.786000000000001</v>
      </c>
      <c r="H73" s="21">
        <v>301.75400000000002</v>
      </c>
      <c r="I73" s="21">
        <f t="shared" si="0"/>
        <v>846.24200000000008</v>
      </c>
      <c r="J73" s="122">
        <f>SUM(K73:L73)</f>
        <v>847.1</v>
      </c>
      <c r="K73" s="122">
        <v>475.637</v>
      </c>
      <c r="L73" s="122">
        <v>371.46300000000002</v>
      </c>
      <c r="M73" s="76">
        <v>4210.71</v>
      </c>
      <c r="N73" s="76">
        <f>M73</f>
        <v>4210.71</v>
      </c>
      <c r="O73" s="76">
        <v>1573.17</v>
      </c>
      <c r="P73" s="76">
        <f t="shared" si="12"/>
        <v>1636.0968</v>
      </c>
      <c r="Q73" s="10">
        <f t="shared" si="1"/>
        <v>798475.67190000007</v>
      </c>
      <c r="R73" s="10">
        <f t="shared" si="2"/>
        <v>474670.16117999994</v>
      </c>
      <c r="S73" s="10">
        <f t="shared" si="3"/>
        <v>159075.0511752</v>
      </c>
      <c r="T73" s="10">
        <f t="shared" si="4"/>
        <v>776899.83155280002</v>
      </c>
      <c r="U73" s="10">
        <f t="shared" si="5"/>
        <v>2209120.7158079999</v>
      </c>
      <c r="V73" s="101"/>
      <c r="W73" s="101"/>
      <c r="X73" s="101"/>
      <c r="Y73" s="101"/>
    </row>
    <row r="74" spans="1:25" ht="25.5" customHeight="1">
      <c r="A74" s="28" t="s">
        <v>437</v>
      </c>
      <c r="B74" s="27" t="s">
        <v>438</v>
      </c>
      <c r="C74" s="27" t="s">
        <v>110</v>
      </c>
      <c r="D74" s="27"/>
      <c r="E74" s="21">
        <v>50.389800000000001</v>
      </c>
      <c r="F74" s="21">
        <v>33.593200000000003</v>
      </c>
      <c r="G74" s="21">
        <v>13.1974</v>
      </c>
      <c r="H74" s="21">
        <v>52.789599999999993</v>
      </c>
      <c r="I74" s="21">
        <f>SUM(E74:H74)</f>
        <v>149.97</v>
      </c>
      <c r="J74" s="122">
        <f>SUM(K74:L74)</f>
        <v>149.97</v>
      </c>
      <c r="K74" s="122">
        <v>83.983000000000004</v>
      </c>
      <c r="L74" s="122">
        <v>65.986999999999995</v>
      </c>
      <c r="M74" s="76">
        <v>5328.87</v>
      </c>
      <c r="N74" s="76">
        <f>M74</f>
        <v>5328.87</v>
      </c>
      <c r="O74" s="76">
        <v>1573.17</v>
      </c>
      <c r="P74" s="76">
        <v>1636.1</v>
      </c>
      <c r="Q74" s="10">
        <f t="shared" si="1"/>
        <v>189248.97185999999</v>
      </c>
      <c r="R74" s="10">
        <f t="shared" si="2"/>
        <v>126165.98124000001</v>
      </c>
      <c r="S74" s="10">
        <f t="shared" si="3"/>
        <v>48734.962798</v>
      </c>
      <c r="T74" s="10">
        <f t="shared" si="4"/>
        <v>194939.85119199997</v>
      </c>
      <c r="U74" s="10">
        <f t="shared" si="5"/>
        <v>559089.76708999998</v>
      </c>
      <c r="V74" s="101"/>
      <c r="W74" s="101"/>
      <c r="X74" s="101"/>
      <c r="Y74" s="101"/>
    </row>
    <row r="75" spans="1:25" ht="25.5" customHeight="1">
      <c r="A75" s="28" t="s">
        <v>22</v>
      </c>
      <c r="B75" s="27" t="s">
        <v>23</v>
      </c>
      <c r="C75" s="27" t="s">
        <v>111</v>
      </c>
      <c r="D75" s="27"/>
      <c r="E75" s="21">
        <v>3251.6410000000001</v>
      </c>
      <c r="F75" s="21">
        <f>1003.352+495.869</f>
        <v>1499.221</v>
      </c>
      <c r="G75" s="21">
        <v>462.88900000000001</v>
      </c>
      <c r="H75" s="21">
        <v>3147.85</v>
      </c>
      <c r="I75" s="21">
        <f t="shared" si="0"/>
        <v>8361.6010000000006</v>
      </c>
      <c r="J75" s="21">
        <v>7992.81</v>
      </c>
      <c r="K75" s="21">
        <v>4747.7290000000003</v>
      </c>
      <c r="L75" s="21">
        <v>3245.0810000000001</v>
      </c>
      <c r="M75" s="76">
        <v>3802.86</v>
      </c>
      <c r="N75" s="76">
        <v>4309.41</v>
      </c>
      <c r="O75" s="76">
        <v>1529.81</v>
      </c>
      <c r="P75" s="76">
        <f t="shared" si="12"/>
        <v>1591.0024000000001</v>
      </c>
      <c r="Q75" s="10">
        <f t="shared" si="1"/>
        <v>7391142.575050001</v>
      </c>
      <c r="R75" s="10">
        <f t="shared" si="2"/>
        <v>3407804.2940500001</v>
      </c>
      <c r="S75" s="10">
        <f t="shared" si="3"/>
        <v>1258320.9755563999</v>
      </c>
      <c r="T75" s="10">
        <f t="shared" si="4"/>
        <v>8557139.3636599984</v>
      </c>
      <c r="U75" s="10">
        <f t="shared" si="5"/>
        <v>20614407.208316401</v>
      </c>
      <c r="V75" s="101"/>
      <c r="W75" s="101"/>
      <c r="X75" s="101"/>
      <c r="Y75" s="101"/>
    </row>
    <row r="76" spans="1:25" ht="20.25" customHeight="1">
      <c r="A76" s="131" t="s">
        <v>114</v>
      </c>
      <c r="B76" s="132"/>
      <c r="C76" s="132"/>
      <c r="D76" s="135"/>
      <c r="E76" s="21"/>
      <c r="F76" s="21"/>
      <c r="G76" s="21"/>
      <c r="H76" s="21"/>
      <c r="I76" s="21">
        <f t="shared" si="0"/>
        <v>0</v>
      </c>
      <c r="J76" s="21"/>
      <c r="K76" s="21"/>
      <c r="L76" s="21"/>
      <c r="M76" s="76"/>
      <c r="N76" s="76"/>
      <c r="O76" s="76"/>
      <c r="P76" s="76"/>
      <c r="Q76" s="10">
        <f t="shared" si="1"/>
        <v>0</v>
      </c>
      <c r="R76" s="10">
        <f t="shared" si="2"/>
        <v>0</v>
      </c>
      <c r="S76" s="10">
        <f t="shared" si="3"/>
        <v>0</v>
      </c>
      <c r="T76" s="10">
        <f t="shared" si="4"/>
        <v>0</v>
      </c>
      <c r="U76" s="10">
        <f t="shared" si="5"/>
        <v>0</v>
      </c>
      <c r="V76" s="101"/>
      <c r="W76" s="101"/>
      <c r="X76" s="101"/>
      <c r="Y76" s="101"/>
    </row>
    <row r="77" spans="1:25" ht="20.25" customHeight="1">
      <c r="A77" s="28" t="s">
        <v>112</v>
      </c>
      <c r="B77" s="27" t="s">
        <v>113</v>
      </c>
      <c r="C77" s="27" t="s">
        <v>115</v>
      </c>
      <c r="D77" s="27"/>
      <c r="E77" s="21">
        <v>962.60500000000002</v>
      </c>
      <c r="F77" s="21">
        <f>315.053+309.713</f>
        <v>624.76600000000008</v>
      </c>
      <c r="G77" s="21">
        <v>138.83699999999999</v>
      </c>
      <c r="H77" s="21">
        <v>931.46400000000006</v>
      </c>
      <c r="I77" s="21">
        <f t="shared" si="0"/>
        <v>2657.672</v>
      </c>
      <c r="J77" s="122">
        <f>SUM(K77:L77)</f>
        <v>2483.6130000000003</v>
      </c>
      <c r="K77" s="122">
        <v>1369.4490000000001</v>
      </c>
      <c r="L77" s="122">
        <v>1114.164</v>
      </c>
      <c r="M77" s="76">
        <v>2253.14</v>
      </c>
      <c r="N77" s="76">
        <v>2343.2609156960134</v>
      </c>
      <c r="O77" s="76">
        <v>1536</v>
      </c>
      <c r="P77" s="76">
        <v>1597.44</v>
      </c>
      <c r="Q77" s="10">
        <f t="shared" ref="Q77:Q140" si="14">E77*(M77-O77)</f>
        <v>690322.54969999986</v>
      </c>
      <c r="R77" s="10">
        <f t="shared" ref="R77:R140" si="15">F77*(M77-O77)</f>
        <v>448044.68923999998</v>
      </c>
      <c r="S77" s="10">
        <f t="shared" ref="S77:S140" si="16">G77*(N77-P77)</f>
        <v>103547.5384724874</v>
      </c>
      <c r="T77" s="10">
        <f t="shared" ref="T77:T140" si="17">(N77-P77)*H77</f>
        <v>694705.33341787138</v>
      </c>
      <c r="U77" s="10">
        <f t="shared" ref="U77:U140" si="18">SUM(Q77:T77)</f>
        <v>1936620.1108303587</v>
      </c>
      <c r="V77" s="101"/>
      <c r="W77" s="101"/>
      <c r="X77" s="101"/>
      <c r="Y77" s="101"/>
    </row>
    <row r="78" spans="1:25" ht="20.25" customHeight="1">
      <c r="A78" s="28" t="s">
        <v>116</v>
      </c>
      <c r="B78" s="27" t="s">
        <v>117</v>
      </c>
      <c r="C78" s="27" t="s">
        <v>118</v>
      </c>
      <c r="D78" s="27"/>
      <c r="E78" s="21">
        <v>466.084</v>
      </c>
      <c r="F78" s="21">
        <f>148.024+140.74+24.22</f>
        <v>312.98400000000004</v>
      </c>
      <c r="G78" s="21">
        <v>72.38</v>
      </c>
      <c r="H78" s="21">
        <v>474.65</v>
      </c>
      <c r="I78" s="21">
        <f t="shared" si="0"/>
        <v>1326.098</v>
      </c>
      <c r="J78" s="122">
        <f t="shared" ref="J78:J82" si="19">SUM(K78:L78)</f>
        <v>1132</v>
      </c>
      <c r="K78" s="122">
        <v>650.17899999999997</v>
      </c>
      <c r="L78" s="122">
        <v>481.82100000000003</v>
      </c>
      <c r="M78" s="76">
        <v>2726.15</v>
      </c>
      <c r="N78" s="76">
        <v>2835.19</v>
      </c>
      <c r="O78" s="76">
        <v>1575.27</v>
      </c>
      <c r="P78" s="76">
        <v>1638.2808</v>
      </c>
      <c r="Q78" s="10">
        <f t="shared" si="14"/>
        <v>536406.75392000005</v>
      </c>
      <c r="R78" s="10">
        <f t="shared" si="15"/>
        <v>360207.0259200001</v>
      </c>
      <c r="S78" s="10">
        <f t="shared" si="16"/>
        <v>86632.287895999994</v>
      </c>
      <c r="T78" s="10">
        <f t="shared" si="17"/>
        <v>568112.95178</v>
      </c>
      <c r="U78" s="10">
        <f t="shared" si="18"/>
        <v>1551359.0195160001</v>
      </c>
      <c r="V78" s="101"/>
      <c r="W78" s="101"/>
      <c r="X78" s="101"/>
      <c r="Y78" s="101"/>
    </row>
    <row r="79" spans="1:25" ht="20.25" customHeight="1">
      <c r="A79" s="28" t="s">
        <v>119</v>
      </c>
      <c r="B79" s="27" t="s">
        <v>120</v>
      </c>
      <c r="C79" s="27" t="s">
        <v>121</v>
      </c>
      <c r="D79" s="27"/>
      <c r="E79" s="21">
        <v>12.72</v>
      </c>
      <c r="F79" s="21">
        <f>4.38+2.94</f>
        <v>7.32</v>
      </c>
      <c r="G79" s="21">
        <v>2.25</v>
      </c>
      <c r="H79" s="21">
        <v>13.5</v>
      </c>
      <c r="I79" s="21">
        <f t="shared" si="0"/>
        <v>35.79</v>
      </c>
      <c r="J79" s="122">
        <f t="shared" si="19"/>
        <v>46.43</v>
      </c>
      <c r="K79" s="122">
        <v>26.364999999999998</v>
      </c>
      <c r="L79" s="122">
        <v>20.065000000000001</v>
      </c>
      <c r="M79" s="76">
        <v>4224.4399999999996</v>
      </c>
      <c r="N79" s="76">
        <f>M79</f>
        <v>4224.4399999999996</v>
      </c>
      <c r="O79" s="76">
        <v>1261.78</v>
      </c>
      <c r="P79" s="76">
        <v>1312.25</v>
      </c>
      <c r="Q79" s="10">
        <f t="shared" si="14"/>
        <v>37685.035199999998</v>
      </c>
      <c r="R79" s="10">
        <f t="shared" si="15"/>
        <v>21686.671200000001</v>
      </c>
      <c r="S79" s="10">
        <f t="shared" si="16"/>
        <v>6552.4274999999989</v>
      </c>
      <c r="T79" s="10">
        <f t="shared" si="17"/>
        <v>39314.564999999995</v>
      </c>
      <c r="U79" s="10">
        <f t="shared" si="18"/>
        <v>105238.69889999999</v>
      </c>
      <c r="V79" s="101"/>
      <c r="W79" s="101"/>
      <c r="X79" s="101"/>
      <c r="Y79" s="101"/>
    </row>
    <row r="80" spans="1:25" ht="20.25" customHeight="1">
      <c r="A80" s="28" t="s">
        <v>122</v>
      </c>
      <c r="B80" s="27" t="s">
        <v>123</v>
      </c>
      <c r="C80" s="27" t="s">
        <v>124</v>
      </c>
      <c r="D80" s="27"/>
      <c r="E80" s="21">
        <v>2612.7150000000001</v>
      </c>
      <c r="F80" s="21">
        <f>813.756+813.496+32.219</f>
        <v>1659.471</v>
      </c>
      <c r="G80" s="21">
        <v>337</v>
      </c>
      <c r="H80" s="21">
        <v>2159</v>
      </c>
      <c r="I80" s="21">
        <f t="shared" si="0"/>
        <v>6768.1859999999997</v>
      </c>
      <c r="J80" s="122">
        <f t="shared" si="19"/>
        <v>6507.26</v>
      </c>
      <c r="K80" s="122">
        <v>3960.1289999999999</v>
      </c>
      <c r="L80" s="122">
        <v>2547.1309999999999</v>
      </c>
      <c r="M80" s="76">
        <v>3501.42</v>
      </c>
      <c r="N80" s="76">
        <v>3641.47</v>
      </c>
      <c r="O80" s="76">
        <v>1325.1</v>
      </c>
      <c r="P80" s="76">
        <v>1378.1</v>
      </c>
      <c r="Q80" s="10">
        <f t="shared" si="14"/>
        <v>5686103.9088000003</v>
      </c>
      <c r="R80" s="10">
        <f t="shared" si="15"/>
        <v>3611539.9267200003</v>
      </c>
      <c r="S80" s="10">
        <f t="shared" si="16"/>
        <v>762755.69</v>
      </c>
      <c r="T80" s="10">
        <f t="shared" si="17"/>
        <v>4886615.83</v>
      </c>
      <c r="U80" s="10">
        <f t="shared" si="18"/>
        <v>14947015.355520001</v>
      </c>
      <c r="V80" s="101"/>
      <c r="W80" s="101"/>
      <c r="X80" s="101"/>
      <c r="Y80" s="101"/>
    </row>
    <row r="81" spans="1:25" ht="24" customHeight="1">
      <c r="A81" s="28" t="s">
        <v>347</v>
      </c>
      <c r="B81" s="27" t="s">
        <v>359</v>
      </c>
      <c r="C81" s="27" t="s">
        <v>124</v>
      </c>
      <c r="D81" s="27"/>
      <c r="E81" s="21">
        <v>43.944000000000003</v>
      </c>
      <c r="F81" s="21">
        <f>14.648+7.088</f>
        <v>21.736000000000001</v>
      </c>
      <c r="G81" s="21">
        <v>7.3239999999999998</v>
      </c>
      <c r="H81" s="21">
        <v>43.944000000000003</v>
      </c>
      <c r="I81" s="21">
        <f t="shared" si="0"/>
        <v>116.94800000000001</v>
      </c>
      <c r="J81" s="122">
        <f t="shared" si="19"/>
        <v>225.55</v>
      </c>
      <c r="K81" s="122">
        <v>124.28</v>
      </c>
      <c r="L81" s="122">
        <v>101.27</v>
      </c>
      <c r="M81" s="76">
        <v>3911.74</v>
      </c>
      <c r="N81" s="76">
        <v>4068.2096000000001</v>
      </c>
      <c r="O81" s="76">
        <v>1314.99</v>
      </c>
      <c r="P81" s="76">
        <v>1367.59</v>
      </c>
      <c r="Q81" s="10">
        <f t="shared" si="14"/>
        <v>114111.58200000001</v>
      </c>
      <c r="R81" s="10">
        <f t="shared" si="15"/>
        <v>56442.957999999999</v>
      </c>
      <c r="S81" s="10">
        <f t="shared" si="16"/>
        <v>19779.3379504</v>
      </c>
      <c r="T81" s="10">
        <f t="shared" si="17"/>
        <v>118676.02770240001</v>
      </c>
      <c r="U81" s="10">
        <f t="shared" si="18"/>
        <v>309009.90565279999</v>
      </c>
      <c r="V81" s="101"/>
      <c r="W81" s="101"/>
      <c r="X81" s="101"/>
      <c r="Y81" s="101"/>
    </row>
    <row r="82" spans="1:25" ht="24" customHeight="1">
      <c r="A82" s="28" t="s">
        <v>360</v>
      </c>
      <c r="B82" s="27" t="s">
        <v>361</v>
      </c>
      <c r="C82" s="27" t="s">
        <v>115</v>
      </c>
      <c r="D82" s="27"/>
      <c r="E82" s="21">
        <v>3756.7640000000001</v>
      </c>
      <c r="F82" s="21">
        <f>1126.023+871.261+180.159</f>
        <v>2177.4429999999998</v>
      </c>
      <c r="G82" s="21">
        <v>644.89200000000005</v>
      </c>
      <c r="H82" s="21">
        <v>3154.4059999999999</v>
      </c>
      <c r="I82" s="21">
        <f t="shared" si="0"/>
        <v>9733.505000000001</v>
      </c>
      <c r="J82" s="122">
        <f t="shared" si="19"/>
        <v>12018.915000000001</v>
      </c>
      <c r="K82" s="122">
        <v>7327.6409999999996</v>
      </c>
      <c r="L82" s="122">
        <v>4691.2740000000003</v>
      </c>
      <c r="M82" s="76">
        <v>973.97</v>
      </c>
      <c r="N82" s="76">
        <v>1012.9288</v>
      </c>
      <c r="O82" s="76">
        <v>639.34</v>
      </c>
      <c r="P82" s="76">
        <v>664.91</v>
      </c>
      <c r="Q82" s="10">
        <f t="shared" si="14"/>
        <v>1257125.93732</v>
      </c>
      <c r="R82" s="10">
        <f t="shared" si="15"/>
        <v>728637.75108999992</v>
      </c>
      <c r="S82" s="10">
        <f t="shared" si="16"/>
        <v>224434.53996960007</v>
      </c>
      <c r="T82" s="10">
        <f t="shared" si="17"/>
        <v>1097792.5908328001</v>
      </c>
      <c r="U82" s="10">
        <f t="shared" si="18"/>
        <v>3307990.8192124004</v>
      </c>
      <c r="V82" s="101"/>
      <c r="W82" s="101"/>
      <c r="X82" s="101"/>
      <c r="Y82" s="101"/>
    </row>
    <row r="83" spans="1:25" ht="24" customHeight="1">
      <c r="A83" s="105" t="s">
        <v>459</v>
      </c>
      <c r="B83" s="106" t="s">
        <v>460</v>
      </c>
      <c r="C83" s="27" t="s">
        <v>124</v>
      </c>
      <c r="D83" s="107"/>
      <c r="E83" s="21">
        <v>8.0546399999999991</v>
      </c>
      <c r="F83" s="21">
        <v>5.3697600000000012</v>
      </c>
      <c r="G83" s="21">
        <v>1.8351200000000003</v>
      </c>
      <c r="H83" s="21">
        <v>7.3404800000000012</v>
      </c>
      <c r="I83" s="21">
        <f t="shared" si="0"/>
        <v>22.6</v>
      </c>
      <c r="J83" s="122">
        <v>22.6</v>
      </c>
      <c r="K83" s="122">
        <v>13.4244</v>
      </c>
      <c r="L83" s="122">
        <v>9.1756000000000011</v>
      </c>
      <c r="M83" s="76">
        <v>1773.2315222289233</v>
      </c>
      <c r="N83" s="76">
        <v>1844.1607831180802</v>
      </c>
      <c r="O83" s="76">
        <v>1340.2746000000002</v>
      </c>
      <c r="P83" s="76">
        <v>1393.8855840000003</v>
      </c>
      <c r="Q83" s="10">
        <f t="shared" si="14"/>
        <v>3487.3121440619725</v>
      </c>
      <c r="R83" s="10">
        <f t="shared" si="15"/>
        <v>2324.8747627079824</v>
      </c>
      <c r="S83" s="10">
        <f t="shared" si="16"/>
        <v>826.30902340557088</v>
      </c>
      <c r="T83" s="10">
        <f t="shared" si="17"/>
        <v>3305.2360936222835</v>
      </c>
      <c r="U83" s="10">
        <f t="shared" si="18"/>
        <v>9943.7320237978092</v>
      </c>
      <c r="V83" s="101"/>
      <c r="W83" s="101"/>
      <c r="X83" s="101"/>
      <c r="Y83" s="101"/>
    </row>
    <row r="84" spans="1:25" ht="21.75" customHeight="1">
      <c r="A84" s="131" t="s">
        <v>125</v>
      </c>
      <c r="B84" s="132"/>
      <c r="C84" s="132"/>
      <c r="D84" s="135"/>
      <c r="E84" s="21"/>
      <c r="F84" s="21"/>
      <c r="G84" s="21"/>
      <c r="H84" s="21"/>
      <c r="I84" s="21">
        <f t="shared" si="0"/>
        <v>0</v>
      </c>
      <c r="J84" s="21"/>
      <c r="K84" s="21"/>
      <c r="L84" s="21"/>
      <c r="M84" s="76"/>
      <c r="N84" s="76"/>
      <c r="O84" s="76"/>
      <c r="P84" s="76"/>
      <c r="Q84" s="10">
        <f t="shared" si="14"/>
        <v>0</v>
      </c>
      <c r="R84" s="10">
        <f t="shared" si="15"/>
        <v>0</v>
      </c>
      <c r="S84" s="10">
        <f t="shared" si="16"/>
        <v>0</v>
      </c>
      <c r="T84" s="10">
        <f t="shared" si="17"/>
        <v>0</v>
      </c>
      <c r="U84" s="10">
        <f t="shared" si="18"/>
        <v>0</v>
      </c>
      <c r="V84" s="101"/>
      <c r="W84" s="101"/>
      <c r="X84" s="101"/>
      <c r="Y84" s="101"/>
    </row>
    <row r="85" spans="1:25" ht="27.75" customHeight="1">
      <c r="A85" s="28" t="s">
        <v>22</v>
      </c>
      <c r="B85" s="27" t="s">
        <v>23</v>
      </c>
      <c r="C85" s="27" t="s">
        <v>387</v>
      </c>
      <c r="D85" s="27"/>
      <c r="E85" s="21">
        <v>4419.3710000000001</v>
      </c>
      <c r="F85" s="21">
        <f>1255.741+1168.344+163.019</f>
        <v>2587.1040000000003</v>
      </c>
      <c r="G85" s="21">
        <v>956.33299999999997</v>
      </c>
      <c r="H85" s="21">
        <v>3929.395</v>
      </c>
      <c r="I85" s="21">
        <f t="shared" si="0"/>
        <v>11892.203</v>
      </c>
      <c r="J85" s="21">
        <v>11750.25</v>
      </c>
      <c r="K85" s="21">
        <v>6838.6454999999996</v>
      </c>
      <c r="L85" s="21">
        <v>4911.6044999999995</v>
      </c>
      <c r="M85" s="76">
        <v>4485.03</v>
      </c>
      <c r="N85" s="76">
        <v>5238.99</v>
      </c>
      <c r="O85" s="76">
        <v>1421.84</v>
      </c>
      <c r="P85" s="76">
        <f>O85*1.04</f>
        <v>1478.7136</v>
      </c>
      <c r="Q85" s="10">
        <f t="shared" si="14"/>
        <v>13537373.053489998</v>
      </c>
      <c r="R85" s="10">
        <f t="shared" si="15"/>
        <v>7924791.10176</v>
      </c>
      <c r="S85" s="10">
        <f t="shared" si="16"/>
        <v>3596076.4104411998</v>
      </c>
      <c r="T85" s="10">
        <f t="shared" si="17"/>
        <v>14775611.284777999</v>
      </c>
      <c r="U85" s="10">
        <f t="shared" si="18"/>
        <v>39833851.850469202</v>
      </c>
      <c r="V85" s="101"/>
      <c r="W85" s="101"/>
      <c r="X85" s="101"/>
      <c r="Y85" s="101"/>
    </row>
    <row r="86" spans="1:25" ht="23.25" customHeight="1">
      <c r="A86" s="131" t="s">
        <v>126</v>
      </c>
      <c r="B86" s="132"/>
      <c r="C86" s="132"/>
      <c r="D86" s="135"/>
      <c r="E86" s="21"/>
      <c r="F86" s="21"/>
      <c r="G86" s="21"/>
      <c r="H86" s="21"/>
      <c r="I86" s="21">
        <f t="shared" si="0"/>
        <v>0</v>
      </c>
      <c r="J86" s="21"/>
      <c r="K86" s="21"/>
      <c r="L86" s="21"/>
      <c r="M86" s="76"/>
      <c r="N86" s="76"/>
      <c r="O86" s="76"/>
      <c r="P86" s="76"/>
      <c r="Q86" s="10">
        <f t="shared" si="14"/>
        <v>0</v>
      </c>
      <c r="R86" s="10">
        <f t="shared" si="15"/>
        <v>0</v>
      </c>
      <c r="S86" s="10">
        <f t="shared" si="16"/>
        <v>0</v>
      </c>
      <c r="T86" s="10">
        <f t="shared" si="17"/>
        <v>0</v>
      </c>
      <c r="U86" s="10">
        <f t="shared" si="18"/>
        <v>0</v>
      </c>
      <c r="V86" s="101"/>
      <c r="W86" s="101"/>
      <c r="X86" s="101"/>
      <c r="Y86" s="101"/>
    </row>
    <row r="87" spans="1:25" ht="20.25" customHeight="1">
      <c r="A87" s="101" t="s">
        <v>22</v>
      </c>
      <c r="B87" s="101" t="s">
        <v>23</v>
      </c>
      <c r="C87" s="101" t="s">
        <v>388</v>
      </c>
      <c r="D87" s="101"/>
      <c r="E87" s="21">
        <v>3504.9989999999998</v>
      </c>
      <c r="F87" s="21">
        <f>1073.489+1049.063+114.402</f>
        <v>2236.9540000000002</v>
      </c>
      <c r="G87" s="21">
        <v>904.39700000000005</v>
      </c>
      <c r="H87" s="21">
        <v>3260.19</v>
      </c>
      <c r="I87" s="21">
        <f t="shared" si="0"/>
        <v>9906.5399999999991</v>
      </c>
      <c r="J87" s="21">
        <v>10175.69</v>
      </c>
      <c r="K87" s="21">
        <v>6146.1167599999999</v>
      </c>
      <c r="L87" s="21">
        <v>4029.5732400000002</v>
      </c>
      <c r="M87" s="76">
        <v>4867.4399999999996</v>
      </c>
      <c r="N87" s="76">
        <v>5445.12</v>
      </c>
      <c r="O87" s="76">
        <v>1227.27</v>
      </c>
      <c r="P87" s="76">
        <f>O87*1.04</f>
        <v>1276.3607999999999</v>
      </c>
      <c r="Q87" s="10">
        <f t="shared" si="14"/>
        <v>12758792.209829997</v>
      </c>
      <c r="R87" s="10">
        <f t="shared" si="15"/>
        <v>8142892.8421799997</v>
      </c>
      <c r="S87" s="10">
        <f t="shared" si="16"/>
        <v>3770213.3142024004</v>
      </c>
      <c r="T87" s="10">
        <f t="shared" si="17"/>
        <v>13590947.056248002</v>
      </c>
      <c r="U87" s="10">
        <f t="shared" si="18"/>
        <v>38262845.4224604</v>
      </c>
      <c r="V87" s="101"/>
      <c r="W87" s="101"/>
      <c r="X87" s="101"/>
      <c r="Y87" s="101"/>
    </row>
    <row r="88" spans="1:25" ht="20.25" customHeight="1">
      <c r="A88" s="101" t="s">
        <v>415</v>
      </c>
      <c r="B88" s="101" t="s">
        <v>414</v>
      </c>
      <c r="C88" s="101" t="s">
        <v>362</v>
      </c>
      <c r="D88" s="101"/>
      <c r="E88" s="21">
        <v>39.113999999999997</v>
      </c>
      <c r="F88" s="21">
        <v>25.422999999999998</v>
      </c>
      <c r="G88" s="21">
        <v>13.689</v>
      </c>
      <c r="H88" s="21">
        <v>39.113999999999997</v>
      </c>
      <c r="I88" s="21">
        <f t="shared" si="0"/>
        <v>117.34</v>
      </c>
      <c r="J88" s="21">
        <f>SUM(K88:L88)</f>
        <v>110</v>
      </c>
      <c r="K88" s="21">
        <v>60.5</v>
      </c>
      <c r="L88" s="21">
        <v>49.5</v>
      </c>
      <c r="M88" s="76">
        <v>6859.41</v>
      </c>
      <c r="N88" s="76">
        <v>7339.57</v>
      </c>
      <c r="O88" s="76">
        <v>1204.1099999999999</v>
      </c>
      <c r="P88" s="76">
        <f>O88*1.04</f>
        <v>1252.2744</v>
      </c>
      <c r="Q88" s="10">
        <f t="shared" si="14"/>
        <v>221201.40419999999</v>
      </c>
      <c r="R88" s="10">
        <f t="shared" si="15"/>
        <v>143774.69190000001</v>
      </c>
      <c r="S88" s="10">
        <f t="shared" si="16"/>
        <v>83328.989468399988</v>
      </c>
      <c r="T88" s="10">
        <f t="shared" si="17"/>
        <v>238098.48009839997</v>
      </c>
      <c r="U88" s="10">
        <f t="shared" si="18"/>
        <v>686403.5656667999</v>
      </c>
      <c r="V88" s="101"/>
      <c r="W88" s="101"/>
      <c r="X88" s="101"/>
      <c r="Y88" s="101"/>
    </row>
    <row r="89" spans="1:25" ht="20.25" customHeight="1">
      <c r="A89" s="131" t="s">
        <v>94</v>
      </c>
      <c r="B89" s="132"/>
      <c r="C89" s="132"/>
      <c r="D89" s="135"/>
      <c r="E89" s="21"/>
      <c r="F89" s="21"/>
      <c r="G89" s="21"/>
      <c r="H89" s="21"/>
      <c r="I89" s="21">
        <f t="shared" si="0"/>
        <v>0</v>
      </c>
      <c r="J89" s="21"/>
      <c r="K89" s="21"/>
      <c r="L89" s="21"/>
      <c r="M89" s="76"/>
      <c r="N89" s="76"/>
      <c r="O89" s="76"/>
      <c r="P89" s="76"/>
      <c r="Q89" s="10">
        <f t="shared" si="14"/>
        <v>0</v>
      </c>
      <c r="R89" s="10">
        <f t="shared" si="15"/>
        <v>0</v>
      </c>
      <c r="S89" s="10">
        <f t="shared" si="16"/>
        <v>0</v>
      </c>
      <c r="T89" s="10">
        <f t="shared" si="17"/>
        <v>0</v>
      </c>
      <c r="U89" s="10">
        <f t="shared" si="18"/>
        <v>0</v>
      </c>
      <c r="V89" s="101"/>
      <c r="W89" s="101"/>
      <c r="X89" s="101"/>
      <c r="Y89" s="101"/>
    </row>
    <row r="90" spans="1:25" ht="18.75" customHeight="1">
      <c r="A90" s="101" t="s">
        <v>127</v>
      </c>
      <c r="B90" s="101" t="s">
        <v>128</v>
      </c>
      <c r="C90" s="101"/>
      <c r="D90" s="101"/>
      <c r="E90" s="21">
        <v>44924.853999999999</v>
      </c>
      <c r="F90" s="21">
        <f>14375.289+12376.21+5339.789</f>
        <v>32091.288</v>
      </c>
      <c r="G90" s="21">
        <v>19100.506000000001</v>
      </c>
      <c r="H90" s="21">
        <v>43424.788</v>
      </c>
      <c r="I90" s="21">
        <f t="shared" si="0"/>
        <v>139541.43599999999</v>
      </c>
      <c r="J90" s="21">
        <v>141521.84</v>
      </c>
      <c r="K90" s="21">
        <v>77784.5</v>
      </c>
      <c r="L90" s="21">
        <f>J90-K90</f>
        <v>63737.34</v>
      </c>
      <c r="M90" s="76">
        <v>1879.0381697500939</v>
      </c>
      <c r="N90" s="76">
        <v>1879.0381697500939</v>
      </c>
      <c r="O90" s="76">
        <v>1383.7304000000001</v>
      </c>
      <c r="P90" s="76">
        <v>1439.0796160000002</v>
      </c>
      <c r="Q90" s="10">
        <f t="shared" si="14"/>
        <v>22251629.241088577</v>
      </c>
      <c r="R90" s="10">
        <f t="shared" si="15"/>
        <v>15895064.287687946</v>
      </c>
      <c r="S90" s="10">
        <f t="shared" si="16"/>
        <v>8403430.9956549872</v>
      </c>
      <c r="T90" s="10">
        <f t="shared" si="17"/>
        <v>19105106.925384421</v>
      </c>
      <c r="U90" s="10">
        <f t="shared" si="18"/>
        <v>65655231.449815929</v>
      </c>
      <c r="V90" s="101"/>
      <c r="W90" s="101"/>
      <c r="X90" s="101"/>
      <c r="Y90" s="101"/>
    </row>
    <row r="91" spans="1:25" ht="18.75" customHeight="1">
      <c r="A91" s="101" t="s">
        <v>415</v>
      </c>
      <c r="B91" s="101" t="s">
        <v>414</v>
      </c>
      <c r="C91" s="101" t="s">
        <v>363</v>
      </c>
      <c r="D91" s="101"/>
      <c r="E91" s="21">
        <v>912.29499999999996</v>
      </c>
      <c r="F91" s="21">
        <v>619.779</v>
      </c>
      <c r="G91" s="21">
        <v>406.17399999999998</v>
      </c>
      <c r="H91" s="21">
        <v>913.00199999999995</v>
      </c>
      <c r="I91" s="21">
        <f t="shared" si="0"/>
        <v>2851.25</v>
      </c>
      <c r="J91" s="21">
        <f>SUM(K91:L91)</f>
        <v>4624</v>
      </c>
      <c r="K91" s="21">
        <v>2543.1999999999998</v>
      </c>
      <c r="L91" s="21">
        <v>2080.8000000000002</v>
      </c>
      <c r="M91" s="76">
        <v>1498.8</v>
      </c>
      <c r="N91" s="76">
        <v>1603.72</v>
      </c>
      <c r="O91" s="76">
        <v>1383.73</v>
      </c>
      <c r="P91" s="76">
        <v>1439.08</v>
      </c>
      <c r="Q91" s="10">
        <f t="shared" si="14"/>
        <v>104977.78564999993</v>
      </c>
      <c r="R91" s="10">
        <f t="shared" si="15"/>
        <v>71317.969529999958</v>
      </c>
      <c r="S91" s="10">
        <f t="shared" si="16"/>
        <v>66872.487360000043</v>
      </c>
      <c r="T91" s="10">
        <f t="shared" si="17"/>
        <v>150316.64928000007</v>
      </c>
      <c r="U91" s="10">
        <f t="shared" si="18"/>
        <v>393484.89182000002</v>
      </c>
      <c r="V91" s="101"/>
      <c r="W91" s="101"/>
      <c r="X91" s="101"/>
      <c r="Y91" s="101"/>
    </row>
    <row r="92" spans="1:25" ht="18.75" customHeight="1">
      <c r="A92" s="131" t="s">
        <v>364</v>
      </c>
      <c r="B92" s="132"/>
      <c r="C92" s="132"/>
      <c r="D92" s="101"/>
      <c r="E92" s="21"/>
      <c r="F92" s="21"/>
      <c r="G92" s="21"/>
      <c r="H92" s="21"/>
      <c r="I92" s="21">
        <f t="shared" si="0"/>
        <v>0</v>
      </c>
      <c r="J92" s="21"/>
      <c r="K92" s="21"/>
      <c r="L92" s="21"/>
      <c r="M92" s="76"/>
      <c r="N92" s="76"/>
      <c r="O92" s="76"/>
      <c r="P92" s="76"/>
      <c r="Q92" s="10">
        <f t="shared" si="14"/>
        <v>0</v>
      </c>
      <c r="R92" s="10">
        <f t="shared" si="15"/>
        <v>0</v>
      </c>
      <c r="S92" s="10">
        <f t="shared" si="16"/>
        <v>0</v>
      </c>
      <c r="T92" s="10">
        <f t="shared" si="17"/>
        <v>0</v>
      </c>
      <c r="U92" s="10">
        <f t="shared" si="18"/>
        <v>0</v>
      </c>
      <c r="V92" s="101"/>
      <c r="W92" s="101"/>
      <c r="X92" s="101"/>
      <c r="Y92" s="101"/>
    </row>
    <row r="93" spans="1:25" ht="18.75" customHeight="1">
      <c r="A93" s="101" t="s">
        <v>415</v>
      </c>
      <c r="B93" s="101" t="s">
        <v>414</v>
      </c>
      <c r="C93" s="101" t="s">
        <v>394</v>
      </c>
      <c r="D93" s="101" t="s">
        <v>395</v>
      </c>
      <c r="E93" s="21">
        <v>2982.33</v>
      </c>
      <c r="F93" s="21">
        <v>2982.33</v>
      </c>
      <c r="G93" s="21">
        <v>2440.09</v>
      </c>
      <c r="H93" s="21">
        <v>2440.09</v>
      </c>
      <c r="I93" s="21">
        <f t="shared" si="0"/>
        <v>10844.84</v>
      </c>
      <c r="J93" s="21">
        <f>SUM(K93:L93)</f>
        <v>11661</v>
      </c>
      <c r="K93" s="21">
        <v>6413.55</v>
      </c>
      <c r="L93" s="21">
        <v>5247.45</v>
      </c>
      <c r="M93" s="76">
        <v>4866.6400000000003</v>
      </c>
      <c r="N93" s="76">
        <v>5207.3</v>
      </c>
      <c r="O93" s="76">
        <v>1874</v>
      </c>
      <c r="P93" s="76">
        <v>1948.96</v>
      </c>
      <c r="Q93" s="10">
        <f t="shared" si="14"/>
        <v>8925040.0512000006</v>
      </c>
      <c r="R93" s="10">
        <f t="shared" si="15"/>
        <v>8925040.0512000006</v>
      </c>
      <c r="S93" s="10">
        <f t="shared" si="16"/>
        <v>7950642.8506000005</v>
      </c>
      <c r="T93" s="10">
        <f t="shared" si="17"/>
        <v>7950642.8506000005</v>
      </c>
      <c r="U93" s="10">
        <f t="shared" si="18"/>
        <v>33751365.803599998</v>
      </c>
      <c r="V93" s="101"/>
      <c r="W93" s="101"/>
      <c r="X93" s="101"/>
      <c r="Y93" s="101"/>
    </row>
    <row r="94" spans="1:25" ht="22.5" customHeight="1">
      <c r="A94" s="131" t="s">
        <v>131</v>
      </c>
      <c r="B94" s="132"/>
      <c r="C94" s="132"/>
      <c r="D94" s="135"/>
      <c r="E94" s="21"/>
      <c r="F94" s="21"/>
      <c r="G94" s="21"/>
      <c r="H94" s="21"/>
      <c r="I94" s="21">
        <f t="shared" si="0"/>
        <v>0</v>
      </c>
      <c r="J94" s="21"/>
      <c r="K94" s="21"/>
      <c r="L94" s="21"/>
      <c r="M94" s="76"/>
      <c r="N94" s="76"/>
      <c r="O94" s="76"/>
      <c r="P94" s="76"/>
      <c r="Q94" s="10">
        <f t="shared" si="14"/>
        <v>0</v>
      </c>
      <c r="R94" s="10">
        <f t="shared" si="15"/>
        <v>0</v>
      </c>
      <c r="S94" s="10">
        <f t="shared" si="16"/>
        <v>0</v>
      </c>
      <c r="T94" s="10">
        <f t="shared" si="17"/>
        <v>0</v>
      </c>
      <c r="U94" s="10">
        <f t="shared" si="18"/>
        <v>0</v>
      </c>
      <c r="V94" s="101"/>
      <c r="W94" s="101"/>
      <c r="X94" s="101"/>
      <c r="Y94" s="101"/>
    </row>
    <row r="95" spans="1:25" ht="21.75" customHeight="1">
      <c r="A95" s="101" t="s">
        <v>129</v>
      </c>
      <c r="B95" s="101" t="s">
        <v>130</v>
      </c>
      <c r="C95" s="101" t="s">
        <v>132</v>
      </c>
      <c r="D95" s="101"/>
      <c r="E95" s="21">
        <v>28057.741999999998</v>
      </c>
      <c r="F95" s="21">
        <f>8915.225+8660.405+1018.952</f>
        <v>18594.582000000002</v>
      </c>
      <c r="G95" s="21">
        <v>7784.7730000000001</v>
      </c>
      <c r="H95" s="21">
        <v>28174.696</v>
      </c>
      <c r="I95" s="21">
        <f t="shared" si="0"/>
        <v>82611.793000000005</v>
      </c>
      <c r="J95" s="21">
        <v>69487.7</v>
      </c>
      <c r="K95" s="21">
        <v>40580.816799999993</v>
      </c>
      <c r="L95" s="21">
        <f>J95-K95</f>
        <v>28906.883200000004</v>
      </c>
      <c r="M95" s="76">
        <v>1439.39</v>
      </c>
      <c r="N95" s="76">
        <v>1496.9656000000002</v>
      </c>
      <c r="O95" s="76">
        <v>1171.3499999999999</v>
      </c>
      <c r="P95" s="76">
        <v>1218.204</v>
      </c>
      <c r="Q95" s="10">
        <f t="shared" si="14"/>
        <v>7520597.1656800052</v>
      </c>
      <c r="R95" s="10">
        <f t="shared" si="15"/>
        <v>4984091.7592800045</v>
      </c>
      <c r="S95" s="10">
        <f t="shared" si="16"/>
        <v>2170095.7771168021</v>
      </c>
      <c r="T95" s="10">
        <f t="shared" si="17"/>
        <v>7854023.3364736075</v>
      </c>
      <c r="U95" s="10">
        <f t="shared" si="18"/>
        <v>22528808.038550418</v>
      </c>
      <c r="V95" s="101"/>
      <c r="W95" s="101"/>
      <c r="X95" s="101"/>
      <c r="Y95" s="101"/>
    </row>
    <row r="96" spans="1:25" ht="21.75" customHeight="1">
      <c r="A96" s="101" t="s">
        <v>133</v>
      </c>
      <c r="B96" s="101" t="s">
        <v>134</v>
      </c>
      <c r="C96" s="101" t="s">
        <v>135</v>
      </c>
      <c r="D96" s="101" t="s">
        <v>136</v>
      </c>
      <c r="E96" s="21">
        <v>47.360999999999997</v>
      </c>
      <c r="F96" s="21">
        <f>15.24+12.47</f>
        <v>27.71</v>
      </c>
      <c r="G96" s="21">
        <v>15.787000000000001</v>
      </c>
      <c r="H96" s="21">
        <v>47.362000000000002</v>
      </c>
      <c r="I96" s="21">
        <f t="shared" si="0"/>
        <v>138.22</v>
      </c>
      <c r="J96" s="21">
        <v>203.2</v>
      </c>
      <c r="K96" s="21">
        <v>128.19999999999999</v>
      </c>
      <c r="L96" s="21">
        <f>J96-K96</f>
        <v>75</v>
      </c>
      <c r="M96" s="76">
        <v>3766.11</v>
      </c>
      <c r="N96" s="76">
        <v>3916.7544000000003</v>
      </c>
      <c r="O96" s="76">
        <v>1211.97</v>
      </c>
      <c r="P96" s="76">
        <v>1260.4488000000001</v>
      </c>
      <c r="Q96" s="10">
        <f t="shared" si="14"/>
        <v>120966.62454</v>
      </c>
      <c r="R96" s="10">
        <f t="shared" si="15"/>
        <v>70775.219400000016</v>
      </c>
      <c r="S96" s="10">
        <f t="shared" si="16"/>
        <v>41935.096507200004</v>
      </c>
      <c r="T96" s="10">
        <f t="shared" si="17"/>
        <v>125807.9458272</v>
      </c>
      <c r="U96" s="10">
        <f t="shared" si="18"/>
        <v>359484.88627440005</v>
      </c>
      <c r="V96" s="101"/>
      <c r="W96" s="101"/>
      <c r="X96" s="101"/>
      <c r="Y96" s="101"/>
    </row>
    <row r="97" spans="1:25" ht="21.75" customHeight="1">
      <c r="A97" s="101" t="s">
        <v>137</v>
      </c>
      <c r="B97" s="101" t="s">
        <v>138</v>
      </c>
      <c r="C97" s="101"/>
      <c r="D97" s="101"/>
      <c r="E97" s="21">
        <v>9110.9639999999999</v>
      </c>
      <c r="F97" s="21">
        <f>3052.213+3016.846+252.969</f>
        <v>6322.0280000000002</v>
      </c>
      <c r="G97" s="21">
        <v>2705.1930000000002</v>
      </c>
      <c r="H97" s="21">
        <v>8843.9989999999998</v>
      </c>
      <c r="I97" s="21">
        <f t="shared" si="0"/>
        <v>26982.184000000001</v>
      </c>
      <c r="J97" s="21">
        <v>26411.300000000003</v>
      </c>
      <c r="K97" s="21">
        <v>14843.150600000003</v>
      </c>
      <c r="L97" s="21">
        <f>J97-K97</f>
        <v>11568.1494</v>
      </c>
      <c r="M97" s="76">
        <v>3331.34</v>
      </c>
      <c r="N97" s="76">
        <v>3464.5936000000002</v>
      </c>
      <c r="O97" s="76">
        <v>1171.3499999999999</v>
      </c>
      <c r="P97" s="76">
        <f>O97*1.04</f>
        <v>1218.204</v>
      </c>
      <c r="Q97" s="10">
        <f t="shared" si="14"/>
        <v>19679591.130360004</v>
      </c>
      <c r="R97" s="10">
        <f t="shared" si="15"/>
        <v>13655517.259720001</v>
      </c>
      <c r="S97" s="10">
        <f t="shared" si="16"/>
        <v>6076917.4211928016</v>
      </c>
      <c r="T97" s="10">
        <f t="shared" si="17"/>
        <v>19867067.376010403</v>
      </c>
      <c r="U97" s="10">
        <f t="shared" si="18"/>
        <v>59279093.18728321</v>
      </c>
      <c r="V97" s="101"/>
      <c r="W97" s="101"/>
      <c r="X97" s="101"/>
      <c r="Y97" s="101"/>
    </row>
    <row r="98" spans="1:25" ht="21.75" customHeight="1">
      <c r="A98" s="101" t="s">
        <v>292</v>
      </c>
      <c r="B98" s="101" t="s">
        <v>293</v>
      </c>
      <c r="C98" s="101" t="s">
        <v>365</v>
      </c>
      <c r="D98" s="101"/>
      <c r="E98" s="21">
        <v>446.20100000000002</v>
      </c>
      <c r="F98" s="21">
        <f>152.007-0.586+150.202+0.401</f>
        <v>302.024</v>
      </c>
      <c r="G98" s="21">
        <v>9.2240000000000002</v>
      </c>
      <c r="H98" s="21">
        <v>477.77499999999998</v>
      </c>
      <c r="I98" s="21">
        <f>SUM(E98:H98)</f>
        <v>1235.2240000000002</v>
      </c>
      <c r="J98" s="21">
        <f>SUM(K98:L98)</f>
        <v>1201.3530000000001</v>
      </c>
      <c r="K98" s="21">
        <v>660.74400000000003</v>
      </c>
      <c r="L98" s="21">
        <v>540.60900000000004</v>
      </c>
      <c r="M98" s="76">
        <v>2731.4</v>
      </c>
      <c r="N98" s="76">
        <v>2840.66</v>
      </c>
      <c r="O98" s="76">
        <v>1171.3499999999999</v>
      </c>
      <c r="P98" s="76">
        <v>1218.2</v>
      </c>
      <c r="Q98" s="10">
        <f t="shared" si="14"/>
        <v>696095.87005000014</v>
      </c>
      <c r="R98" s="10">
        <f t="shared" si="15"/>
        <v>471172.54120000004</v>
      </c>
      <c r="S98" s="10">
        <f t="shared" si="16"/>
        <v>14965.571039999999</v>
      </c>
      <c r="T98" s="10">
        <f t="shared" si="17"/>
        <v>775170.82649999985</v>
      </c>
      <c r="U98" s="10">
        <f t="shared" si="18"/>
        <v>1957404.8087900002</v>
      </c>
      <c r="V98" s="101"/>
      <c r="W98" s="101"/>
      <c r="X98" s="101"/>
      <c r="Y98" s="101"/>
    </row>
    <row r="99" spans="1:25" ht="21.75" customHeight="1">
      <c r="A99" s="101" t="s">
        <v>448</v>
      </c>
      <c r="B99" s="101" t="s">
        <v>449</v>
      </c>
      <c r="C99" s="101" t="s">
        <v>135</v>
      </c>
      <c r="D99" s="101" t="s">
        <v>380</v>
      </c>
      <c r="E99" s="21">
        <v>120.02825537999999</v>
      </c>
      <c r="F99" s="21">
        <v>80.018836920000012</v>
      </c>
      <c r="G99" s="21">
        <v>32.734978739999995</v>
      </c>
      <c r="H99" s="21">
        <v>130.93991495999995</v>
      </c>
      <c r="I99" s="21">
        <f t="shared" si="0"/>
        <v>363.72198599999996</v>
      </c>
      <c r="J99" s="21">
        <v>363.72198599999996</v>
      </c>
      <c r="K99" s="21">
        <v>200.0470923</v>
      </c>
      <c r="L99" s="21">
        <f>J99-K99</f>
        <v>163.67489369999996</v>
      </c>
      <c r="M99" s="76">
        <v>2860.98</v>
      </c>
      <c r="N99" s="76">
        <v>2975.4192000000003</v>
      </c>
      <c r="O99" s="76">
        <v>1211.97</v>
      </c>
      <c r="P99" s="76">
        <v>1260.4488000000001</v>
      </c>
      <c r="Q99" s="10">
        <f t="shared" si="14"/>
        <v>197927.79340417378</v>
      </c>
      <c r="R99" s="10">
        <f t="shared" si="15"/>
        <v>131951.86226944922</v>
      </c>
      <c r="S99" s="10">
        <f t="shared" si="16"/>
        <v>56139.519583729292</v>
      </c>
      <c r="T99" s="10">
        <f t="shared" si="17"/>
        <v>224558.07833491711</v>
      </c>
      <c r="U99" s="10">
        <f t="shared" si="18"/>
        <v>610577.25359226938</v>
      </c>
      <c r="V99" s="101"/>
      <c r="W99" s="101"/>
      <c r="X99" s="101"/>
      <c r="Y99" s="101"/>
    </row>
    <row r="100" spans="1:25" ht="21" customHeight="1">
      <c r="A100" s="131" t="s">
        <v>141</v>
      </c>
      <c r="B100" s="132"/>
      <c r="C100" s="132"/>
      <c r="D100" s="135"/>
      <c r="E100" s="21"/>
      <c r="F100" s="21"/>
      <c r="G100" s="21"/>
      <c r="H100" s="21"/>
      <c r="I100" s="21">
        <f t="shared" si="0"/>
        <v>0</v>
      </c>
      <c r="J100" s="21"/>
      <c r="K100" s="21"/>
      <c r="L100" s="21"/>
      <c r="M100" s="76"/>
      <c r="N100" s="76"/>
      <c r="O100" s="76"/>
      <c r="P100" s="76"/>
      <c r="Q100" s="10">
        <f t="shared" si="14"/>
        <v>0</v>
      </c>
      <c r="R100" s="10">
        <f t="shared" si="15"/>
        <v>0</v>
      </c>
      <c r="S100" s="10">
        <f t="shared" si="16"/>
        <v>0</v>
      </c>
      <c r="T100" s="10">
        <f t="shared" si="17"/>
        <v>0</v>
      </c>
      <c r="U100" s="10">
        <f t="shared" si="18"/>
        <v>0</v>
      </c>
      <c r="V100" s="101"/>
      <c r="W100" s="101"/>
      <c r="X100" s="101"/>
      <c r="Y100" s="101"/>
    </row>
    <row r="101" spans="1:25" ht="27" customHeight="1">
      <c r="A101" s="101" t="s">
        <v>139</v>
      </c>
      <c r="B101" s="101" t="s">
        <v>140</v>
      </c>
      <c r="C101" s="101" t="s">
        <v>142</v>
      </c>
      <c r="D101" s="101"/>
      <c r="E101" s="21">
        <v>3873.15</v>
      </c>
      <c r="F101" s="21">
        <f>1292.61+1288.58+10.26</f>
        <v>2591.4499999999998</v>
      </c>
      <c r="G101" s="21">
        <v>1275.83</v>
      </c>
      <c r="H101" s="21">
        <v>2621.0210000000002</v>
      </c>
      <c r="I101" s="21">
        <f t="shared" ref="I101:I178" si="20">SUM(E101:H101)</f>
        <v>10361.451000000001</v>
      </c>
      <c r="J101" s="21">
        <v>11753.810000000001</v>
      </c>
      <c r="K101" s="21">
        <v>6582.133600000001</v>
      </c>
      <c r="L101" s="21">
        <v>5171.6764000000003</v>
      </c>
      <c r="M101" s="76">
        <v>3692.7</v>
      </c>
      <c r="N101" s="76">
        <v>3840.41</v>
      </c>
      <c r="O101" s="76">
        <v>1223.31</v>
      </c>
      <c r="P101" s="76">
        <f>O101*1.04</f>
        <v>1272.2424000000001</v>
      </c>
      <c r="Q101" s="10">
        <f t="shared" si="14"/>
        <v>9564317.8784999996</v>
      </c>
      <c r="R101" s="10">
        <f t="shared" si="15"/>
        <v>6399300.715499999</v>
      </c>
      <c r="S101" s="10">
        <f t="shared" si="16"/>
        <v>3276545.2691079997</v>
      </c>
      <c r="T101" s="10">
        <f t="shared" si="17"/>
        <v>6731221.2111195996</v>
      </c>
      <c r="U101" s="10">
        <f t="shared" si="18"/>
        <v>25971385.074227598</v>
      </c>
      <c r="V101" s="101"/>
      <c r="W101" s="101"/>
      <c r="X101" s="101"/>
      <c r="Y101" s="101"/>
    </row>
    <row r="102" spans="1:25" ht="27" customHeight="1">
      <c r="A102" s="101" t="s">
        <v>143</v>
      </c>
      <c r="B102" s="101" t="s">
        <v>144</v>
      </c>
      <c r="C102" s="101" t="s">
        <v>145</v>
      </c>
      <c r="D102" s="101"/>
      <c r="E102" s="21">
        <v>3194.5010000000002</v>
      </c>
      <c r="F102" s="21">
        <f>990.254+954.677+78.181+56.314</f>
        <v>2079.4259999999999</v>
      </c>
      <c r="G102" s="21">
        <v>686.7</v>
      </c>
      <c r="H102" s="21">
        <v>3045.5619999999999</v>
      </c>
      <c r="I102" s="21">
        <f t="shared" si="20"/>
        <v>9006.1889999999985</v>
      </c>
      <c r="J102" s="21">
        <v>6855.8587148000006</v>
      </c>
      <c r="K102" s="21">
        <v>4113.51522888</v>
      </c>
      <c r="L102" s="21">
        <v>2742.3434859200006</v>
      </c>
      <c r="M102" s="76">
        <v>4314.8500000000004</v>
      </c>
      <c r="N102" s="76">
        <v>4487.4399999999996</v>
      </c>
      <c r="O102" s="76">
        <v>1246.8499999999999</v>
      </c>
      <c r="P102" s="76">
        <f t="shared" ref="P102:P111" si="21">O102*1.04</f>
        <v>1296.7239999999999</v>
      </c>
      <c r="Q102" s="10">
        <f t="shared" si="14"/>
        <v>9800729.0680000018</v>
      </c>
      <c r="R102" s="10">
        <f t="shared" si="15"/>
        <v>6379678.9680000003</v>
      </c>
      <c r="S102" s="10">
        <f t="shared" si="16"/>
        <v>2191064.6771999998</v>
      </c>
      <c r="T102" s="10">
        <f t="shared" si="17"/>
        <v>9717523.4023919981</v>
      </c>
      <c r="U102" s="10">
        <f t="shared" si="18"/>
        <v>28088996.115592003</v>
      </c>
      <c r="V102" s="101"/>
      <c r="W102" s="101"/>
      <c r="X102" s="101"/>
      <c r="Y102" s="101"/>
    </row>
    <row r="103" spans="1:25" ht="27" customHeight="1">
      <c r="A103" s="101" t="s">
        <v>143</v>
      </c>
      <c r="B103" s="101" t="s">
        <v>144</v>
      </c>
      <c r="C103" s="101" t="s">
        <v>146</v>
      </c>
      <c r="D103" s="101"/>
      <c r="E103" s="21">
        <v>2166.4090000000001</v>
      </c>
      <c r="F103" s="21">
        <f>698.187+725.752+17.05-39.925</f>
        <v>1401.0639999999999</v>
      </c>
      <c r="G103" s="21">
        <v>581.596</v>
      </c>
      <c r="H103" s="21">
        <v>2125.7069999999999</v>
      </c>
      <c r="I103" s="21">
        <f t="shared" si="20"/>
        <v>6274.7759999999998</v>
      </c>
      <c r="J103" s="21">
        <v>5542.3095129999992</v>
      </c>
      <c r="K103" s="21">
        <v>3325.3857077999996</v>
      </c>
      <c r="L103" s="21">
        <v>2216.9238051999996</v>
      </c>
      <c r="M103" s="76">
        <v>4073.52</v>
      </c>
      <c r="N103" s="76">
        <v>4236.46</v>
      </c>
      <c r="O103" s="76">
        <v>1246.8499999999999</v>
      </c>
      <c r="P103" s="76">
        <f t="shared" si="21"/>
        <v>1296.7239999999999</v>
      </c>
      <c r="Q103" s="10">
        <f t="shared" si="14"/>
        <v>6123723.3280300004</v>
      </c>
      <c r="R103" s="10">
        <f t="shared" si="15"/>
        <v>3960345.5768799996</v>
      </c>
      <c r="S103" s="10">
        <f t="shared" si="16"/>
        <v>1709738.698656</v>
      </c>
      <c r="T103" s="10">
        <f t="shared" si="17"/>
        <v>6249017.3933519991</v>
      </c>
      <c r="U103" s="10">
        <f t="shared" si="18"/>
        <v>18042824.996918</v>
      </c>
      <c r="V103" s="101"/>
      <c r="W103" s="101"/>
      <c r="X103" s="101"/>
      <c r="Y103" s="101"/>
    </row>
    <row r="104" spans="1:25" ht="27" customHeight="1">
      <c r="A104" s="101" t="s">
        <v>143</v>
      </c>
      <c r="B104" s="101" t="s">
        <v>144</v>
      </c>
      <c r="C104" s="101" t="s">
        <v>147</v>
      </c>
      <c r="D104" s="101"/>
      <c r="E104" s="21">
        <v>4887.424</v>
      </c>
      <c r="F104" s="21">
        <f>1650.93+1658.216+3.3-6.554</f>
        <v>3305.8919999999998</v>
      </c>
      <c r="G104" s="21">
        <v>1550.777</v>
      </c>
      <c r="H104" s="21">
        <v>4929.6049999999996</v>
      </c>
      <c r="I104" s="21">
        <f t="shared" si="20"/>
        <v>14673.697999999999</v>
      </c>
      <c r="J104" s="21">
        <v>14166.971271599998</v>
      </c>
      <c r="K104" s="21">
        <v>7791.8341993799995</v>
      </c>
      <c r="L104" s="21">
        <v>6375.1370722199981</v>
      </c>
      <c r="M104" s="76">
        <v>3916.82</v>
      </c>
      <c r="N104" s="76">
        <v>4073.49</v>
      </c>
      <c r="O104" s="76">
        <v>1246.8499999999999</v>
      </c>
      <c r="P104" s="76">
        <f t="shared" si="21"/>
        <v>1296.7239999999999</v>
      </c>
      <c r="Q104" s="10">
        <f t="shared" si="14"/>
        <v>13049275.457280001</v>
      </c>
      <c r="R104" s="10">
        <f t="shared" si="15"/>
        <v>8826632.4632399995</v>
      </c>
      <c r="S104" s="10">
        <f t="shared" si="16"/>
        <v>4306144.8471819991</v>
      </c>
      <c r="T104" s="10">
        <f t="shared" si="17"/>
        <v>13688359.557429997</v>
      </c>
      <c r="U104" s="10">
        <f t="shared" si="18"/>
        <v>39870412.325131997</v>
      </c>
      <c r="V104" s="101"/>
      <c r="W104" s="101"/>
      <c r="X104" s="101"/>
      <c r="Y104" s="101"/>
    </row>
    <row r="105" spans="1:25" ht="27" customHeight="1">
      <c r="A105" s="101" t="s">
        <v>143</v>
      </c>
      <c r="B105" s="101" t="s">
        <v>144</v>
      </c>
      <c r="C105" s="101" t="s">
        <v>148</v>
      </c>
      <c r="D105" s="101"/>
      <c r="E105" s="21">
        <v>95.927999999999997</v>
      </c>
      <c r="F105" s="21">
        <f>31.976+31.976</f>
        <v>63.951999999999998</v>
      </c>
      <c r="G105" s="21">
        <f>30.5</f>
        <v>30.5</v>
      </c>
      <c r="H105" s="21">
        <v>93.53</v>
      </c>
      <c r="I105" s="21">
        <f t="shared" si="20"/>
        <v>283.90999999999997</v>
      </c>
      <c r="J105" s="136">
        <v>1211.51</v>
      </c>
      <c r="K105" s="136">
        <v>666.33100000000002</v>
      </c>
      <c r="L105" s="136">
        <v>545.17999999999995</v>
      </c>
      <c r="M105" s="76">
        <v>6383.09</v>
      </c>
      <c r="N105" s="76">
        <v>6638.41</v>
      </c>
      <c r="O105" s="76">
        <v>1232.73</v>
      </c>
      <c r="P105" s="76">
        <f t="shared" si="21"/>
        <v>1282.0392000000002</v>
      </c>
      <c r="Q105" s="10">
        <f t="shared" si="14"/>
        <v>494063.73408000002</v>
      </c>
      <c r="R105" s="10">
        <f t="shared" si="15"/>
        <v>329375.82272000005</v>
      </c>
      <c r="S105" s="10">
        <f t="shared" si="16"/>
        <v>163369.3094</v>
      </c>
      <c r="T105" s="10">
        <f t="shared" si="17"/>
        <v>500981.36092399998</v>
      </c>
      <c r="U105" s="10">
        <f t="shared" si="18"/>
        <v>1487790.2271240002</v>
      </c>
      <c r="V105" s="101"/>
      <c r="W105" s="101"/>
      <c r="X105" s="101"/>
      <c r="Y105" s="101"/>
    </row>
    <row r="106" spans="1:25" ht="27" customHeight="1">
      <c r="A106" s="101" t="s">
        <v>143</v>
      </c>
      <c r="B106" s="101" t="s">
        <v>144</v>
      </c>
      <c r="C106" s="101" t="s">
        <v>149</v>
      </c>
      <c r="D106" s="101"/>
      <c r="E106" s="21">
        <v>164.822</v>
      </c>
      <c r="F106" s="21">
        <f>57.357+60.96-3.603</f>
        <v>114.71400000000001</v>
      </c>
      <c r="G106" s="21">
        <v>63.62</v>
      </c>
      <c r="H106" s="21">
        <v>195.12</v>
      </c>
      <c r="I106" s="21">
        <f t="shared" si="20"/>
        <v>538.27600000000007</v>
      </c>
      <c r="J106" s="137"/>
      <c r="K106" s="137"/>
      <c r="L106" s="137"/>
      <c r="M106" s="76">
        <v>6383.09</v>
      </c>
      <c r="N106" s="76">
        <v>6638.41</v>
      </c>
      <c r="O106" s="76">
        <v>1232.73</v>
      </c>
      <c r="P106" s="76">
        <f t="shared" si="21"/>
        <v>1282.0392000000002</v>
      </c>
      <c r="Q106" s="10">
        <f t="shared" si="14"/>
        <v>848892.63592000015</v>
      </c>
      <c r="R106" s="10">
        <f t="shared" si="15"/>
        <v>590818.39704000019</v>
      </c>
      <c r="S106" s="10">
        <f t="shared" si="16"/>
        <v>340772.31029599998</v>
      </c>
      <c r="T106" s="10">
        <f t="shared" si="17"/>
        <v>1045135.070496</v>
      </c>
      <c r="U106" s="10">
        <f t="shared" si="18"/>
        <v>2825618.4137520003</v>
      </c>
      <c r="V106" s="101"/>
      <c r="W106" s="101"/>
      <c r="X106" s="101"/>
      <c r="Y106" s="101"/>
    </row>
    <row r="107" spans="1:25" ht="27" customHeight="1">
      <c r="A107" s="101" t="s">
        <v>143</v>
      </c>
      <c r="B107" s="101" t="s">
        <v>144</v>
      </c>
      <c r="C107" s="101" t="s">
        <v>150</v>
      </c>
      <c r="D107" s="101"/>
      <c r="E107" s="21">
        <v>125.622</v>
      </c>
      <c r="F107" s="21">
        <f>41.874+41.874</f>
        <v>83.748000000000005</v>
      </c>
      <c r="G107" s="21">
        <v>39.93</v>
      </c>
      <c r="H107" s="21">
        <v>122.48</v>
      </c>
      <c r="I107" s="21">
        <f t="shared" si="20"/>
        <v>371.78000000000003</v>
      </c>
      <c r="J107" s="138"/>
      <c r="K107" s="138"/>
      <c r="L107" s="138"/>
      <c r="M107" s="76">
        <v>6383.09</v>
      </c>
      <c r="N107" s="76">
        <v>6638.41</v>
      </c>
      <c r="O107" s="76">
        <v>1232.73</v>
      </c>
      <c r="P107" s="76">
        <f t="shared" si="21"/>
        <v>1282.0392000000002</v>
      </c>
      <c r="Q107" s="10">
        <f t="shared" si="14"/>
        <v>646998.52392000007</v>
      </c>
      <c r="R107" s="10">
        <f t="shared" si="15"/>
        <v>431332.34928000008</v>
      </c>
      <c r="S107" s="10">
        <f t="shared" si="16"/>
        <v>213879.88604399998</v>
      </c>
      <c r="T107" s="10">
        <f t="shared" si="17"/>
        <v>656048.29558399995</v>
      </c>
      <c r="U107" s="10">
        <f t="shared" si="18"/>
        <v>1948259.0548280003</v>
      </c>
      <c r="V107" s="101"/>
      <c r="W107" s="101"/>
      <c r="X107" s="101"/>
      <c r="Y107" s="101"/>
    </row>
    <row r="108" spans="1:25" ht="27" customHeight="1">
      <c r="A108" s="101" t="s">
        <v>420</v>
      </c>
      <c r="B108" s="101" t="s">
        <v>423</v>
      </c>
      <c r="C108" s="101" t="s">
        <v>424</v>
      </c>
      <c r="D108" s="101"/>
      <c r="E108" s="21">
        <v>15.147</v>
      </c>
      <c r="F108" s="21">
        <v>10.098000000000001</v>
      </c>
      <c r="G108" s="21">
        <v>3.8090000000000006</v>
      </c>
      <c r="H108" s="21">
        <v>15.236000000000001</v>
      </c>
      <c r="I108" s="21">
        <f t="shared" si="20"/>
        <v>44.290000000000006</v>
      </c>
      <c r="J108" s="21">
        <f>SUM(K108:L108)</f>
        <v>44.290000000000006</v>
      </c>
      <c r="K108" s="21">
        <v>25.245000000000001</v>
      </c>
      <c r="L108" s="21">
        <v>19.045000000000002</v>
      </c>
      <c r="M108" s="76">
        <v>3574.68</v>
      </c>
      <c r="N108" s="103">
        <v>3717.6671999999999</v>
      </c>
      <c r="O108" s="76">
        <v>1471.27</v>
      </c>
      <c r="P108" s="76">
        <f t="shared" si="21"/>
        <v>1530.1208000000001</v>
      </c>
      <c r="Q108" s="10">
        <f t="shared" si="14"/>
        <v>31860.351269999999</v>
      </c>
      <c r="R108" s="10">
        <f t="shared" si="15"/>
        <v>21240.234179999999</v>
      </c>
      <c r="S108" s="10">
        <f t="shared" si="16"/>
        <v>8332.3642376000007</v>
      </c>
      <c r="T108" s="10">
        <f t="shared" si="17"/>
        <v>33329.456950399996</v>
      </c>
      <c r="U108" s="10">
        <f t="shared" si="18"/>
        <v>94762.406637999986</v>
      </c>
      <c r="V108" s="101"/>
      <c r="W108" s="101"/>
      <c r="X108" s="101"/>
      <c r="Y108" s="101"/>
    </row>
    <row r="109" spans="1:25" ht="27" customHeight="1">
      <c r="A109" s="101" t="s">
        <v>421</v>
      </c>
      <c r="B109" s="101" t="s">
        <v>422</v>
      </c>
      <c r="C109" s="101" t="s">
        <v>425</v>
      </c>
      <c r="D109" s="101"/>
      <c r="E109" s="21">
        <v>17.636399999999998</v>
      </c>
      <c r="F109" s="21">
        <v>11.7576</v>
      </c>
      <c r="G109" s="21">
        <v>19.2392</v>
      </c>
      <c r="H109" s="21">
        <v>4.8097999999999992</v>
      </c>
      <c r="I109" s="21">
        <f t="shared" si="20"/>
        <v>53.442999999999998</v>
      </c>
      <c r="J109" s="21">
        <f>SUM(K109:L109)</f>
        <v>53.442999999999998</v>
      </c>
      <c r="K109" s="21">
        <v>29.393999999999998</v>
      </c>
      <c r="L109" s="21">
        <v>24.048999999999999</v>
      </c>
      <c r="M109" s="76">
        <v>3220.66</v>
      </c>
      <c r="N109" s="103">
        <v>3349.4863999999998</v>
      </c>
      <c r="O109" s="76">
        <v>1471.27</v>
      </c>
      <c r="P109" s="76">
        <f>O109*1.04</f>
        <v>1530.1208000000001</v>
      </c>
      <c r="Q109" s="10">
        <f t="shared" si="14"/>
        <v>30852.941795999996</v>
      </c>
      <c r="R109" s="10">
        <f t="shared" si="15"/>
        <v>20568.627863999998</v>
      </c>
      <c r="S109" s="10">
        <f t="shared" si="16"/>
        <v>35003.138651519992</v>
      </c>
      <c r="T109" s="10">
        <f t="shared" si="17"/>
        <v>8750.7846628799962</v>
      </c>
      <c r="U109" s="10">
        <f t="shared" si="18"/>
        <v>95175.492974399996</v>
      </c>
      <c r="V109" s="101"/>
      <c r="W109" s="101"/>
      <c r="X109" s="101"/>
      <c r="Y109" s="101"/>
    </row>
    <row r="110" spans="1:25" ht="27" customHeight="1">
      <c r="A110" s="101" t="s">
        <v>151</v>
      </c>
      <c r="B110" s="101" t="s">
        <v>152</v>
      </c>
      <c r="C110" s="101" t="s">
        <v>153</v>
      </c>
      <c r="D110" s="101"/>
      <c r="E110" s="21">
        <v>491.12</v>
      </c>
      <c r="F110" s="21">
        <f>157.8+150.89+3.93</f>
        <v>312.62</v>
      </c>
      <c r="G110" s="21">
        <v>136.33000000000001</v>
      </c>
      <c r="H110" s="21">
        <v>473.51</v>
      </c>
      <c r="I110" s="21">
        <f t="shared" si="20"/>
        <v>1413.58</v>
      </c>
      <c r="J110" s="21">
        <f t="shared" ref="J110:J111" si="22">SUM(K110:L110)</f>
        <v>1419.33</v>
      </c>
      <c r="K110" s="21">
        <v>854.43700000000001</v>
      </c>
      <c r="L110" s="21">
        <v>564.89300000000003</v>
      </c>
      <c r="M110" s="76">
        <v>5522.38</v>
      </c>
      <c r="N110" s="76">
        <v>5522.38</v>
      </c>
      <c r="O110" s="76">
        <v>1443.51</v>
      </c>
      <c r="P110" s="76">
        <f t="shared" si="21"/>
        <v>1501.2504000000001</v>
      </c>
      <c r="Q110" s="10">
        <f t="shared" si="14"/>
        <v>2003214.6343999999</v>
      </c>
      <c r="R110" s="10">
        <f t="shared" si="15"/>
        <v>1275136.3393999999</v>
      </c>
      <c r="S110" s="10">
        <f t="shared" si="16"/>
        <v>548200.59836800012</v>
      </c>
      <c r="T110" s="10">
        <f t="shared" si="17"/>
        <v>1904045.076896</v>
      </c>
      <c r="U110" s="10">
        <f t="shared" si="18"/>
        <v>5730596.6490639998</v>
      </c>
      <c r="V110" s="101"/>
      <c r="W110" s="101"/>
      <c r="X110" s="101"/>
      <c r="Y110" s="101"/>
    </row>
    <row r="111" spans="1:25" ht="27" customHeight="1">
      <c r="A111" s="101" t="s">
        <v>366</v>
      </c>
      <c r="B111" s="101" t="s">
        <v>367</v>
      </c>
      <c r="C111" s="101" t="s">
        <v>153</v>
      </c>
      <c r="D111" s="101"/>
      <c r="E111" s="21">
        <v>4.5119999999999996</v>
      </c>
      <c r="F111" s="21">
        <f>1.504+1.504</f>
        <v>3.008</v>
      </c>
      <c r="G111" s="21">
        <v>1.5</v>
      </c>
      <c r="H111" s="21">
        <v>4.57</v>
      </c>
      <c r="I111" s="21">
        <f t="shared" si="20"/>
        <v>13.59</v>
      </c>
      <c r="J111" s="21">
        <f t="shared" si="22"/>
        <v>13.5</v>
      </c>
      <c r="K111" s="21">
        <v>7.4249999999999998</v>
      </c>
      <c r="L111" s="21">
        <v>6.0750000000000002</v>
      </c>
      <c r="M111" s="76">
        <v>2677.25</v>
      </c>
      <c r="N111" s="76">
        <v>2677.25</v>
      </c>
      <c r="O111" s="76">
        <v>1223.21</v>
      </c>
      <c r="P111" s="76">
        <f t="shared" si="21"/>
        <v>1272.1384</v>
      </c>
      <c r="Q111" s="10">
        <f t="shared" si="14"/>
        <v>6560.6284799999994</v>
      </c>
      <c r="R111" s="10">
        <f t="shared" si="15"/>
        <v>4373.7523199999996</v>
      </c>
      <c r="S111" s="10">
        <f t="shared" si="16"/>
        <v>2107.6673999999998</v>
      </c>
      <c r="T111" s="10">
        <f t="shared" si="17"/>
        <v>6421.3600120000001</v>
      </c>
      <c r="U111" s="10">
        <f t="shared" si="18"/>
        <v>19463.408211999998</v>
      </c>
      <c r="V111" s="101"/>
      <c r="W111" s="101"/>
      <c r="X111" s="101"/>
      <c r="Y111" s="101"/>
    </row>
    <row r="112" spans="1:25" ht="25.5" customHeight="1">
      <c r="A112" s="131" t="s">
        <v>156</v>
      </c>
      <c r="B112" s="132"/>
      <c r="C112" s="132"/>
      <c r="D112" s="135"/>
      <c r="E112" s="21"/>
      <c r="F112" s="21"/>
      <c r="G112" s="21"/>
      <c r="H112" s="21"/>
      <c r="I112" s="21">
        <f t="shared" si="20"/>
        <v>0</v>
      </c>
      <c r="J112" s="21"/>
      <c r="K112" s="21"/>
      <c r="L112" s="21"/>
      <c r="M112" s="76"/>
      <c r="N112" s="76"/>
      <c r="O112" s="76"/>
      <c r="P112" s="76"/>
      <c r="Q112" s="10">
        <f t="shared" si="14"/>
        <v>0</v>
      </c>
      <c r="R112" s="10">
        <f t="shared" si="15"/>
        <v>0</v>
      </c>
      <c r="S112" s="10">
        <f t="shared" si="16"/>
        <v>0</v>
      </c>
      <c r="T112" s="10">
        <f t="shared" si="17"/>
        <v>0</v>
      </c>
      <c r="U112" s="10">
        <f t="shared" si="18"/>
        <v>0</v>
      </c>
      <c r="V112" s="101"/>
      <c r="W112" s="101"/>
      <c r="X112" s="101"/>
      <c r="Y112" s="101"/>
    </row>
    <row r="113" spans="1:25" ht="27.75" customHeight="1">
      <c r="A113" s="101" t="s">
        <v>154</v>
      </c>
      <c r="B113" s="101" t="s">
        <v>155</v>
      </c>
      <c r="C113" s="101" t="s">
        <v>157</v>
      </c>
      <c r="D113" s="101"/>
      <c r="E113" s="21">
        <v>422.87200000000001</v>
      </c>
      <c r="F113" s="21">
        <f>126.857+79.768+14.718</f>
        <v>221.34299999999999</v>
      </c>
      <c r="G113" s="21">
        <v>50.143999999999998</v>
      </c>
      <c r="H113" s="21">
        <v>374.87900000000002</v>
      </c>
      <c r="I113" s="21">
        <f t="shared" si="20"/>
        <v>1069.2380000000001</v>
      </c>
      <c r="J113" s="21">
        <v>1315.21</v>
      </c>
      <c r="K113" s="21">
        <v>749.66399999999999</v>
      </c>
      <c r="L113" s="21">
        <f t="shared" ref="L113:L124" si="23">J113-K113</f>
        <v>565.54600000000005</v>
      </c>
      <c r="M113" s="76">
        <v>3728.66</v>
      </c>
      <c r="N113" s="76">
        <v>3877.8063999999999</v>
      </c>
      <c r="O113" s="76">
        <v>1774.56</v>
      </c>
      <c r="P113" s="76">
        <v>1845.5388639999999</v>
      </c>
      <c r="Q113" s="10">
        <f t="shared" si="14"/>
        <v>826334.17519999994</v>
      </c>
      <c r="R113" s="10">
        <f t="shared" si="15"/>
        <v>432526.35629999998</v>
      </c>
      <c r="S113" s="10">
        <f t="shared" si="16"/>
        <v>101906.023325184</v>
      </c>
      <c r="T113" s="10">
        <f t="shared" si="17"/>
        <v>761854.4216281441</v>
      </c>
      <c r="U113" s="10">
        <f t="shared" si="18"/>
        <v>2122620.976453328</v>
      </c>
      <c r="V113" s="101"/>
      <c r="W113" s="101"/>
      <c r="X113" s="101"/>
      <c r="Y113" s="101"/>
    </row>
    <row r="114" spans="1:25" ht="27.75" customHeight="1">
      <c r="A114" s="101" t="s">
        <v>154</v>
      </c>
      <c r="B114" s="101" t="s">
        <v>155</v>
      </c>
      <c r="C114" s="101" t="s">
        <v>158</v>
      </c>
      <c r="D114" s="101"/>
      <c r="E114" s="21">
        <v>630.44899999999996</v>
      </c>
      <c r="F114" s="21">
        <f>207.152+141.334</f>
        <v>348.48599999999999</v>
      </c>
      <c r="G114" s="21">
        <v>147.4</v>
      </c>
      <c r="H114" s="21">
        <v>619.48199999999997</v>
      </c>
      <c r="I114" s="21">
        <f t="shared" si="20"/>
        <v>1745.817</v>
      </c>
      <c r="J114" s="21">
        <v>1875.17</v>
      </c>
      <c r="K114" s="21">
        <f>J114*0.57</f>
        <v>1068.8469</v>
      </c>
      <c r="L114" s="21">
        <f t="shared" si="23"/>
        <v>806.32310000000007</v>
      </c>
      <c r="M114" s="76">
        <v>3728.66</v>
      </c>
      <c r="N114" s="76">
        <v>3877.8063999999999</v>
      </c>
      <c r="O114" s="76">
        <v>1774.56</v>
      </c>
      <c r="P114" s="76">
        <v>1845.5388639999999</v>
      </c>
      <c r="Q114" s="10">
        <f t="shared" si="14"/>
        <v>1231960.3908999998</v>
      </c>
      <c r="R114" s="10">
        <f t="shared" si="15"/>
        <v>680976.4926</v>
      </c>
      <c r="S114" s="10">
        <f t="shared" si="16"/>
        <v>299556.23480640003</v>
      </c>
      <c r="T114" s="10">
        <f t="shared" si="17"/>
        <v>1258953.1577363519</v>
      </c>
      <c r="U114" s="10">
        <f t="shared" si="18"/>
        <v>3471446.276042752</v>
      </c>
      <c r="V114" s="101"/>
      <c r="W114" s="101"/>
      <c r="X114" s="101"/>
      <c r="Y114" s="101"/>
    </row>
    <row r="115" spans="1:25" ht="27.75" customHeight="1">
      <c r="A115" s="101" t="s">
        <v>154</v>
      </c>
      <c r="B115" s="101" t="s">
        <v>155</v>
      </c>
      <c r="C115" s="101" t="s">
        <v>159</v>
      </c>
      <c r="D115" s="101"/>
      <c r="E115" s="21">
        <v>44.151000000000003</v>
      </c>
      <c r="F115" s="21">
        <f>14.717+7.121</f>
        <v>21.838000000000001</v>
      </c>
      <c r="G115" s="21">
        <v>5.23</v>
      </c>
      <c r="H115" s="21">
        <v>44.807000000000002</v>
      </c>
      <c r="I115" s="21">
        <f t="shared" si="20"/>
        <v>116.02600000000001</v>
      </c>
      <c r="J115" s="21">
        <v>165.5</v>
      </c>
      <c r="K115" s="21">
        <f>J115*0.57</f>
        <v>94.334999999999994</v>
      </c>
      <c r="L115" s="21">
        <f t="shared" si="23"/>
        <v>71.165000000000006</v>
      </c>
      <c r="M115" s="76">
        <v>3728.66</v>
      </c>
      <c r="N115" s="76">
        <v>3877.8063999999999</v>
      </c>
      <c r="O115" s="76">
        <v>1774.56</v>
      </c>
      <c r="P115" s="76">
        <v>1845.5388639999999</v>
      </c>
      <c r="Q115" s="10">
        <f t="shared" si="14"/>
        <v>86275.469100000002</v>
      </c>
      <c r="R115" s="10">
        <f t="shared" si="15"/>
        <v>42673.635799999996</v>
      </c>
      <c r="S115" s="10">
        <f t="shared" si="16"/>
        <v>10628.759213280002</v>
      </c>
      <c r="T115" s="10">
        <f t="shared" si="17"/>
        <v>91059.811485552011</v>
      </c>
      <c r="U115" s="10">
        <f t="shared" si="18"/>
        <v>230637.67559883202</v>
      </c>
      <c r="V115" s="101"/>
      <c r="W115" s="101"/>
      <c r="X115" s="101"/>
      <c r="Y115" s="101"/>
    </row>
    <row r="116" spans="1:25" ht="27.75" customHeight="1">
      <c r="A116" s="101" t="s">
        <v>154</v>
      </c>
      <c r="B116" s="101" t="s">
        <v>155</v>
      </c>
      <c r="C116" s="101" t="s">
        <v>392</v>
      </c>
      <c r="D116" s="101"/>
      <c r="E116" s="21">
        <v>134.39759999999998</v>
      </c>
      <c r="F116" s="21">
        <v>89.598399999999998</v>
      </c>
      <c r="G116" s="21">
        <v>32.440800000000003</v>
      </c>
      <c r="H116" s="21">
        <v>129.76320000000001</v>
      </c>
      <c r="I116" s="21">
        <f t="shared" si="20"/>
        <v>386.20000000000005</v>
      </c>
      <c r="J116" s="21">
        <v>386.2</v>
      </c>
      <c r="K116" s="21">
        <f>J116*0.58</f>
        <v>223.99599999999998</v>
      </c>
      <c r="L116" s="21">
        <f t="shared" si="23"/>
        <v>162.20400000000001</v>
      </c>
      <c r="M116" s="76">
        <v>5967.73</v>
      </c>
      <c r="N116" s="76">
        <v>6206.4391999999998</v>
      </c>
      <c r="O116" s="76">
        <v>1774.56</v>
      </c>
      <c r="P116" s="76">
        <v>1845.5388639999999</v>
      </c>
      <c r="Q116" s="10">
        <f t="shared" si="14"/>
        <v>563551.9843919999</v>
      </c>
      <c r="R116" s="10">
        <f t="shared" si="15"/>
        <v>375701.32292800001</v>
      </c>
      <c r="S116" s="10">
        <f t="shared" si="16"/>
        <v>141471.0956201088</v>
      </c>
      <c r="T116" s="10">
        <f t="shared" si="17"/>
        <v>565884.38248043519</v>
      </c>
      <c r="U116" s="10">
        <f t="shared" si="18"/>
        <v>1646608.785420544</v>
      </c>
      <c r="V116" s="101"/>
      <c r="W116" s="101"/>
      <c r="X116" s="101"/>
      <c r="Y116" s="101"/>
    </row>
    <row r="117" spans="1:25" ht="27.75" customHeight="1">
      <c r="A117" s="101" t="s">
        <v>154</v>
      </c>
      <c r="B117" s="101" t="s">
        <v>155</v>
      </c>
      <c r="C117" s="101" t="s">
        <v>457</v>
      </c>
      <c r="D117" s="101"/>
      <c r="E117" s="21">
        <v>8.2475999999999985</v>
      </c>
      <c r="F117" s="21">
        <v>5.4984000000000002</v>
      </c>
      <c r="G117" s="21">
        <v>1.9908000000000001</v>
      </c>
      <c r="H117" s="21">
        <v>7.9632000000000005</v>
      </c>
      <c r="I117" s="21">
        <f t="shared" si="20"/>
        <v>23.7</v>
      </c>
      <c r="J117" s="21">
        <v>23.7</v>
      </c>
      <c r="K117" s="21">
        <f>J117*0.58</f>
        <v>13.745999999999999</v>
      </c>
      <c r="L117" s="21">
        <f t="shared" si="23"/>
        <v>9.9540000000000006</v>
      </c>
      <c r="M117" s="76">
        <v>5967.73</v>
      </c>
      <c r="N117" s="76">
        <v>6206.4391999999998</v>
      </c>
      <c r="O117" s="76">
        <v>1774.56</v>
      </c>
      <c r="P117" s="76">
        <v>1845.5388639999999</v>
      </c>
      <c r="Q117" s="10">
        <f t="shared" si="14"/>
        <v>34583.588891999992</v>
      </c>
      <c r="R117" s="10">
        <f t="shared" si="15"/>
        <v>23055.725928</v>
      </c>
      <c r="S117" s="10">
        <f t="shared" si="16"/>
        <v>8681.6803889088005</v>
      </c>
      <c r="T117" s="10">
        <f t="shared" si="17"/>
        <v>34726.721555635202</v>
      </c>
      <c r="U117" s="10">
        <f t="shared" si="18"/>
        <v>101047.71676454399</v>
      </c>
      <c r="V117" s="101"/>
      <c r="W117" s="101"/>
      <c r="X117" s="101"/>
      <c r="Y117" s="101"/>
    </row>
    <row r="118" spans="1:25" ht="27.75" customHeight="1">
      <c r="A118" s="101" t="s">
        <v>154</v>
      </c>
      <c r="B118" s="101" t="s">
        <v>155</v>
      </c>
      <c r="C118" s="101" t="s">
        <v>160</v>
      </c>
      <c r="D118" s="101"/>
      <c r="E118" s="21">
        <v>2651.7310000000002</v>
      </c>
      <c r="F118" s="21">
        <f>850.02+752.448</f>
        <v>1602.4679999999998</v>
      </c>
      <c r="G118" s="21">
        <v>572.58000000000004</v>
      </c>
      <c r="H118" s="21">
        <v>2453.8609999999999</v>
      </c>
      <c r="I118" s="21">
        <f t="shared" si="20"/>
        <v>7280.64</v>
      </c>
      <c r="J118" s="21">
        <v>7858.5</v>
      </c>
      <c r="K118" s="21">
        <v>4416.4770000000008</v>
      </c>
      <c r="L118" s="21">
        <f t="shared" si="23"/>
        <v>3442.0229999999992</v>
      </c>
      <c r="M118" s="76">
        <v>3620.58</v>
      </c>
      <c r="N118" s="76">
        <v>3765.4032000000002</v>
      </c>
      <c r="O118" s="76">
        <v>1774.56</v>
      </c>
      <c r="P118" s="76">
        <v>1845.5388639999999</v>
      </c>
      <c r="Q118" s="10">
        <f t="shared" si="14"/>
        <v>4895148.46062</v>
      </c>
      <c r="R118" s="10">
        <f t="shared" si="15"/>
        <v>2958187.9773599999</v>
      </c>
      <c r="S118" s="10">
        <f t="shared" si="16"/>
        <v>1099275.9215068803</v>
      </c>
      <c r="T118" s="10">
        <f t="shared" si="17"/>
        <v>4711080.2194012962</v>
      </c>
      <c r="U118" s="10">
        <f t="shared" si="18"/>
        <v>13663692.578888176</v>
      </c>
      <c r="V118" s="101"/>
      <c r="W118" s="101"/>
      <c r="X118" s="101"/>
      <c r="Y118" s="101"/>
    </row>
    <row r="119" spans="1:25" ht="27.75" customHeight="1">
      <c r="A119" s="101" t="s">
        <v>161</v>
      </c>
      <c r="B119" s="101" t="s">
        <v>162</v>
      </c>
      <c r="C119" s="101" t="s">
        <v>163</v>
      </c>
      <c r="D119" s="101"/>
      <c r="E119" s="21">
        <v>13047.43</v>
      </c>
      <c r="F119" s="21">
        <f>3862.167+3516.444+1105.565</f>
        <v>8484.1759999999995</v>
      </c>
      <c r="G119" s="21">
        <v>3157.71</v>
      </c>
      <c r="H119" s="21">
        <v>11341.85</v>
      </c>
      <c r="I119" s="21">
        <f t="shared" si="20"/>
        <v>36031.165999999997</v>
      </c>
      <c r="J119" s="21">
        <v>32234.652000000002</v>
      </c>
      <c r="K119" s="21">
        <v>18051.405120000003</v>
      </c>
      <c r="L119" s="21">
        <f t="shared" si="23"/>
        <v>14183.246879999999</v>
      </c>
      <c r="M119" s="76">
        <v>2321.09</v>
      </c>
      <c r="N119" s="76">
        <v>2480.9299999999998</v>
      </c>
      <c r="O119" s="76">
        <v>1774.56</v>
      </c>
      <c r="P119" s="76">
        <v>1845.5388639999999</v>
      </c>
      <c r="Q119" s="10">
        <f t="shared" si="14"/>
        <v>7130811.9179000026</v>
      </c>
      <c r="R119" s="10">
        <f t="shared" si="15"/>
        <v>4636856.709280001</v>
      </c>
      <c r="S119" s="10">
        <f t="shared" si="16"/>
        <v>2006380.9440585598</v>
      </c>
      <c r="T119" s="10">
        <f t="shared" si="17"/>
        <v>7206510.9558416</v>
      </c>
      <c r="U119" s="10">
        <f t="shared" si="18"/>
        <v>20980560.527080163</v>
      </c>
      <c r="V119" s="101"/>
      <c r="W119" s="101"/>
      <c r="X119" s="101"/>
      <c r="Y119" s="101"/>
    </row>
    <row r="120" spans="1:25" ht="27.75" customHeight="1">
      <c r="A120" s="101" t="s">
        <v>161</v>
      </c>
      <c r="B120" s="101" t="s">
        <v>162</v>
      </c>
      <c r="C120" s="101" t="s">
        <v>157</v>
      </c>
      <c r="D120" s="101"/>
      <c r="E120" s="21">
        <v>12635.251</v>
      </c>
      <c r="F120" s="21">
        <f>3239.019+2998.505+1402.348</f>
        <v>7639.8719999999994</v>
      </c>
      <c r="G120" s="21">
        <v>2339.3679999999999</v>
      </c>
      <c r="H120" s="21">
        <v>10103.151</v>
      </c>
      <c r="I120" s="21">
        <f t="shared" si="20"/>
        <v>32717.642</v>
      </c>
      <c r="J120" s="21">
        <v>28987.989999999998</v>
      </c>
      <c r="K120" s="21">
        <v>17102.914099999998</v>
      </c>
      <c r="L120" s="21">
        <f t="shared" si="23"/>
        <v>11885.0759</v>
      </c>
      <c r="M120" s="76">
        <v>2653.76</v>
      </c>
      <c r="N120" s="76">
        <v>2759.9104000000002</v>
      </c>
      <c r="O120" s="76">
        <v>1774.56</v>
      </c>
      <c r="P120" s="76">
        <v>1845.5388639999999</v>
      </c>
      <c r="Q120" s="10">
        <f t="shared" si="14"/>
        <v>11108912.679200003</v>
      </c>
      <c r="R120" s="10">
        <f t="shared" si="15"/>
        <v>6716975.4624000015</v>
      </c>
      <c r="S120" s="10">
        <f t="shared" si="16"/>
        <v>2139051.5114292488</v>
      </c>
      <c r="T120" s="10">
        <f t="shared" si="17"/>
        <v>9238033.6983099394</v>
      </c>
      <c r="U120" s="10">
        <f t="shared" si="18"/>
        <v>29202973.351339195</v>
      </c>
      <c r="V120" s="101"/>
      <c r="W120" s="101"/>
      <c r="X120" s="101"/>
      <c r="Y120" s="101"/>
    </row>
    <row r="121" spans="1:25" ht="27.75" customHeight="1">
      <c r="A121" s="101" t="s">
        <v>161</v>
      </c>
      <c r="B121" s="101" t="s">
        <v>162</v>
      </c>
      <c r="C121" s="101" t="s">
        <v>164</v>
      </c>
      <c r="D121" s="101"/>
      <c r="E121" s="21">
        <v>503.45100000000002</v>
      </c>
      <c r="F121" s="21">
        <f>167.818+167.818</f>
        <v>335.63600000000002</v>
      </c>
      <c r="G121" s="21">
        <v>221.9</v>
      </c>
      <c r="H121" s="21">
        <v>665.7</v>
      </c>
      <c r="I121" s="21">
        <f t="shared" si="20"/>
        <v>1726.6870000000001</v>
      </c>
      <c r="J121" s="21">
        <v>1496.56</v>
      </c>
      <c r="K121" s="21">
        <v>793.18</v>
      </c>
      <c r="L121" s="21">
        <f t="shared" si="23"/>
        <v>703.38</v>
      </c>
      <c r="M121" s="76">
        <v>3518.99</v>
      </c>
      <c r="N121" s="76">
        <v>3518.99</v>
      </c>
      <c r="O121" s="76">
        <v>1774.56</v>
      </c>
      <c r="P121" s="76">
        <v>1845.5388639999999</v>
      </c>
      <c r="Q121" s="10">
        <f t="shared" si="14"/>
        <v>878235.02792999998</v>
      </c>
      <c r="R121" s="10">
        <f t="shared" si="15"/>
        <v>585493.50748000003</v>
      </c>
      <c r="S121" s="10">
        <f t="shared" si="16"/>
        <v>371338.80707839999</v>
      </c>
      <c r="T121" s="10">
        <f t="shared" si="17"/>
        <v>1114016.4212352</v>
      </c>
      <c r="U121" s="10">
        <f t="shared" si="18"/>
        <v>2949083.7637235997</v>
      </c>
      <c r="V121" s="101"/>
      <c r="W121" s="101"/>
      <c r="X121" s="101"/>
      <c r="Y121" s="101"/>
    </row>
    <row r="122" spans="1:25" ht="27.75" customHeight="1">
      <c r="A122" s="101" t="s">
        <v>165</v>
      </c>
      <c r="B122" s="101" t="s">
        <v>166</v>
      </c>
      <c r="C122" s="101" t="s">
        <v>163</v>
      </c>
      <c r="D122" s="101"/>
      <c r="E122" s="21">
        <v>80.738</v>
      </c>
      <c r="F122" s="21">
        <f>26.719+26.409</f>
        <v>53.128</v>
      </c>
      <c r="G122" s="21">
        <v>26.198</v>
      </c>
      <c r="H122" s="21">
        <v>80.150999999999996</v>
      </c>
      <c r="I122" s="21">
        <f t="shared" si="20"/>
        <v>240.21499999999997</v>
      </c>
      <c r="J122" s="21">
        <v>220.71000000000004</v>
      </c>
      <c r="K122" s="21">
        <v>123.59760000000001</v>
      </c>
      <c r="L122" s="21">
        <f t="shared" si="23"/>
        <v>97.112400000000022</v>
      </c>
      <c r="M122" s="76">
        <v>3140.72</v>
      </c>
      <c r="N122" s="76">
        <v>3266.3487999999998</v>
      </c>
      <c r="O122" s="76">
        <v>2093.98</v>
      </c>
      <c r="P122" s="76">
        <v>2177.7360800000006</v>
      </c>
      <c r="Q122" s="10">
        <f t="shared" si="14"/>
        <v>84511.694119999986</v>
      </c>
      <c r="R122" s="10">
        <f t="shared" si="15"/>
        <v>55611.202719999987</v>
      </c>
      <c r="S122" s="10">
        <f t="shared" si="16"/>
        <v>28519.47603855998</v>
      </c>
      <c r="T122" s="10">
        <f t="shared" si="17"/>
        <v>87253.398120719925</v>
      </c>
      <c r="U122" s="10">
        <f t="shared" si="18"/>
        <v>255895.77099927986</v>
      </c>
      <c r="V122" s="101"/>
      <c r="W122" s="101"/>
      <c r="X122" s="101"/>
      <c r="Y122" s="101"/>
    </row>
    <row r="123" spans="1:25" ht="27.75" customHeight="1">
      <c r="A123" s="101" t="s">
        <v>22</v>
      </c>
      <c r="B123" s="101" t="s">
        <v>23</v>
      </c>
      <c r="C123" s="101" t="s">
        <v>167</v>
      </c>
      <c r="D123" s="101"/>
      <c r="E123" s="21">
        <f>10571.706-0.958</f>
        <v>10570.748</v>
      </c>
      <c r="F123" s="21">
        <f>3530.082+2319.763-419.122</f>
        <v>5430.722999999999</v>
      </c>
      <c r="G123" s="21">
        <v>1886.11</v>
      </c>
      <c r="H123" s="21">
        <v>9161.09</v>
      </c>
      <c r="I123" s="21">
        <f>SUM(E123:H123)</f>
        <v>27048.670999999998</v>
      </c>
      <c r="J123" s="21">
        <v>26944.5</v>
      </c>
      <c r="K123" s="21">
        <v>15897.254999999999</v>
      </c>
      <c r="L123" s="21">
        <f t="shared" si="23"/>
        <v>11047.245000000001</v>
      </c>
      <c r="M123" s="76">
        <v>4924.18</v>
      </c>
      <c r="N123" s="76">
        <v>5121.1472000000003</v>
      </c>
      <c r="O123" s="76">
        <v>1774.56</v>
      </c>
      <c r="P123" s="76">
        <v>1845.5388639999999</v>
      </c>
      <c r="Q123" s="10">
        <f t="shared" si="14"/>
        <v>33293839.315760002</v>
      </c>
      <c r="R123" s="10">
        <f t="shared" si="15"/>
        <v>17104713.775259998</v>
      </c>
      <c r="S123" s="10">
        <f t="shared" si="16"/>
        <v>6178157.6386129605</v>
      </c>
      <c r="T123" s="10">
        <f t="shared" si="17"/>
        <v>30008142.770846244</v>
      </c>
      <c r="U123" s="10">
        <f t="shared" si="18"/>
        <v>86584853.500479206</v>
      </c>
      <c r="V123" s="101"/>
      <c r="W123" s="101"/>
      <c r="X123" s="101"/>
      <c r="Y123" s="101"/>
    </row>
    <row r="124" spans="1:25" ht="27.75" customHeight="1">
      <c r="A124" s="101" t="s">
        <v>168</v>
      </c>
      <c r="B124" s="121" t="s">
        <v>169</v>
      </c>
      <c r="C124" s="101" t="s">
        <v>163</v>
      </c>
      <c r="D124" s="101"/>
      <c r="E124" s="21">
        <v>203.26400000000001</v>
      </c>
      <c r="F124" s="21">
        <f>69.152+64.51</f>
        <v>133.66200000000001</v>
      </c>
      <c r="G124" s="21">
        <v>33.290999999999997</v>
      </c>
      <c r="H124" s="21">
        <v>201.07</v>
      </c>
      <c r="I124" s="21">
        <f t="shared" si="20"/>
        <v>571.28700000000003</v>
      </c>
      <c r="J124" s="21">
        <v>292.47000000000003</v>
      </c>
      <c r="K124" s="21">
        <v>164.36814000000004</v>
      </c>
      <c r="L124" s="21">
        <f t="shared" si="23"/>
        <v>128.10185999999999</v>
      </c>
      <c r="M124" s="76">
        <v>4642.99</v>
      </c>
      <c r="N124" s="76">
        <v>4828.7096000000001</v>
      </c>
      <c r="O124" s="76">
        <v>2093.98</v>
      </c>
      <c r="P124" s="76">
        <v>2177.7360800000006</v>
      </c>
      <c r="Q124" s="10">
        <f t="shared" si="14"/>
        <v>518121.96863999998</v>
      </c>
      <c r="R124" s="10">
        <f t="shared" si="15"/>
        <v>340705.77461999998</v>
      </c>
      <c r="S124" s="10">
        <f t="shared" si="16"/>
        <v>88253.55945431997</v>
      </c>
      <c r="T124" s="10">
        <f t="shared" si="17"/>
        <v>533031.24566639995</v>
      </c>
      <c r="U124" s="10">
        <f t="shared" si="18"/>
        <v>1480112.54838072</v>
      </c>
      <c r="V124" s="101"/>
      <c r="W124" s="101"/>
      <c r="X124" s="101"/>
      <c r="Y124" s="101"/>
    </row>
    <row r="125" spans="1:25" ht="27.75" customHeight="1">
      <c r="A125" s="101" t="s">
        <v>439</v>
      </c>
      <c r="B125" s="121" t="s">
        <v>440</v>
      </c>
      <c r="C125" s="101" t="s">
        <v>163</v>
      </c>
      <c r="D125" s="101"/>
      <c r="E125" s="21">
        <v>36.623399999999997</v>
      </c>
      <c r="F125" s="21">
        <v>24.415600000000005</v>
      </c>
      <c r="G125" s="21">
        <v>9.9882000000000009</v>
      </c>
      <c r="H125" s="21">
        <v>39.952800000000003</v>
      </c>
      <c r="I125" s="21">
        <f t="shared" si="20"/>
        <v>110.98000000000002</v>
      </c>
      <c r="J125" s="21">
        <f>SUM(K125:L125)</f>
        <v>110.98</v>
      </c>
      <c r="K125" s="21">
        <v>61.039000000000001</v>
      </c>
      <c r="L125" s="21">
        <v>49.941000000000003</v>
      </c>
      <c r="M125" s="76">
        <v>2455.5100000000002</v>
      </c>
      <c r="N125" s="76">
        <v>2553.73</v>
      </c>
      <c r="O125" s="76">
        <v>2094.0100000000002</v>
      </c>
      <c r="P125" s="76">
        <v>2177.77</v>
      </c>
      <c r="Q125" s="10">
        <f t="shared" si="14"/>
        <v>13239.3591</v>
      </c>
      <c r="R125" s="10">
        <f t="shared" si="15"/>
        <v>8826.2394000000022</v>
      </c>
      <c r="S125" s="10">
        <f t="shared" si="16"/>
        <v>3755.1636720000006</v>
      </c>
      <c r="T125" s="10">
        <f t="shared" si="17"/>
        <v>15020.654688000002</v>
      </c>
      <c r="U125" s="10">
        <f t="shared" si="18"/>
        <v>40841.416860000005</v>
      </c>
      <c r="V125" s="101"/>
      <c r="W125" s="101"/>
      <c r="X125" s="101"/>
      <c r="Y125" s="101"/>
    </row>
    <row r="126" spans="1:25" ht="27.75" customHeight="1">
      <c r="A126" s="101" t="s">
        <v>441</v>
      </c>
      <c r="B126" s="121" t="s">
        <v>442</v>
      </c>
      <c r="C126" s="101" t="s">
        <v>167</v>
      </c>
      <c r="D126" s="101"/>
      <c r="E126" s="21">
        <v>45.24</v>
      </c>
      <c r="F126" s="21">
        <v>30.160000000000004</v>
      </c>
      <c r="G126" s="21">
        <v>10.920000000000002</v>
      </c>
      <c r="H126" s="21">
        <v>43.68</v>
      </c>
      <c r="I126" s="21">
        <f t="shared" si="20"/>
        <v>130</v>
      </c>
      <c r="J126" s="21">
        <f>SUM(K126:L126)</f>
        <v>130</v>
      </c>
      <c r="K126" s="21">
        <v>75.400000000000006</v>
      </c>
      <c r="L126" s="21">
        <v>54.6</v>
      </c>
      <c r="M126" s="76">
        <v>1724.18</v>
      </c>
      <c r="N126" s="76">
        <v>1740.41</v>
      </c>
      <c r="O126" s="76">
        <v>1673.47</v>
      </c>
      <c r="P126" s="76">
        <v>1740.41</v>
      </c>
      <c r="Q126" s="10">
        <f t="shared" si="14"/>
        <v>2294.1204000000016</v>
      </c>
      <c r="R126" s="10">
        <f t="shared" si="15"/>
        <v>1529.4136000000012</v>
      </c>
      <c r="S126" s="10">
        <f t="shared" si="16"/>
        <v>0</v>
      </c>
      <c r="T126" s="10">
        <f t="shared" si="17"/>
        <v>0</v>
      </c>
      <c r="U126" s="10">
        <f t="shared" si="18"/>
        <v>3823.5340000000028</v>
      </c>
      <c r="V126" s="101"/>
      <c r="W126" s="101"/>
      <c r="X126" s="101"/>
      <c r="Y126" s="101"/>
    </row>
    <row r="127" spans="1:25" ht="27.75" customHeight="1">
      <c r="A127" s="101" t="s">
        <v>443</v>
      </c>
      <c r="B127" s="121" t="s">
        <v>444</v>
      </c>
      <c r="C127" s="121" t="s">
        <v>445</v>
      </c>
      <c r="D127" s="101"/>
      <c r="E127" s="21">
        <v>233.3064</v>
      </c>
      <c r="F127" s="21">
        <v>155.5376</v>
      </c>
      <c r="G127" s="21">
        <v>52.279200000000003</v>
      </c>
      <c r="H127" s="21">
        <v>209.11680000000001</v>
      </c>
      <c r="I127" s="21">
        <f t="shared" si="20"/>
        <v>650.24</v>
      </c>
      <c r="J127" s="21">
        <f>SUM(K127:L127)</f>
        <v>650.24</v>
      </c>
      <c r="K127" s="21">
        <v>388.84399999999999</v>
      </c>
      <c r="L127" s="21">
        <v>261.39600000000002</v>
      </c>
      <c r="M127" s="76">
        <v>2900.95</v>
      </c>
      <c r="N127" s="76">
        <v>3016.99</v>
      </c>
      <c r="O127" s="76">
        <v>2094.0100000000002</v>
      </c>
      <c r="P127" s="76">
        <v>2177.77</v>
      </c>
      <c r="Q127" s="10">
        <f t="shared" si="14"/>
        <v>188264.26641599991</v>
      </c>
      <c r="R127" s="10">
        <f t="shared" si="15"/>
        <v>125509.51094399994</v>
      </c>
      <c r="S127" s="10">
        <f t="shared" si="16"/>
        <v>43873.750223999989</v>
      </c>
      <c r="T127" s="10">
        <f t="shared" si="17"/>
        <v>175495.00089599995</v>
      </c>
      <c r="U127" s="10">
        <f t="shared" si="18"/>
        <v>533142.52847999975</v>
      </c>
      <c r="V127" s="101"/>
      <c r="W127" s="101"/>
      <c r="X127" s="101"/>
      <c r="Y127" s="101"/>
    </row>
    <row r="128" spans="1:25" ht="27.75" customHeight="1">
      <c r="A128" s="101" t="s">
        <v>426</v>
      </c>
      <c r="B128" s="121" t="s">
        <v>427</v>
      </c>
      <c r="C128" s="101" t="s">
        <v>164</v>
      </c>
      <c r="D128" s="101"/>
      <c r="E128" s="21">
        <v>155.13959999999997</v>
      </c>
      <c r="F128" s="21">
        <v>103.4264</v>
      </c>
      <c r="G128" s="21">
        <v>45.858800000000002</v>
      </c>
      <c r="H128" s="21">
        <v>183.43520000000001</v>
      </c>
      <c r="I128" s="21">
        <f t="shared" si="20"/>
        <v>487.86</v>
      </c>
      <c r="J128" s="21">
        <f>SUM(K128:L128)</f>
        <v>487.86</v>
      </c>
      <c r="K128" s="21">
        <v>258.56599999999997</v>
      </c>
      <c r="L128" s="21">
        <v>229.29400000000001</v>
      </c>
      <c r="M128" s="76">
        <v>2810.54</v>
      </c>
      <c r="N128" s="103">
        <v>2922.9616000000001</v>
      </c>
      <c r="O128" s="76">
        <v>2093.98</v>
      </c>
      <c r="P128" s="76">
        <v>2177.7399999999998</v>
      </c>
      <c r="Q128" s="10">
        <f t="shared" si="14"/>
        <v>111166.83177599998</v>
      </c>
      <c r="R128" s="10">
        <f t="shared" si="15"/>
        <v>74111.221183999995</v>
      </c>
      <c r="S128" s="10">
        <f t="shared" si="16"/>
        <v>34174.968310080018</v>
      </c>
      <c r="T128" s="10">
        <f t="shared" si="17"/>
        <v>136699.87324032007</v>
      </c>
      <c r="U128" s="10">
        <f t="shared" si="18"/>
        <v>356152.89451040007</v>
      </c>
      <c r="V128" s="101"/>
      <c r="W128" s="101"/>
      <c r="X128" s="101"/>
      <c r="Y128" s="101"/>
    </row>
    <row r="129" spans="1:25" ht="21.75" customHeight="1">
      <c r="A129" s="101" t="s">
        <v>292</v>
      </c>
      <c r="B129" s="101" t="s">
        <v>293</v>
      </c>
      <c r="C129" s="101" t="s">
        <v>160</v>
      </c>
      <c r="D129" s="101"/>
      <c r="E129" s="21">
        <v>1200.5719999999999</v>
      </c>
      <c r="F129" s="21">
        <f>387.167-11.549+361.237-5.125+39.424-1.243</f>
        <v>769.91099999999994</v>
      </c>
      <c r="G129" s="21">
        <v>449.762</v>
      </c>
      <c r="H129" s="21">
        <v>1100.971</v>
      </c>
      <c r="I129" s="21">
        <f t="shared" si="20"/>
        <v>3521.2159999999999</v>
      </c>
      <c r="J129" s="21">
        <f>SUM(K129:L129)</f>
        <v>3082</v>
      </c>
      <c r="K129" s="21">
        <v>1725.92</v>
      </c>
      <c r="L129" s="21">
        <v>1356.08</v>
      </c>
      <c r="M129" s="76">
        <v>2704.59</v>
      </c>
      <c r="N129" s="76">
        <v>2812.77</v>
      </c>
      <c r="O129" s="76">
        <v>1741.08</v>
      </c>
      <c r="P129" s="76">
        <v>1810.72</v>
      </c>
      <c r="Q129" s="10">
        <f t="shared" si="14"/>
        <v>1156763.1277200002</v>
      </c>
      <c r="R129" s="10">
        <f t="shared" si="15"/>
        <v>741816.94761000015</v>
      </c>
      <c r="S129" s="10">
        <f t="shared" si="16"/>
        <v>450684.01209999999</v>
      </c>
      <c r="T129" s="10">
        <f t="shared" si="17"/>
        <v>1103227.99055</v>
      </c>
      <c r="U129" s="10">
        <f t="shared" si="18"/>
        <v>3452492.0779800005</v>
      </c>
      <c r="V129" s="101"/>
      <c r="W129" s="101"/>
      <c r="X129" s="101"/>
      <c r="Y129" s="101"/>
    </row>
    <row r="130" spans="1:25" ht="24" customHeight="1">
      <c r="A130" s="131" t="s">
        <v>172</v>
      </c>
      <c r="B130" s="132"/>
      <c r="C130" s="132"/>
      <c r="D130" s="135"/>
      <c r="E130" s="21"/>
      <c r="F130" s="21"/>
      <c r="G130" s="21"/>
      <c r="H130" s="21"/>
      <c r="I130" s="21"/>
      <c r="J130" s="21"/>
      <c r="K130" s="21"/>
      <c r="L130" s="21"/>
      <c r="M130" s="76"/>
      <c r="N130" s="76"/>
      <c r="O130" s="76"/>
      <c r="P130" s="76"/>
      <c r="Q130" s="10">
        <f t="shared" si="14"/>
        <v>0</v>
      </c>
      <c r="R130" s="10">
        <f t="shared" si="15"/>
        <v>0</v>
      </c>
      <c r="S130" s="10">
        <f t="shared" si="16"/>
        <v>0</v>
      </c>
      <c r="T130" s="10">
        <f t="shared" si="17"/>
        <v>0</v>
      </c>
      <c r="U130" s="10">
        <f t="shared" si="18"/>
        <v>0</v>
      </c>
      <c r="V130" s="101"/>
      <c r="W130" s="101"/>
      <c r="X130" s="101"/>
      <c r="Y130" s="101"/>
    </row>
    <row r="131" spans="1:25" ht="24" customHeight="1">
      <c r="A131" s="101" t="s">
        <v>170</v>
      </c>
      <c r="B131" s="101" t="s">
        <v>171</v>
      </c>
      <c r="C131" s="101" t="s">
        <v>173</v>
      </c>
      <c r="D131" s="101"/>
      <c r="E131" s="21">
        <v>1528.4880000000001</v>
      </c>
      <c r="F131" s="21">
        <f>442.814+435.723+64.907</f>
        <v>943.44400000000007</v>
      </c>
      <c r="G131" s="21">
        <v>268.69</v>
      </c>
      <c r="H131" s="21">
        <v>1418.328</v>
      </c>
      <c r="I131" s="21">
        <f t="shared" si="20"/>
        <v>4158.9500000000007</v>
      </c>
      <c r="J131" s="21">
        <f t="shared" ref="J131:J150" si="24">SUM(K131:L131)</f>
        <v>3653.2</v>
      </c>
      <c r="K131" s="21">
        <v>2191.92</v>
      </c>
      <c r="L131" s="21">
        <v>1461.28</v>
      </c>
      <c r="M131" s="76">
        <v>4534.3500000000004</v>
      </c>
      <c r="N131" s="76">
        <v>4715.72</v>
      </c>
      <c r="O131" s="76">
        <v>1980.5</v>
      </c>
      <c r="P131" s="76">
        <f>O131*1.04</f>
        <v>2059.7200000000003</v>
      </c>
      <c r="Q131" s="10">
        <f t="shared" si="14"/>
        <v>3903529.0788000007</v>
      </c>
      <c r="R131" s="10">
        <f t="shared" si="15"/>
        <v>2409414.4594000005</v>
      </c>
      <c r="S131" s="10">
        <f t="shared" si="16"/>
        <v>713640.64</v>
      </c>
      <c r="T131" s="10">
        <f t="shared" si="17"/>
        <v>3767079.1680000001</v>
      </c>
      <c r="U131" s="10">
        <f t="shared" si="18"/>
        <v>10793663.3462</v>
      </c>
      <c r="V131" s="101"/>
      <c r="W131" s="101"/>
      <c r="X131" s="101"/>
      <c r="Y131" s="101"/>
    </row>
    <row r="132" spans="1:25" ht="24" customHeight="1">
      <c r="A132" s="101" t="s">
        <v>174</v>
      </c>
      <c r="B132" s="101" t="s">
        <v>175</v>
      </c>
      <c r="C132" s="101" t="s">
        <v>176</v>
      </c>
      <c r="D132" s="101"/>
      <c r="E132" s="21">
        <v>6896.8590000000004</v>
      </c>
      <c r="F132" s="21">
        <f>2026.567+1724.714+937.659</f>
        <v>4688.9399999999996</v>
      </c>
      <c r="G132" s="21">
        <v>1198.393</v>
      </c>
      <c r="H132" s="21">
        <v>6198.3180000000002</v>
      </c>
      <c r="I132" s="21">
        <f t="shared" si="20"/>
        <v>18982.509999999998</v>
      </c>
      <c r="J132" s="21">
        <f t="shared" si="24"/>
        <v>17969.8</v>
      </c>
      <c r="K132" s="21">
        <v>10781.88</v>
      </c>
      <c r="L132" s="21">
        <v>7187.92</v>
      </c>
      <c r="M132" s="76">
        <v>2368.84</v>
      </c>
      <c r="N132" s="76">
        <v>2463.59</v>
      </c>
      <c r="O132" s="76">
        <v>1646.73</v>
      </c>
      <c r="P132" s="76">
        <f>O132*1.04</f>
        <v>1712.5992000000001</v>
      </c>
      <c r="Q132" s="10">
        <f t="shared" si="14"/>
        <v>4980290.8524900014</v>
      </c>
      <c r="R132" s="10">
        <f t="shared" si="15"/>
        <v>3385930.4634000002</v>
      </c>
      <c r="S132" s="10">
        <f t="shared" si="16"/>
        <v>899982.11778440012</v>
      </c>
      <c r="T132" s="10">
        <f t="shared" si="17"/>
        <v>4654879.7934744004</v>
      </c>
      <c r="U132" s="10">
        <f t="shared" si="18"/>
        <v>13921083.227148801</v>
      </c>
      <c r="V132" s="101"/>
      <c r="W132" s="101"/>
      <c r="X132" s="101"/>
      <c r="Y132" s="101"/>
    </row>
    <row r="133" spans="1:25" ht="24" customHeight="1">
      <c r="A133" s="101" t="s">
        <v>174</v>
      </c>
      <c r="B133" s="101" t="s">
        <v>175</v>
      </c>
      <c r="C133" s="101" t="s">
        <v>177</v>
      </c>
      <c r="D133" s="101"/>
      <c r="E133" s="21">
        <v>3954.1550000000002</v>
      </c>
      <c r="F133" s="21">
        <f>1100.934+931.684+492.764</f>
        <v>2525.3820000000001</v>
      </c>
      <c r="G133" s="21">
        <v>705.19</v>
      </c>
      <c r="H133" s="21">
        <v>3377.828</v>
      </c>
      <c r="I133" s="21">
        <f t="shared" si="20"/>
        <v>10562.555</v>
      </c>
      <c r="J133" s="21">
        <f t="shared" si="24"/>
        <v>9852.4</v>
      </c>
      <c r="K133" s="21">
        <v>5940.9970000000003</v>
      </c>
      <c r="L133" s="21">
        <v>3911.4029999999998</v>
      </c>
      <c r="M133" s="76">
        <v>2870.06</v>
      </c>
      <c r="N133" s="76">
        <v>2984.86</v>
      </c>
      <c r="O133" s="76">
        <v>1646.73</v>
      </c>
      <c r="P133" s="76">
        <f t="shared" ref="P133:P152" si="25">O133*1.04</f>
        <v>1712.5992000000001</v>
      </c>
      <c r="Q133" s="10">
        <f t="shared" si="14"/>
        <v>4837236.4361499995</v>
      </c>
      <c r="R133" s="10">
        <f t="shared" si="15"/>
        <v>3089375.5620599999</v>
      </c>
      <c r="S133" s="10">
        <f t="shared" si="16"/>
        <v>897185.59355200012</v>
      </c>
      <c r="T133" s="10">
        <f t="shared" si="17"/>
        <v>4297478.1535424003</v>
      </c>
      <c r="U133" s="10">
        <f t="shared" si="18"/>
        <v>13121275.745304402</v>
      </c>
      <c r="V133" s="101"/>
      <c r="W133" s="101"/>
      <c r="X133" s="101"/>
      <c r="Y133" s="101"/>
    </row>
    <row r="134" spans="1:25" ht="24" customHeight="1">
      <c r="A134" s="101" t="s">
        <v>178</v>
      </c>
      <c r="B134" s="101" t="s">
        <v>179</v>
      </c>
      <c r="C134" s="101" t="s">
        <v>180</v>
      </c>
      <c r="D134" s="101"/>
      <c r="E134" s="21">
        <v>1814.2619999999999</v>
      </c>
      <c r="F134" s="21">
        <f>523.588+627.012+111.116</f>
        <v>1261.7159999999999</v>
      </c>
      <c r="G134" s="21">
        <v>286.56299999999999</v>
      </c>
      <c r="H134" s="21">
        <v>1721.5029999999999</v>
      </c>
      <c r="I134" s="21">
        <f t="shared" si="20"/>
        <v>5084.0439999999999</v>
      </c>
      <c r="J134" s="21">
        <f t="shared" si="24"/>
        <v>5350.7000000000007</v>
      </c>
      <c r="K134" s="21">
        <v>3210.42</v>
      </c>
      <c r="L134" s="21">
        <v>2140.2800000000002</v>
      </c>
      <c r="M134" s="76">
        <v>3733.19</v>
      </c>
      <c r="N134" s="76">
        <v>3882.52</v>
      </c>
      <c r="O134" s="76">
        <v>1980.5</v>
      </c>
      <c r="P134" s="76">
        <f t="shared" si="25"/>
        <v>2059.7200000000003</v>
      </c>
      <c r="Q134" s="10">
        <f t="shared" si="14"/>
        <v>3179838.8647799999</v>
      </c>
      <c r="R134" s="10">
        <f t="shared" si="15"/>
        <v>2211397.0160399997</v>
      </c>
      <c r="S134" s="10">
        <f t="shared" si="16"/>
        <v>522347.03639999992</v>
      </c>
      <c r="T134" s="10">
        <f t="shared" si="17"/>
        <v>3137955.6683999994</v>
      </c>
      <c r="U134" s="10">
        <f t="shared" si="18"/>
        <v>9051538.5856199991</v>
      </c>
      <c r="V134" s="101"/>
      <c r="W134" s="101"/>
      <c r="X134" s="101"/>
      <c r="Y134" s="101"/>
    </row>
    <row r="135" spans="1:25" ht="24" customHeight="1">
      <c r="A135" s="101" t="s">
        <v>181</v>
      </c>
      <c r="B135" s="101" t="s">
        <v>182</v>
      </c>
      <c r="C135" s="101" t="s">
        <v>183</v>
      </c>
      <c r="D135" s="101"/>
      <c r="E135" s="21">
        <v>724.77499999999998</v>
      </c>
      <c r="F135" s="21">
        <f>232.091+212.879+12.228</f>
        <v>457.19800000000004</v>
      </c>
      <c r="G135" s="21">
        <v>151.084</v>
      </c>
      <c r="H135" s="21">
        <v>659.10400000000004</v>
      </c>
      <c r="I135" s="21">
        <f t="shared" si="20"/>
        <v>1992.1610000000001</v>
      </c>
      <c r="J135" s="21">
        <f t="shared" si="24"/>
        <v>2472</v>
      </c>
      <c r="K135" s="21">
        <v>1433.76</v>
      </c>
      <c r="L135" s="21">
        <v>1038.24</v>
      </c>
      <c r="M135" s="76">
        <v>4578.72</v>
      </c>
      <c r="N135" s="76">
        <v>4761.87</v>
      </c>
      <c r="O135" s="76">
        <v>1980.5</v>
      </c>
      <c r="P135" s="76">
        <f t="shared" si="25"/>
        <v>2059.7200000000003</v>
      </c>
      <c r="Q135" s="10">
        <f t="shared" si="14"/>
        <v>1883124.9005000002</v>
      </c>
      <c r="R135" s="10">
        <f t="shared" si="15"/>
        <v>1187900.9875600003</v>
      </c>
      <c r="S135" s="10">
        <f t="shared" si="16"/>
        <v>408251.63059999997</v>
      </c>
      <c r="T135" s="10">
        <f t="shared" si="17"/>
        <v>1780997.8735999998</v>
      </c>
      <c r="U135" s="10">
        <f t="shared" si="18"/>
        <v>5260275.3922600001</v>
      </c>
      <c r="V135" s="101"/>
      <c r="W135" s="101"/>
      <c r="X135" s="101"/>
      <c r="Y135" s="101"/>
    </row>
    <row r="136" spans="1:25" ht="24" customHeight="1">
      <c r="A136" s="101" t="s">
        <v>184</v>
      </c>
      <c r="B136" s="101" t="s">
        <v>185</v>
      </c>
      <c r="C136" s="101" t="s">
        <v>186</v>
      </c>
      <c r="D136" s="101" t="s">
        <v>187</v>
      </c>
      <c r="E136" s="21">
        <v>889.71799999999996</v>
      </c>
      <c r="F136" s="21">
        <f>292.889+292.889</f>
        <v>585.77800000000002</v>
      </c>
      <c r="G136" s="21">
        <v>423.29599999999999</v>
      </c>
      <c r="H136" s="21">
        <v>881.88</v>
      </c>
      <c r="I136" s="21">
        <f t="shared" si="20"/>
        <v>2780.672</v>
      </c>
      <c r="J136" s="21">
        <f t="shared" si="24"/>
        <v>2496.4</v>
      </c>
      <c r="K136" s="21">
        <v>1472.876</v>
      </c>
      <c r="L136" s="21">
        <v>1023.524</v>
      </c>
      <c r="M136" s="76">
        <v>4918.4799999999996</v>
      </c>
      <c r="N136" s="76">
        <v>5115.22</v>
      </c>
      <c r="O136" s="76">
        <v>1980.5</v>
      </c>
      <c r="P136" s="76">
        <f t="shared" si="25"/>
        <v>2059.7200000000003</v>
      </c>
      <c r="Q136" s="10">
        <f t="shared" si="14"/>
        <v>2613973.6896399995</v>
      </c>
      <c r="R136" s="10">
        <f t="shared" si="15"/>
        <v>1721004.0484399998</v>
      </c>
      <c r="S136" s="10">
        <f t="shared" si="16"/>
        <v>1293380.9280000001</v>
      </c>
      <c r="T136" s="10">
        <f t="shared" si="17"/>
        <v>2694584.34</v>
      </c>
      <c r="U136" s="10">
        <f t="shared" si="18"/>
        <v>8322943.0060799997</v>
      </c>
      <c r="V136" s="101"/>
      <c r="W136" s="101"/>
      <c r="X136" s="101"/>
      <c r="Y136" s="101"/>
    </row>
    <row r="137" spans="1:25" ht="24" customHeight="1">
      <c r="A137" s="101" t="s">
        <v>184</v>
      </c>
      <c r="B137" s="101" t="s">
        <v>185</v>
      </c>
      <c r="C137" s="101" t="s">
        <v>186</v>
      </c>
      <c r="D137" s="101" t="s">
        <v>188</v>
      </c>
      <c r="E137" s="21">
        <v>1198.2809999999999</v>
      </c>
      <c r="F137" s="21">
        <f>399.667+399.667</f>
        <v>799.33399999999995</v>
      </c>
      <c r="G137" s="21">
        <v>592.41200000000003</v>
      </c>
      <c r="H137" s="21">
        <v>1198.2809999999999</v>
      </c>
      <c r="I137" s="21">
        <f t="shared" si="20"/>
        <v>3788.308</v>
      </c>
      <c r="J137" s="122">
        <v>3367.3</v>
      </c>
      <c r="K137" s="21">
        <v>616.43200000000002</v>
      </c>
      <c r="L137" s="21">
        <v>428.36799999999999</v>
      </c>
      <c r="M137" s="76">
        <v>3652.22</v>
      </c>
      <c r="N137" s="76">
        <v>3798.31</v>
      </c>
      <c r="O137" s="76">
        <v>1519.79</v>
      </c>
      <c r="P137" s="76">
        <f t="shared" si="25"/>
        <v>1580.5816</v>
      </c>
      <c r="Q137" s="10">
        <f t="shared" si="14"/>
        <v>2555250.3528299998</v>
      </c>
      <c r="R137" s="10">
        <f t="shared" si="15"/>
        <v>1704523.8016199998</v>
      </c>
      <c r="S137" s="10">
        <f t="shared" si="16"/>
        <v>1313808.9169008001</v>
      </c>
      <c r="T137" s="10">
        <f t="shared" si="17"/>
        <v>2657461.8048803997</v>
      </c>
      <c r="U137" s="10">
        <f t="shared" si="18"/>
        <v>8231044.8762311991</v>
      </c>
      <c r="V137" s="101"/>
      <c r="W137" s="101"/>
      <c r="X137" s="101"/>
      <c r="Y137" s="101"/>
    </row>
    <row r="138" spans="1:25" ht="24" customHeight="1">
      <c r="A138" s="101" t="s">
        <v>184</v>
      </c>
      <c r="B138" s="101" t="s">
        <v>185</v>
      </c>
      <c r="C138" s="101" t="s">
        <v>186</v>
      </c>
      <c r="D138" s="101" t="s">
        <v>189</v>
      </c>
      <c r="E138" s="21">
        <v>374.33100000000002</v>
      </c>
      <c r="F138" s="21">
        <f>124.777+124.777</f>
        <v>249.554</v>
      </c>
      <c r="G138" s="21">
        <v>185.15700000000001</v>
      </c>
      <c r="H138" s="21">
        <v>374.33100000000002</v>
      </c>
      <c r="I138" s="21">
        <f t="shared" si="20"/>
        <v>1183.373</v>
      </c>
      <c r="J138" s="122">
        <v>1044.8</v>
      </c>
      <c r="K138" s="21">
        <v>1986.7070000000001</v>
      </c>
      <c r="L138" s="21">
        <v>1380.5930000000001</v>
      </c>
      <c r="M138" s="76">
        <v>5784.31</v>
      </c>
      <c r="N138" s="76">
        <v>6015.68</v>
      </c>
      <c r="O138" s="76">
        <v>1980.5</v>
      </c>
      <c r="P138" s="76">
        <f t="shared" si="25"/>
        <v>2059.7200000000003</v>
      </c>
      <c r="Q138" s="10">
        <f t="shared" si="14"/>
        <v>1423884.0011100003</v>
      </c>
      <c r="R138" s="10">
        <f t="shared" si="15"/>
        <v>949256.00074000016</v>
      </c>
      <c r="S138" s="10">
        <f t="shared" si="16"/>
        <v>732473.68572000007</v>
      </c>
      <c r="T138" s="10">
        <f t="shared" si="17"/>
        <v>1480838.46276</v>
      </c>
      <c r="U138" s="10">
        <f t="shared" si="18"/>
        <v>4586452.1503300006</v>
      </c>
      <c r="V138" s="101"/>
      <c r="W138" s="101"/>
      <c r="X138" s="101"/>
      <c r="Y138" s="101"/>
    </row>
    <row r="139" spans="1:25" ht="24" customHeight="1">
      <c r="A139" s="101" t="s">
        <v>190</v>
      </c>
      <c r="B139" s="101" t="s">
        <v>191</v>
      </c>
      <c r="C139" s="101" t="s">
        <v>176</v>
      </c>
      <c r="D139" s="101"/>
      <c r="E139" s="21">
        <v>409.28399999999999</v>
      </c>
      <c r="F139" s="21">
        <f>136.428+136.428</f>
        <v>272.85599999999999</v>
      </c>
      <c r="G139" s="21">
        <v>136.41900000000001</v>
      </c>
      <c r="H139" s="21">
        <v>409.29</v>
      </c>
      <c r="I139" s="21">
        <f t="shared" si="20"/>
        <v>1227.8489999999999</v>
      </c>
      <c r="J139" s="21">
        <f t="shared" si="24"/>
        <v>1224</v>
      </c>
      <c r="K139" s="21">
        <v>734.4</v>
      </c>
      <c r="L139" s="21">
        <v>489.6</v>
      </c>
      <c r="M139" s="76">
        <v>5696.45</v>
      </c>
      <c r="N139" s="76">
        <v>5924.31</v>
      </c>
      <c r="O139" s="76">
        <v>1980.5</v>
      </c>
      <c r="P139" s="76">
        <f t="shared" si="25"/>
        <v>2059.7200000000003</v>
      </c>
      <c r="Q139" s="10">
        <f t="shared" si="14"/>
        <v>1520878.8798</v>
      </c>
      <c r="R139" s="10">
        <f t="shared" si="15"/>
        <v>1013919.2531999999</v>
      </c>
      <c r="S139" s="10">
        <f t="shared" si="16"/>
        <v>527203.50321000011</v>
      </c>
      <c r="T139" s="10">
        <f t="shared" si="17"/>
        <v>1581738.0411</v>
      </c>
      <c r="U139" s="10">
        <f t="shared" si="18"/>
        <v>4643739.6773100002</v>
      </c>
      <c r="V139" s="101"/>
      <c r="W139" s="101"/>
      <c r="X139" s="101"/>
      <c r="Y139" s="101"/>
    </row>
    <row r="140" spans="1:25" ht="24" customHeight="1">
      <c r="A140" s="101" t="s">
        <v>190</v>
      </c>
      <c r="B140" s="101" t="s">
        <v>191</v>
      </c>
      <c r="C140" s="101" t="s">
        <v>173</v>
      </c>
      <c r="D140" s="101"/>
      <c r="E140" s="21">
        <v>232.62100000000001</v>
      </c>
      <c r="F140" s="21">
        <f>58.424+60.029+15.234</f>
        <v>133.68700000000001</v>
      </c>
      <c r="G140" s="21">
        <v>20.219000000000001</v>
      </c>
      <c r="H140" s="21">
        <v>199.77600000000001</v>
      </c>
      <c r="I140" s="21">
        <f t="shared" si="20"/>
        <v>586.303</v>
      </c>
      <c r="J140" s="21">
        <f t="shared" si="24"/>
        <v>491</v>
      </c>
      <c r="K140" s="21">
        <v>294.59999999999997</v>
      </c>
      <c r="L140" s="21">
        <v>196.4</v>
      </c>
      <c r="M140" s="76">
        <v>7083.02</v>
      </c>
      <c r="N140" s="76">
        <v>7366.34</v>
      </c>
      <c r="O140" s="76">
        <v>1980.5</v>
      </c>
      <c r="P140" s="76">
        <f t="shared" si="25"/>
        <v>2059.7200000000003</v>
      </c>
      <c r="Q140" s="10">
        <f t="shared" si="14"/>
        <v>1186953.3049200003</v>
      </c>
      <c r="R140" s="10">
        <f t="shared" si="15"/>
        <v>682140.5912400001</v>
      </c>
      <c r="S140" s="10">
        <f t="shared" si="16"/>
        <v>107294.54978</v>
      </c>
      <c r="T140" s="10">
        <f t="shared" si="17"/>
        <v>1060135.31712</v>
      </c>
      <c r="U140" s="10">
        <f t="shared" si="18"/>
        <v>3036523.7630600007</v>
      </c>
      <c r="V140" s="101"/>
      <c r="W140" s="101"/>
      <c r="X140" s="101"/>
      <c r="Y140" s="101"/>
    </row>
    <row r="141" spans="1:25" ht="24" customHeight="1">
      <c r="A141" s="101" t="s">
        <v>192</v>
      </c>
      <c r="B141" s="101" t="s">
        <v>193</v>
      </c>
      <c r="C141" s="101" t="s">
        <v>183</v>
      </c>
      <c r="D141" s="101"/>
      <c r="E141" s="21">
        <v>82.83</v>
      </c>
      <c r="F141" s="21">
        <f>21.103+19.421+5.505</f>
        <v>46.029000000000003</v>
      </c>
      <c r="G141" s="21">
        <v>14.997999999999999</v>
      </c>
      <c r="H141" s="21">
        <v>74.320999999999998</v>
      </c>
      <c r="I141" s="21">
        <f t="shared" si="20"/>
        <v>218.178</v>
      </c>
      <c r="J141" s="21">
        <f t="shared" si="24"/>
        <v>233</v>
      </c>
      <c r="K141" s="21">
        <v>139.56700000000001</v>
      </c>
      <c r="L141" s="21">
        <v>93.433000000000007</v>
      </c>
      <c r="M141" s="76">
        <v>2906.69</v>
      </c>
      <c r="N141" s="76">
        <v>3022.96</v>
      </c>
      <c r="O141" s="76">
        <v>1646.73</v>
      </c>
      <c r="P141" s="76">
        <v>1712.59</v>
      </c>
      <c r="Q141" s="10">
        <f t="shared" ref="Q141:Q204" si="26">E141*(M141-O141)</f>
        <v>104362.4868</v>
      </c>
      <c r="R141" s="10">
        <f t="shared" ref="R141:R204" si="27">F141*(M141-O141)</f>
        <v>57994.698840000005</v>
      </c>
      <c r="S141" s="10">
        <f t="shared" ref="S141:S204" si="28">G141*(N141-P141)</f>
        <v>19652.929260000001</v>
      </c>
      <c r="T141" s="10">
        <f t="shared" ref="T141:T204" si="29">(N141-P141)*H141</f>
        <v>97388.00877</v>
      </c>
      <c r="U141" s="10">
        <f t="shared" ref="U141:U204" si="30">SUM(Q141:T141)</f>
        <v>279398.12367</v>
      </c>
      <c r="V141" s="101"/>
      <c r="W141" s="101"/>
      <c r="X141" s="101"/>
      <c r="Y141" s="101"/>
    </row>
    <row r="142" spans="1:25" ht="24" customHeight="1">
      <c r="A142" s="101" t="s">
        <v>194</v>
      </c>
      <c r="B142" s="101" t="s">
        <v>195</v>
      </c>
      <c r="C142" s="101" t="s">
        <v>196</v>
      </c>
      <c r="D142" s="101"/>
      <c r="E142" s="21">
        <v>2230.511</v>
      </c>
      <c r="F142" s="21">
        <f>651.109+528.791+256.616</f>
        <v>1436.5160000000001</v>
      </c>
      <c r="G142" s="21">
        <v>467.988</v>
      </c>
      <c r="H142" s="21">
        <v>1905.4880000000001</v>
      </c>
      <c r="I142" s="21">
        <f t="shared" si="20"/>
        <v>6040.5030000000006</v>
      </c>
      <c r="J142" s="21">
        <f t="shared" si="24"/>
        <v>5765</v>
      </c>
      <c r="K142" s="21">
        <v>3459</v>
      </c>
      <c r="L142" s="21">
        <v>2306</v>
      </c>
      <c r="M142" s="76">
        <v>3596.19</v>
      </c>
      <c r="N142" s="76">
        <v>3740.04</v>
      </c>
      <c r="O142" s="76">
        <v>1980.5</v>
      </c>
      <c r="P142" s="76">
        <f t="shared" si="25"/>
        <v>2059.7200000000003</v>
      </c>
      <c r="Q142" s="10">
        <f t="shared" si="26"/>
        <v>3603814.3175900001</v>
      </c>
      <c r="R142" s="10">
        <f t="shared" si="27"/>
        <v>2320964.5360400002</v>
      </c>
      <c r="S142" s="10">
        <f t="shared" si="28"/>
        <v>786369.59615999984</v>
      </c>
      <c r="T142" s="10">
        <f t="shared" si="29"/>
        <v>3201829.5961599997</v>
      </c>
      <c r="U142" s="10">
        <f t="shared" si="30"/>
        <v>9912978.0459500011</v>
      </c>
      <c r="V142" s="101"/>
      <c r="W142" s="101"/>
      <c r="X142" s="101"/>
      <c r="Y142" s="101"/>
    </row>
    <row r="143" spans="1:25" ht="24" customHeight="1">
      <c r="A143" s="101" t="s">
        <v>197</v>
      </c>
      <c r="B143" s="101" t="s">
        <v>198</v>
      </c>
      <c r="C143" s="101" t="s">
        <v>183</v>
      </c>
      <c r="D143" s="101"/>
      <c r="E143" s="21">
        <v>9017.4869999999992</v>
      </c>
      <c r="F143" s="21">
        <f>2854.796+3173.965+7.804+760.653+0.13</f>
        <v>6797.3480000000009</v>
      </c>
      <c r="G143" s="21">
        <v>1909.126</v>
      </c>
      <c r="H143" s="21">
        <f>10832.528-G143</f>
        <v>8923.402</v>
      </c>
      <c r="I143" s="21">
        <f t="shared" si="20"/>
        <v>26647.362999999998</v>
      </c>
      <c r="J143" s="122">
        <v>23443</v>
      </c>
      <c r="K143" s="21">
        <v>2610.16</v>
      </c>
      <c r="L143" s="21">
        <v>1813.84</v>
      </c>
      <c r="M143" s="76">
        <v>4042.13</v>
      </c>
      <c r="N143" s="76">
        <v>4203.82</v>
      </c>
      <c r="O143" s="76">
        <v>1678.39</v>
      </c>
      <c r="P143" s="76">
        <f t="shared" si="25"/>
        <v>1745.5256000000002</v>
      </c>
      <c r="Q143" s="10">
        <f t="shared" si="26"/>
        <v>21314994.721379995</v>
      </c>
      <c r="R143" s="10">
        <f t="shared" si="27"/>
        <v>16067163.36152</v>
      </c>
      <c r="S143" s="10">
        <f t="shared" si="28"/>
        <v>4693193.7546943994</v>
      </c>
      <c r="T143" s="10">
        <f t="shared" si="29"/>
        <v>21936349.165548798</v>
      </c>
      <c r="U143" s="10">
        <f t="shared" si="30"/>
        <v>64011701.003143191</v>
      </c>
      <c r="V143" s="101"/>
      <c r="W143" s="101"/>
      <c r="X143" s="101"/>
      <c r="Y143" s="101"/>
    </row>
    <row r="144" spans="1:25" ht="24" customHeight="1">
      <c r="A144" s="101" t="s">
        <v>197</v>
      </c>
      <c r="B144" s="101" t="s">
        <v>198</v>
      </c>
      <c r="C144" s="101" t="s">
        <v>173</v>
      </c>
      <c r="D144" s="101"/>
      <c r="E144" s="21">
        <v>2002.8969999999999</v>
      </c>
      <c r="F144" s="21">
        <f>542.722+577.281+92.126</f>
        <v>1212.1289999999999</v>
      </c>
      <c r="G144" s="21">
        <f>240.493</f>
        <v>240.49299999999999</v>
      </c>
      <c r="H144" s="21">
        <f>1926.515-G144</f>
        <v>1686.0220000000002</v>
      </c>
      <c r="I144" s="21">
        <f t="shared" si="20"/>
        <v>5141.5410000000002</v>
      </c>
      <c r="J144" s="122">
        <v>5299</v>
      </c>
      <c r="K144" s="21">
        <v>1407.1499999999999</v>
      </c>
      <c r="L144" s="21">
        <v>977.84999999999991</v>
      </c>
      <c r="M144" s="76">
        <v>4639.1499999999996</v>
      </c>
      <c r="N144" s="76">
        <v>4824.7159999999994</v>
      </c>
      <c r="O144" s="76">
        <v>1678.39</v>
      </c>
      <c r="P144" s="76">
        <f t="shared" si="25"/>
        <v>1745.5256000000002</v>
      </c>
      <c r="Q144" s="10">
        <f t="shared" si="26"/>
        <v>5930097.3217199985</v>
      </c>
      <c r="R144" s="10">
        <f t="shared" si="27"/>
        <v>3588823.0580399991</v>
      </c>
      <c r="S144" s="10">
        <f t="shared" si="28"/>
        <v>740523.73686719988</v>
      </c>
      <c r="T144" s="10">
        <f t="shared" si="29"/>
        <v>5191582.7565887999</v>
      </c>
      <c r="U144" s="10">
        <f t="shared" si="30"/>
        <v>15451026.873215998</v>
      </c>
      <c r="V144" s="101"/>
      <c r="W144" s="101"/>
      <c r="X144" s="101"/>
      <c r="Y144" s="101"/>
    </row>
    <row r="145" spans="1:25" ht="24" customHeight="1">
      <c r="A145" s="101" t="s">
        <v>197</v>
      </c>
      <c r="B145" s="101" t="s">
        <v>198</v>
      </c>
      <c r="C145" s="101" t="s">
        <v>177</v>
      </c>
      <c r="D145" s="101"/>
      <c r="E145" s="21">
        <v>1434.0070000000001</v>
      </c>
      <c r="F145" s="21">
        <f>457.265+421.372+60.725</f>
        <v>939.36199999999997</v>
      </c>
      <c r="G145" s="21">
        <v>327.40600000000001</v>
      </c>
      <c r="H145" s="21">
        <f>1703.299-G145</f>
        <v>1375.893</v>
      </c>
      <c r="I145" s="21">
        <f t="shared" si="20"/>
        <v>4076.6680000000001</v>
      </c>
      <c r="J145" s="122">
        <v>4424</v>
      </c>
      <c r="K145" s="21">
        <v>3126.41</v>
      </c>
      <c r="L145" s="21">
        <v>2172.5899999999997</v>
      </c>
      <c r="M145" s="76">
        <v>4639.1499999999996</v>
      </c>
      <c r="N145" s="76">
        <v>4824.7159999999994</v>
      </c>
      <c r="O145" s="76">
        <v>1678.39</v>
      </c>
      <c r="P145" s="76">
        <f t="shared" si="25"/>
        <v>1745.5256000000002</v>
      </c>
      <c r="Q145" s="10">
        <f t="shared" si="26"/>
        <v>4245750.5653199991</v>
      </c>
      <c r="R145" s="10">
        <f t="shared" si="27"/>
        <v>2781225.4351199991</v>
      </c>
      <c r="S145" s="10">
        <f t="shared" si="28"/>
        <v>1008145.4121023999</v>
      </c>
      <c r="T145" s="10">
        <f t="shared" si="29"/>
        <v>4236636.5170271993</v>
      </c>
      <c r="U145" s="10">
        <f t="shared" si="30"/>
        <v>12271757.929569596</v>
      </c>
      <c r="V145" s="101"/>
      <c r="W145" s="101"/>
      <c r="X145" s="101"/>
      <c r="Y145" s="101"/>
    </row>
    <row r="146" spans="1:25" ht="24" customHeight="1">
      <c r="A146" s="101" t="s">
        <v>197</v>
      </c>
      <c r="B146" s="101" t="s">
        <v>198</v>
      </c>
      <c r="C146" s="101" t="s">
        <v>180</v>
      </c>
      <c r="D146" s="101"/>
      <c r="E146" s="21">
        <v>790.45299999999997</v>
      </c>
      <c r="F146" s="21">
        <f>266.745+258.631+33.709</f>
        <v>559.08500000000004</v>
      </c>
      <c r="G146" s="21">
        <f>309.232</f>
        <v>309.23200000000003</v>
      </c>
      <c r="H146" s="21">
        <f>1059.836-G146</f>
        <v>750.60400000000004</v>
      </c>
      <c r="I146" s="21">
        <f t="shared" si="20"/>
        <v>2409.3739999999998</v>
      </c>
      <c r="J146" s="122">
        <v>2385</v>
      </c>
      <c r="K146" s="21">
        <v>14065.8</v>
      </c>
      <c r="L146" s="21">
        <v>9377.2000000000007</v>
      </c>
      <c r="M146" s="76">
        <v>4639.1499999999996</v>
      </c>
      <c r="N146" s="76">
        <v>4824.7159999999994</v>
      </c>
      <c r="O146" s="76">
        <v>1678.39</v>
      </c>
      <c r="P146" s="76">
        <f t="shared" si="25"/>
        <v>1745.5256000000002</v>
      </c>
      <c r="Q146" s="10">
        <f t="shared" si="26"/>
        <v>2340341.6242799992</v>
      </c>
      <c r="R146" s="10">
        <f t="shared" si="27"/>
        <v>1655316.5045999996</v>
      </c>
      <c r="S146" s="10">
        <f t="shared" si="28"/>
        <v>952184.20577279991</v>
      </c>
      <c r="T146" s="10">
        <f t="shared" si="29"/>
        <v>2311252.6310015996</v>
      </c>
      <c r="U146" s="10">
        <f t="shared" si="30"/>
        <v>7259094.9656543974</v>
      </c>
      <c r="V146" s="101"/>
      <c r="W146" s="101"/>
      <c r="X146" s="101"/>
      <c r="Y146" s="101"/>
    </row>
    <row r="147" spans="1:25" ht="24" customHeight="1">
      <c r="A147" s="101" t="s">
        <v>199</v>
      </c>
      <c r="B147" s="101" t="s">
        <v>200</v>
      </c>
      <c r="C147" s="101" t="s">
        <v>173</v>
      </c>
      <c r="D147" s="101"/>
      <c r="E147" s="21">
        <v>62.786000000000001</v>
      </c>
      <c r="F147" s="21">
        <f>20.926+20.926</f>
        <v>41.851999999999997</v>
      </c>
      <c r="G147" s="21">
        <v>33.081000000000003</v>
      </c>
      <c r="H147" s="21">
        <v>62.79</v>
      </c>
      <c r="I147" s="21">
        <f t="shared" si="20"/>
        <v>200.50899999999999</v>
      </c>
      <c r="J147" s="21">
        <f t="shared" si="24"/>
        <v>188.3</v>
      </c>
      <c r="K147" s="21">
        <v>112.98</v>
      </c>
      <c r="L147" s="21">
        <v>75.319999999999993</v>
      </c>
      <c r="M147" s="76">
        <v>9607.06</v>
      </c>
      <c r="N147" s="76">
        <v>9991.34</v>
      </c>
      <c r="O147" s="76">
        <v>1943.14</v>
      </c>
      <c r="P147" s="76">
        <f>P148</f>
        <v>2020.86</v>
      </c>
      <c r="Q147" s="10">
        <f t="shared" si="26"/>
        <v>481186.88111999998</v>
      </c>
      <c r="R147" s="10">
        <f t="shared" si="27"/>
        <v>320750.37983999995</v>
      </c>
      <c r="S147" s="10">
        <f t="shared" si="28"/>
        <v>263671.44888000004</v>
      </c>
      <c r="T147" s="10">
        <f t="shared" si="29"/>
        <v>500466.43920000002</v>
      </c>
      <c r="U147" s="10">
        <f t="shared" si="30"/>
        <v>1566075.14904</v>
      </c>
      <c r="V147" s="101"/>
      <c r="W147" s="101"/>
      <c r="X147" s="101"/>
      <c r="Y147" s="101"/>
    </row>
    <row r="148" spans="1:25" ht="24" customHeight="1">
      <c r="A148" s="101" t="s">
        <v>201</v>
      </c>
      <c r="B148" s="101" t="s">
        <v>202</v>
      </c>
      <c r="C148" s="101" t="s">
        <v>196</v>
      </c>
      <c r="D148" s="101"/>
      <c r="E148" s="21">
        <v>586.73599999999999</v>
      </c>
      <c r="F148" s="21">
        <f>162.466+134.02+111.4</f>
        <v>407.88599999999997</v>
      </c>
      <c r="G148" s="21">
        <v>74.543000000000006</v>
      </c>
      <c r="H148" s="21">
        <v>506.50200000000001</v>
      </c>
      <c r="I148" s="21">
        <f t="shared" si="20"/>
        <v>1575.6669999999999</v>
      </c>
      <c r="J148" s="21">
        <f t="shared" si="24"/>
        <v>1337</v>
      </c>
      <c r="K148" s="21">
        <v>802.19999999999993</v>
      </c>
      <c r="L148" s="21">
        <v>534.80000000000007</v>
      </c>
      <c r="M148" s="76">
        <v>5980.99</v>
      </c>
      <c r="N148" s="76">
        <v>6220.23</v>
      </c>
      <c r="O148" s="76">
        <v>1943.14</v>
      </c>
      <c r="P148" s="76">
        <v>2020.86</v>
      </c>
      <c r="Q148" s="10">
        <f t="shared" si="26"/>
        <v>2369151.9575999998</v>
      </c>
      <c r="R148" s="10">
        <f t="shared" si="27"/>
        <v>1646982.4850999997</v>
      </c>
      <c r="S148" s="10">
        <f t="shared" si="28"/>
        <v>313033.63790999999</v>
      </c>
      <c r="T148" s="10">
        <f t="shared" si="29"/>
        <v>2126989.3037399999</v>
      </c>
      <c r="U148" s="10">
        <f t="shared" si="30"/>
        <v>6456157.3843499999</v>
      </c>
      <c r="V148" s="101"/>
      <c r="W148" s="101"/>
      <c r="X148" s="101"/>
      <c r="Y148" s="101"/>
    </row>
    <row r="149" spans="1:25" ht="24" customHeight="1">
      <c r="A149" s="101" t="s">
        <v>22</v>
      </c>
      <c r="B149" s="101" t="s">
        <v>23</v>
      </c>
      <c r="C149" s="101" t="s">
        <v>196</v>
      </c>
      <c r="D149" s="101"/>
      <c r="E149" s="21">
        <v>733.24599999999998</v>
      </c>
      <c r="F149" s="21">
        <f>196.4+178.07+162.51</f>
        <v>536.98</v>
      </c>
      <c r="G149" s="21">
        <v>154.922</v>
      </c>
      <c r="H149" s="21">
        <v>586.00800000000004</v>
      </c>
      <c r="I149" s="21">
        <f t="shared" si="20"/>
        <v>2011.1560000000002</v>
      </c>
      <c r="J149" s="21">
        <f t="shared" si="24"/>
        <v>1815</v>
      </c>
      <c r="K149" s="21">
        <v>1007.325</v>
      </c>
      <c r="L149" s="21">
        <v>807.67500000000007</v>
      </c>
      <c r="M149" s="76">
        <v>2103.73</v>
      </c>
      <c r="N149" s="76">
        <v>2354.92</v>
      </c>
      <c r="O149" s="76">
        <v>1562.16</v>
      </c>
      <c r="P149" s="76">
        <f t="shared" si="25"/>
        <v>1624.6464000000001</v>
      </c>
      <c r="Q149" s="10">
        <f t="shared" si="26"/>
        <v>397104.03621999995</v>
      </c>
      <c r="R149" s="10">
        <f t="shared" si="27"/>
        <v>290812.2586</v>
      </c>
      <c r="S149" s="10">
        <f t="shared" si="28"/>
        <v>113135.4466592</v>
      </c>
      <c r="T149" s="10">
        <f t="shared" si="29"/>
        <v>427946.17178880004</v>
      </c>
      <c r="U149" s="10">
        <f t="shared" si="30"/>
        <v>1228997.9132679999</v>
      </c>
      <c r="V149" s="101"/>
      <c r="W149" s="101"/>
      <c r="X149" s="101"/>
      <c r="Y149" s="101"/>
    </row>
    <row r="150" spans="1:25" ht="24" customHeight="1">
      <c r="A150" s="101" t="s">
        <v>22</v>
      </c>
      <c r="B150" s="101" t="s">
        <v>23</v>
      </c>
      <c r="C150" s="101" t="s">
        <v>203</v>
      </c>
      <c r="D150" s="101"/>
      <c r="E150" s="21">
        <v>1008.178</v>
      </c>
      <c r="F150" s="21">
        <f>326.841+335.252+6.187</f>
        <v>668.28000000000009</v>
      </c>
      <c r="G150" s="21">
        <v>325.56</v>
      </c>
      <c r="H150" s="21">
        <v>994.39400000000001</v>
      </c>
      <c r="I150" s="21">
        <f t="shared" si="20"/>
        <v>2996.4120000000003</v>
      </c>
      <c r="J150" s="21">
        <f t="shared" si="24"/>
        <v>2753.23</v>
      </c>
      <c r="K150" s="21">
        <v>1481.23774</v>
      </c>
      <c r="L150" s="21">
        <v>1271.99226</v>
      </c>
      <c r="M150" s="76">
        <v>6463.17</v>
      </c>
      <c r="N150" s="76">
        <v>7693.72</v>
      </c>
      <c r="O150" s="76">
        <v>1118.26</v>
      </c>
      <c r="P150" s="76">
        <f t="shared" si="25"/>
        <v>1162.9904000000001</v>
      </c>
      <c r="Q150" s="10">
        <f t="shared" si="26"/>
        <v>5388620.6739799995</v>
      </c>
      <c r="R150" s="10">
        <f t="shared" si="27"/>
        <v>3571896.4548000004</v>
      </c>
      <c r="S150" s="10">
        <f t="shared" si="28"/>
        <v>2126144.3285760004</v>
      </c>
      <c r="T150" s="10">
        <f t="shared" si="29"/>
        <v>6494118.3298624009</v>
      </c>
      <c r="U150" s="10">
        <f t="shared" si="30"/>
        <v>17580779.787218399</v>
      </c>
      <c r="V150" s="101"/>
      <c r="W150" s="101"/>
      <c r="X150" s="101"/>
      <c r="Y150" s="101"/>
    </row>
    <row r="151" spans="1:25" ht="29.25" customHeight="1">
      <c r="A151" s="101" t="s">
        <v>415</v>
      </c>
      <c r="B151" s="101" t="s">
        <v>414</v>
      </c>
      <c r="C151" s="101" t="s">
        <v>173</v>
      </c>
      <c r="D151" s="101" t="s">
        <v>368</v>
      </c>
      <c r="E151" s="21">
        <v>479.58800000000002</v>
      </c>
      <c r="F151" s="21">
        <v>254.04599999999999</v>
      </c>
      <c r="G151" s="21">
        <v>120.658</v>
      </c>
      <c r="H151" s="21">
        <v>479.58800000000002</v>
      </c>
      <c r="I151" s="21">
        <f t="shared" si="20"/>
        <v>1333.88</v>
      </c>
      <c r="J151" s="21">
        <f>SUM(K151:L151)</f>
        <v>1415</v>
      </c>
      <c r="K151" s="21">
        <v>778.25</v>
      </c>
      <c r="L151" s="21">
        <v>636.75</v>
      </c>
      <c r="M151" s="76">
        <v>3651.24</v>
      </c>
      <c r="N151" s="76">
        <v>3906.83</v>
      </c>
      <c r="O151" s="76">
        <v>1560.71</v>
      </c>
      <c r="P151" s="76">
        <f t="shared" si="25"/>
        <v>1623.1384</v>
      </c>
      <c r="Q151" s="10">
        <f t="shared" si="26"/>
        <v>1002593.1016399999</v>
      </c>
      <c r="R151" s="10">
        <f t="shared" si="27"/>
        <v>531090.78437999997</v>
      </c>
      <c r="S151" s="10">
        <f t="shared" si="28"/>
        <v>275545.66107279999</v>
      </c>
      <c r="T151" s="10">
        <f t="shared" si="29"/>
        <v>1095231.0870608001</v>
      </c>
      <c r="U151" s="10">
        <f t="shared" si="30"/>
        <v>2904460.6341535999</v>
      </c>
      <c r="V151" s="101"/>
      <c r="W151" s="101"/>
      <c r="X151" s="101"/>
      <c r="Y151" s="101"/>
    </row>
    <row r="152" spans="1:25" ht="40.5" customHeight="1">
      <c r="A152" s="101" t="s">
        <v>415</v>
      </c>
      <c r="B152" s="101" t="s">
        <v>414</v>
      </c>
      <c r="C152" s="101" t="s">
        <v>384</v>
      </c>
      <c r="D152" s="101" t="s">
        <v>416</v>
      </c>
      <c r="E152" s="21">
        <f>91.179+60.927</f>
        <v>152.10599999999999</v>
      </c>
      <c r="F152" s="21">
        <f>54.115+34.066</f>
        <v>88.181000000000012</v>
      </c>
      <c r="G152" s="21">
        <f>36.089+13.539</f>
        <v>49.628</v>
      </c>
      <c r="H152" s="21">
        <f>91.179+60.927</f>
        <v>152.10599999999999</v>
      </c>
      <c r="I152" s="21">
        <f t="shared" si="20"/>
        <v>442.02100000000002</v>
      </c>
      <c r="J152" s="21">
        <f>SUM(K152:L152)</f>
        <v>468</v>
      </c>
      <c r="K152" s="21">
        <f>92.95+164.45</f>
        <v>257.39999999999998</v>
      </c>
      <c r="L152" s="21">
        <f>76.05+134.55</f>
        <v>210.60000000000002</v>
      </c>
      <c r="M152" s="76">
        <v>3651.24</v>
      </c>
      <c r="N152" s="76">
        <v>3906.83</v>
      </c>
      <c r="O152" s="76">
        <v>1688.4</v>
      </c>
      <c r="P152" s="76">
        <f t="shared" si="25"/>
        <v>1755.9360000000001</v>
      </c>
      <c r="Q152" s="10">
        <f t="shared" si="26"/>
        <v>298559.74103999994</v>
      </c>
      <c r="R152" s="10">
        <f t="shared" si="27"/>
        <v>173085.19404</v>
      </c>
      <c r="S152" s="10">
        <f t="shared" si="28"/>
        <v>106744.567432</v>
      </c>
      <c r="T152" s="10">
        <f t="shared" si="29"/>
        <v>327163.88276399998</v>
      </c>
      <c r="U152" s="10">
        <f t="shared" si="30"/>
        <v>905553.3852759999</v>
      </c>
      <c r="V152" s="101"/>
      <c r="W152" s="101"/>
      <c r="X152" s="101"/>
      <c r="Y152" s="101"/>
    </row>
    <row r="153" spans="1:25" ht="23.25" customHeight="1">
      <c r="A153" s="131" t="s">
        <v>206</v>
      </c>
      <c r="B153" s="132"/>
      <c r="C153" s="132"/>
      <c r="D153" s="135"/>
      <c r="E153" s="21"/>
      <c r="F153" s="21"/>
      <c r="G153" s="21"/>
      <c r="H153" s="21"/>
      <c r="I153" s="21"/>
      <c r="J153" s="21"/>
      <c r="K153" s="21"/>
      <c r="L153" s="21"/>
      <c r="M153" s="76"/>
      <c r="N153" s="76"/>
      <c r="O153" s="76"/>
      <c r="P153" s="76"/>
      <c r="Q153" s="10">
        <f t="shared" si="26"/>
        <v>0</v>
      </c>
      <c r="R153" s="10">
        <f t="shared" si="27"/>
        <v>0</v>
      </c>
      <c r="S153" s="10">
        <f t="shared" si="28"/>
        <v>0</v>
      </c>
      <c r="T153" s="10">
        <f t="shared" si="29"/>
        <v>0</v>
      </c>
      <c r="U153" s="10">
        <f t="shared" si="30"/>
        <v>0</v>
      </c>
      <c r="V153" s="101"/>
      <c r="W153" s="101"/>
      <c r="X153" s="101"/>
      <c r="Y153" s="101"/>
    </row>
    <row r="154" spans="1:25" ht="25.5" customHeight="1">
      <c r="A154" s="101" t="s">
        <v>204</v>
      </c>
      <c r="B154" s="101" t="s">
        <v>205</v>
      </c>
      <c r="C154" s="101"/>
      <c r="D154" s="101"/>
      <c r="E154" s="21">
        <v>119.37</v>
      </c>
      <c r="F154" s="21">
        <f>39.79+39.79</f>
        <v>79.58</v>
      </c>
      <c r="G154" s="21">
        <v>39.79</v>
      </c>
      <c r="H154" s="21">
        <v>119.37</v>
      </c>
      <c r="I154" s="21">
        <f t="shared" si="20"/>
        <v>358.11</v>
      </c>
      <c r="J154" s="21">
        <v>353</v>
      </c>
      <c r="K154" s="21">
        <v>208.26999999999998</v>
      </c>
      <c r="L154" s="21">
        <f>J154-K154</f>
        <v>144.73000000000002</v>
      </c>
      <c r="M154" s="76">
        <v>4149.8</v>
      </c>
      <c r="N154" s="76">
        <v>5500.9</v>
      </c>
      <c r="O154" s="76">
        <v>1033.07</v>
      </c>
      <c r="P154" s="76">
        <v>1074.3965440000002</v>
      </c>
      <c r="Q154" s="10">
        <f t="shared" si="26"/>
        <v>372044.06010000006</v>
      </c>
      <c r="R154" s="10">
        <f t="shared" si="27"/>
        <v>248029.37340000004</v>
      </c>
      <c r="S154" s="10">
        <f t="shared" si="28"/>
        <v>176130.57251423996</v>
      </c>
      <c r="T154" s="10">
        <f t="shared" si="29"/>
        <v>528391.71754271991</v>
      </c>
      <c r="U154" s="10">
        <f t="shared" si="30"/>
        <v>1324595.72355696</v>
      </c>
      <c r="V154" s="101"/>
      <c r="W154" s="101"/>
      <c r="X154" s="101"/>
      <c r="Y154" s="101"/>
    </row>
    <row r="155" spans="1:25" ht="25.5" customHeight="1">
      <c r="A155" s="101" t="s">
        <v>207</v>
      </c>
      <c r="B155" s="101" t="s">
        <v>208</v>
      </c>
      <c r="C155" s="101" t="s">
        <v>209</v>
      </c>
      <c r="D155" s="101"/>
      <c r="E155" s="21">
        <v>152.47300000000001</v>
      </c>
      <c r="F155" s="21">
        <f>59.033+58.311</f>
        <v>117.34399999999999</v>
      </c>
      <c r="G155" s="21">
        <v>31.73</v>
      </c>
      <c r="H155" s="21">
        <v>172.88</v>
      </c>
      <c r="I155" s="21">
        <f t="shared" si="20"/>
        <v>474.42700000000002</v>
      </c>
      <c r="J155" s="21">
        <v>478.04999999999995</v>
      </c>
      <c r="K155" s="21">
        <v>273.44459999999998</v>
      </c>
      <c r="L155" s="21">
        <f>J155-K155</f>
        <v>204.60539999999997</v>
      </c>
      <c r="M155" s="76">
        <v>5170.82</v>
      </c>
      <c r="N155" s="76">
        <v>5377.6527999999998</v>
      </c>
      <c r="O155" s="76">
        <v>891.02</v>
      </c>
      <c r="P155" s="76">
        <v>926.66079999999999</v>
      </c>
      <c r="Q155" s="10">
        <f t="shared" si="26"/>
        <v>652553.94539999997</v>
      </c>
      <c r="R155" s="10">
        <f t="shared" si="27"/>
        <v>502208.85119999992</v>
      </c>
      <c r="S155" s="10">
        <f t="shared" si="28"/>
        <v>141229.97616000002</v>
      </c>
      <c r="T155" s="10">
        <f t="shared" si="29"/>
        <v>769487.49696000002</v>
      </c>
      <c r="U155" s="10">
        <f t="shared" si="30"/>
        <v>2065480.2697200002</v>
      </c>
      <c r="V155" s="101"/>
      <c r="W155" s="101"/>
      <c r="X155" s="101"/>
      <c r="Y155" s="101"/>
    </row>
    <row r="156" spans="1:25" ht="25.5" customHeight="1">
      <c r="A156" s="101" t="s">
        <v>207</v>
      </c>
      <c r="B156" s="101" t="s">
        <v>208</v>
      </c>
      <c r="C156" s="101" t="s">
        <v>210</v>
      </c>
      <c r="D156" s="101"/>
      <c r="E156" s="21">
        <v>204.762</v>
      </c>
      <c r="F156" s="21">
        <f>68.251+68.251</f>
        <v>136.50200000000001</v>
      </c>
      <c r="G156" s="21">
        <v>47.1</v>
      </c>
      <c r="H156" s="21">
        <v>204.76</v>
      </c>
      <c r="I156" s="21">
        <f t="shared" si="20"/>
        <v>593.12400000000002</v>
      </c>
      <c r="J156" s="21">
        <v>614.28308399999992</v>
      </c>
      <c r="K156" s="21">
        <v>362.42701955999991</v>
      </c>
      <c r="L156" s="21">
        <f>J156-K156</f>
        <v>251.85606444000001</v>
      </c>
      <c r="M156" s="76">
        <v>3905.67</v>
      </c>
      <c r="N156" s="76">
        <f>M156*1.04</f>
        <v>4061.8968000000004</v>
      </c>
      <c r="O156" s="76">
        <v>891.02</v>
      </c>
      <c r="P156" s="76">
        <v>926.66079999999999</v>
      </c>
      <c r="Q156" s="10">
        <f t="shared" si="26"/>
        <v>617285.76329999999</v>
      </c>
      <c r="R156" s="10">
        <f t="shared" si="27"/>
        <v>411505.75430000003</v>
      </c>
      <c r="S156" s="10">
        <f t="shared" si="28"/>
        <v>147669.61560000002</v>
      </c>
      <c r="T156" s="10">
        <f t="shared" si="29"/>
        <v>641970.92336000002</v>
      </c>
      <c r="U156" s="10">
        <f t="shared" si="30"/>
        <v>1818432.0565599999</v>
      </c>
      <c r="V156" s="101"/>
      <c r="W156" s="101"/>
      <c r="X156" s="101"/>
      <c r="Y156" s="101"/>
    </row>
    <row r="157" spans="1:25" ht="25.5" customHeight="1">
      <c r="A157" s="101" t="s">
        <v>415</v>
      </c>
      <c r="B157" s="101" t="s">
        <v>414</v>
      </c>
      <c r="C157" s="101" t="s">
        <v>393</v>
      </c>
      <c r="D157" s="101"/>
      <c r="E157" s="21">
        <v>1719.2360000000001</v>
      </c>
      <c r="F157" s="21">
        <v>1079.3620000000001</v>
      </c>
      <c r="G157" s="21">
        <v>570.52599999999995</v>
      </c>
      <c r="H157" s="21">
        <v>1719.2360000000001</v>
      </c>
      <c r="I157" s="21">
        <f t="shared" si="20"/>
        <v>5088.3599999999997</v>
      </c>
      <c r="J157" s="21">
        <f>SUM(K157:L157)</f>
        <v>4476</v>
      </c>
      <c r="K157" s="21">
        <v>2461.8000000000002</v>
      </c>
      <c r="L157" s="21">
        <v>2014.2</v>
      </c>
      <c r="M157" s="76">
        <v>2835.51</v>
      </c>
      <c r="N157" s="76">
        <v>3034</v>
      </c>
      <c r="O157" s="76">
        <v>1145.73</v>
      </c>
      <c r="P157" s="76">
        <v>1191.56</v>
      </c>
      <c r="Q157" s="10">
        <f t="shared" si="26"/>
        <v>2905130.6080800006</v>
      </c>
      <c r="R157" s="10">
        <f t="shared" si="27"/>
        <v>1823884.3203600002</v>
      </c>
      <c r="S157" s="10">
        <f t="shared" si="28"/>
        <v>1051159.92344</v>
      </c>
      <c r="T157" s="10">
        <f t="shared" si="29"/>
        <v>3167589.1758400002</v>
      </c>
      <c r="U157" s="10">
        <f t="shared" si="30"/>
        <v>8947764.0277200006</v>
      </c>
      <c r="V157" s="101"/>
      <c r="W157" s="101"/>
      <c r="X157" s="101"/>
      <c r="Y157" s="101"/>
    </row>
    <row r="158" spans="1:25" ht="30.75" customHeight="1">
      <c r="A158" s="131" t="s">
        <v>213</v>
      </c>
      <c r="B158" s="132"/>
      <c r="C158" s="132"/>
      <c r="D158" s="135"/>
      <c r="E158" s="21"/>
      <c r="F158" s="21"/>
      <c r="G158" s="21"/>
      <c r="H158" s="21"/>
      <c r="I158" s="21"/>
      <c r="J158" s="21"/>
      <c r="K158" s="21"/>
      <c r="L158" s="21"/>
      <c r="M158" s="76"/>
      <c r="N158" s="76"/>
      <c r="O158" s="76"/>
      <c r="P158" s="76"/>
      <c r="Q158" s="10">
        <f t="shared" si="26"/>
        <v>0</v>
      </c>
      <c r="R158" s="10">
        <f t="shared" si="27"/>
        <v>0</v>
      </c>
      <c r="S158" s="10">
        <f t="shared" si="28"/>
        <v>0</v>
      </c>
      <c r="T158" s="10">
        <f t="shared" si="29"/>
        <v>0</v>
      </c>
      <c r="U158" s="10">
        <f t="shared" si="30"/>
        <v>0</v>
      </c>
      <c r="V158" s="101"/>
      <c r="W158" s="101"/>
      <c r="X158" s="101"/>
      <c r="Y158" s="101"/>
    </row>
    <row r="159" spans="1:25" ht="22.5" customHeight="1">
      <c r="A159" s="101" t="s">
        <v>211</v>
      </c>
      <c r="B159" s="101" t="s">
        <v>212</v>
      </c>
      <c r="C159" s="101" t="s">
        <v>214</v>
      </c>
      <c r="D159" s="101"/>
      <c r="E159" s="21">
        <v>16425.016</v>
      </c>
      <c r="F159" s="21">
        <f>5155.886+4133.065+374.725</f>
        <v>9663.6760000000013</v>
      </c>
      <c r="G159" s="21">
        <v>2727.328</v>
      </c>
      <c r="H159" s="21">
        <v>15459.641</v>
      </c>
      <c r="I159" s="21">
        <f t="shared" si="20"/>
        <v>44275.661000000007</v>
      </c>
      <c r="J159" s="122">
        <f>SUM(K159:L159)</f>
        <v>45829.5</v>
      </c>
      <c r="K159" s="122">
        <v>25893.7</v>
      </c>
      <c r="L159" s="122">
        <v>19935.8</v>
      </c>
      <c r="M159" s="76">
        <v>3556.76</v>
      </c>
      <c r="N159" s="76">
        <v>3741.34</v>
      </c>
      <c r="O159" s="76">
        <v>1396.28</v>
      </c>
      <c r="P159" s="76">
        <v>1452.13</v>
      </c>
      <c r="Q159" s="10">
        <f t="shared" si="26"/>
        <v>35485918.567680009</v>
      </c>
      <c r="R159" s="10">
        <f t="shared" si="27"/>
        <v>20878178.724480007</v>
      </c>
      <c r="S159" s="10">
        <f t="shared" si="28"/>
        <v>6243426.5308800004</v>
      </c>
      <c r="T159" s="10">
        <f t="shared" si="29"/>
        <v>35390364.773610003</v>
      </c>
      <c r="U159" s="10">
        <f t="shared" si="30"/>
        <v>97997888.596650034</v>
      </c>
      <c r="V159" s="101"/>
      <c r="W159" s="101"/>
      <c r="X159" s="101"/>
      <c r="Y159" s="101"/>
    </row>
    <row r="160" spans="1:25" ht="22.5" customHeight="1">
      <c r="A160" s="101" t="s">
        <v>215</v>
      </c>
      <c r="B160" s="101" t="s">
        <v>216</v>
      </c>
      <c r="C160" s="101" t="s">
        <v>217</v>
      </c>
      <c r="D160" s="101"/>
      <c r="E160" s="21">
        <v>274.75200000000001</v>
      </c>
      <c r="F160" s="21">
        <f>82.993+66.66</f>
        <v>149.65299999999999</v>
      </c>
      <c r="G160" s="21">
        <v>30.33</v>
      </c>
      <c r="H160" s="21">
        <v>226.97300000000001</v>
      </c>
      <c r="I160" s="21">
        <f t="shared" si="20"/>
        <v>681.70799999999997</v>
      </c>
      <c r="J160" s="122">
        <f t="shared" ref="J160:J171" si="31">SUM(K160:L160)</f>
        <v>639.5</v>
      </c>
      <c r="K160" s="122">
        <v>358.12</v>
      </c>
      <c r="L160" s="122">
        <v>281.38</v>
      </c>
      <c r="M160" s="76">
        <v>2689.07</v>
      </c>
      <c r="N160" s="76">
        <v>2796.63</v>
      </c>
      <c r="O160" s="76">
        <v>1532.24</v>
      </c>
      <c r="P160" s="76">
        <v>1593.53</v>
      </c>
      <c r="Q160" s="10">
        <f t="shared" si="26"/>
        <v>317841.35616000002</v>
      </c>
      <c r="R160" s="10">
        <f t="shared" si="27"/>
        <v>173123.07999000003</v>
      </c>
      <c r="S160" s="10">
        <f t="shared" si="28"/>
        <v>36490.023000000001</v>
      </c>
      <c r="T160" s="10">
        <f t="shared" si="29"/>
        <v>273071.21630000003</v>
      </c>
      <c r="U160" s="10">
        <f t="shared" si="30"/>
        <v>800525.67545000021</v>
      </c>
      <c r="V160" s="101"/>
      <c r="W160" s="101"/>
      <c r="X160" s="101"/>
      <c r="Y160" s="101"/>
    </row>
    <row r="161" spans="1:25" ht="22.5" customHeight="1">
      <c r="A161" s="101" t="s">
        <v>218</v>
      </c>
      <c r="B161" s="101" t="s">
        <v>219</v>
      </c>
      <c r="C161" s="101" t="s">
        <v>220</v>
      </c>
      <c r="D161" s="101"/>
      <c r="E161" s="21">
        <v>574.80999999999995</v>
      </c>
      <c r="F161" s="21">
        <f>199.3+200.18+99</f>
        <v>498.48</v>
      </c>
      <c r="G161" s="21">
        <v>75.53</v>
      </c>
      <c r="H161" s="21">
        <v>549.63</v>
      </c>
      <c r="I161" s="21">
        <f t="shared" si="20"/>
        <v>1698.4499999999998</v>
      </c>
      <c r="J161" s="122">
        <f t="shared" si="31"/>
        <v>1926.1999999999998</v>
      </c>
      <c r="K161" s="122">
        <v>1040.1479999999999</v>
      </c>
      <c r="L161" s="122">
        <v>886.05200000000002</v>
      </c>
      <c r="M161" s="76">
        <v>2552.34</v>
      </c>
      <c r="N161" s="76">
        <v>2654.43</v>
      </c>
      <c r="O161" s="76">
        <v>1423.49</v>
      </c>
      <c r="P161" s="76">
        <v>1478.35</v>
      </c>
      <c r="Q161" s="10">
        <f t="shared" si="26"/>
        <v>648874.26850000001</v>
      </c>
      <c r="R161" s="10">
        <f t="shared" si="27"/>
        <v>562709.14800000004</v>
      </c>
      <c r="S161" s="10">
        <f t="shared" si="28"/>
        <v>88829.32239999999</v>
      </c>
      <c r="T161" s="10">
        <f t="shared" si="29"/>
        <v>646408.8504</v>
      </c>
      <c r="U161" s="10">
        <f t="shared" si="30"/>
        <v>1946821.5893000001</v>
      </c>
      <c r="V161" s="101"/>
      <c r="W161" s="101"/>
      <c r="X161" s="101"/>
      <c r="Y161" s="101"/>
    </row>
    <row r="162" spans="1:25" ht="22.5" customHeight="1">
      <c r="A162" s="101" t="s">
        <v>221</v>
      </c>
      <c r="B162" s="101" t="s">
        <v>222</v>
      </c>
      <c r="C162" s="101" t="s">
        <v>223</v>
      </c>
      <c r="D162" s="101"/>
      <c r="E162" s="21">
        <v>2054.7660000000001</v>
      </c>
      <c r="F162" s="21">
        <f>607.326+299.807</f>
        <v>907.13300000000004</v>
      </c>
      <c r="G162" s="21">
        <v>496.387</v>
      </c>
      <c r="H162" s="21">
        <v>1947.2249999999999</v>
      </c>
      <c r="I162" s="21">
        <f t="shared" si="20"/>
        <v>5405.5110000000004</v>
      </c>
      <c r="J162" s="122">
        <f t="shared" si="31"/>
        <v>5848.6</v>
      </c>
      <c r="K162" s="122">
        <v>3450.7</v>
      </c>
      <c r="L162" s="122">
        <v>2397.9</v>
      </c>
      <c r="M162" s="76">
        <v>3219.28</v>
      </c>
      <c r="N162" s="76">
        <v>3348.0512000000003</v>
      </c>
      <c r="O162" s="76">
        <v>1266.77</v>
      </c>
      <c r="P162" s="76">
        <v>1317.44</v>
      </c>
      <c r="Q162" s="10">
        <f t="shared" si="26"/>
        <v>4011951.1626600004</v>
      </c>
      <c r="R162" s="10">
        <f t="shared" si="27"/>
        <v>1771186.2538300003</v>
      </c>
      <c r="S162" s="10">
        <f t="shared" si="28"/>
        <v>1007969.0017344002</v>
      </c>
      <c r="T162" s="10">
        <f t="shared" si="29"/>
        <v>3954056.8939200002</v>
      </c>
      <c r="U162" s="10">
        <f t="shared" si="30"/>
        <v>10745163.312144401</v>
      </c>
      <c r="V162" s="101"/>
      <c r="W162" s="101"/>
      <c r="X162" s="101"/>
      <c r="Y162" s="101"/>
    </row>
    <row r="163" spans="1:25" ht="22.5" customHeight="1">
      <c r="A163" s="101" t="s">
        <v>224</v>
      </c>
      <c r="B163" s="101" t="s">
        <v>225</v>
      </c>
      <c r="C163" s="101" t="s">
        <v>226</v>
      </c>
      <c r="D163" s="101"/>
      <c r="E163" s="21">
        <v>62.524000000000001</v>
      </c>
      <c r="F163" s="21">
        <f>21.078+13.699</f>
        <v>34.777000000000001</v>
      </c>
      <c r="G163" s="21">
        <v>10.538</v>
      </c>
      <c r="H163" s="21">
        <v>61.030999999999999</v>
      </c>
      <c r="I163" s="21">
        <f t="shared" si="20"/>
        <v>168.87</v>
      </c>
      <c r="J163" s="122">
        <f t="shared" si="31"/>
        <v>189.7</v>
      </c>
      <c r="K163" s="122">
        <v>110.026</v>
      </c>
      <c r="L163" s="122">
        <v>79.674000000000007</v>
      </c>
      <c r="M163" s="76">
        <v>4734.72</v>
      </c>
      <c r="N163" s="76">
        <f>M163</f>
        <v>4734.72</v>
      </c>
      <c r="O163" s="76">
        <v>1722.66</v>
      </c>
      <c r="P163" s="76">
        <v>1791.56</v>
      </c>
      <c r="Q163" s="10">
        <f t="shared" si="26"/>
        <v>188326.03944000002</v>
      </c>
      <c r="R163" s="10">
        <f t="shared" si="27"/>
        <v>104750.41062000002</v>
      </c>
      <c r="S163" s="10">
        <f t="shared" si="28"/>
        <v>31015.020080000006</v>
      </c>
      <c r="T163" s="10">
        <f t="shared" si="29"/>
        <v>179623.99796000001</v>
      </c>
      <c r="U163" s="10">
        <f t="shared" si="30"/>
        <v>503715.46810000006</v>
      </c>
      <c r="V163" s="101"/>
      <c r="W163" s="101"/>
      <c r="X163" s="101"/>
      <c r="Y163" s="101"/>
    </row>
    <row r="164" spans="1:25" ht="22.5" customHeight="1">
      <c r="A164" s="101" t="s">
        <v>227</v>
      </c>
      <c r="B164" s="101" t="s">
        <v>228</v>
      </c>
      <c r="C164" s="101" t="s">
        <v>229</v>
      </c>
      <c r="D164" s="101"/>
      <c r="E164" s="21">
        <v>6.2789999999999999</v>
      </c>
      <c r="F164" s="21">
        <f>1.756+2.093</f>
        <v>3.8490000000000002</v>
      </c>
      <c r="G164" s="21">
        <v>1.117</v>
      </c>
      <c r="H164" s="21">
        <v>6.28</v>
      </c>
      <c r="I164" s="21">
        <f t="shared" si="20"/>
        <v>17.525000000000002</v>
      </c>
      <c r="J164" s="122">
        <f t="shared" si="31"/>
        <v>16.75</v>
      </c>
      <c r="K164" s="122">
        <v>9.35</v>
      </c>
      <c r="L164" s="122">
        <v>7.4</v>
      </c>
      <c r="M164" s="76">
        <v>3780.44</v>
      </c>
      <c r="N164" s="76">
        <v>3931.66</v>
      </c>
      <c r="O164" s="76">
        <v>1266.04</v>
      </c>
      <c r="P164" s="76">
        <v>1316.69</v>
      </c>
      <c r="Q164" s="10">
        <f t="shared" si="26"/>
        <v>15787.917600000001</v>
      </c>
      <c r="R164" s="10">
        <f t="shared" si="27"/>
        <v>9677.9256000000005</v>
      </c>
      <c r="S164" s="10">
        <f t="shared" si="28"/>
        <v>2920.9214899999997</v>
      </c>
      <c r="T164" s="10">
        <f t="shared" si="29"/>
        <v>16422.011599999998</v>
      </c>
      <c r="U164" s="10">
        <f t="shared" si="30"/>
        <v>44808.776290000002</v>
      </c>
      <c r="V164" s="101"/>
      <c r="W164" s="101"/>
      <c r="X164" s="101"/>
      <c r="Y164" s="101"/>
    </row>
    <row r="165" spans="1:25" ht="22.5" customHeight="1">
      <c r="A165" s="101" t="s">
        <v>227</v>
      </c>
      <c r="B165" s="101" t="s">
        <v>228</v>
      </c>
      <c r="C165" s="101" t="s">
        <v>230</v>
      </c>
      <c r="D165" s="101"/>
      <c r="E165" s="21">
        <v>7.6079999999999997</v>
      </c>
      <c r="F165" s="21">
        <f>2.127+2.536</f>
        <v>4.6630000000000003</v>
      </c>
      <c r="G165" s="21">
        <v>1.353</v>
      </c>
      <c r="H165" s="21">
        <v>7.6070000000000002</v>
      </c>
      <c r="I165" s="21">
        <f t="shared" si="20"/>
        <v>21.231000000000002</v>
      </c>
      <c r="J165" s="122">
        <f t="shared" si="31"/>
        <v>20.299999999999997</v>
      </c>
      <c r="K165" s="122">
        <v>12.2</v>
      </c>
      <c r="L165" s="122">
        <v>8.1</v>
      </c>
      <c r="M165" s="76">
        <v>3540.63</v>
      </c>
      <c r="N165" s="76">
        <v>3682.2552000000001</v>
      </c>
      <c r="O165" s="76">
        <v>1242.1400000000001</v>
      </c>
      <c r="P165" s="76">
        <v>1291.83</v>
      </c>
      <c r="Q165" s="10">
        <f t="shared" si="26"/>
        <v>17486.911919999999</v>
      </c>
      <c r="R165" s="10">
        <f t="shared" si="27"/>
        <v>10717.85887</v>
      </c>
      <c r="S165" s="10">
        <f t="shared" si="28"/>
        <v>3234.2452956000002</v>
      </c>
      <c r="T165" s="10">
        <f t="shared" si="29"/>
        <v>18183.9644964</v>
      </c>
      <c r="U165" s="10">
        <f t="shared" si="30"/>
        <v>49622.980582000004</v>
      </c>
      <c r="V165" s="101"/>
      <c r="W165" s="101"/>
      <c r="X165" s="101"/>
      <c r="Y165" s="101"/>
    </row>
    <row r="166" spans="1:25" ht="22.5" customHeight="1">
      <c r="A166" s="101" t="s">
        <v>227</v>
      </c>
      <c r="B166" s="101" t="s">
        <v>228</v>
      </c>
      <c r="C166" s="101" t="s">
        <v>231</v>
      </c>
      <c r="D166" s="101"/>
      <c r="E166" s="21">
        <v>17.231999999999999</v>
      </c>
      <c r="F166" s="21">
        <f>4.818+5.744</f>
        <v>10.561999999999999</v>
      </c>
      <c r="G166" s="21">
        <v>3.06</v>
      </c>
      <c r="H166" s="21">
        <v>17.45</v>
      </c>
      <c r="I166" s="21">
        <f t="shared" si="20"/>
        <v>48.303999999999995</v>
      </c>
      <c r="J166" s="122">
        <v>51.7</v>
      </c>
      <c r="K166" s="122">
        <v>31.19</v>
      </c>
      <c r="L166" s="122">
        <v>20.51</v>
      </c>
      <c r="M166" s="76">
        <v>3976.61</v>
      </c>
      <c r="N166" s="76">
        <v>4135.67</v>
      </c>
      <c r="O166" s="76">
        <v>1624.12</v>
      </c>
      <c r="P166" s="76">
        <v>1689.61</v>
      </c>
      <c r="Q166" s="10">
        <f t="shared" si="26"/>
        <v>40538.107680000001</v>
      </c>
      <c r="R166" s="10">
        <f t="shared" si="27"/>
        <v>24846.999380000001</v>
      </c>
      <c r="S166" s="10">
        <f t="shared" si="28"/>
        <v>7484.9436000000014</v>
      </c>
      <c r="T166" s="10">
        <f t="shared" si="29"/>
        <v>42683.747000000003</v>
      </c>
      <c r="U166" s="10">
        <f t="shared" si="30"/>
        <v>115553.79766000001</v>
      </c>
      <c r="V166" s="101"/>
      <c r="W166" s="101"/>
      <c r="X166" s="101"/>
      <c r="Y166" s="101"/>
    </row>
    <row r="167" spans="1:25" ht="22.5" customHeight="1">
      <c r="A167" s="101" t="s">
        <v>232</v>
      </c>
      <c r="B167" s="101" t="s">
        <v>233</v>
      </c>
      <c r="C167" s="101" t="s">
        <v>234</v>
      </c>
      <c r="D167" s="101"/>
      <c r="E167" s="21">
        <v>16.134</v>
      </c>
      <c r="F167" s="21">
        <f>5.378+3.498</f>
        <v>8.8760000000000012</v>
      </c>
      <c r="G167" s="21">
        <v>2.8679999999999999</v>
      </c>
      <c r="H167" s="21">
        <v>16.134</v>
      </c>
      <c r="I167" s="21">
        <f t="shared" si="20"/>
        <v>44.012</v>
      </c>
      <c r="J167" s="122">
        <f t="shared" si="31"/>
        <v>76.100999999999999</v>
      </c>
      <c r="K167" s="122">
        <v>42.997</v>
      </c>
      <c r="L167" s="122">
        <v>33.103999999999999</v>
      </c>
      <c r="M167" s="76">
        <v>3063.82</v>
      </c>
      <c r="N167" s="76">
        <v>3186.37</v>
      </c>
      <c r="O167" s="76">
        <v>1270.55</v>
      </c>
      <c r="P167" s="76">
        <v>1321.37</v>
      </c>
      <c r="Q167" s="10">
        <f t="shared" si="26"/>
        <v>28932.618180000005</v>
      </c>
      <c r="R167" s="10">
        <f t="shared" si="27"/>
        <v>15917.064520000004</v>
      </c>
      <c r="S167" s="10">
        <f t="shared" si="28"/>
        <v>5348.82</v>
      </c>
      <c r="T167" s="10">
        <f t="shared" si="29"/>
        <v>30089.91</v>
      </c>
      <c r="U167" s="10">
        <f t="shared" si="30"/>
        <v>80288.412700000001</v>
      </c>
      <c r="V167" s="101"/>
      <c r="W167" s="101"/>
      <c r="X167" s="101"/>
      <c r="Y167" s="101"/>
    </row>
    <row r="168" spans="1:25" ht="22.5" customHeight="1">
      <c r="A168" s="101" t="s">
        <v>235</v>
      </c>
      <c r="B168" s="101" t="s">
        <v>236</v>
      </c>
      <c r="C168" s="101" t="s">
        <v>237</v>
      </c>
      <c r="D168" s="101"/>
      <c r="E168" s="21">
        <v>2368.7579999999998</v>
      </c>
      <c r="F168" s="21">
        <f>789.586+611.224</f>
        <v>1400.81</v>
      </c>
      <c r="G168" s="21">
        <v>786.96199999999999</v>
      </c>
      <c r="H168" s="21">
        <v>1998.4559999999999</v>
      </c>
      <c r="I168" s="21">
        <f t="shared" si="20"/>
        <v>6554.9859999999999</v>
      </c>
      <c r="J168" s="122">
        <f t="shared" si="31"/>
        <v>6334.9</v>
      </c>
      <c r="K168" s="122">
        <v>3674.2420000000002</v>
      </c>
      <c r="L168" s="122">
        <v>2660.6579999999999</v>
      </c>
      <c r="M168" s="76">
        <v>3720.61</v>
      </c>
      <c r="N168" s="76">
        <f>M168</f>
        <v>3720.61</v>
      </c>
      <c r="O168" s="76">
        <v>1336.39</v>
      </c>
      <c r="P168" s="76">
        <v>1389.85</v>
      </c>
      <c r="Q168" s="10">
        <f t="shared" si="26"/>
        <v>5647640.1987600001</v>
      </c>
      <c r="R168" s="10">
        <f t="shared" si="27"/>
        <v>3339839.2182</v>
      </c>
      <c r="S168" s="10">
        <f t="shared" si="28"/>
        <v>1834219.5511200002</v>
      </c>
      <c r="T168" s="10">
        <f t="shared" si="29"/>
        <v>4657921.3065600004</v>
      </c>
      <c r="U168" s="10">
        <f t="shared" si="30"/>
        <v>15479620.274640001</v>
      </c>
      <c r="V168" s="101"/>
      <c r="W168" s="101"/>
      <c r="X168" s="101"/>
      <c r="Y168" s="101"/>
    </row>
    <row r="169" spans="1:25" ht="22.5" customHeight="1">
      <c r="A169" s="101" t="s">
        <v>370</v>
      </c>
      <c r="B169" s="101" t="s">
        <v>371</v>
      </c>
      <c r="C169" s="101" t="s">
        <v>372</v>
      </c>
      <c r="D169" s="101"/>
      <c r="E169" s="21">
        <v>55</v>
      </c>
      <c r="F169" s="21">
        <f>12.839+10.962</f>
        <v>23.801000000000002</v>
      </c>
      <c r="G169" s="21">
        <v>4</v>
      </c>
      <c r="H169" s="21">
        <v>45</v>
      </c>
      <c r="I169" s="21">
        <f t="shared" si="20"/>
        <v>127.801</v>
      </c>
      <c r="J169" s="122">
        <f t="shared" si="31"/>
        <v>116.4</v>
      </c>
      <c r="K169" s="122">
        <v>65.417000000000002</v>
      </c>
      <c r="L169" s="122">
        <v>50.982999999999997</v>
      </c>
      <c r="M169" s="76">
        <v>4094.85</v>
      </c>
      <c r="N169" s="76">
        <v>4258.6400000000003</v>
      </c>
      <c r="O169" s="76">
        <v>1711.27</v>
      </c>
      <c r="P169" s="76">
        <v>1779.72</v>
      </c>
      <c r="Q169" s="10">
        <f t="shared" si="26"/>
        <v>131096.9</v>
      </c>
      <c r="R169" s="10">
        <f t="shared" si="27"/>
        <v>56731.587579999999</v>
      </c>
      <c r="S169" s="10">
        <f t="shared" si="28"/>
        <v>9915.68</v>
      </c>
      <c r="T169" s="10">
        <f t="shared" si="29"/>
        <v>111551.40000000001</v>
      </c>
      <c r="U169" s="10">
        <f t="shared" si="30"/>
        <v>309295.56757999997</v>
      </c>
      <c r="V169" s="101"/>
      <c r="W169" s="101"/>
      <c r="X169" s="101"/>
      <c r="Y169" s="101"/>
    </row>
    <row r="170" spans="1:25" ht="22.5" customHeight="1">
      <c r="A170" s="101" t="s">
        <v>389</v>
      </c>
      <c r="B170" s="101" t="s">
        <v>390</v>
      </c>
      <c r="C170" s="101" t="s">
        <v>391</v>
      </c>
      <c r="D170" s="101"/>
      <c r="E170" s="21">
        <v>10.332000000000001</v>
      </c>
      <c r="F170" s="21">
        <v>1.25</v>
      </c>
      <c r="G170" s="21">
        <v>0.49</v>
      </c>
      <c r="H170" s="21">
        <v>3.02</v>
      </c>
      <c r="I170" s="21">
        <f t="shared" si="20"/>
        <v>15.092000000000001</v>
      </c>
      <c r="J170" s="122">
        <f t="shared" si="31"/>
        <v>8.85</v>
      </c>
      <c r="K170" s="122">
        <v>5.34</v>
      </c>
      <c r="L170" s="122">
        <v>3.51</v>
      </c>
      <c r="M170" s="76">
        <v>3372.99</v>
      </c>
      <c r="N170" s="76">
        <v>3507.9096</v>
      </c>
      <c r="O170" s="76">
        <v>1711.11</v>
      </c>
      <c r="P170" s="76">
        <v>1779.56</v>
      </c>
      <c r="Q170" s="10">
        <f t="shared" si="26"/>
        <v>17170.544160000001</v>
      </c>
      <c r="R170" s="10">
        <f t="shared" si="27"/>
        <v>2077.35</v>
      </c>
      <c r="S170" s="10">
        <f t="shared" si="28"/>
        <v>846.89130399999999</v>
      </c>
      <c r="T170" s="10">
        <f t="shared" si="29"/>
        <v>5219.6157920000005</v>
      </c>
      <c r="U170" s="10">
        <f t="shared" si="30"/>
        <v>25314.401256000001</v>
      </c>
      <c r="V170" s="101"/>
      <c r="W170" s="101"/>
      <c r="X170" s="101"/>
      <c r="Y170" s="101"/>
    </row>
    <row r="171" spans="1:25" ht="22.5" customHeight="1">
      <c r="A171" s="101" t="s">
        <v>381</v>
      </c>
      <c r="B171" s="101" t="s">
        <v>382</v>
      </c>
      <c r="C171" s="101" t="s">
        <v>383</v>
      </c>
      <c r="D171" s="101"/>
      <c r="E171" s="21">
        <v>50.088000000000001</v>
      </c>
      <c r="F171" s="21">
        <f>78.901-E171</f>
        <v>28.812999999999995</v>
      </c>
      <c r="G171" s="21">
        <v>8.9</v>
      </c>
      <c r="H171" s="21">
        <v>50.1</v>
      </c>
      <c r="I171" s="21">
        <f t="shared" si="20"/>
        <v>137.90100000000001</v>
      </c>
      <c r="J171" s="122">
        <f t="shared" si="31"/>
        <v>330.4</v>
      </c>
      <c r="K171" s="122">
        <v>185.024</v>
      </c>
      <c r="L171" s="122">
        <v>145.376</v>
      </c>
      <c r="M171" s="76">
        <v>3480.25</v>
      </c>
      <c r="N171" s="76">
        <v>3619.46</v>
      </c>
      <c r="O171" s="76">
        <v>1516.37</v>
      </c>
      <c r="P171" s="76">
        <v>1577.03</v>
      </c>
      <c r="Q171" s="10">
        <f t="shared" si="26"/>
        <v>98366.821440000014</v>
      </c>
      <c r="R171" s="10">
        <f t="shared" si="27"/>
        <v>56585.274439999994</v>
      </c>
      <c r="S171" s="10">
        <f t="shared" si="28"/>
        <v>18177.627</v>
      </c>
      <c r="T171" s="10">
        <f t="shared" si="29"/>
        <v>102325.743</v>
      </c>
      <c r="U171" s="10">
        <f t="shared" si="30"/>
        <v>275455.46588000003</v>
      </c>
      <c r="V171" s="101"/>
      <c r="W171" s="101"/>
      <c r="X171" s="101"/>
      <c r="Y171" s="101"/>
    </row>
    <row r="172" spans="1:25" ht="25.5" customHeight="1">
      <c r="A172" s="131" t="s">
        <v>240</v>
      </c>
      <c r="B172" s="132"/>
      <c r="C172" s="132"/>
      <c r="D172" s="135"/>
      <c r="E172" s="21"/>
      <c r="F172" s="21"/>
      <c r="G172" s="21"/>
      <c r="H172" s="21"/>
      <c r="I172" s="21"/>
      <c r="J172" s="21"/>
      <c r="K172" s="21"/>
      <c r="L172" s="21"/>
      <c r="M172" s="76"/>
      <c r="N172" s="76"/>
      <c r="O172" s="76"/>
      <c r="P172" s="76"/>
      <c r="Q172" s="10">
        <f t="shared" si="26"/>
        <v>0</v>
      </c>
      <c r="R172" s="10">
        <f t="shared" si="27"/>
        <v>0</v>
      </c>
      <c r="S172" s="10">
        <f t="shared" si="28"/>
        <v>0</v>
      </c>
      <c r="T172" s="10">
        <f t="shared" si="29"/>
        <v>0</v>
      </c>
      <c r="U172" s="10">
        <f t="shared" si="30"/>
        <v>0</v>
      </c>
      <c r="V172" s="101"/>
      <c r="W172" s="101"/>
      <c r="X172" s="101"/>
      <c r="Y172" s="101"/>
    </row>
    <row r="173" spans="1:25" ht="27" customHeight="1">
      <c r="A173" s="101" t="s">
        <v>238</v>
      </c>
      <c r="B173" s="121" t="s">
        <v>239</v>
      </c>
      <c r="C173" s="101" t="s">
        <v>241</v>
      </c>
      <c r="D173" s="101"/>
      <c r="E173" s="21">
        <v>6664.0249999999996</v>
      </c>
      <c r="F173" s="21">
        <f>2084.866+10.526+2050.69+132.816</f>
        <v>4278.8980000000001</v>
      </c>
      <c r="G173" s="21">
        <v>1739.1679999999999</v>
      </c>
      <c r="H173" s="21">
        <v>6648.7470000000003</v>
      </c>
      <c r="I173" s="21">
        <f t="shared" si="20"/>
        <v>19330.838</v>
      </c>
      <c r="J173" s="21">
        <f t="shared" ref="J173:J188" si="32">SUM(K173:L173)</f>
        <v>21609.199999999997</v>
      </c>
      <c r="K173" s="21">
        <v>11885.06</v>
      </c>
      <c r="L173" s="21">
        <v>9724.14</v>
      </c>
      <c r="M173" s="76">
        <v>3530.24</v>
      </c>
      <c r="N173" s="76">
        <v>3671.45</v>
      </c>
      <c r="O173" s="76">
        <v>1116.06</v>
      </c>
      <c r="P173" s="76">
        <v>1160.7</v>
      </c>
      <c r="Q173" s="10">
        <f t="shared" si="26"/>
        <v>16088155.874499997</v>
      </c>
      <c r="R173" s="10">
        <f t="shared" si="27"/>
        <v>10330029.97364</v>
      </c>
      <c r="S173" s="10">
        <f t="shared" si="28"/>
        <v>4366616.0559999999</v>
      </c>
      <c r="T173" s="10">
        <f t="shared" si="29"/>
        <v>16693341.53025</v>
      </c>
      <c r="U173" s="10">
        <f t="shared" si="30"/>
        <v>47478143.434389994</v>
      </c>
      <c r="V173" s="101"/>
      <c r="W173" s="101"/>
      <c r="X173" s="101"/>
      <c r="Y173" s="101"/>
    </row>
    <row r="174" spans="1:25" ht="19.5" customHeight="1">
      <c r="A174" s="101" t="s">
        <v>242</v>
      </c>
      <c r="B174" s="101" t="s">
        <v>243</v>
      </c>
      <c r="C174" s="101" t="s">
        <v>244</v>
      </c>
      <c r="D174" s="101"/>
      <c r="E174" s="21">
        <v>3564.895</v>
      </c>
      <c r="F174" s="21">
        <f>1101.543+918.387+145.986</f>
        <v>2165.9159999999997</v>
      </c>
      <c r="G174" s="21">
        <v>433.959</v>
      </c>
      <c r="H174" s="21">
        <v>3093.2530000000002</v>
      </c>
      <c r="I174" s="21">
        <f t="shared" si="20"/>
        <v>9258.0229999999992</v>
      </c>
      <c r="J174" s="21">
        <f t="shared" si="32"/>
        <v>8035.3</v>
      </c>
      <c r="K174" s="21">
        <v>4821.18</v>
      </c>
      <c r="L174" s="21">
        <v>3214.12</v>
      </c>
      <c r="M174" s="76">
        <v>4642.34</v>
      </c>
      <c r="N174" s="76">
        <v>5260.16</v>
      </c>
      <c r="O174" s="76">
        <v>1316.95</v>
      </c>
      <c r="P174" s="76">
        <v>1369.63</v>
      </c>
      <c r="Q174" s="10">
        <f t="shared" si="26"/>
        <v>11854666.184050001</v>
      </c>
      <c r="R174" s="10">
        <f t="shared" si="27"/>
        <v>7202515.4072399996</v>
      </c>
      <c r="S174" s="10">
        <f t="shared" si="28"/>
        <v>1688330.5082699999</v>
      </c>
      <c r="T174" s="10">
        <f t="shared" si="29"/>
        <v>12034393.59409</v>
      </c>
      <c r="U174" s="10">
        <f t="shared" si="30"/>
        <v>32779905.69365</v>
      </c>
      <c r="V174" s="101"/>
      <c r="W174" s="101"/>
      <c r="X174" s="101"/>
      <c r="Y174" s="101"/>
    </row>
    <row r="175" spans="1:25" ht="19.5" customHeight="1">
      <c r="A175" s="101" t="s">
        <v>245</v>
      </c>
      <c r="B175" s="101" t="s">
        <v>246</v>
      </c>
      <c r="C175" s="101" t="s">
        <v>247</v>
      </c>
      <c r="D175" s="101"/>
      <c r="E175" s="21">
        <v>4307.4539999999997</v>
      </c>
      <c r="F175" s="21">
        <f>1230.433+1189.735+208.157-0.157</f>
        <v>2628.1679999999997</v>
      </c>
      <c r="G175" s="21">
        <v>477.37200000000001</v>
      </c>
      <c r="H175" s="21">
        <v>3710.2420000000002</v>
      </c>
      <c r="I175" s="21">
        <f t="shared" si="20"/>
        <v>11123.236000000001</v>
      </c>
      <c r="J175" s="21">
        <f t="shared" si="32"/>
        <v>9946.7999999999993</v>
      </c>
      <c r="K175" s="21">
        <v>5968.08</v>
      </c>
      <c r="L175" s="21">
        <v>3978.72</v>
      </c>
      <c r="M175" s="76">
        <v>4001.02</v>
      </c>
      <c r="N175" s="76">
        <v>4001.02</v>
      </c>
      <c r="O175" s="76">
        <v>1346.75</v>
      </c>
      <c r="P175" s="76">
        <v>1400.62</v>
      </c>
      <c r="Q175" s="10">
        <f t="shared" si="26"/>
        <v>11433145.928579999</v>
      </c>
      <c r="R175" s="10">
        <f t="shared" si="27"/>
        <v>6975867.477359999</v>
      </c>
      <c r="S175" s="10">
        <f t="shared" si="28"/>
        <v>1241358.1488000001</v>
      </c>
      <c r="T175" s="10">
        <f t="shared" si="29"/>
        <v>9648113.2968000006</v>
      </c>
      <c r="U175" s="10">
        <f t="shared" si="30"/>
        <v>29298484.851539999</v>
      </c>
      <c r="V175" s="101"/>
      <c r="W175" s="101"/>
      <c r="X175" s="101"/>
      <c r="Y175" s="101"/>
    </row>
    <row r="176" spans="1:25" ht="19.5" customHeight="1">
      <c r="A176" s="101" t="s">
        <v>248</v>
      </c>
      <c r="B176" s="101" t="s">
        <v>249</v>
      </c>
      <c r="C176" s="101" t="s">
        <v>250</v>
      </c>
      <c r="D176" s="101" t="s">
        <v>251</v>
      </c>
      <c r="E176" s="21">
        <v>188.685</v>
      </c>
      <c r="F176" s="21">
        <f>63.11+63.11+12.622</f>
        <v>138.84199999999998</v>
      </c>
      <c r="G176" s="21">
        <v>37.737000000000002</v>
      </c>
      <c r="H176" s="21">
        <v>188.685</v>
      </c>
      <c r="I176" s="21">
        <f t="shared" si="20"/>
        <v>553.94900000000007</v>
      </c>
      <c r="J176" s="21">
        <f t="shared" si="32"/>
        <v>501.59999999999997</v>
      </c>
      <c r="K176" s="21">
        <v>280.89999999999998</v>
      </c>
      <c r="L176" s="21">
        <v>220.7</v>
      </c>
      <c r="M176" s="76">
        <v>4021.4</v>
      </c>
      <c r="N176" s="76">
        <v>4337.82</v>
      </c>
      <c r="O176" s="76">
        <v>1372.6470000000002</v>
      </c>
      <c r="P176" s="76">
        <v>1427.5528800000002</v>
      </c>
      <c r="Q176" s="10">
        <f t="shared" si="26"/>
        <v>499779.95980499993</v>
      </c>
      <c r="R176" s="10">
        <f t="shared" si="27"/>
        <v>367758.1640259999</v>
      </c>
      <c r="S176" s="10">
        <f t="shared" si="28"/>
        <v>109824.75030743999</v>
      </c>
      <c r="T176" s="10">
        <f t="shared" si="29"/>
        <v>549123.75153719995</v>
      </c>
      <c r="U176" s="10">
        <f t="shared" si="30"/>
        <v>1526486.6256756396</v>
      </c>
      <c r="V176" s="101"/>
      <c r="W176" s="101"/>
      <c r="X176" s="101"/>
      <c r="Y176" s="101"/>
    </row>
    <row r="177" spans="1:25" ht="19.5" customHeight="1">
      <c r="A177" s="101" t="s">
        <v>248</v>
      </c>
      <c r="B177" s="101" t="s">
        <v>249</v>
      </c>
      <c r="C177" s="101" t="s">
        <v>250</v>
      </c>
      <c r="D177" s="101" t="s">
        <v>252</v>
      </c>
      <c r="E177" s="21">
        <v>65.046999999999997</v>
      </c>
      <c r="F177" s="21">
        <f>14.605+19.913+3.983</f>
        <v>38.500999999999998</v>
      </c>
      <c r="G177" s="21">
        <v>13.54</v>
      </c>
      <c r="H177" s="21">
        <v>64.17</v>
      </c>
      <c r="I177" s="21">
        <f t="shared" si="20"/>
        <v>181.25799999999998</v>
      </c>
      <c r="J177" s="21">
        <f t="shared" si="32"/>
        <v>184.8</v>
      </c>
      <c r="K177" s="21">
        <v>104.042</v>
      </c>
      <c r="L177" s="21">
        <v>80.757999999999996</v>
      </c>
      <c r="M177" s="76">
        <v>4021.4</v>
      </c>
      <c r="N177" s="76">
        <f>N176</f>
        <v>4337.82</v>
      </c>
      <c r="O177" s="76">
        <v>1312.2</v>
      </c>
      <c r="P177" s="76">
        <v>1364.6830080000002</v>
      </c>
      <c r="Q177" s="10">
        <f t="shared" si="26"/>
        <v>176225.33239999998</v>
      </c>
      <c r="R177" s="10">
        <f t="shared" si="27"/>
        <v>104306.90919999998</v>
      </c>
      <c r="S177" s="10">
        <f t="shared" si="28"/>
        <v>40256.274871679991</v>
      </c>
      <c r="T177" s="10">
        <f t="shared" si="29"/>
        <v>190786.20077663998</v>
      </c>
      <c r="U177" s="10">
        <f t="shared" si="30"/>
        <v>511574.71724831994</v>
      </c>
      <c r="V177" s="101"/>
      <c r="W177" s="101"/>
      <c r="X177" s="101"/>
      <c r="Y177" s="101"/>
    </row>
    <row r="178" spans="1:25" ht="19.5" customHeight="1">
      <c r="A178" s="101" t="s">
        <v>253</v>
      </c>
      <c r="B178" s="101" t="s">
        <v>254</v>
      </c>
      <c r="C178" s="101" t="s">
        <v>250</v>
      </c>
      <c r="D178" s="101"/>
      <c r="E178" s="21">
        <v>2979.2190000000001</v>
      </c>
      <c r="F178" s="21">
        <f>886.508+829.936+168.749</f>
        <v>1885.193</v>
      </c>
      <c r="G178" s="21">
        <v>383.42</v>
      </c>
      <c r="H178" s="21">
        <v>2734.0749999999998</v>
      </c>
      <c r="I178" s="21">
        <f t="shared" si="20"/>
        <v>7981.9070000000002</v>
      </c>
      <c r="J178" s="21">
        <f t="shared" si="32"/>
        <v>7605.9</v>
      </c>
      <c r="K178" s="21">
        <v>4563.54</v>
      </c>
      <c r="L178" s="21">
        <v>3042.36</v>
      </c>
      <c r="M178" s="76">
        <v>3789.41</v>
      </c>
      <c r="N178" s="76">
        <v>3940.99</v>
      </c>
      <c r="O178" s="76">
        <v>1346.75</v>
      </c>
      <c r="P178" s="76">
        <v>1400.62</v>
      </c>
      <c r="Q178" s="10">
        <f t="shared" si="26"/>
        <v>7277219.0825399999</v>
      </c>
      <c r="R178" s="10">
        <f t="shared" si="27"/>
        <v>4604885.5333799999</v>
      </c>
      <c r="S178" s="10">
        <f t="shared" si="28"/>
        <v>974028.66540000006</v>
      </c>
      <c r="T178" s="10">
        <f t="shared" si="29"/>
        <v>6945562.1077499995</v>
      </c>
      <c r="U178" s="10">
        <f t="shared" si="30"/>
        <v>19801695.38907</v>
      </c>
      <c r="V178" s="101"/>
      <c r="W178" s="101"/>
      <c r="X178" s="101"/>
      <c r="Y178" s="101"/>
    </row>
    <row r="179" spans="1:25" ht="19.5" customHeight="1">
      <c r="A179" s="101" t="s">
        <v>253</v>
      </c>
      <c r="B179" s="101" t="s">
        <v>254</v>
      </c>
      <c r="C179" s="101" t="s">
        <v>255</v>
      </c>
      <c r="D179" s="101"/>
      <c r="E179" s="21">
        <v>1404.845</v>
      </c>
      <c r="F179" s="21">
        <f>445.1+410.898+94.287</f>
        <v>950.28500000000008</v>
      </c>
      <c r="G179" s="21">
        <v>221.845</v>
      </c>
      <c r="H179" s="21">
        <v>1348.83</v>
      </c>
      <c r="I179" s="21">
        <f t="shared" ref="I179:I230" si="33">SUM(E179:H179)</f>
        <v>3925.8049999999998</v>
      </c>
      <c r="J179" s="21">
        <f t="shared" si="32"/>
        <v>4375.1000000000004</v>
      </c>
      <c r="K179" s="21">
        <v>2625.06</v>
      </c>
      <c r="L179" s="21">
        <v>1750.04</v>
      </c>
      <c r="M179" s="76">
        <v>4010.72</v>
      </c>
      <c r="N179" s="76">
        <v>4171.1499999999996</v>
      </c>
      <c r="O179" s="76">
        <v>1346.75</v>
      </c>
      <c r="P179" s="76">
        <v>1400.62</v>
      </c>
      <c r="Q179" s="10">
        <f t="shared" si="26"/>
        <v>3742464.9346499997</v>
      </c>
      <c r="R179" s="10">
        <f t="shared" si="27"/>
        <v>2531530.7314499998</v>
      </c>
      <c r="S179" s="10">
        <f t="shared" si="28"/>
        <v>614628.22784999991</v>
      </c>
      <c r="T179" s="10">
        <f t="shared" si="29"/>
        <v>3736973.9798999997</v>
      </c>
      <c r="U179" s="10">
        <f t="shared" si="30"/>
        <v>10625597.873849999</v>
      </c>
      <c r="V179" s="101"/>
      <c r="W179" s="101"/>
      <c r="X179" s="101"/>
      <c r="Y179" s="101"/>
    </row>
    <row r="180" spans="1:25" ht="19.5" customHeight="1">
      <c r="A180" s="101" t="s">
        <v>253</v>
      </c>
      <c r="B180" s="101" t="s">
        <v>254</v>
      </c>
      <c r="C180" s="101" t="s">
        <v>21</v>
      </c>
      <c r="D180" s="101"/>
      <c r="E180" s="21">
        <v>1538.915</v>
      </c>
      <c r="F180" s="21">
        <f>493.195+478.979+105.46</f>
        <v>1077.634</v>
      </c>
      <c r="G180" s="21">
        <v>278.87400000000002</v>
      </c>
      <c r="H180" s="21">
        <v>1690.2560000000001</v>
      </c>
      <c r="I180" s="21">
        <f t="shared" si="33"/>
        <v>4585.6790000000001</v>
      </c>
      <c r="J180" s="21">
        <f t="shared" si="32"/>
        <v>4475.3</v>
      </c>
      <c r="K180" s="21">
        <v>2506.1680000000001</v>
      </c>
      <c r="L180" s="21">
        <v>1969.1320000000001</v>
      </c>
      <c r="M180" s="76">
        <v>3473.49</v>
      </c>
      <c r="N180" s="76">
        <f>M180</f>
        <v>3473.49</v>
      </c>
      <c r="O180" s="76">
        <v>1346.75</v>
      </c>
      <c r="P180" s="76">
        <v>1400.62</v>
      </c>
      <c r="Q180" s="10">
        <f t="shared" si="26"/>
        <v>3272872.0870999997</v>
      </c>
      <c r="R180" s="10">
        <f t="shared" si="27"/>
        <v>2291847.3331599999</v>
      </c>
      <c r="S180" s="10">
        <f t="shared" si="28"/>
        <v>578069.54838000005</v>
      </c>
      <c r="T180" s="10">
        <f t="shared" si="29"/>
        <v>3503680.9547199998</v>
      </c>
      <c r="U180" s="10">
        <f t="shared" si="30"/>
        <v>9646469.9233599994</v>
      </c>
      <c r="V180" s="101"/>
      <c r="W180" s="101"/>
      <c r="X180" s="101"/>
      <c r="Y180" s="101"/>
    </row>
    <row r="181" spans="1:25" ht="19.5" customHeight="1">
      <c r="A181" s="101" t="s">
        <v>256</v>
      </c>
      <c r="B181" s="101" t="s">
        <v>257</v>
      </c>
      <c r="C181" s="101" t="s">
        <v>247</v>
      </c>
      <c r="D181" s="101" t="s">
        <v>258</v>
      </c>
      <c r="E181" s="21">
        <v>475.00400000000002</v>
      </c>
      <c r="F181" s="21">
        <f>131.371+110.71+49.405</f>
        <v>291.48599999999999</v>
      </c>
      <c r="G181" s="21">
        <v>123.233</v>
      </c>
      <c r="H181" s="21">
        <v>452.09500000000003</v>
      </c>
      <c r="I181" s="21">
        <f t="shared" si="33"/>
        <v>1341.818</v>
      </c>
      <c r="J181" s="21">
        <f t="shared" si="32"/>
        <v>1251.6199999999999</v>
      </c>
      <c r="K181" s="21">
        <v>750.97199999999998</v>
      </c>
      <c r="L181" s="21">
        <v>500.64800000000002</v>
      </c>
      <c r="M181" s="76">
        <v>5498.47</v>
      </c>
      <c r="N181" s="76">
        <v>5718.41</v>
      </c>
      <c r="O181" s="76">
        <v>1346.75</v>
      </c>
      <c r="P181" s="76">
        <v>1400.62</v>
      </c>
      <c r="Q181" s="10">
        <f t="shared" si="26"/>
        <v>1972083.6068800001</v>
      </c>
      <c r="R181" s="10">
        <f t="shared" si="27"/>
        <v>1210168.2559200001</v>
      </c>
      <c r="S181" s="10">
        <f t="shared" si="28"/>
        <v>532094.21507000003</v>
      </c>
      <c r="T181" s="10">
        <f t="shared" si="29"/>
        <v>1952051.2700500002</v>
      </c>
      <c r="U181" s="10">
        <f t="shared" si="30"/>
        <v>5666397.3479200006</v>
      </c>
      <c r="V181" s="101"/>
      <c r="W181" s="101"/>
      <c r="X181" s="101"/>
      <c r="Y181" s="101"/>
    </row>
    <row r="182" spans="1:25" ht="19.5" customHeight="1">
      <c r="A182" s="101" t="s">
        <v>256</v>
      </c>
      <c r="B182" s="101" t="s">
        <v>257</v>
      </c>
      <c r="C182" s="101" t="s">
        <v>247</v>
      </c>
      <c r="D182" s="101" t="s">
        <v>259</v>
      </c>
      <c r="E182" s="21">
        <v>384.93599999999998</v>
      </c>
      <c r="F182" s="21">
        <f>128.313+128.313+25.663</f>
        <v>282.28899999999999</v>
      </c>
      <c r="G182" s="21">
        <v>93.045000000000002</v>
      </c>
      <c r="H182" s="21">
        <v>341.74700000000001</v>
      </c>
      <c r="I182" s="21">
        <f t="shared" si="33"/>
        <v>1102.0169999999998</v>
      </c>
      <c r="J182" s="21">
        <f t="shared" si="32"/>
        <v>1086.98</v>
      </c>
      <c r="K182" s="21">
        <v>652.18799999999999</v>
      </c>
      <c r="L182" s="21">
        <v>434.79199999999997</v>
      </c>
      <c r="M182" s="76">
        <v>5498.47</v>
      </c>
      <c r="N182" s="76">
        <f>N181</f>
        <v>5718.41</v>
      </c>
      <c r="O182" s="76">
        <v>1307.26</v>
      </c>
      <c r="P182" s="76">
        <v>1400.62</v>
      </c>
      <c r="Q182" s="10">
        <f t="shared" si="26"/>
        <v>1613347.61256</v>
      </c>
      <c r="R182" s="10">
        <f t="shared" si="27"/>
        <v>1183132.4796899999</v>
      </c>
      <c r="S182" s="10">
        <f t="shared" si="28"/>
        <v>401748.77055000002</v>
      </c>
      <c r="T182" s="10">
        <f t="shared" si="29"/>
        <v>1475591.7791300002</v>
      </c>
      <c r="U182" s="10">
        <f t="shared" si="30"/>
        <v>4673820.6419299999</v>
      </c>
      <c r="V182" s="101"/>
      <c r="W182" s="101"/>
      <c r="X182" s="101"/>
      <c r="Y182" s="101"/>
    </row>
    <row r="183" spans="1:25" ht="19.5" customHeight="1">
      <c r="A183" s="101" t="s">
        <v>260</v>
      </c>
      <c r="B183" s="101" t="s">
        <v>261</v>
      </c>
      <c r="C183" s="101" t="s">
        <v>262</v>
      </c>
      <c r="D183" s="101"/>
      <c r="E183" s="21">
        <v>2157.5250000000001</v>
      </c>
      <c r="F183" s="21">
        <f>719.175+719.175+143.835</f>
        <v>1582.1849999999999</v>
      </c>
      <c r="G183" s="21">
        <v>430.58</v>
      </c>
      <c r="H183" s="21">
        <v>2154.4670000000001</v>
      </c>
      <c r="I183" s="21">
        <f t="shared" si="33"/>
        <v>6324.7569999999996</v>
      </c>
      <c r="J183" s="21">
        <f t="shared" si="32"/>
        <v>6121</v>
      </c>
      <c r="K183" s="21">
        <v>3672.6</v>
      </c>
      <c r="L183" s="21">
        <v>2448.4</v>
      </c>
      <c r="M183" s="76">
        <v>3741.23</v>
      </c>
      <c r="N183" s="76">
        <v>4390.72</v>
      </c>
      <c r="O183" s="76">
        <v>1287.44</v>
      </c>
      <c r="P183" s="76">
        <v>1338.93</v>
      </c>
      <c r="Q183" s="10">
        <f t="shared" si="26"/>
        <v>5294113.26975</v>
      </c>
      <c r="R183" s="10">
        <f t="shared" si="27"/>
        <v>3882349.7311499999</v>
      </c>
      <c r="S183" s="10">
        <f t="shared" si="28"/>
        <v>1314039.7382</v>
      </c>
      <c r="T183" s="10">
        <f t="shared" si="29"/>
        <v>6574980.8459299998</v>
      </c>
      <c r="U183" s="10">
        <f t="shared" si="30"/>
        <v>17065483.585030001</v>
      </c>
      <c r="V183" s="101"/>
      <c r="W183" s="101"/>
      <c r="X183" s="101"/>
      <c r="Y183" s="101"/>
    </row>
    <row r="184" spans="1:25" ht="19.5" customHeight="1">
      <c r="A184" s="101" t="s">
        <v>263</v>
      </c>
      <c r="B184" s="101" t="s">
        <v>264</v>
      </c>
      <c r="C184" s="101" t="s">
        <v>247</v>
      </c>
      <c r="D184" s="101"/>
      <c r="E184" s="21">
        <v>3389.6669999999999</v>
      </c>
      <c r="F184" s="21">
        <f>1081.701+1053.851+204.643</f>
        <v>2340.1950000000002</v>
      </c>
      <c r="G184" s="21">
        <v>606.77</v>
      </c>
      <c r="H184" s="21">
        <v>3374.7510000000002</v>
      </c>
      <c r="I184" s="21">
        <f t="shared" si="33"/>
        <v>9711.3829999999998</v>
      </c>
      <c r="J184" s="21">
        <f t="shared" si="32"/>
        <v>9133.5</v>
      </c>
      <c r="K184" s="21">
        <v>4749.42</v>
      </c>
      <c r="L184" s="21">
        <v>4384.08</v>
      </c>
      <c r="M184" s="76">
        <v>3174.84</v>
      </c>
      <c r="N184" s="76">
        <v>3174.84</v>
      </c>
      <c r="O184" s="76">
        <v>1346.75</v>
      </c>
      <c r="P184" s="76">
        <v>1400.62</v>
      </c>
      <c r="Q184" s="10">
        <f t="shared" si="26"/>
        <v>6196616.3460300006</v>
      </c>
      <c r="R184" s="10">
        <f t="shared" si="27"/>
        <v>4278087.0775500005</v>
      </c>
      <c r="S184" s="10">
        <f t="shared" si="28"/>
        <v>1076543.4694000001</v>
      </c>
      <c r="T184" s="10">
        <f t="shared" si="29"/>
        <v>5987550.7192200013</v>
      </c>
      <c r="U184" s="10">
        <f t="shared" si="30"/>
        <v>17538797.612200003</v>
      </c>
      <c r="V184" s="101"/>
      <c r="W184" s="101"/>
      <c r="X184" s="101"/>
      <c r="Y184" s="101"/>
    </row>
    <row r="185" spans="1:25" ht="19.5" customHeight="1">
      <c r="A185" s="101" t="s">
        <v>265</v>
      </c>
      <c r="B185" s="101" t="s">
        <v>266</v>
      </c>
      <c r="C185" s="101" t="s">
        <v>247</v>
      </c>
      <c r="D185" s="101"/>
      <c r="E185" s="21">
        <v>1109.24</v>
      </c>
      <c r="F185" s="21">
        <f>346.533+383.71+62.69</f>
        <v>792.93299999999999</v>
      </c>
      <c r="G185" s="21">
        <v>228.94499999999999</v>
      </c>
      <c r="H185" s="21">
        <v>1165.2339999999999</v>
      </c>
      <c r="I185" s="21">
        <f t="shared" si="33"/>
        <v>3296.3519999999999</v>
      </c>
      <c r="J185" s="21">
        <f t="shared" si="32"/>
        <v>3338.2</v>
      </c>
      <c r="K185" s="21">
        <v>1836.01</v>
      </c>
      <c r="L185" s="21">
        <v>1502.19</v>
      </c>
      <c r="M185" s="76">
        <v>3701.27</v>
      </c>
      <c r="N185" s="76">
        <v>3849.32</v>
      </c>
      <c r="O185" s="76">
        <v>1357.11</v>
      </c>
      <c r="P185" s="76">
        <v>1411.39</v>
      </c>
      <c r="Q185" s="10">
        <f t="shared" si="26"/>
        <v>2600236.0384</v>
      </c>
      <c r="R185" s="10">
        <f t="shared" si="27"/>
        <v>1858761.8212799998</v>
      </c>
      <c r="S185" s="10">
        <f t="shared" si="28"/>
        <v>558151.8838500001</v>
      </c>
      <c r="T185" s="10">
        <f t="shared" si="29"/>
        <v>2840758.9256200003</v>
      </c>
      <c r="U185" s="10">
        <f t="shared" si="30"/>
        <v>7857908.6691500004</v>
      </c>
      <c r="V185" s="101"/>
      <c r="W185" s="101"/>
      <c r="X185" s="101"/>
      <c r="Y185" s="101"/>
    </row>
    <row r="186" spans="1:25" ht="19.5" customHeight="1">
      <c r="A186" s="101" t="s">
        <v>267</v>
      </c>
      <c r="B186" s="101" t="s">
        <v>268</v>
      </c>
      <c r="C186" s="101" t="s">
        <v>269</v>
      </c>
      <c r="D186" s="101"/>
      <c r="E186" s="21">
        <v>2815.26</v>
      </c>
      <c r="F186" s="21">
        <f>938.42+938.42+187.684</f>
        <v>2064.5239999999999</v>
      </c>
      <c r="G186" s="21">
        <v>563.05200000000002</v>
      </c>
      <c r="H186" s="21">
        <v>2815.26</v>
      </c>
      <c r="I186" s="21">
        <f t="shared" si="33"/>
        <v>8258.0959999999995</v>
      </c>
      <c r="J186" s="21">
        <f t="shared" si="32"/>
        <v>7612.8</v>
      </c>
      <c r="K186" s="21">
        <v>4567.68</v>
      </c>
      <c r="L186" s="21">
        <v>3045.12</v>
      </c>
      <c r="M186" s="76">
        <v>3939.42</v>
      </c>
      <c r="N186" s="76">
        <v>4097</v>
      </c>
      <c r="O186" s="76">
        <v>1287.44</v>
      </c>
      <c r="P186" s="76">
        <v>1338.93</v>
      </c>
      <c r="Q186" s="10">
        <f t="shared" si="26"/>
        <v>7466013.2148000002</v>
      </c>
      <c r="R186" s="10">
        <f t="shared" si="27"/>
        <v>5475076.3575200001</v>
      </c>
      <c r="S186" s="10">
        <f t="shared" si="28"/>
        <v>1552936.8296399999</v>
      </c>
      <c r="T186" s="10">
        <f t="shared" si="29"/>
        <v>7764684.1481999997</v>
      </c>
      <c r="U186" s="10">
        <f t="shared" si="30"/>
        <v>22258710.550159998</v>
      </c>
      <c r="V186" s="101"/>
      <c r="W186" s="101"/>
      <c r="X186" s="101"/>
      <c r="Y186" s="101"/>
    </row>
    <row r="187" spans="1:25" ht="19.5" customHeight="1">
      <c r="A187" s="101" t="s">
        <v>55</v>
      </c>
      <c r="B187" s="101" t="s">
        <v>56</v>
      </c>
      <c r="C187" s="101" t="s">
        <v>270</v>
      </c>
      <c r="D187" s="101"/>
      <c r="E187" s="21">
        <v>2847.0590000000002</v>
      </c>
      <c r="F187" s="21">
        <f>839.562+802.092+40.965</f>
        <v>1682.6189999999999</v>
      </c>
      <c r="G187" s="21">
        <v>970.52300000000002</v>
      </c>
      <c r="H187" s="21">
        <v>2783.665</v>
      </c>
      <c r="I187" s="21">
        <f>SUM(E187:H187)</f>
        <v>8283.866</v>
      </c>
      <c r="J187" s="21">
        <f t="shared" si="32"/>
        <v>7494.1</v>
      </c>
      <c r="K187" s="21">
        <v>4271.6369999999997</v>
      </c>
      <c r="L187" s="21">
        <v>3222.4630000000002</v>
      </c>
      <c r="M187" s="76">
        <v>5343.25</v>
      </c>
      <c r="N187" s="76">
        <v>5556.98</v>
      </c>
      <c r="O187" s="76">
        <v>1287.44</v>
      </c>
      <c r="P187" s="76">
        <v>1338.93</v>
      </c>
      <c r="Q187" s="10">
        <f t="shared" si="26"/>
        <v>11547130.362790002</v>
      </c>
      <c r="R187" s="10">
        <f t="shared" si="27"/>
        <v>6824382.9663899997</v>
      </c>
      <c r="S187" s="10">
        <f t="shared" si="28"/>
        <v>4093714.5401499993</v>
      </c>
      <c r="T187" s="10">
        <f t="shared" si="29"/>
        <v>11741638.153249998</v>
      </c>
      <c r="U187" s="10">
        <f t="shared" si="30"/>
        <v>34206866.022579998</v>
      </c>
      <c r="V187" s="101"/>
      <c r="W187" s="101"/>
      <c r="X187" s="101"/>
      <c r="Y187" s="101"/>
    </row>
    <row r="188" spans="1:25" ht="24" customHeight="1">
      <c r="A188" s="101" t="s">
        <v>446</v>
      </c>
      <c r="B188" s="101" t="s">
        <v>447</v>
      </c>
      <c r="C188" s="101" t="s">
        <v>270</v>
      </c>
      <c r="D188" s="101"/>
      <c r="E188" s="21">
        <v>53.567999999999998</v>
      </c>
      <c r="F188" s="21">
        <v>35.712000000000003</v>
      </c>
      <c r="G188" s="21">
        <v>14.144</v>
      </c>
      <c r="H188" s="21">
        <v>56.576000000000001</v>
      </c>
      <c r="I188" s="21">
        <f>SUM(E188:H188)</f>
        <v>160</v>
      </c>
      <c r="J188" s="21">
        <f t="shared" si="32"/>
        <v>160</v>
      </c>
      <c r="K188" s="21">
        <v>89.28</v>
      </c>
      <c r="L188" s="21">
        <v>70.72</v>
      </c>
      <c r="M188" s="76">
        <v>1709.46</v>
      </c>
      <c r="N188" s="76">
        <v>1709.46</v>
      </c>
      <c r="O188" s="76">
        <v>1027.42</v>
      </c>
      <c r="P188" s="76">
        <v>1068.52</v>
      </c>
      <c r="Q188" s="10">
        <f t="shared" si="26"/>
        <v>36535.51872</v>
      </c>
      <c r="R188" s="10">
        <f t="shared" si="27"/>
        <v>24357.012480000001</v>
      </c>
      <c r="S188" s="10">
        <f t="shared" si="28"/>
        <v>9065.4553600000017</v>
      </c>
      <c r="T188" s="10">
        <f t="shared" si="29"/>
        <v>36261.821440000007</v>
      </c>
      <c r="U188" s="10">
        <f t="shared" si="30"/>
        <v>106219.80800000002</v>
      </c>
      <c r="V188" s="101"/>
      <c r="W188" s="101"/>
      <c r="X188" s="101"/>
      <c r="Y188" s="101"/>
    </row>
    <row r="189" spans="1:25" ht="24.75" customHeight="1">
      <c r="A189" s="101" t="s">
        <v>415</v>
      </c>
      <c r="B189" s="101" t="s">
        <v>414</v>
      </c>
      <c r="C189" s="101" t="s">
        <v>373</v>
      </c>
      <c r="D189" s="101" t="s">
        <v>374</v>
      </c>
      <c r="E189" s="21">
        <v>622.63599999999997</v>
      </c>
      <c r="F189" s="21">
        <v>375.92200000000003</v>
      </c>
      <c r="G189" s="21">
        <v>194.36600000000001</v>
      </c>
      <c r="H189" s="21">
        <v>622.63599999999997</v>
      </c>
      <c r="I189" s="21">
        <f>SUM(E189:H189)</f>
        <v>1815.56</v>
      </c>
      <c r="J189" s="21">
        <f>SUM(K189:L189)</f>
        <v>2287</v>
      </c>
      <c r="K189" s="21">
        <v>1257.8499999999999</v>
      </c>
      <c r="L189" s="21">
        <v>1029.1500000000001</v>
      </c>
      <c r="M189" s="76">
        <v>2992.79</v>
      </c>
      <c r="N189" s="76">
        <v>3202.29</v>
      </c>
      <c r="O189" s="76">
        <v>1091.05</v>
      </c>
      <c r="P189" s="76">
        <v>1134.69</v>
      </c>
      <c r="Q189" s="10">
        <f t="shared" si="26"/>
        <v>1184091.7866399998</v>
      </c>
      <c r="R189" s="10">
        <f t="shared" si="27"/>
        <v>714905.90428000002</v>
      </c>
      <c r="S189" s="10">
        <f t="shared" si="28"/>
        <v>401871.14160000003</v>
      </c>
      <c r="T189" s="10">
        <f t="shared" si="29"/>
        <v>1287362.1935999999</v>
      </c>
      <c r="U189" s="10">
        <f t="shared" si="30"/>
        <v>3588231.0261200001</v>
      </c>
      <c r="V189" s="101"/>
      <c r="W189" s="101"/>
      <c r="X189" s="101"/>
      <c r="Y189" s="101"/>
    </row>
    <row r="190" spans="1:25" ht="26.25" customHeight="1">
      <c r="A190" s="131" t="s">
        <v>273</v>
      </c>
      <c r="B190" s="132"/>
      <c r="C190" s="132"/>
      <c r="D190" s="135"/>
      <c r="E190" s="21"/>
      <c r="F190" s="21"/>
      <c r="G190" s="21"/>
      <c r="H190" s="21"/>
      <c r="I190" s="21"/>
      <c r="J190" s="21"/>
      <c r="K190" s="21"/>
      <c r="L190" s="21"/>
      <c r="M190" s="76"/>
      <c r="N190" s="76"/>
      <c r="O190" s="76"/>
      <c r="P190" s="76"/>
      <c r="Q190" s="10">
        <f t="shared" si="26"/>
        <v>0</v>
      </c>
      <c r="R190" s="10">
        <f t="shared" si="27"/>
        <v>0</v>
      </c>
      <c r="S190" s="10">
        <f t="shared" si="28"/>
        <v>0</v>
      </c>
      <c r="T190" s="10">
        <f t="shared" si="29"/>
        <v>0</v>
      </c>
      <c r="U190" s="10">
        <f t="shared" si="30"/>
        <v>0</v>
      </c>
      <c r="V190" s="101"/>
      <c r="W190" s="101"/>
      <c r="X190" s="101"/>
      <c r="Y190" s="101"/>
    </row>
    <row r="191" spans="1:25" ht="26.25" customHeight="1">
      <c r="A191" s="101" t="s">
        <v>271</v>
      </c>
      <c r="B191" s="101" t="s">
        <v>272</v>
      </c>
      <c r="C191" s="101" t="s">
        <v>274</v>
      </c>
      <c r="D191" s="101"/>
      <c r="E191" s="21">
        <v>1844.056</v>
      </c>
      <c r="F191" s="21">
        <f>601.302+405.153</f>
        <v>1006.455</v>
      </c>
      <c r="G191" s="21">
        <v>405.67399999999998</v>
      </c>
      <c r="H191" s="21">
        <v>1818.434</v>
      </c>
      <c r="I191" s="21">
        <f t="shared" si="33"/>
        <v>5074.6189999999997</v>
      </c>
      <c r="J191" s="21">
        <v>4661.3</v>
      </c>
      <c r="K191" s="21">
        <v>2811.83</v>
      </c>
      <c r="L191" s="21">
        <f t="shared" ref="L191:L197" si="34">J191-K191</f>
        <v>1849.4700000000003</v>
      </c>
      <c r="M191" s="76">
        <v>3970.84</v>
      </c>
      <c r="N191" s="76">
        <v>4370.4399999999996</v>
      </c>
      <c r="O191" s="76">
        <v>1827.92</v>
      </c>
      <c r="P191" s="76">
        <v>1901.041792</v>
      </c>
      <c r="Q191" s="10">
        <f t="shared" si="26"/>
        <v>3951664.4835200002</v>
      </c>
      <c r="R191" s="10">
        <f t="shared" si="27"/>
        <v>2156752.5486000003</v>
      </c>
      <c r="S191" s="10">
        <f t="shared" si="28"/>
        <v>1001770.6486321918</v>
      </c>
      <c r="T191" s="10">
        <f t="shared" si="29"/>
        <v>4490437.6609662715</v>
      </c>
      <c r="U191" s="10">
        <f t="shared" si="30"/>
        <v>11600625.341718465</v>
      </c>
      <c r="V191" s="101"/>
      <c r="W191" s="101"/>
      <c r="X191" s="101"/>
      <c r="Y191" s="101"/>
    </row>
    <row r="192" spans="1:25" ht="26.25" customHeight="1">
      <c r="A192" s="101" t="s">
        <v>275</v>
      </c>
      <c r="B192" s="101" t="s">
        <v>276</v>
      </c>
      <c r="C192" s="101" t="s">
        <v>274</v>
      </c>
      <c r="D192" s="101"/>
      <c r="E192" s="21">
        <v>2387.1410000000001</v>
      </c>
      <c r="F192" s="21">
        <f>787.394+531.314</f>
        <v>1318.7080000000001</v>
      </c>
      <c r="G192" s="21">
        <v>507.90899999999999</v>
      </c>
      <c r="H192" s="21">
        <f>2869.445-G192</f>
        <v>2361.5360000000001</v>
      </c>
      <c r="I192" s="21">
        <f t="shared" si="33"/>
        <v>6575.2939999999999</v>
      </c>
      <c r="J192" s="21">
        <v>6067.16</v>
      </c>
      <c r="K192" s="21">
        <f>J192*0.6032</f>
        <v>3659.7109119999996</v>
      </c>
      <c r="L192" s="21">
        <f t="shared" si="34"/>
        <v>2407.4490880000003</v>
      </c>
      <c r="M192" s="76">
        <v>3619.01</v>
      </c>
      <c r="N192" s="76">
        <v>3763.7704000000003</v>
      </c>
      <c r="O192" s="76">
        <v>1827.92</v>
      </c>
      <c r="P192" s="76">
        <v>1901.041792</v>
      </c>
      <c r="Q192" s="10">
        <f t="shared" si="26"/>
        <v>4275584.3736900007</v>
      </c>
      <c r="R192" s="10">
        <f t="shared" si="27"/>
        <v>2361924.7117200005</v>
      </c>
      <c r="S192" s="10">
        <f t="shared" si="28"/>
        <v>946096.62456067221</v>
      </c>
      <c r="T192" s="10">
        <f t="shared" si="29"/>
        <v>4398900.6660218891</v>
      </c>
      <c r="U192" s="10">
        <f t="shared" si="30"/>
        <v>11982506.375992563</v>
      </c>
      <c r="V192" s="101"/>
      <c r="W192" s="101"/>
      <c r="X192" s="101"/>
      <c r="Y192" s="101"/>
    </row>
    <row r="193" spans="1:25" ht="26.25" customHeight="1">
      <c r="A193" s="101" t="s">
        <v>275</v>
      </c>
      <c r="B193" s="101" t="s">
        <v>276</v>
      </c>
      <c r="C193" s="101" t="s">
        <v>277</v>
      </c>
      <c r="D193" s="101"/>
      <c r="E193" s="21">
        <v>551.23699999999997</v>
      </c>
      <c r="F193" s="21">
        <f>184.474+124.962</f>
        <v>309.43599999999998</v>
      </c>
      <c r="G193" s="21">
        <v>112.536</v>
      </c>
      <c r="H193" s="21">
        <f>664.867-G193</f>
        <v>552.3309999999999</v>
      </c>
      <c r="I193" s="21">
        <f t="shared" si="33"/>
        <v>1525.54</v>
      </c>
      <c r="J193" s="21">
        <v>1476.01</v>
      </c>
      <c r="K193" s="21">
        <f>J193*0.6032</f>
        <v>890.32923199999993</v>
      </c>
      <c r="L193" s="21">
        <f t="shared" si="34"/>
        <v>585.68076800000006</v>
      </c>
      <c r="M193" s="76">
        <v>3619.01</v>
      </c>
      <c r="N193" s="76">
        <v>3763.7704000000003</v>
      </c>
      <c r="O193" s="76">
        <v>1827.92</v>
      </c>
      <c r="P193" s="76">
        <v>1901.041792</v>
      </c>
      <c r="Q193" s="10">
        <f t="shared" si="26"/>
        <v>987315.07833000005</v>
      </c>
      <c r="R193" s="10">
        <f t="shared" si="27"/>
        <v>554227.72524000006</v>
      </c>
      <c r="S193" s="10">
        <f t="shared" si="28"/>
        <v>209624.02662988805</v>
      </c>
      <c r="T193" s="10">
        <f t="shared" si="29"/>
        <v>1028842.754785248</v>
      </c>
      <c r="U193" s="10">
        <f t="shared" si="30"/>
        <v>2780009.5849851361</v>
      </c>
      <c r="V193" s="101"/>
      <c r="W193" s="101"/>
      <c r="X193" s="101"/>
      <c r="Y193" s="101"/>
    </row>
    <row r="194" spans="1:25" ht="26.25" customHeight="1">
      <c r="A194" s="101" t="s">
        <v>49</v>
      </c>
      <c r="B194" s="101" t="s">
        <v>50</v>
      </c>
      <c r="C194" s="101" t="s">
        <v>278</v>
      </c>
      <c r="D194" s="101"/>
      <c r="E194" s="21">
        <v>102.798</v>
      </c>
      <c r="F194" s="21">
        <f>34.266+23.212</f>
        <v>57.477999999999994</v>
      </c>
      <c r="G194" s="21">
        <v>21.702000000000002</v>
      </c>
      <c r="H194" s="21">
        <v>102.798</v>
      </c>
      <c r="I194" s="21">
        <f t="shared" si="33"/>
        <v>284.77600000000001</v>
      </c>
      <c r="J194" s="21">
        <v>73.94</v>
      </c>
      <c r="K194" s="21">
        <v>44.88158</v>
      </c>
      <c r="L194" s="21">
        <f t="shared" si="34"/>
        <v>29.058419999999998</v>
      </c>
      <c r="M194" s="76">
        <v>4869.3999999999996</v>
      </c>
      <c r="N194" s="76">
        <v>5064.1759999999995</v>
      </c>
      <c r="O194" s="76">
        <v>1482.79</v>
      </c>
      <c r="P194" s="76">
        <v>1542.102016</v>
      </c>
      <c r="Q194" s="10">
        <f t="shared" si="26"/>
        <v>348136.73478</v>
      </c>
      <c r="R194" s="10">
        <f t="shared" si="27"/>
        <v>194655.56957999995</v>
      </c>
      <c r="S194" s="10">
        <f t="shared" si="28"/>
        <v>76436.049600768005</v>
      </c>
      <c r="T194" s="10">
        <f t="shared" si="29"/>
        <v>362062.16140723199</v>
      </c>
      <c r="U194" s="10">
        <f t="shared" si="30"/>
        <v>981290.51536799991</v>
      </c>
      <c r="V194" s="101"/>
      <c r="W194" s="101"/>
      <c r="X194" s="101"/>
      <c r="Y194" s="101"/>
    </row>
    <row r="195" spans="1:25" ht="26.25" customHeight="1">
      <c r="A195" s="101" t="s">
        <v>49</v>
      </c>
      <c r="B195" s="101" t="s">
        <v>50</v>
      </c>
      <c r="C195" s="101" t="s">
        <v>279</v>
      </c>
      <c r="D195" s="101" t="s">
        <v>280</v>
      </c>
      <c r="E195" s="21">
        <v>67.391999999999996</v>
      </c>
      <c r="F195" s="21">
        <f>22.464+18.116</f>
        <v>40.58</v>
      </c>
      <c r="G195" s="21">
        <v>11.808999999999999</v>
      </c>
      <c r="H195" s="21">
        <v>64.63</v>
      </c>
      <c r="I195" s="21">
        <f t="shared" si="33"/>
        <v>184.411</v>
      </c>
      <c r="J195" s="21">
        <v>180</v>
      </c>
      <c r="K195" s="21">
        <v>104.39999999999999</v>
      </c>
      <c r="L195" s="21">
        <f t="shared" si="34"/>
        <v>75.600000000000009</v>
      </c>
      <c r="M195" s="76">
        <v>4048.41</v>
      </c>
      <c r="N195" s="76">
        <v>5236.54</v>
      </c>
      <c r="O195" s="76">
        <v>1482.79</v>
      </c>
      <c r="P195" s="76">
        <v>1542.102016</v>
      </c>
      <c r="Q195" s="10">
        <f t="shared" si="26"/>
        <v>172902.26303999999</v>
      </c>
      <c r="R195" s="10">
        <f t="shared" si="27"/>
        <v>104112.8596</v>
      </c>
      <c r="S195" s="10">
        <f t="shared" si="28"/>
        <v>43627.618153055999</v>
      </c>
      <c r="T195" s="10">
        <f t="shared" si="29"/>
        <v>238771.52690591998</v>
      </c>
      <c r="U195" s="10">
        <f t="shared" si="30"/>
        <v>559414.26769897598</v>
      </c>
      <c r="V195" s="101"/>
      <c r="W195" s="101"/>
      <c r="X195" s="101"/>
      <c r="Y195" s="101"/>
    </row>
    <row r="196" spans="1:25" ht="26.25" customHeight="1">
      <c r="A196" s="101" t="s">
        <v>49</v>
      </c>
      <c r="B196" s="101" t="s">
        <v>50</v>
      </c>
      <c r="C196" s="101" t="s">
        <v>279</v>
      </c>
      <c r="D196" s="101" t="s">
        <v>281</v>
      </c>
      <c r="E196" s="21">
        <v>191.18700000000001</v>
      </c>
      <c r="F196" s="21">
        <f>63.729+51.394</f>
        <v>115.12299999999999</v>
      </c>
      <c r="G196" s="21">
        <v>21.242999999999999</v>
      </c>
      <c r="H196" s="21">
        <v>191.18700000000001</v>
      </c>
      <c r="I196" s="21">
        <f t="shared" si="33"/>
        <v>518.74</v>
      </c>
      <c r="J196" s="21">
        <v>508.9</v>
      </c>
      <c r="K196" s="21">
        <v>295.16199999999998</v>
      </c>
      <c r="L196" s="21">
        <f t="shared" si="34"/>
        <v>213.738</v>
      </c>
      <c r="M196" s="76">
        <v>4280.04</v>
      </c>
      <c r="N196" s="76">
        <v>4923.7</v>
      </c>
      <c r="O196" s="76">
        <v>1482.79</v>
      </c>
      <c r="P196" s="76">
        <v>1542.102016</v>
      </c>
      <c r="Q196" s="10">
        <f t="shared" si="26"/>
        <v>534797.83575000009</v>
      </c>
      <c r="R196" s="10">
        <f t="shared" si="27"/>
        <v>322027.81174999999</v>
      </c>
      <c r="S196" s="10">
        <f t="shared" si="28"/>
        <v>71835.28597411199</v>
      </c>
      <c r="T196" s="10">
        <f t="shared" si="29"/>
        <v>646517.57376700803</v>
      </c>
      <c r="U196" s="10">
        <f t="shared" si="30"/>
        <v>1575178.5072411201</v>
      </c>
      <c r="V196" s="101"/>
      <c r="W196" s="101"/>
      <c r="X196" s="101"/>
      <c r="Y196" s="101"/>
    </row>
    <row r="197" spans="1:25" ht="26.25" customHeight="1">
      <c r="A197" s="101" t="s">
        <v>49</v>
      </c>
      <c r="B197" s="101" t="s">
        <v>50</v>
      </c>
      <c r="C197" s="101" t="s">
        <v>32</v>
      </c>
      <c r="D197" s="101"/>
      <c r="E197" s="21">
        <v>76.650000000000006</v>
      </c>
      <c r="F197" s="21">
        <f>23.901+16.755</f>
        <v>40.655999999999999</v>
      </c>
      <c r="G197" s="21">
        <v>14.166</v>
      </c>
      <c r="H197" s="21">
        <v>72.103999999999999</v>
      </c>
      <c r="I197" s="21">
        <f t="shared" si="33"/>
        <v>203.57600000000002</v>
      </c>
      <c r="J197" s="21">
        <v>190.38</v>
      </c>
      <c r="K197" s="21">
        <v>110.42039999999999</v>
      </c>
      <c r="L197" s="21">
        <f t="shared" si="34"/>
        <v>79.959600000000009</v>
      </c>
      <c r="M197" s="76">
        <v>4184.7299999999996</v>
      </c>
      <c r="N197" s="76">
        <v>4352.1192000000001</v>
      </c>
      <c r="O197" s="76">
        <v>1162.1500000000001</v>
      </c>
      <c r="P197" s="76">
        <v>1208.6339200000002</v>
      </c>
      <c r="Q197" s="10">
        <f t="shared" si="26"/>
        <v>231680.75699999998</v>
      </c>
      <c r="R197" s="10">
        <f t="shared" si="27"/>
        <v>122886.01247999998</v>
      </c>
      <c r="S197" s="10">
        <f t="shared" si="28"/>
        <v>44530.612476479997</v>
      </c>
      <c r="T197" s="10">
        <f t="shared" si="29"/>
        <v>226657.86262911998</v>
      </c>
      <c r="U197" s="10">
        <f t="shared" si="30"/>
        <v>625755.24458559998</v>
      </c>
      <c r="V197" s="101"/>
      <c r="W197" s="101"/>
      <c r="X197" s="101"/>
      <c r="Y197" s="101"/>
    </row>
    <row r="198" spans="1:25" ht="27.75" customHeight="1">
      <c r="A198" s="131" t="s">
        <v>282</v>
      </c>
      <c r="B198" s="132"/>
      <c r="C198" s="132"/>
      <c r="D198" s="101"/>
      <c r="E198" s="21"/>
      <c r="F198" s="21"/>
      <c r="G198" s="21"/>
      <c r="H198" s="21"/>
      <c r="I198" s="21"/>
      <c r="J198" s="21"/>
      <c r="K198" s="21"/>
      <c r="L198" s="21"/>
      <c r="M198" s="76"/>
      <c r="N198" s="76"/>
      <c r="O198" s="76"/>
      <c r="P198" s="76"/>
      <c r="Q198" s="10">
        <f t="shared" si="26"/>
        <v>0</v>
      </c>
      <c r="R198" s="10">
        <f t="shared" si="27"/>
        <v>0</v>
      </c>
      <c r="S198" s="10">
        <f t="shared" si="28"/>
        <v>0</v>
      </c>
      <c r="T198" s="10">
        <f t="shared" si="29"/>
        <v>0</v>
      </c>
      <c r="U198" s="10">
        <f t="shared" si="30"/>
        <v>0</v>
      </c>
      <c r="V198" s="101"/>
      <c r="W198" s="101"/>
      <c r="X198" s="101"/>
      <c r="Y198" s="101"/>
    </row>
    <row r="199" spans="1:25" ht="21" customHeight="1">
      <c r="A199" s="101" t="s">
        <v>283</v>
      </c>
      <c r="B199" s="101" t="s">
        <v>284</v>
      </c>
      <c r="C199" s="101" t="s">
        <v>285</v>
      </c>
      <c r="D199" s="101"/>
      <c r="E199" s="21">
        <f>25396.879-355.314</f>
        <v>25041.565000000002</v>
      </c>
      <c r="F199" s="21">
        <f>7801.828+7606.198+1106.114</f>
        <v>16514.140000000003</v>
      </c>
      <c r="G199" s="21">
        <v>4319.2740000000003</v>
      </c>
      <c r="H199" s="21">
        <f>30267.294-G199</f>
        <v>25948.02</v>
      </c>
      <c r="I199" s="21">
        <f t="shared" si="33"/>
        <v>71822.998999999996</v>
      </c>
      <c r="J199" s="21">
        <v>65180</v>
      </c>
      <c r="K199" s="21">
        <f>J199*0.5813</f>
        <v>37889.134000000005</v>
      </c>
      <c r="L199" s="21">
        <f>J199-K199</f>
        <v>27290.865999999995</v>
      </c>
      <c r="M199" s="76">
        <v>3248.72</v>
      </c>
      <c r="N199" s="76">
        <v>3378.6687999999999</v>
      </c>
      <c r="O199" s="76">
        <v>1352.11</v>
      </c>
      <c r="P199" s="76">
        <v>1406.1989759999999</v>
      </c>
      <c r="Q199" s="10">
        <f t="shared" si="26"/>
        <v>47494082.59465</v>
      </c>
      <c r="R199" s="10">
        <f t="shared" si="27"/>
        <v>31320883.065400004</v>
      </c>
      <c r="S199" s="10">
        <f t="shared" si="28"/>
        <v>8519637.6265877765</v>
      </c>
      <c r="T199" s="10">
        <f t="shared" si="29"/>
        <v>51181686.442548484</v>
      </c>
      <c r="U199" s="10">
        <f t="shared" si="30"/>
        <v>138516289.72918627</v>
      </c>
      <c r="V199" s="101"/>
      <c r="W199" s="101"/>
      <c r="X199" s="101"/>
      <c r="Y199" s="101"/>
    </row>
    <row r="200" spans="1:25" ht="21" customHeight="1">
      <c r="A200" s="101" t="s">
        <v>283</v>
      </c>
      <c r="B200" s="101" t="s">
        <v>284</v>
      </c>
      <c r="C200" s="101" t="s">
        <v>286</v>
      </c>
      <c r="D200" s="101"/>
      <c r="E200" s="21">
        <v>1141.4159999999999</v>
      </c>
      <c r="F200" s="21">
        <f>419.971+390.011+2.421</f>
        <v>812.40300000000002</v>
      </c>
      <c r="G200" s="21">
        <v>371.84800000000001</v>
      </c>
      <c r="H200" s="21">
        <f>1501.788-G200</f>
        <v>1129.94</v>
      </c>
      <c r="I200" s="21">
        <f t="shared" si="33"/>
        <v>3455.607</v>
      </c>
      <c r="J200" s="21">
        <v>2994</v>
      </c>
      <c r="K200" s="21">
        <f>J200*0.5813</f>
        <v>1740.4122000000002</v>
      </c>
      <c r="L200" s="21">
        <f>J200-K200</f>
        <v>1253.5877999999998</v>
      </c>
      <c r="M200" s="76">
        <v>3248.72</v>
      </c>
      <c r="N200" s="76">
        <v>3378.6687999999999</v>
      </c>
      <c r="O200" s="76">
        <v>1352.11</v>
      </c>
      <c r="P200" s="76">
        <v>1406.1989759999999</v>
      </c>
      <c r="Q200" s="10">
        <f t="shared" si="26"/>
        <v>2164820.9997599996</v>
      </c>
      <c r="R200" s="10">
        <f t="shared" si="27"/>
        <v>1540811.65383</v>
      </c>
      <c r="S200" s="10">
        <f t="shared" si="28"/>
        <v>733458.95911475201</v>
      </c>
      <c r="T200" s="10">
        <f t="shared" si="29"/>
        <v>2228772.55293056</v>
      </c>
      <c r="U200" s="10">
        <f t="shared" si="30"/>
        <v>6667864.165635311</v>
      </c>
      <c r="V200" s="101"/>
      <c r="W200" s="101"/>
      <c r="X200" s="101"/>
      <c r="Y200" s="101"/>
    </row>
    <row r="201" spans="1:25" ht="21" customHeight="1">
      <c r="A201" s="101" t="s">
        <v>154</v>
      </c>
      <c r="B201" s="101" t="s">
        <v>155</v>
      </c>
      <c r="C201" s="101" t="s">
        <v>287</v>
      </c>
      <c r="D201" s="101"/>
      <c r="E201" s="21">
        <v>415.76100000000002</v>
      </c>
      <c r="F201" s="21">
        <f>138.587+138.587+41.576</f>
        <v>318.75</v>
      </c>
      <c r="G201" s="21">
        <v>73.912999999999997</v>
      </c>
      <c r="H201" s="21">
        <v>415.76100000000002</v>
      </c>
      <c r="I201" s="21">
        <f t="shared" si="33"/>
        <v>1224.1849999999999</v>
      </c>
      <c r="J201" s="21">
        <v>1327.12</v>
      </c>
      <c r="K201" s="21">
        <v>729.91600000000005</v>
      </c>
      <c r="L201" s="21">
        <f>J201-K201</f>
        <v>597.20399999999984</v>
      </c>
      <c r="M201" s="76">
        <v>4040.89</v>
      </c>
      <c r="N201" s="76">
        <v>4202.5255999999999</v>
      </c>
      <c r="O201" s="76">
        <v>1378.12</v>
      </c>
      <c r="P201" s="76">
        <v>1433.241264</v>
      </c>
      <c r="Q201" s="10">
        <f t="shared" si="26"/>
        <v>1107075.9179700001</v>
      </c>
      <c r="R201" s="10">
        <f t="shared" si="27"/>
        <v>848757.9375</v>
      </c>
      <c r="S201" s="10">
        <f t="shared" si="28"/>
        <v>204686.11312676797</v>
      </c>
      <c r="T201" s="10">
        <f t="shared" si="29"/>
        <v>1151360.424819696</v>
      </c>
      <c r="U201" s="10">
        <f t="shared" si="30"/>
        <v>3311880.3934164643</v>
      </c>
      <c r="V201" s="101"/>
      <c r="W201" s="101"/>
      <c r="X201" s="101"/>
      <c r="Y201" s="101"/>
    </row>
    <row r="202" spans="1:25" ht="21" customHeight="1">
      <c r="A202" s="101" t="s">
        <v>288</v>
      </c>
      <c r="B202" s="101" t="s">
        <v>289</v>
      </c>
      <c r="C202" s="101" t="s">
        <v>285</v>
      </c>
      <c r="D202" s="101"/>
      <c r="E202" s="21">
        <v>17.07</v>
      </c>
      <c r="F202" s="21">
        <f>5.69+5.69</f>
        <v>11.38</v>
      </c>
      <c r="G202" s="21">
        <v>2.85</v>
      </c>
      <c r="H202" s="21">
        <v>17.079999999999998</v>
      </c>
      <c r="I202" s="21">
        <f t="shared" si="33"/>
        <v>48.38</v>
      </c>
      <c r="J202" s="21">
        <v>46</v>
      </c>
      <c r="K202" s="21">
        <v>25.852000000000004</v>
      </c>
      <c r="L202" s="21">
        <f>J202-K202</f>
        <v>20.147999999999996</v>
      </c>
      <c r="M202" s="76">
        <v>3965.85</v>
      </c>
      <c r="N202" s="76">
        <v>4124.4840000000004</v>
      </c>
      <c r="O202" s="76">
        <v>1626.18</v>
      </c>
      <c r="P202" s="76">
        <v>1691.2249120000001</v>
      </c>
      <c r="Q202" s="10">
        <f t="shared" si="26"/>
        <v>39938.166900000004</v>
      </c>
      <c r="R202" s="10">
        <f t="shared" si="27"/>
        <v>26625.444600000003</v>
      </c>
      <c r="S202" s="10">
        <f t="shared" si="28"/>
        <v>6934.788400800001</v>
      </c>
      <c r="T202" s="10">
        <f t="shared" si="29"/>
        <v>41560.065223040001</v>
      </c>
      <c r="U202" s="10">
        <f t="shared" si="30"/>
        <v>115058.46512384</v>
      </c>
      <c r="V202" s="101"/>
      <c r="W202" s="101"/>
      <c r="X202" s="101"/>
      <c r="Y202" s="101"/>
    </row>
    <row r="203" spans="1:25" ht="21" customHeight="1">
      <c r="A203" s="101" t="s">
        <v>290</v>
      </c>
      <c r="B203" s="101" t="s">
        <v>291</v>
      </c>
      <c r="C203" s="101" t="s">
        <v>286</v>
      </c>
      <c r="D203" s="101"/>
      <c r="E203" s="21">
        <v>546.048</v>
      </c>
      <c r="F203" s="21">
        <f>182.016+182.016+36.055</f>
        <v>400.08699999999999</v>
      </c>
      <c r="G203" s="21">
        <v>97.075000000000003</v>
      </c>
      <c r="H203" s="21">
        <v>668.14400000000001</v>
      </c>
      <c r="I203" s="21">
        <f t="shared" si="33"/>
        <v>1711.354</v>
      </c>
      <c r="J203" s="21">
        <v>1522.6400000000003</v>
      </c>
      <c r="K203" s="21">
        <v>855.72368000000017</v>
      </c>
      <c r="L203" s="21">
        <f>J203-K203</f>
        <v>666.91632000000016</v>
      </c>
      <c r="M203" s="76">
        <v>5464.03</v>
      </c>
      <c r="N203" s="76">
        <v>5464.03</v>
      </c>
      <c r="O203" s="76">
        <v>1595.5</v>
      </c>
      <c r="P203" s="76">
        <v>1659.315008</v>
      </c>
      <c r="Q203" s="10">
        <f t="shared" si="26"/>
        <v>2112403.0694399998</v>
      </c>
      <c r="R203" s="10">
        <f t="shared" si="27"/>
        <v>1547748.5621099998</v>
      </c>
      <c r="S203" s="10">
        <f t="shared" si="28"/>
        <v>369342.70784839999</v>
      </c>
      <c r="T203" s="10">
        <f t="shared" si="29"/>
        <v>2542097.4936148478</v>
      </c>
      <c r="U203" s="10">
        <f t="shared" si="30"/>
        <v>6571591.8330132477</v>
      </c>
      <c r="V203" s="101"/>
      <c r="W203" s="101"/>
      <c r="X203" s="101"/>
      <c r="Y203" s="101"/>
    </row>
    <row r="204" spans="1:25" ht="21" customHeight="1">
      <c r="A204" s="101" t="s">
        <v>292</v>
      </c>
      <c r="B204" s="101" t="s">
        <v>293</v>
      </c>
      <c r="C204" s="101" t="s">
        <v>285</v>
      </c>
      <c r="D204" s="101"/>
      <c r="E204" s="21">
        <v>2633.4659999999999</v>
      </c>
      <c r="F204" s="21">
        <f>756.668+791.47+92.895</f>
        <v>1641.0329999999999</v>
      </c>
      <c r="G204" s="21">
        <v>620.47199999999998</v>
      </c>
      <c r="H204" s="21">
        <v>2474.4319999999998</v>
      </c>
      <c r="I204" s="21">
        <f t="shared" si="33"/>
        <v>7369.4029999999993</v>
      </c>
      <c r="J204" s="21">
        <f>SUM(K204:L204)</f>
        <v>6801.8809999999994</v>
      </c>
      <c r="K204" s="21">
        <v>3741.0349999999999</v>
      </c>
      <c r="L204" s="21">
        <v>3060.846</v>
      </c>
      <c r="M204" s="103">
        <v>2647.14</v>
      </c>
      <c r="N204" s="103">
        <v>2753.0255999999999</v>
      </c>
      <c r="O204" s="76">
        <v>1352.1</v>
      </c>
      <c r="P204" s="76">
        <v>1406.19</v>
      </c>
      <c r="Q204" s="10">
        <f t="shared" si="26"/>
        <v>3410443.8086399999</v>
      </c>
      <c r="R204" s="10">
        <f t="shared" si="27"/>
        <v>2125203.3763199998</v>
      </c>
      <c r="S204" s="10">
        <f t="shared" si="28"/>
        <v>835673.77840319986</v>
      </c>
      <c r="T204" s="10">
        <f t="shared" si="29"/>
        <v>3332653.1073791995</v>
      </c>
      <c r="U204" s="10">
        <f t="shared" si="30"/>
        <v>9703974.0707424004</v>
      </c>
      <c r="V204" s="101"/>
      <c r="W204" s="101"/>
      <c r="X204" s="101"/>
      <c r="Y204" s="101"/>
    </row>
    <row r="205" spans="1:25" ht="21.75" customHeight="1">
      <c r="A205" s="131" t="s">
        <v>295</v>
      </c>
      <c r="B205" s="132"/>
      <c r="C205" s="132"/>
      <c r="D205" s="111"/>
      <c r="E205" s="21"/>
      <c r="F205" s="21"/>
      <c r="G205" s="21"/>
      <c r="H205" s="21"/>
      <c r="I205" s="21"/>
      <c r="J205" s="21"/>
      <c r="K205" s="21"/>
      <c r="L205" s="21"/>
      <c r="M205" s="76"/>
      <c r="N205" s="76"/>
      <c r="O205" s="76"/>
      <c r="P205" s="76"/>
      <c r="Q205" s="10">
        <f t="shared" ref="Q205:Q229" si="35">E205*(M205-O205)</f>
        <v>0</v>
      </c>
      <c r="R205" s="10">
        <f t="shared" ref="R205:R229" si="36">F205*(M205-O205)</f>
        <v>0</v>
      </c>
      <c r="S205" s="10">
        <f t="shared" ref="S205:S229" si="37">G205*(N205-P205)</f>
        <v>0</v>
      </c>
      <c r="T205" s="10">
        <f t="shared" ref="T205:T229" si="38">(N205-P205)*H205</f>
        <v>0</v>
      </c>
      <c r="U205" s="10">
        <f t="shared" ref="U205:U230" si="39">SUM(Q205:T205)</f>
        <v>0</v>
      </c>
      <c r="V205" s="101"/>
      <c r="W205" s="101"/>
      <c r="X205" s="101"/>
      <c r="Y205" s="101"/>
    </row>
    <row r="206" spans="1:25" ht="21.75" customHeight="1">
      <c r="A206" s="101" t="s">
        <v>49</v>
      </c>
      <c r="B206" s="101" t="s">
        <v>296</v>
      </c>
      <c r="C206" s="101" t="s">
        <v>297</v>
      </c>
      <c r="D206" s="101"/>
      <c r="E206" s="21">
        <v>379.90899999999999</v>
      </c>
      <c r="F206" s="21">
        <f>127.77+78.309</f>
        <v>206.07900000000001</v>
      </c>
      <c r="G206" s="21">
        <v>99.385000000000005</v>
      </c>
      <c r="H206" s="21">
        <v>393.79199999999997</v>
      </c>
      <c r="I206" s="21">
        <f t="shared" si="33"/>
        <v>1079.165</v>
      </c>
      <c r="J206" s="21">
        <v>1088.26</v>
      </c>
      <c r="K206" s="21">
        <v>609.42560000000003</v>
      </c>
      <c r="L206" s="21">
        <f t="shared" ref="L206:L228" si="40">J206-K206</f>
        <v>478.83439999999996</v>
      </c>
      <c r="M206" s="76">
        <v>3284.7</v>
      </c>
      <c r="N206" s="76">
        <v>3415.5368000000003</v>
      </c>
      <c r="O206" s="76">
        <v>1542.12</v>
      </c>
      <c r="P206" s="76">
        <v>1603.804592</v>
      </c>
      <c r="Q206" s="10">
        <f t="shared" si="35"/>
        <v>662021.82522</v>
      </c>
      <c r="R206" s="10">
        <f t="shared" si="36"/>
        <v>359109.14382</v>
      </c>
      <c r="S206" s="10">
        <f t="shared" si="37"/>
        <v>180059.00549208003</v>
      </c>
      <c r="T206" s="10">
        <f t="shared" si="38"/>
        <v>713445.64965273615</v>
      </c>
      <c r="U206" s="10">
        <f t="shared" si="39"/>
        <v>1914635.6241848161</v>
      </c>
      <c r="V206" s="101"/>
      <c r="W206" s="101"/>
      <c r="X206" s="101"/>
      <c r="Y206" s="101"/>
    </row>
    <row r="207" spans="1:25" ht="21.75" customHeight="1">
      <c r="A207" s="101" t="s">
        <v>49</v>
      </c>
      <c r="B207" s="101" t="s">
        <v>296</v>
      </c>
      <c r="C207" s="101" t="s">
        <v>298</v>
      </c>
      <c r="D207" s="101"/>
      <c r="E207" s="21">
        <v>1069.2629999999999</v>
      </c>
      <c r="F207" s="21">
        <f>491.89+332.013-4.733</f>
        <v>819.17000000000007</v>
      </c>
      <c r="G207" s="21">
        <v>504.17399999999998</v>
      </c>
      <c r="H207" s="21">
        <v>1325.124</v>
      </c>
      <c r="I207" s="21">
        <f t="shared" si="33"/>
        <v>3717.7309999999998</v>
      </c>
      <c r="J207" s="21">
        <v>3648.56</v>
      </c>
      <c r="K207" s="21">
        <v>2043.1936000000001</v>
      </c>
      <c r="L207" s="21">
        <f t="shared" si="40"/>
        <v>1605.3663999999999</v>
      </c>
      <c r="M207" s="76">
        <v>3284.7</v>
      </c>
      <c r="N207" s="76">
        <v>3415.5368000000003</v>
      </c>
      <c r="O207" s="76">
        <v>1514.42</v>
      </c>
      <c r="P207" s="76">
        <v>1574.9988800000001</v>
      </c>
      <c r="Q207" s="10">
        <f t="shared" si="35"/>
        <v>1892894.9036399997</v>
      </c>
      <c r="R207" s="10">
        <f t="shared" si="36"/>
        <v>1450160.2675999999</v>
      </c>
      <c r="S207" s="10">
        <f t="shared" si="37"/>
        <v>927951.36527808011</v>
      </c>
      <c r="T207" s="10">
        <f t="shared" si="38"/>
        <v>2438940.9707020805</v>
      </c>
      <c r="U207" s="10">
        <f t="shared" si="39"/>
        <v>6709947.5072201602</v>
      </c>
      <c r="V207" s="101"/>
      <c r="W207" s="101"/>
      <c r="X207" s="101"/>
      <c r="Y207" s="101"/>
    </row>
    <row r="208" spans="1:25" ht="21.75" customHeight="1">
      <c r="A208" s="101" t="s">
        <v>299</v>
      </c>
      <c r="B208" s="101" t="s">
        <v>300</v>
      </c>
      <c r="C208" s="101" t="s">
        <v>301</v>
      </c>
      <c r="D208" s="101"/>
      <c r="E208" s="21">
        <v>80.22</v>
      </c>
      <c r="F208" s="21">
        <f>27.03+16.57</f>
        <v>43.6</v>
      </c>
      <c r="G208" s="21">
        <v>14.42</v>
      </c>
      <c r="H208" s="21">
        <v>80.22</v>
      </c>
      <c r="I208" s="21">
        <f t="shared" si="33"/>
        <v>218.45999999999998</v>
      </c>
      <c r="J208" s="21">
        <v>239.4</v>
      </c>
      <c r="K208" s="21">
        <v>141.24600000000001</v>
      </c>
      <c r="L208" s="21">
        <f t="shared" si="40"/>
        <v>98.153999999999996</v>
      </c>
      <c r="M208" s="76">
        <v>1960.5919999999999</v>
      </c>
      <c r="N208" s="76">
        <v>1960.5919999999999</v>
      </c>
      <c r="O208" s="76">
        <v>1540</v>
      </c>
      <c r="P208" s="76">
        <v>1601.6000000000001</v>
      </c>
      <c r="Q208" s="10">
        <f t="shared" si="35"/>
        <v>33739.890239999986</v>
      </c>
      <c r="R208" s="10">
        <f t="shared" si="36"/>
        <v>18337.811199999996</v>
      </c>
      <c r="S208" s="10">
        <f t="shared" si="37"/>
        <v>5176.6646399999963</v>
      </c>
      <c r="T208" s="10">
        <f t="shared" si="38"/>
        <v>28798.338239999979</v>
      </c>
      <c r="U208" s="10">
        <f t="shared" si="39"/>
        <v>86052.704319999961</v>
      </c>
      <c r="V208" s="101"/>
      <c r="W208" s="101"/>
      <c r="X208" s="101"/>
      <c r="Y208" s="101"/>
    </row>
    <row r="209" spans="1:25" ht="21.75" customHeight="1">
      <c r="A209" s="101" t="s">
        <v>343</v>
      </c>
      <c r="B209" s="101" t="s">
        <v>344</v>
      </c>
      <c r="C209" s="101" t="s">
        <v>302</v>
      </c>
      <c r="D209" s="101"/>
      <c r="E209" s="21">
        <v>68.397999999999996</v>
      </c>
      <c r="F209" s="21">
        <f>22.798+13.97</f>
        <v>36.768000000000001</v>
      </c>
      <c r="G209" s="21">
        <v>8.11</v>
      </c>
      <c r="H209" s="21">
        <v>62.96</v>
      </c>
      <c r="I209" s="21">
        <f t="shared" si="33"/>
        <v>176.23599999999999</v>
      </c>
      <c r="J209" s="21">
        <v>173.33600000000001</v>
      </c>
      <c r="K209" s="21">
        <v>102.26824000000001</v>
      </c>
      <c r="L209" s="21">
        <f t="shared" si="40"/>
        <v>71.067760000000007</v>
      </c>
      <c r="M209" s="76">
        <v>4010.8</v>
      </c>
      <c r="N209" s="76">
        <v>4171.232</v>
      </c>
      <c r="O209" s="76">
        <v>1369.87</v>
      </c>
      <c r="P209" s="76">
        <v>1424.6645920000001</v>
      </c>
      <c r="Q209" s="10">
        <f t="shared" si="35"/>
        <v>180634.33014000001</v>
      </c>
      <c r="R209" s="10">
        <f t="shared" si="36"/>
        <v>97101.714240000016</v>
      </c>
      <c r="S209" s="10">
        <f t="shared" si="37"/>
        <v>22274.661678879998</v>
      </c>
      <c r="T209" s="10">
        <f t="shared" si="38"/>
        <v>172923.88400768</v>
      </c>
      <c r="U209" s="10">
        <f t="shared" si="39"/>
        <v>472934.59006656002</v>
      </c>
      <c r="V209" s="101"/>
      <c r="W209" s="101"/>
      <c r="X209" s="101"/>
      <c r="Y209" s="101"/>
    </row>
    <row r="210" spans="1:25" ht="21.75" customHeight="1">
      <c r="A210" s="101" t="s">
        <v>303</v>
      </c>
      <c r="B210" s="101" t="s">
        <v>296</v>
      </c>
      <c r="C210" s="101" t="s">
        <v>304</v>
      </c>
      <c r="D210" s="101"/>
      <c r="E210" s="21">
        <v>105.28</v>
      </c>
      <c r="F210" s="21">
        <f>38.01+23.29</f>
        <v>61.3</v>
      </c>
      <c r="G210" s="21">
        <v>20.045000000000002</v>
      </c>
      <c r="H210" s="21">
        <v>120.208</v>
      </c>
      <c r="I210" s="21">
        <f t="shared" si="33"/>
        <v>306.83299999999997</v>
      </c>
      <c r="J210" s="21">
        <v>385.81000000000006</v>
      </c>
      <c r="K210" s="21">
        <v>216.05360000000002</v>
      </c>
      <c r="L210" s="21">
        <f t="shared" si="40"/>
        <v>169.75640000000004</v>
      </c>
      <c r="M210" s="76">
        <v>3284.7</v>
      </c>
      <c r="N210" s="76">
        <v>3415.5368000000003</v>
      </c>
      <c r="O210" s="76">
        <v>1694.76</v>
      </c>
      <c r="P210" s="76">
        <v>1762.24152</v>
      </c>
      <c r="Q210" s="10">
        <f t="shared" si="35"/>
        <v>167388.88319999998</v>
      </c>
      <c r="R210" s="10">
        <f t="shared" si="36"/>
        <v>97463.321999999986</v>
      </c>
      <c r="S210" s="10">
        <f t="shared" si="37"/>
        <v>33140.303887600006</v>
      </c>
      <c r="T210" s="10">
        <f t="shared" si="38"/>
        <v>198739.31901824003</v>
      </c>
      <c r="U210" s="10">
        <f t="shared" si="39"/>
        <v>496731.82810584002</v>
      </c>
      <c r="V210" s="101"/>
      <c r="W210" s="101"/>
      <c r="X210" s="101"/>
      <c r="Y210" s="101"/>
    </row>
    <row r="211" spans="1:25" ht="21.75" customHeight="1">
      <c r="A211" s="101" t="s">
        <v>305</v>
      </c>
      <c r="B211" s="101" t="s">
        <v>296</v>
      </c>
      <c r="C211" s="101" t="s">
        <v>306</v>
      </c>
      <c r="D211" s="101"/>
      <c r="E211" s="21">
        <v>184.047</v>
      </c>
      <c r="F211" s="21">
        <f>63.78+39.09</f>
        <v>102.87</v>
      </c>
      <c r="G211" s="21">
        <v>23.332999999999998</v>
      </c>
      <c r="H211" s="21">
        <v>178.84399999999999</v>
      </c>
      <c r="I211" s="21">
        <f t="shared" si="33"/>
        <v>489.09399999999999</v>
      </c>
      <c r="J211" s="21">
        <v>618.91000000000008</v>
      </c>
      <c r="K211" s="21">
        <v>346.58960000000002</v>
      </c>
      <c r="L211" s="21">
        <f t="shared" si="40"/>
        <v>272.32040000000006</v>
      </c>
      <c r="M211" s="76">
        <v>3284.7</v>
      </c>
      <c r="N211" s="76">
        <v>3415.5368000000003</v>
      </c>
      <c r="O211" s="76">
        <v>1193.52</v>
      </c>
      <c r="P211" s="76">
        <v>1241.2583040000002</v>
      </c>
      <c r="Q211" s="10">
        <f t="shared" si="35"/>
        <v>384875.40545999998</v>
      </c>
      <c r="R211" s="10">
        <f t="shared" si="36"/>
        <v>215119.68659999999</v>
      </c>
      <c r="S211" s="10">
        <f t="shared" si="37"/>
        <v>50732.440147167996</v>
      </c>
      <c r="T211" s="10">
        <f t="shared" si="38"/>
        <v>388856.663338624</v>
      </c>
      <c r="U211" s="10">
        <f t="shared" si="39"/>
        <v>1039584.1955457919</v>
      </c>
      <c r="V211" s="101"/>
      <c r="W211" s="101"/>
      <c r="X211" s="101"/>
      <c r="Y211" s="101"/>
    </row>
    <row r="212" spans="1:25" ht="21.75" customHeight="1">
      <c r="A212" s="101" t="s">
        <v>343</v>
      </c>
      <c r="B212" s="101" t="s">
        <v>344</v>
      </c>
      <c r="C212" s="101" t="s">
        <v>307</v>
      </c>
      <c r="D212" s="101"/>
      <c r="E212" s="21">
        <v>236.39500000000001</v>
      </c>
      <c r="F212" s="21">
        <f>105.915+40.67</f>
        <v>146.58500000000001</v>
      </c>
      <c r="G212" s="21">
        <v>28.76</v>
      </c>
      <c r="H212" s="21">
        <v>247.74</v>
      </c>
      <c r="I212" s="21">
        <f t="shared" si="33"/>
        <v>659.48</v>
      </c>
      <c r="J212" s="21">
        <v>614.44000000000005</v>
      </c>
      <c r="K212" s="21">
        <v>337.94200000000006</v>
      </c>
      <c r="L212" s="21">
        <f t="shared" si="40"/>
        <v>276.49799999999999</v>
      </c>
      <c r="M212" s="76">
        <v>3340.48</v>
      </c>
      <c r="N212" s="76">
        <v>3340.48</v>
      </c>
      <c r="O212" s="76">
        <v>1613.32</v>
      </c>
      <c r="P212" s="76">
        <v>1677.8528000000001</v>
      </c>
      <c r="Q212" s="10">
        <f t="shared" si="35"/>
        <v>408291.98820000002</v>
      </c>
      <c r="R212" s="10">
        <f t="shared" si="36"/>
        <v>253175.74860000002</v>
      </c>
      <c r="S212" s="10">
        <f t="shared" si="37"/>
        <v>47817.158272000001</v>
      </c>
      <c r="T212" s="10">
        <f t="shared" si="38"/>
        <v>411899.26252799999</v>
      </c>
      <c r="U212" s="10">
        <f t="shared" si="39"/>
        <v>1121184.1576</v>
      </c>
      <c r="V212" s="101"/>
      <c r="W212" s="101"/>
      <c r="X212" s="101"/>
      <c r="Y212" s="101"/>
    </row>
    <row r="213" spans="1:25" ht="21.75" customHeight="1">
      <c r="A213" s="101" t="s">
        <v>308</v>
      </c>
      <c r="B213" s="101" t="s">
        <v>309</v>
      </c>
      <c r="C213" s="101" t="s">
        <v>310</v>
      </c>
      <c r="D213" s="101"/>
      <c r="E213" s="21">
        <v>433.024</v>
      </c>
      <c r="F213" s="21">
        <f>142.27+84.682</f>
        <v>226.952</v>
      </c>
      <c r="G213" s="21">
        <v>72.02</v>
      </c>
      <c r="H213" s="21">
        <v>405.19</v>
      </c>
      <c r="I213" s="21">
        <f t="shared" si="33"/>
        <v>1137.1859999999999</v>
      </c>
      <c r="J213" s="21">
        <v>1306.8900000000001</v>
      </c>
      <c r="K213" s="21">
        <v>771.06645721811537</v>
      </c>
      <c r="L213" s="21">
        <f t="shared" si="40"/>
        <v>535.82354278188473</v>
      </c>
      <c r="M213" s="76">
        <v>2288.7199999999998</v>
      </c>
      <c r="N213" s="76">
        <v>2380.2687999999998</v>
      </c>
      <c r="O213" s="76">
        <v>1137.6400000000001</v>
      </c>
      <c r="P213" s="76">
        <v>1183.1400000000001</v>
      </c>
      <c r="Q213" s="10">
        <f t="shared" si="35"/>
        <v>498445.26591999986</v>
      </c>
      <c r="R213" s="10">
        <f t="shared" si="36"/>
        <v>261239.90815999993</v>
      </c>
      <c r="S213" s="10">
        <f t="shared" si="37"/>
        <v>86217.216175999973</v>
      </c>
      <c r="T213" s="10">
        <f t="shared" si="38"/>
        <v>485064.61847199989</v>
      </c>
      <c r="U213" s="10">
        <f t="shared" si="39"/>
        <v>1330967.0087279996</v>
      </c>
      <c r="V213" s="101"/>
      <c r="W213" s="101"/>
      <c r="X213" s="101"/>
      <c r="Y213" s="101"/>
    </row>
    <row r="214" spans="1:25" ht="21.75" customHeight="1">
      <c r="A214" s="101">
        <v>2907014810</v>
      </c>
      <c r="B214" s="101" t="s">
        <v>296</v>
      </c>
      <c r="C214" s="101" t="s">
        <v>311</v>
      </c>
      <c r="D214" s="101"/>
      <c r="E214" s="21">
        <v>811.29899999999998</v>
      </c>
      <c r="F214" s="21">
        <f>273.311+161.633-0.86</f>
        <v>434.08399999999995</v>
      </c>
      <c r="G214" s="21">
        <v>145.24799999999999</v>
      </c>
      <c r="H214" s="21">
        <v>821.07899999999995</v>
      </c>
      <c r="I214" s="21">
        <f t="shared" si="33"/>
        <v>2211.71</v>
      </c>
      <c r="J214" s="21">
        <v>2207.5300000000002</v>
      </c>
      <c r="K214" s="21">
        <v>1236.2168000000001</v>
      </c>
      <c r="L214" s="21">
        <f t="shared" si="40"/>
        <v>971.31320000000005</v>
      </c>
      <c r="M214" s="76">
        <v>3284.7</v>
      </c>
      <c r="N214" s="76">
        <v>3415.5368000000003</v>
      </c>
      <c r="O214" s="76">
        <v>1645</v>
      </c>
      <c r="P214" s="76">
        <v>1710.8</v>
      </c>
      <c r="Q214" s="10">
        <f t="shared" si="35"/>
        <v>1330286.9702999999</v>
      </c>
      <c r="R214" s="10">
        <f t="shared" si="36"/>
        <v>711767.53479999979</v>
      </c>
      <c r="S214" s="10">
        <f t="shared" si="37"/>
        <v>247609.61072640005</v>
      </c>
      <c r="T214" s="10">
        <f t="shared" si="38"/>
        <v>1399723.5870072001</v>
      </c>
      <c r="U214" s="10">
        <f t="shared" si="39"/>
        <v>3689387.7028336003</v>
      </c>
      <c r="V214" s="101"/>
      <c r="W214" s="101"/>
      <c r="X214" s="101"/>
      <c r="Y214" s="101"/>
    </row>
    <row r="215" spans="1:25" ht="21.75" customHeight="1">
      <c r="A215" s="101" t="s">
        <v>312</v>
      </c>
      <c r="B215" s="101" t="s">
        <v>313</v>
      </c>
      <c r="C215" s="101" t="s">
        <v>314</v>
      </c>
      <c r="D215" s="101"/>
      <c r="E215" s="21">
        <v>248.429</v>
      </c>
      <c r="F215" s="21">
        <f>83.547+53.901</f>
        <v>137.44800000000001</v>
      </c>
      <c r="G215" s="21">
        <v>50.128999999999998</v>
      </c>
      <c r="H215" s="21">
        <v>248.93899999999999</v>
      </c>
      <c r="I215" s="21">
        <f t="shared" si="33"/>
        <v>684.94500000000005</v>
      </c>
      <c r="J215" s="21">
        <v>669</v>
      </c>
      <c r="K215" s="21">
        <v>395.33483112126419</v>
      </c>
      <c r="L215" s="21">
        <f t="shared" si="40"/>
        <v>273.66516887873581</v>
      </c>
      <c r="M215" s="76">
        <v>2048.6799999999998</v>
      </c>
      <c r="N215" s="76">
        <v>2048.6799999999998</v>
      </c>
      <c r="O215" s="76">
        <v>1198.29</v>
      </c>
      <c r="P215" s="76">
        <v>1246.2231864406781</v>
      </c>
      <c r="Q215" s="10">
        <f t="shared" si="35"/>
        <v>211261.53730999996</v>
      </c>
      <c r="R215" s="10">
        <f t="shared" si="36"/>
        <v>116884.40471999999</v>
      </c>
      <c r="S215" s="10">
        <f t="shared" si="37"/>
        <v>40226.35760691524</v>
      </c>
      <c r="T215" s="10">
        <f t="shared" si="38"/>
        <v>199762.796710644</v>
      </c>
      <c r="U215" s="10">
        <f t="shared" si="39"/>
        <v>568135.09634755913</v>
      </c>
      <c r="V215" s="101"/>
      <c r="W215" s="101"/>
      <c r="X215" s="101"/>
      <c r="Y215" s="101"/>
    </row>
    <row r="216" spans="1:25" ht="21.75" customHeight="1">
      <c r="A216" s="101" t="s">
        <v>315</v>
      </c>
      <c r="B216" s="101" t="s">
        <v>296</v>
      </c>
      <c r="C216" s="101" t="s">
        <v>316</v>
      </c>
      <c r="D216" s="101"/>
      <c r="E216" s="21">
        <v>555.35400000000004</v>
      </c>
      <c r="F216" s="21">
        <f>186.72+114.44+30.4</f>
        <v>331.55999999999995</v>
      </c>
      <c r="G216" s="21">
        <v>97.997</v>
      </c>
      <c r="H216" s="21">
        <v>559.03200000000004</v>
      </c>
      <c r="I216" s="21">
        <f t="shared" si="33"/>
        <v>1543.943</v>
      </c>
      <c r="J216" s="21">
        <v>1370.5500000000002</v>
      </c>
      <c r="K216" s="21">
        <v>767.50800000000004</v>
      </c>
      <c r="L216" s="21">
        <f t="shared" si="40"/>
        <v>603.04200000000014</v>
      </c>
      <c r="M216" s="76">
        <v>3284.7</v>
      </c>
      <c r="N216" s="76">
        <v>3415.5368000000003</v>
      </c>
      <c r="O216" s="76">
        <v>1561.75</v>
      </c>
      <c r="P216" s="76">
        <v>1624.2210400000001</v>
      </c>
      <c r="Q216" s="10">
        <f t="shared" si="35"/>
        <v>956847.17429999996</v>
      </c>
      <c r="R216" s="10">
        <f t="shared" si="36"/>
        <v>571261.30199999979</v>
      </c>
      <c r="S216" s="10">
        <f t="shared" si="37"/>
        <v>175543.57053272001</v>
      </c>
      <c r="T216" s="10">
        <f t="shared" si="38"/>
        <v>1001402.8319443201</v>
      </c>
      <c r="U216" s="10">
        <f t="shared" si="39"/>
        <v>2705054.8787770402</v>
      </c>
      <c r="V216" s="101"/>
      <c r="W216" s="101"/>
      <c r="X216" s="101"/>
      <c r="Y216" s="101"/>
    </row>
    <row r="217" spans="1:25" ht="21.75" customHeight="1">
      <c r="A217" s="101" t="s">
        <v>317</v>
      </c>
      <c r="B217" s="101" t="s">
        <v>318</v>
      </c>
      <c r="C217" s="101" t="s">
        <v>319</v>
      </c>
      <c r="D217" s="101"/>
      <c r="E217" s="21">
        <v>131.03</v>
      </c>
      <c r="F217" s="21">
        <f>43.92+29.29</f>
        <v>73.210000000000008</v>
      </c>
      <c r="G217" s="21">
        <v>21.59</v>
      </c>
      <c r="H217" s="21">
        <v>129.54</v>
      </c>
      <c r="I217" s="21">
        <f t="shared" si="33"/>
        <v>355.37</v>
      </c>
      <c r="J217" s="21">
        <v>342.53</v>
      </c>
      <c r="K217" s="21">
        <v>232.31637741871134</v>
      </c>
      <c r="L217" s="21">
        <f t="shared" si="40"/>
        <v>110.21362258128863</v>
      </c>
      <c r="M217" s="76">
        <v>2346.89</v>
      </c>
      <c r="N217" s="76">
        <v>2440.7656000000002</v>
      </c>
      <c r="O217" s="76">
        <v>1821.08</v>
      </c>
      <c r="P217" s="76">
        <v>1893.9232000000002</v>
      </c>
      <c r="Q217" s="10">
        <f t="shared" si="35"/>
        <v>68896.884299999991</v>
      </c>
      <c r="R217" s="10">
        <f t="shared" si="36"/>
        <v>38494.5501</v>
      </c>
      <c r="S217" s="10">
        <f t="shared" si="37"/>
        <v>11806.327416</v>
      </c>
      <c r="T217" s="10">
        <f t="shared" si="38"/>
        <v>70837.964496000001</v>
      </c>
      <c r="U217" s="10">
        <f t="shared" si="39"/>
        <v>190035.72631200001</v>
      </c>
      <c r="V217" s="101"/>
      <c r="W217" s="101"/>
      <c r="X217" s="101"/>
      <c r="Y217" s="101"/>
    </row>
    <row r="218" spans="1:25" ht="21.75" customHeight="1">
      <c r="A218" s="101" t="s">
        <v>343</v>
      </c>
      <c r="B218" s="101" t="s">
        <v>344</v>
      </c>
      <c r="C218" s="101" t="s">
        <v>320</v>
      </c>
      <c r="D218" s="101"/>
      <c r="E218" s="21">
        <v>656.30799999999999</v>
      </c>
      <c r="F218" s="21">
        <f>218.317+133.81</f>
        <v>352.12700000000001</v>
      </c>
      <c r="G218" s="21">
        <v>88.58</v>
      </c>
      <c r="H218" s="21">
        <v>668.38</v>
      </c>
      <c r="I218" s="21">
        <f t="shared" si="33"/>
        <v>1765.395</v>
      </c>
      <c r="J218" s="21">
        <v>1892.4</v>
      </c>
      <c r="K218" s="21">
        <v>1135.44</v>
      </c>
      <c r="L218" s="21">
        <f t="shared" si="40"/>
        <v>756.96</v>
      </c>
      <c r="M218" s="76">
        <v>2161.42</v>
      </c>
      <c r="N218" s="76">
        <v>2247.8768</v>
      </c>
      <c r="O218" s="76">
        <v>1439.48</v>
      </c>
      <c r="P218" s="76">
        <v>1497.0592000000001</v>
      </c>
      <c r="Q218" s="10">
        <f t="shared" si="35"/>
        <v>473814.99752000003</v>
      </c>
      <c r="R218" s="10">
        <f t="shared" si="36"/>
        <v>254214.56638000003</v>
      </c>
      <c r="S218" s="10">
        <f t="shared" si="37"/>
        <v>66507.423007999983</v>
      </c>
      <c r="T218" s="10">
        <f t="shared" si="38"/>
        <v>501831.46748799988</v>
      </c>
      <c r="U218" s="10">
        <f t="shared" si="39"/>
        <v>1296368.4543959999</v>
      </c>
      <c r="V218" s="101"/>
      <c r="W218" s="101"/>
      <c r="X218" s="101"/>
      <c r="Y218" s="101"/>
    </row>
    <row r="219" spans="1:25" ht="21.75" customHeight="1">
      <c r="A219" s="101" t="s">
        <v>22</v>
      </c>
      <c r="B219" s="101" t="s">
        <v>23</v>
      </c>
      <c r="C219" s="101" t="s">
        <v>321</v>
      </c>
      <c r="D219" s="101"/>
      <c r="E219" s="21">
        <v>2436.5509999999999</v>
      </c>
      <c r="F219" s="21">
        <f>714.173+413.357</f>
        <v>1127.53</v>
      </c>
      <c r="G219" s="21">
        <v>351.32299999999998</v>
      </c>
      <c r="H219" s="21">
        <v>1756.614</v>
      </c>
      <c r="I219" s="21">
        <f t="shared" si="33"/>
        <v>5672.018</v>
      </c>
      <c r="J219" s="21">
        <v>5018.8999999999996</v>
      </c>
      <c r="K219" s="21">
        <v>2910.9619999999995</v>
      </c>
      <c r="L219" s="21">
        <f t="shared" si="40"/>
        <v>2107.9380000000001</v>
      </c>
      <c r="M219" s="76">
        <v>3334.33</v>
      </c>
      <c r="N219" s="76">
        <v>3334.33</v>
      </c>
      <c r="O219" s="76">
        <v>1347.38</v>
      </c>
      <c r="P219" s="76">
        <v>1401.2752000000003</v>
      </c>
      <c r="Q219" s="10">
        <f t="shared" si="35"/>
        <v>4841305.0094499998</v>
      </c>
      <c r="R219" s="10">
        <f t="shared" si="36"/>
        <v>2240345.7334999996</v>
      </c>
      <c r="S219" s="10">
        <f t="shared" si="37"/>
        <v>679126.61150039989</v>
      </c>
      <c r="T219" s="10">
        <f t="shared" si="38"/>
        <v>3395631.1244471995</v>
      </c>
      <c r="U219" s="10">
        <f t="shared" si="39"/>
        <v>11156408.4788976</v>
      </c>
      <c r="V219" s="101"/>
      <c r="W219" s="101"/>
      <c r="X219" s="101"/>
      <c r="Y219" s="101"/>
    </row>
    <row r="220" spans="1:25" ht="21.75" customHeight="1">
      <c r="A220" s="101" t="s">
        <v>322</v>
      </c>
      <c r="B220" s="101" t="s">
        <v>323</v>
      </c>
      <c r="C220" s="101" t="s">
        <v>324</v>
      </c>
      <c r="D220" s="101"/>
      <c r="E220" s="21">
        <v>5785.7790000000005</v>
      </c>
      <c r="F220" s="21">
        <f>1654.262+1448.295</f>
        <v>3102.5569999999998</v>
      </c>
      <c r="G220" s="21">
        <v>734.15099999999995</v>
      </c>
      <c r="H220" s="21">
        <v>4927.1509999999998</v>
      </c>
      <c r="I220" s="21">
        <f t="shared" si="33"/>
        <v>14549.637999999999</v>
      </c>
      <c r="J220" s="21">
        <v>13425.43</v>
      </c>
      <c r="K220" s="21">
        <v>7383.9865000000009</v>
      </c>
      <c r="L220" s="21">
        <f t="shared" si="40"/>
        <v>6041.4434999999994</v>
      </c>
      <c r="M220" s="76">
        <v>3133.47</v>
      </c>
      <c r="N220" s="76">
        <v>3258.8087999999998</v>
      </c>
      <c r="O220" s="76">
        <v>1690.38</v>
      </c>
      <c r="P220" s="76">
        <v>1758.0001920000002</v>
      </c>
      <c r="Q220" s="10">
        <f t="shared" si="35"/>
        <v>8349399.8171099992</v>
      </c>
      <c r="R220" s="10">
        <f t="shared" si="36"/>
        <v>4477268.9811299983</v>
      </c>
      <c r="S220" s="10">
        <f t="shared" si="37"/>
        <v>1101820.1403718076</v>
      </c>
      <c r="T220" s="10">
        <f t="shared" si="38"/>
        <v>7394710.6337158056</v>
      </c>
      <c r="U220" s="10">
        <f t="shared" si="39"/>
        <v>21323199.57232761</v>
      </c>
      <c r="V220" s="101"/>
      <c r="W220" s="101"/>
      <c r="X220" s="101"/>
      <c r="Y220" s="101"/>
    </row>
    <row r="221" spans="1:25" ht="21.75" customHeight="1">
      <c r="A221" s="101" t="s">
        <v>326</v>
      </c>
      <c r="B221" s="101" t="s">
        <v>327</v>
      </c>
      <c r="C221" s="101" t="s">
        <v>325</v>
      </c>
      <c r="D221" s="101"/>
      <c r="E221" s="21">
        <v>104.06</v>
      </c>
      <c r="F221" s="21">
        <f>42.49+45.14+31.37</f>
        <v>119</v>
      </c>
      <c r="G221" s="21">
        <v>14.86</v>
      </c>
      <c r="H221" s="21">
        <v>135.69</v>
      </c>
      <c r="I221" s="21">
        <f t="shared" si="33"/>
        <v>373.61</v>
      </c>
      <c r="J221" s="21">
        <v>531.19000000000005</v>
      </c>
      <c r="K221" s="21">
        <v>297.46640000000008</v>
      </c>
      <c r="L221" s="21">
        <f t="shared" si="40"/>
        <v>233.72359999999998</v>
      </c>
      <c r="M221" s="76">
        <v>1984.92</v>
      </c>
      <c r="N221" s="76">
        <v>2064.3168000000001</v>
      </c>
      <c r="O221" s="76">
        <v>1587.65</v>
      </c>
      <c r="P221" s="76">
        <v>1624.5944</v>
      </c>
      <c r="Q221" s="10">
        <f t="shared" si="35"/>
        <v>41339.9162</v>
      </c>
      <c r="R221" s="10">
        <f t="shared" si="36"/>
        <v>47275.13</v>
      </c>
      <c r="S221" s="10">
        <f t="shared" si="37"/>
        <v>6534.2748640000009</v>
      </c>
      <c r="T221" s="10">
        <f t="shared" si="38"/>
        <v>59665.932456000017</v>
      </c>
      <c r="U221" s="10">
        <f t="shared" si="39"/>
        <v>154815.25352000003</v>
      </c>
      <c r="V221" s="101"/>
      <c r="W221" s="101"/>
      <c r="X221" s="101"/>
      <c r="Y221" s="101"/>
    </row>
    <row r="222" spans="1:25" ht="21.75" customHeight="1">
      <c r="A222" s="101" t="s">
        <v>328</v>
      </c>
      <c r="B222" s="101" t="s">
        <v>329</v>
      </c>
      <c r="C222" s="101" t="s">
        <v>325</v>
      </c>
      <c r="D222" s="101"/>
      <c r="E222" s="21">
        <v>25486.58</v>
      </c>
      <c r="F222" s="21">
        <f>7457.03+5848.75</f>
        <v>13305.779999999999</v>
      </c>
      <c r="G222" s="21">
        <v>2548.21</v>
      </c>
      <c r="H222" s="21">
        <v>22890.98</v>
      </c>
      <c r="I222" s="21">
        <f t="shared" si="33"/>
        <v>64231.55</v>
      </c>
      <c r="J222" s="21">
        <v>61841</v>
      </c>
      <c r="K222" s="21">
        <v>35867.78</v>
      </c>
      <c r="L222" s="21">
        <f t="shared" si="40"/>
        <v>25973.22</v>
      </c>
      <c r="M222" s="76">
        <v>2576.7600000000002</v>
      </c>
      <c r="N222" s="76">
        <v>2679.8304000000003</v>
      </c>
      <c r="O222" s="76">
        <v>1323.83</v>
      </c>
      <c r="P222" s="76">
        <v>1376.7794560000002</v>
      </c>
      <c r="Q222" s="10">
        <f t="shared" si="35"/>
        <v>31932900.679400008</v>
      </c>
      <c r="R222" s="10">
        <f t="shared" si="36"/>
        <v>16671210.935400002</v>
      </c>
      <c r="S222" s="10">
        <f t="shared" si="37"/>
        <v>3320447.4460102404</v>
      </c>
      <c r="T222" s="10">
        <f t="shared" si="38"/>
        <v>29828113.09808512</v>
      </c>
      <c r="U222" s="10">
        <f t="shared" si="39"/>
        <v>81752672.158895373</v>
      </c>
      <c r="V222" s="101"/>
      <c r="W222" s="101"/>
      <c r="X222" s="101"/>
      <c r="Y222" s="101"/>
    </row>
    <row r="223" spans="1:25" ht="21.75" customHeight="1">
      <c r="A223" s="101" t="s">
        <v>330</v>
      </c>
      <c r="B223" s="101" t="s">
        <v>296</v>
      </c>
      <c r="C223" s="101" t="s">
        <v>331</v>
      </c>
      <c r="D223" s="101"/>
      <c r="E223" s="21">
        <v>294.63200000000001</v>
      </c>
      <c r="F223" s="21">
        <f>194.92+47.82-4.026</f>
        <v>238.71399999999997</v>
      </c>
      <c r="G223" s="21">
        <v>30.675999999999998</v>
      </c>
      <c r="H223" s="21">
        <v>233.62299999999999</v>
      </c>
      <c r="I223" s="21">
        <f t="shared" si="33"/>
        <v>797.64499999999998</v>
      </c>
      <c r="J223" s="21">
        <v>461.43</v>
      </c>
      <c r="K223" s="21">
        <v>258.4008</v>
      </c>
      <c r="L223" s="21">
        <f t="shared" si="40"/>
        <v>203.0292</v>
      </c>
      <c r="M223" s="76">
        <v>3284.7</v>
      </c>
      <c r="N223" s="76">
        <v>3415.5368000000003</v>
      </c>
      <c r="O223" s="76">
        <v>1592.23</v>
      </c>
      <c r="P223" s="76">
        <v>1655.9150399999999</v>
      </c>
      <c r="Q223" s="10">
        <f t="shared" si="35"/>
        <v>498655.82103999995</v>
      </c>
      <c r="R223" s="10">
        <f t="shared" si="36"/>
        <v>404016.28357999993</v>
      </c>
      <c r="S223" s="10">
        <f t="shared" si="37"/>
        <v>53978.15710976001</v>
      </c>
      <c r="T223" s="10">
        <f t="shared" si="38"/>
        <v>411088.1144364801</v>
      </c>
      <c r="U223" s="10">
        <f t="shared" si="39"/>
        <v>1367738.3761662398</v>
      </c>
      <c r="V223" s="101"/>
      <c r="W223" s="101"/>
      <c r="X223" s="101"/>
      <c r="Y223" s="101"/>
    </row>
    <row r="224" spans="1:25" ht="21.75" customHeight="1">
      <c r="A224" s="101" t="s">
        <v>330</v>
      </c>
      <c r="B224" s="101" t="s">
        <v>296</v>
      </c>
      <c r="C224" s="101" t="s">
        <v>332</v>
      </c>
      <c r="D224" s="101"/>
      <c r="E224" s="21">
        <v>173.44499999999999</v>
      </c>
      <c r="F224" s="21">
        <f>57.81+24.959</f>
        <v>82.769000000000005</v>
      </c>
      <c r="G224" s="21">
        <v>30.567</v>
      </c>
      <c r="H224" s="21">
        <v>168.43799999999999</v>
      </c>
      <c r="I224" s="21">
        <f t="shared" si="33"/>
        <v>455.21899999999999</v>
      </c>
      <c r="J224" s="21">
        <v>377.62</v>
      </c>
      <c r="K224" s="21">
        <v>211.46720000000002</v>
      </c>
      <c r="L224" s="21">
        <f t="shared" si="40"/>
        <v>166.15279999999998</v>
      </c>
      <c r="M224" s="76">
        <v>3284.7</v>
      </c>
      <c r="N224" s="76">
        <v>3415.5368000000003</v>
      </c>
      <c r="O224" s="76">
        <v>1251.33</v>
      </c>
      <c r="P224" s="76">
        <v>1301.3832000000002</v>
      </c>
      <c r="Q224" s="10">
        <f t="shared" si="35"/>
        <v>352677.85964999994</v>
      </c>
      <c r="R224" s="10">
        <f t="shared" si="36"/>
        <v>168300.00153000001</v>
      </c>
      <c r="S224" s="10">
        <f t="shared" si="37"/>
        <v>64623.333091200002</v>
      </c>
      <c r="T224" s="10">
        <f t="shared" si="38"/>
        <v>356103.80407680001</v>
      </c>
      <c r="U224" s="10">
        <f t="shared" si="39"/>
        <v>941704.99834799999</v>
      </c>
      <c r="V224" s="101"/>
      <c r="W224" s="101"/>
      <c r="X224" s="101"/>
      <c r="Y224" s="101"/>
    </row>
    <row r="225" spans="1:26" ht="21.75" customHeight="1">
      <c r="A225" s="101" t="s">
        <v>346</v>
      </c>
      <c r="B225" s="101" t="s">
        <v>345</v>
      </c>
      <c r="C225" s="101" t="s">
        <v>325</v>
      </c>
      <c r="D225" s="101"/>
      <c r="E225" s="21">
        <v>23.126000000000001</v>
      </c>
      <c r="F225" s="21">
        <f>11.563+11.563+8.579</f>
        <v>31.705000000000002</v>
      </c>
      <c r="G225" s="21">
        <v>3.36</v>
      </c>
      <c r="H225" s="21">
        <v>34.69</v>
      </c>
      <c r="I225" s="21">
        <f t="shared" si="33"/>
        <v>92.881</v>
      </c>
      <c r="J225" s="21">
        <v>90.6</v>
      </c>
      <c r="K225" s="21">
        <v>52.547999999999995</v>
      </c>
      <c r="L225" s="21">
        <f t="shared" si="40"/>
        <v>38.052</v>
      </c>
      <c r="M225" s="76">
        <v>2771.53</v>
      </c>
      <c r="N225" s="76">
        <v>2771.53</v>
      </c>
      <c r="O225" s="76">
        <v>1574.13</v>
      </c>
      <c r="P225" s="76">
        <v>1637.0952000000002</v>
      </c>
      <c r="Q225" s="10">
        <f t="shared" si="35"/>
        <v>27691.072400000005</v>
      </c>
      <c r="R225" s="10">
        <f t="shared" si="36"/>
        <v>37963.567000000003</v>
      </c>
      <c r="S225" s="10">
        <f t="shared" si="37"/>
        <v>3811.7009279999997</v>
      </c>
      <c r="T225" s="10">
        <f t="shared" si="38"/>
        <v>39353.543211999997</v>
      </c>
      <c r="U225" s="10">
        <f t="shared" si="39"/>
        <v>108819.88354000001</v>
      </c>
      <c r="V225" s="101"/>
      <c r="W225" s="101"/>
      <c r="X225" s="101"/>
      <c r="Y225" s="101"/>
    </row>
    <row r="226" spans="1:26" ht="21.75" customHeight="1">
      <c r="A226" s="101" t="s">
        <v>333</v>
      </c>
      <c r="B226" s="101" t="s">
        <v>334</v>
      </c>
      <c r="C226" s="101" t="s">
        <v>324</v>
      </c>
      <c r="D226" s="101"/>
      <c r="E226" s="21">
        <v>870.17</v>
      </c>
      <c r="F226" s="21">
        <f>272.104+224.231+26.136</f>
        <v>522.471</v>
      </c>
      <c r="G226" s="21">
        <v>211.803</v>
      </c>
      <c r="H226" s="21">
        <v>903.93399999999997</v>
      </c>
      <c r="I226" s="21">
        <f t="shared" si="33"/>
        <v>2508.3779999999997</v>
      </c>
      <c r="J226" s="21">
        <v>2310.5500000000002</v>
      </c>
      <c r="K226" s="21">
        <v>1363.2245</v>
      </c>
      <c r="L226" s="21">
        <f t="shared" si="40"/>
        <v>947.32550000000015</v>
      </c>
      <c r="M226" s="76">
        <v>4486.3</v>
      </c>
      <c r="N226" s="76">
        <v>4665.7520000000004</v>
      </c>
      <c r="O226" s="76">
        <v>1971.79</v>
      </c>
      <c r="P226" s="76">
        <v>2050.6595200000002</v>
      </c>
      <c r="Q226" s="10">
        <f t="shared" si="35"/>
        <v>2188051.1666999999</v>
      </c>
      <c r="R226" s="10">
        <f t="shared" si="36"/>
        <v>1313758.5542100002</v>
      </c>
      <c r="S226" s="10">
        <f t="shared" si="37"/>
        <v>553884.43254144001</v>
      </c>
      <c r="T226" s="10">
        <f t="shared" si="38"/>
        <v>2363871.00581632</v>
      </c>
      <c r="U226" s="10">
        <f t="shared" si="39"/>
        <v>6419565.1592677599</v>
      </c>
      <c r="V226" s="101"/>
      <c r="W226" s="101"/>
      <c r="X226" s="101"/>
      <c r="Y226" s="101"/>
    </row>
    <row r="227" spans="1:26" ht="21.75" customHeight="1">
      <c r="A227" s="123" t="s">
        <v>451</v>
      </c>
      <c r="B227" s="102" t="s">
        <v>452</v>
      </c>
      <c r="C227" s="101" t="s">
        <v>325</v>
      </c>
      <c r="D227" s="124"/>
      <c r="E227" s="21">
        <v>41.305259999999997</v>
      </c>
      <c r="F227" s="21">
        <v>27.536840000000005</v>
      </c>
      <c r="G227" s="21">
        <v>8.0515799999999995</v>
      </c>
      <c r="H227" s="21">
        <v>32.206319999999991</v>
      </c>
      <c r="I227" s="21">
        <f t="shared" si="33"/>
        <v>109.1</v>
      </c>
      <c r="J227" s="21">
        <v>109.1</v>
      </c>
      <c r="K227" s="21">
        <v>68.842100000000002</v>
      </c>
      <c r="L227" s="21">
        <f t="shared" si="40"/>
        <v>40.257899999999992</v>
      </c>
      <c r="M227" s="76">
        <v>2033.14</v>
      </c>
      <c r="N227" s="76">
        <v>2114.4656</v>
      </c>
      <c r="O227" s="76">
        <v>1592.1518000000001</v>
      </c>
      <c r="P227" s="76">
        <v>1655.8378720000001</v>
      </c>
      <c r="Q227" s="10">
        <f t="shared" si="35"/>
        <v>18215.132257932</v>
      </c>
      <c r="R227" s="10">
        <f t="shared" si="36"/>
        <v>12143.421505288003</v>
      </c>
      <c r="S227" s="10">
        <f t="shared" si="37"/>
        <v>3692.6778422102393</v>
      </c>
      <c r="T227" s="10">
        <f t="shared" si="38"/>
        <v>14770.711368840954</v>
      </c>
      <c r="U227" s="10">
        <f t="shared" si="39"/>
        <v>48821.942974271195</v>
      </c>
      <c r="V227" s="101"/>
      <c r="W227" s="101"/>
      <c r="X227" s="101"/>
      <c r="Y227" s="101"/>
    </row>
    <row r="228" spans="1:26" ht="21.75" customHeight="1">
      <c r="A228" s="123" t="s">
        <v>453</v>
      </c>
      <c r="B228" s="124" t="s">
        <v>454</v>
      </c>
      <c r="C228" s="102" t="s">
        <v>455</v>
      </c>
      <c r="D228" s="124"/>
      <c r="E228" s="21">
        <v>29.018087999999999</v>
      </c>
      <c r="F228" s="21">
        <v>19.345392000000004</v>
      </c>
      <c r="G228" s="21">
        <v>8.5433039999999991</v>
      </c>
      <c r="H228" s="21">
        <v>34.173215999999996</v>
      </c>
      <c r="I228" s="21">
        <f t="shared" si="33"/>
        <v>91.08</v>
      </c>
      <c r="J228" s="21">
        <v>91.08</v>
      </c>
      <c r="K228" s="21">
        <v>48.363480000000003</v>
      </c>
      <c r="L228" s="21">
        <f t="shared" si="40"/>
        <v>42.716519999999996</v>
      </c>
      <c r="M228" s="76">
        <v>2881.88</v>
      </c>
      <c r="N228" s="76">
        <v>2881.88</v>
      </c>
      <c r="O228" s="76">
        <v>1608.2002000000002</v>
      </c>
      <c r="P228" s="76">
        <v>1672.5282080000002</v>
      </c>
      <c r="Q228" s="10">
        <f t="shared" si="35"/>
        <v>36959.752520222399</v>
      </c>
      <c r="R228" s="10">
        <f t="shared" si="36"/>
        <v>24639.835013481603</v>
      </c>
      <c r="S228" s="10">
        <f t="shared" si="37"/>
        <v>10331.860002000767</v>
      </c>
      <c r="T228" s="10">
        <f t="shared" si="38"/>
        <v>41327.440008003068</v>
      </c>
      <c r="U228" s="10">
        <f t="shared" si="39"/>
        <v>113258.88754370785</v>
      </c>
      <c r="V228" s="101"/>
      <c r="W228" s="101"/>
      <c r="X228" s="101"/>
      <c r="Y228" s="101"/>
    </row>
    <row r="229" spans="1:26" ht="21" customHeight="1" outlineLevel="1">
      <c r="A229" s="131" t="s">
        <v>335</v>
      </c>
      <c r="B229" s="132"/>
      <c r="C229" s="132"/>
      <c r="D229" s="135"/>
      <c r="E229" s="21"/>
      <c r="F229" s="21"/>
      <c r="G229" s="21"/>
      <c r="H229" s="21"/>
      <c r="I229" s="21"/>
      <c r="J229" s="21"/>
      <c r="K229" s="21"/>
      <c r="L229" s="21"/>
      <c r="M229" s="76"/>
      <c r="N229" s="76"/>
      <c r="O229" s="76"/>
      <c r="P229" s="76"/>
      <c r="Q229" s="10">
        <f t="shared" si="35"/>
        <v>0</v>
      </c>
      <c r="R229" s="10">
        <f t="shared" si="36"/>
        <v>0</v>
      </c>
      <c r="S229" s="10">
        <f t="shared" si="37"/>
        <v>0</v>
      </c>
      <c r="T229" s="10">
        <f t="shared" si="38"/>
        <v>0</v>
      </c>
      <c r="U229" s="10">
        <f t="shared" si="39"/>
        <v>0</v>
      </c>
      <c r="V229" s="101"/>
      <c r="W229" s="101"/>
      <c r="X229" s="101"/>
      <c r="Y229" s="101"/>
    </row>
    <row r="230" spans="1:26" ht="20.25" customHeight="1" outlineLevel="1">
      <c r="A230" s="101" t="s">
        <v>415</v>
      </c>
      <c r="B230" s="101" t="s">
        <v>414</v>
      </c>
      <c r="C230" s="101" t="s">
        <v>336</v>
      </c>
      <c r="D230" s="101"/>
      <c r="E230" s="21">
        <v>297.15499999999997</v>
      </c>
      <c r="F230" s="21">
        <v>157.42500000000001</v>
      </c>
      <c r="G230" s="21">
        <v>74.844999999999999</v>
      </c>
      <c r="H230" s="21">
        <v>297.15499999999997</v>
      </c>
      <c r="I230" s="21">
        <f t="shared" si="33"/>
        <v>826.57999999999993</v>
      </c>
      <c r="J230" s="21">
        <f>SUM(K230:L230)</f>
        <v>826.3</v>
      </c>
      <c r="K230" s="21">
        <v>454.3</v>
      </c>
      <c r="L230" s="21">
        <v>372</v>
      </c>
      <c r="M230" s="76">
        <v>3854.61</v>
      </c>
      <c r="N230" s="76">
        <v>4124.43</v>
      </c>
      <c r="O230" s="76">
        <v>1441.48</v>
      </c>
      <c r="P230" s="76">
        <v>1499.14</v>
      </c>
      <c r="Q230" s="10">
        <f>E230*(M230-O230)</f>
        <v>717073.64515</v>
      </c>
      <c r="R230" s="10">
        <f>F230*(M230-O230)</f>
        <v>379886.99025000003</v>
      </c>
      <c r="S230" s="10">
        <f>G230*(N230-P230)</f>
        <v>196489.83004999999</v>
      </c>
      <c r="T230" s="10">
        <f>(N230-P230)*H230</f>
        <v>780118.0499499999</v>
      </c>
      <c r="U230" s="10">
        <f t="shared" si="39"/>
        <v>2073568.5153999999</v>
      </c>
      <c r="V230" s="101"/>
      <c r="W230" s="101"/>
      <c r="X230" s="101"/>
      <c r="Y230" s="101"/>
    </row>
    <row r="231" spans="1:26" ht="33.75" customHeight="1">
      <c r="A231" s="24" t="s">
        <v>294</v>
      </c>
      <c r="B231" s="24"/>
      <c r="C231" s="24"/>
      <c r="D231" s="24"/>
      <c r="E231" s="25">
        <f t="shared" ref="E231:L231" si="41">SUM(E12:E230)</f>
        <v>406210.07537737995</v>
      </c>
      <c r="F231" s="25">
        <f t="shared" si="41"/>
        <v>255741.38958491993</v>
      </c>
      <c r="G231" s="25">
        <f t="shared" si="41"/>
        <v>92321.885004740005</v>
      </c>
      <c r="H231" s="25">
        <f t="shared" si="41"/>
        <v>383786.64401896024</v>
      </c>
      <c r="I231" s="25">
        <f>SUM(I12:I230)</f>
        <v>1138059.9939860001</v>
      </c>
      <c r="J231" s="25">
        <f>SUM(J12:J230)</f>
        <v>1098619.2456286519</v>
      </c>
      <c r="K231" s="25">
        <f t="shared" si="41"/>
        <v>632740.56911224313</v>
      </c>
      <c r="L231" s="25">
        <f t="shared" si="41"/>
        <v>465878.67751640809</v>
      </c>
      <c r="M231" s="101"/>
      <c r="N231" s="101"/>
      <c r="O231" s="101"/>
      <c r="P231" s="101"/>
      <c r="Q231" s="26">
        <f>SUM(Q12:Q230)</f>
        <v>653332584.65145123</v>
      </c>
      <c r="R231" s="26">
        <f>SUM(R12:R230)</f>
        <v>409729158.84409577</v>
      </c>
      <c r="S231" s="26">
        <f>SUM(S12:S230)</f>
        <v>148036988.08292514</v>
      </c>
      <c r="T231" s="26">
        <f>SUM(T12:T230)</f>
        <v>651407690.60963976</v>
      </c>
      <c r="U231" s="26">
        <f>SUM(U12:U230)</f>
        <v>1862506422.1881127</v>
      </c>
      <c r="V231" s="16">
        <v>215755904.87</v>
      </c>
      <c r="W231" s="95">
        <f>U231+V231</f>
        <v>2078262327.0581126</v>
      </c>
      <c r="X231" s="16">
        <f>T231*0.36</f>
        <v>234506768.6194703</v>
      </c>
      <c r="Y231" s="16">
        <f>W231-X231</f>
        <v>1843755558.4386423</v>
      </c>
    </row>
    <row r="232" spans="1:26" s="92" customFormat="1" ht="16.5" customHeight="1">
      <c r="A232" s="100"/>
      <c r="E232" s="100"/>
      <c r="F232" s="100"/>
      <c r="K232" s="104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</row>
    <row r="233" spans="1:26" s="92" customFormat="1" ht="16.5" customHeight="1">
      <c r="A233" s="100"/>
      <c r="E233" s="100"/>
      <c r="F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</row>
    <row r="234" spans="1:26">
      <c r="Q234" s="100"/>
      <c r="R234" s="100"/>
      <c r="S234" s="100"/>
      <c r="T234" s="100"/>
      <c r="U234" s="100"/>
      <c r="V234" s="100"/>
      <c r="X234" s="100"/>
      <c r="Y234" s="100"/>
    </row>
    <row r="235" spans="1:26">
      <c r="Q235" s="100"/>
      <c r="R235" s="100"/>
      <c r="S235" s="100"/>
      <c r="T235" s="100"/>
      <c r="U235" s="100"/>
      <c r="V235" s="100"/>
      <c r="X235" s="100"/>
      <c r="Y235" s="100"/>
    </row>
    <row r="236" spans="1:26">
      <c r="Q236" s="100"/>
      <c r="R236" s="100"/>
      <c r="S236" s="100"/>
      <c r="T236" s="100"/>
      <c r="U236" s="100"/>
      <c r="V236" s="100"/>
      <c r="X236" s="100"/>
      <c r="Y236" s="100"/>
    </row>
    <row r="237" spans="1:26">
      <c r="Q237" s="100"/>
      <c r="R237" s="100"/>
      <c r="S237" s="100"/>
      <c r="T237" s="100"/>
      <c r="U237" s="100"/>
      <c r="V237" s="100"/>
      <c r="X237" s="100"/>
      <c r="Y237" s="100"/>
    </row>
    <row r="238" spans="1:26">
      <c r="Q238" s="100"/>
      <c r="R238" s="100"/>
      <c r="S238" s="100"/>
      <c r="T238" s="100"/>
      <c r="U238" s="100"/>
      <c r="V238" s="100"/>
      <c r="X238" s="100"/>
      <c r="Y238" s="100"/>
    </row>
    <row r="239" spans="1:26">
      <c r="Q239" s="100"/>
      <c r="R239" s="100"/>
      <c r="S239" s="100"/>
      <c r="T239" s="100"/>
      <c r="U239" s="100"/>
      <c r="V239" s="100"/>
      <c r="X239" s="100"/>
      <c r="Y239" s="100"/>
    </row>
    <row r="240" spans="1:26">
      <c r="Q240" s="100"/>
      <c r="R240" s="100"/>
      <c r="S240" s="100"/>
      <c r="T240" s="100"/>
      <c r="U240" s="100"/>
      <c r="V240" s="100"/>
      <c r="X240" s="100"/>
      <c r="Y240" s="100"/>
    </row>
    <row r="241" spans="17:25">
      <c r="Q241" s="100"/>
      <c r="R241" s="100"/>
      <c r="S241" s="100"/>
      <c r="T241" s="100"/>
      <c r="U241" s="100"/>
      <c r="V241" s="100"/>
      <c r="X241" s="100"/>
      <c r="Y241" s="100"/>
    </row>
    <row r="242" spans="17:25">
      <c r="Q242" s="100"/>
      <c r="R242" s="100"/>
      <c r="S242" s="100"/>
      <c r="T242" s="100"/>
      <c r="U242" s="100"/>
      <c r="V242" s="100"/>
      <c r="X242" s="100"/>
      <c r="Y242" s="100"/>
    </row>
    <row r="243" spans="17:25">
      <c r="Q243" s="100"/>
      <c r="R243" s="100"/>
      <c r="S243" s="100"/>
      <c r="T243" s="100"/>
      <c r="U243" s="100"/>
      <c r="V243" s="100"/>
      <c r="X243" s="100"/>
      <c r="Y243" s="100"/>
    </row>
    <row r="244" spans="17:25">
      <c r="Q244" s="100"/>
      <c r="R244" s="100"/>
      <c r="S244" s="100"/>
      <c r="T244" s="100"/>
      <c r="U244" s="100"/>
      <c r="V244" s="100"/>
      <c r="X244" s="100"/>
      <c r="Y244" s="100"/>
    </row>
    <row r="245" spans="17:25">
      <c r="Q245" s="100"/>
      <c r="R245" s="100"/>
      <c r="S245" s="100"/>
      <c r="T245" s="100"/>
      <c r="U245" s="100"/>
      <c r="V245" s="100"/>
      <c r="X245" s="100"/>
      <c r="Y245" s="100"/>
    </row>
    <row r="246" spans="17:25">
      <c r="Q246" s="100"/>
      <c r="R246" s="100"/>
      <c r="S246" s="100"/>
      <c r="T246" s="100"/>
      <c r="U246" s="100"/>
      <c r="V246" s="100"/>
      <c r="X246" s="100"/>
      <c r="Y246" s="100"/>
    </row>
    <row r="247" spans="17:25">
      <c r="Q247" s="100"/>
      <c r="R247" s="100"/>
      <c r="S247" s="100"/>
      <c r="T247" s="100"/>
      <c r="U247" s="100"/>
      <c r="V247" s="100"/>
      <c r="X247" s="100"/>
      <c r="Y247" s="100"/>
    </row>
    <row r="248" spans="17:25">
      <c r="Q248" s="100"/>
      <c r="R248" s="100"/>
      <c r="S248" s="100"/>
      <c r="T248" s="100"/>
      <c r="U248" s="100"/>
      <c r="V248" s="100"/>
      <c r="X248" s="100"/>
      <c r="Y248" s="100"/>
    </row>
    <row r="249" spans="17:25">
      <c r="Q249" s="100"/>
      <c r="R249" s="100"/>
      <c r="S249" s="100"/>
      <c r="T249" s="100"/>
      <c r="U249" s="100"/>
      <c r="V249" s="100"/>
      <c r="X249" s="100"/>
      <c r="Y249" s="100"/>
    </row>
    <row r="250" spans="17:25">
      <c r="Q250" s="100"/>
      <c r="R250" s="100"/>
      <c r="S250" s="100"/>
      <c r="T250" s="100"/>
      <c r="U250" s="100"/>
      <c r="V250" s="100"/>
      <c r="X250" s="100"/>
      <c r="Y250" s="100"/>
    </row>
    <row r="251" spans="17:25">
      <c r="Q251" s="100"/>
      <c r="R251" s="100"/>
      <c r="S251" s="100"/>
      <c r="T251" s="100"/>
      <c r="U251" s="100"/>
      <c r="V251" s="100"/>
      <c r="X251" s="100"/>
      <c r="Y251" s="100"/>
    </row>
    <row r="252" spans="17:25">
      <c r="Q252" s="100"/>
      <c r="R252" s="100"/>
      <c r="S252" s="100"/>
      <c r="T252" s="100"/>
      <c r="U252" s="100"/>
      <c r="V252" s="100"/>
      <c r="X252" s="100"/>
      <c r="Y252" s="100"/>
    </row>
    <row r="253" spans="17:25">
      <c r="U253" s="100"/>
      <c r="Y253" s="100"/>
    </row>
  </sheetData>
  <autoFilter ref="A8:Y233"/>
  <mergeCells count="42">
    <mergeCell ref="Y9:Y10"/>
    <mergeCell ref="Q9:U9"/>
    <mergeCell ref="A9:A10"/>
    <mergeCell ref="D9:D10"/>
    <mergeCell ref="C9:C10"/>
    <mergeCell ref="V9:V10"/>
    <mergeCell ref="W9:W10"/>
    <mergeCell ref="J9:J10"/>
    <mergeCell ref="M9:N9"/>
    <mergeCell ref="X9:X10"/>
    <mergeCell ref="K9:L9"/>
    <mergeCell ref="A172:D172"/>
    <mergeCell ref="A44:D44"/>
    <mergeCell ref="A58:D58"/>
    <mergeCell ref="A72:D72"/>
    <mergeCell ref="A76:D76"/>
    <mergeCell ref="A205:C205"/>
    <mergeCell ref="A229:D229"/>
    <mergeCell ref="A55:C55"/>
    <mergeCell ref="A89:D89"/>
    <mergeCell ref="A94:D94"/>
    <mergeCell ref="A92:C92"/>
    <mergeCell ref="J105:J107"/>
    <mergeCell ref="K105:K107"/>
    <mergeCell ref="L105:L107"/>
    <mergeCell ref="A35:D35"/>
    <mergeCell ref="B9:B10"/>
    <mergeCell ref="A11:D11"/>
    <mergeCell ref="A84:D84"/>
    <mergeCell ref="A27:D27"/>
    <mergeCell ref="A6:Y6"/>
    <mergeCell ref="A198:C198"/>
    <mergeCell ref="A17:D17"/>
    <mergeCell ref="E9:I9"/>
    <mergeCell ref="A158:D158"/>
    <mergeCell ref="O9:P9"/>
    <mergeCell ref="A86:D86"/>
    <mergeCell ref="A100:D100"/>
    <mergeCell ref="A153:D153"/>
    <mergeCell ref="A190:D190"/>
    <mergeCell ref="A130:D130"/>
    <mergeCell ref="A112:D112"/>
  </mergeCells>
  <phoneticPr fontId="0" type="noConversion"/>
  <pageMargins left="0.39370078740157483" right="0.19685039370078741" top="0.78740157480314965" bottom="0.78740157480314965" header="0" footer="0.39370078740157483"/>
  <pageSetup paperSize="9" scale="44" fitToHeight="0" orientation="landscape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N246"/>
  <sheetViews>
    <sheetView zoomScaleNormal="100" zoomScaleSheetLayoutView="100" workbookViewId="0">
      <pane xSplit="4" ySplit="7" topLeftCell="K179" activePane="bottomRight" state="frozen"/>
      <selection pane="topRight" activeCell="E1" sqref="E1"/>
      <selection pane="bottomLeft" activeCell="A5" sqref="A5"/>
      <selection pane="bottomRight" activeCell="B231" sqref="B231:B242"/>
    </sheetView>
  </sheetViews>
  <sheetFormatPr defaultRowHeight="12.75" outlineLevelRow="1" outlineLevelCol="1"/>
  <cols>
    <col min="1" max="1" width="11.7109375" customWidth="1"/>
    <col min="2" max="2" width="42.7109375" customWidth="1"/>
    <col min="3" max="3" width="19" customWidth="1"/>
    <col min="4" max="4" width="26.28515625" hidden="1" customWidth="1" outlineLevel="1"/>
    <col min="5" max="5" width="12.42578125" customWidth="1" collapsed="1"/>
    <col min="6" max="6" width="13" customWidth="1"/>
    <col min="7" max="7" width="14.28515625" customWidth="1"/>
    <col min="8" max="8" width="14.140625" customWidth="1"/>
    <col min="9" max="9" width="14.85546875" customWidth="1"/>
    <col min="10" max="13" width="11.85546875" style="100" customWidth="1"/>
    <col min="14" max="14" width="18.28515625" style="6" customWidth="1"/>
    <col min="15" max="15" width="16.140625" style="6" customWidth="1"/>
    <col min="16" max="16" width="17.28515625" style="6" customWidth="1"/>
    <col min="17" max="17" width="15.5703125" style="6" customWidth="1"/>
    <col min="18" max="18" width="17.42578125" style="6" customWidth="1"/>
    <col min="19" max="19" width="15.5703125" style="6" customWidth="1"/>
    <col min="20" max="20" width="16.7109375" customWidth="1"/>
    <col min="21" max="21" width="15.85546875" style="6" customWidth="1"/>
    <col min="22" max="22" width="19.28515625" style="6" customWidth="1"/>
  </cols>
  <sheetData>
    <row r="1" spans="1:23" s="128" customFormat="1">
      <c r="J1" s="127"/>
      <c r="K1" s="127"/>
      <c r="L1" s="127"/>
      <c r="M1" s="127"/>
      <c r="N1" s="92"/>
      <c r="O1" s="92"/>
      <c r="P1" s="92"/>
      <c r="Q1" s="92"/>
      <c r="R1" s="92"/>
      <c r="S1" s="92"/>
      <c r="U1" s="92" t="s">
        <v>468</v>
      </c>
      <c r="V1" s="92"/>
    </row>
    <row r="2" spans="1:23" s="128" customFormat="1">
      <c r="J2" s="127"/>
      <c r="K2" s="127"/>
      <c r="L2" s="127"/>
      <c r="M2" s="127"/>
      <c r="N2" s="92"/>
      <c r="O2" s="92"/>
      <c r="P2" s="92"/>
      <c r="Q2" s="92"/>
      <c r="R2" s="92"/>
      <c r="S2" s="92"/>
      <c r="U2" s="92" t="s">
        <v>469</v>
      </c>
      <c r="V2" s="92"/>
    </row>
    <row r="3" spans="1:23" s="128" customFormat="1">
      <c r="J3" s="127"/>
      <c r="K3" s="127"/>
      <c r="L3" s="127"/>
      <c r="M3" s="127"/>
      <c r="N3" s="92"/>
      <c r="O3" s="92"/>
      <c r="P3" s="92"/>
      <c r="Q3" s="92"/>
      <c r="R3" s="92"/>
      <c r="S3" s="92"/>
      <c r="U3" s="92"/>
      <c r="V3" s="92"/>
    </row>
    <row r="4" spans="1:23" s="6" customFormat="1" ht="50.25" customHeight="1">
      <c r="A4" s="151" t="s">
        <v>403</v>
      </c>
      <c r="B4" s="151"/>
      <c r="C4" s="151"/>
      <c r="D4" s="151"/>
      <c r="E4" s="151"/>
      <c r="F4" s="152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spans="1:23" s="6" customFormat="1">
      <c r="A5" s="32"/>
      <c r="E5" s="33"/>
      <c r="F5" s="34"/>
      <c r="G5" s="33"/>
      <c r="H5" s="33"/>
      <c r="I5" s="33"/>
      <c r="J5" s="92"/>
      <c r="K5" s="92"/>
      <c r="L5" s="92"/>
      <c r="M5" s="92"/>
      <c r="N5" s="35"/>
      <c r="O5" s="35"/>
      <c r="P5" s="35"/>
      <c r="Q5" s="35"/>
      <c r="R5" s="35"/>
      <c r="S5" s="35"/>
      <c r="T5" s="35"/>
      <c r="U5" s="36"/>
      <c r="V5" s="35"/>
    </row>
    <row r="6" spans="1:23" ht="92.25" customHeight="1">
      <c r="A6" s="143" t="s">
        <v>7</v>
      </c>
      <c r="B6" s="134" t="s">
        <v>8</v>
      </c>
      <c r="C6" s="134" t="s">
        <v>0</v>
      </c>
      <c r="D6" s="134" t="s">
        <v>1</v>
      </c>
      <c r="E6" s="134" t="s">
        <v>404</v>
      </c>
      <c r="F6" s="134"/>
      <c r="G6" s="134"/>
      <c r="H6" s="134"/>
      <c r="I6" s="134"/>
      <c r="J6" s="134" t="s">
        <v>375</v>
      </c>
      <c r="K6" s="134"/>
      <c r="L6" s="134" t="s">
        <v>376</v>
      </c>
      <c r="M6" s="134"/>
      <c r="N6" s="139" t="s">
        <v>377</v>
      </c>
      <c r="O6" s="139"/>
      <c r="P6" s="139"/>
      <c r="Q6" s="139"/>
      <c r="R6" s="139"/>
      <c r="S6" s="153" t="s">
        <v>405</v>
      </c>
      <c r="T6" s="155" t="s">
        <v>406</v>
      </c>
      <c r="U6" s="157" t="s">
        <v>407</v>
      </c>
      <c r="V6" s="155" t="s">
        <v>463</v>
      </c>
      <c r="W6" s="38"/>
    </row>
    <row r="7" spans="1:23" ht="42" customHeight="1">
      <c r="A7" s="143"/>
      <c r="B7" s="134"/>
      <c r="C7" s="134"/>
      <c r="D7" s="134"/>
      <c r="E7" s="19" t="s">
        <v>396</v>
      </c>
      <c r="F7" s="19" t="s">
        <v>397</v>
      </c>
      <c r="G7" s="19" t="s">
        <v>4</v>
      </c>
      <c r="H7" s="19" t="s">
        <v>398</v>
      </c>
      <c r="I7" s="19" t="s">
        <v>6</v>
      </c>
      <c r="J7" s="98" t="s">
        <v>338</v>
      </c>
      <c r="K7" s="98" t="s">
        <v>339</v>
      </c>
      <c r="L7" s="98" t="s">
        <v>338</v>
      </c>
      <c r="M7" s="98" t="s">
        <v>339</v>
      </c>
      <c r="N7" s="23" t="s">
        <v>2</v>
      </c>
      <c r="O7" s="23" t="s">
        <v>3</v>
      </c>
      <c r="P7" s="23" t="s">
        <v>4</v>
      </c>
      <c r="Q7" s="23" t="s">
        <v>5</v>
      </c>
      <c r="R7" s="23" t="s">
        <v>337</v>
      </c>
      <c r="S7" s="154"/>
      <c r="T7" s="156"/>
      <c r="U7" s="158"/>
      <c r="V7" s="156"/>
      <c r="W7" s="38"/>
    </row>
    <row r="8" spans="1:23" ht="25.5" customHeight="1">
      <c r="A8" s="133" t="s">
        <v>11</v>
      </c>
      <c r="B8" s="133"/>
      <c r="C8" s="133"/>
      <c r="D8" s="133"/>
      <c r="E8" s="39"/>
      <c r="F8" s="40"/>
      <c r="G8" s="39"/>
      <c r="H8" s="39"/>
      <c r="I8" s="39"/>
      <c r="J8" s="99"/>
      <c r="K8" s="99"/>
      <c r="L8" s="99"/>
      <c r="M8" s="99"/>
      <c r="N8" s="16"/>
      <c r="O8" s="16"/>
      <c r="P8" s="16"/>
      <c r="Q8" s="16"/>
      <c r="R8" s="16"/>
      <c r="S8" s="16"/>
      <c r="T8" s="16">
        <f>SUM(T9:T33)</f>
        <v>0</v>
      </c>
      <c r="U8" s="16">
        <f>SUM(U9:U33)</f>
        <v>0</v>
      </c>
      <c r="V8" s="16">
        <f>SUM(V9:V33)</f>
        <v>0</v>
      </c>
      <c r="W8" s="41"/>
    </row>
    <row r="9" spans="1:23" ht="21.75" customHeight="1">
      <c r="A9" s="18" t="s">
        <v>9</v>
      </c>
      <c r="B9" s="15" t="s">
        <v>10</v>
      </c>
      <c r="C9" s="15" t="s">
        <v>12</v>
      </c>
      <c r="D9" s="15"/>
      <c r="E9" s="21">
        <f>149.715</f>
        <v>149.715</v>
      </c>
      <c r="F9" s="21">
        <f>52.526+0</f>
        <v>52.526000000000003</v>
      </c>
      <c r="G9" s="21">
        <v>49.384999999999998</v>
      </c>
      <c r="H9" s="21">
        <v>168.33199999999999</v>
      </c>
      <c r="I9" s="21">
        <f>SUM(E9:H9)</f>
        <v>419.95799999999997</v>
      </c>
      <c r="J9" s="93">
        <f>'2018'!N12</f>
        <v>3828.26</v>
      </c>
      <c r="K9" s="93">
        <f>J9*1.04</f>
        <v>3981.3904000000002</v>
      </c>
      <c r="L9" s="93">
        <f>'2018'!P12</f>
        <v>1378</v>
      </c>
      <c r="M9" s="93">
        <f>L9*1.04</f>
        <v>1433.1200000000001</v>
      </c>
      <c r="N9" s="10">
        <f>(J9-L9)*E9</f>
        <v>366840.67590000003</v>
      </c>
      <c r="O9" s="10">
        <f>(J9-L9)*F9</f>
        <v>128702.35676000002</v>
      </c>
      <c r="P9" s="10">
        <f>(K9-M9)*G9</f>
        <v>125846.33370400002</v>
      </c>
      <c r="Q9" s="10">
        <f>(K9-M9)*H9</f>
        <v>428955.45297280006</v>
      </c>
      <c r="R9" s="10">
        <f>SUM(N9:Q9)</f>
        <v>1050344.8193368001</v>
      </c>
      <c r="S9" s="10"/>
      <c r="T9" s="11"/>
      <c r="U9" s="10"/>
      <c r="V9" s="10"/>
      <c r="W9" s="42"/>
    </row>
    <row r="10" spans="1:23" ht="21.75" customHeight="1">
      <c r="A10" s="18" t="s">
        <v>13</v>
      </c>
      <c r="B10" s="15" t="s">
        <v>14</v>
      </c>
      <c r="C10" s="15" t="s">
        <v>15</v>
      </c>
      <c r="D10" s="15"/>
      <c r="E10" s="21">
        <v>1520.76</v>
      </c>
      <c r="F10" s="21">
        <f>496.82+496.42+7.2</f>
        <v>1000.44</v>
      </c>
      <c r="G10" s="21">
        <v>249.96</v>
      </c>
      <c r="H10" s="21">
        <v>1527.91</v>
      </c>
      <c r="I10" s="21">
        <f t="shared" ref="I10:I73" si="0">SUM(E10:H10)</f>
        <v>4299.07</v>
      </c>
      <c r="J10" s="93">
        <f>'2018'!N13</f>
        <v>3889.72</v>
      </c>
      <c r="K10" s="93">
        <f t="shared" ref="K10:K77" si="1">J10*1.04</f>
        <v>4045.3087999999998</v>
      </c>
      <c r="L10" s="93">
        <f>'2018'!P13</f>
        <v>1364.8440000000001</v>
      </c>
      <c r="M10" s="93">
        <f t="shared" ref="M10:M77" si="2">L10*1.04</f>
        <v>1419.43776</v>
      </c>
      <c r="N10" s="10">
        <f t="shared" ref="N10:N73" si="3">(J10-L10)*E10</f>
        <v>3839730.4257599995</v>
      </c>
      <c r="O10" s="10">
        <f t="shared" ref="O10:O73" si="4">(J10-L10)*F10</f>
        <v>2525986.9454399999</v>
      </c>
      <c r="P10" s="10">
        <f t="shared" ref="P10:P73" si="5">(K10-M10)*G10</f>
        <v>656362.72515840002</v>
      </c>
      <c r="Q10" s="10">
        <f t="shared" ref="Q10:Q73" si="6">(K10-M10)*H10</f>
        <v>4012094.6207264001</v>
      </c>
      <c r="R10" s="10">
        <f t="shared" ref="R10:R73" si="7">SUM(N10:Q10)</f>
        <v>11034174.717084799</v>
      </c>
      <c r="S10" s="10"/>
      <c r="T10" s="11"/>
      <c r="U10" s="10"/>
      <c r="V10" s="10"/>
      <c r="W10" s="42"/>
    </row>
    <row r="11" spans="1:23" ht="21.75" customHeight="1">
      <c r="A11" s="18" t="s">
        <v>16</v>
      </c>
      <c r="B11" s="15" t="s">
        <v>17</v>
      </c>
      <c r="C11" s="15" t="s">
        <v>18</v>
      </c>
      <c r="D11" s="15"/>
      <c r="E11" s="21">
        <v>419.7</v>
      </c>
      <c r="F11" s="21">
        <f>139.9+139.9</f>
        <v>279.8</v>
      </c>
      <c r="G11" s="21">
        <v>74.566999999999993</v>
      </c>
      <c r="H11" s="21">
        <v>419.7</v>
      </c>
      <c r="I11" s="21">
        <f t="shared" si="0"/>
        <v>1193.7670000000001</v>
      </c>
      <c r="J11" s="93">
        <f>'2018'!N14</f>
        <v>3289.33</v>
      </c>
      <c r="K11" s="93">
        <f t="shared" si="1"/>
        <v>3420.9032000000002</v>
      </c>
      <c r="L11" s="93">
        <f>'2018'!P14</f>
        <v>1364.8440000000001</v>
      </c>
      <c r="M11" s="93">
        <f t="shared" si="2"/>
        <v>1419.43776</v>
      </c>
      <c r="N11" s="10">
        <f t="shared" si="3"/>
        <v>807706.77419999987</v>
      </c>
      <c r="O11" s="10">
        <f t="shared" si="4"/>
        <v>538471.18279999995</v>
      </c>
      <c r="P11" s="10">
        <f t="shared" si="5"/>
        <v>149243.27346448001</v>
      </c>
      <c r="Q11" s="10">
        <f t="shared" si="6"/>
        <v>840015.04516800004</v>
      </c>
      <c r="R11" s="10">
        <f t="shared" si="7"/>
        <v>2335436.2756324802</v>
      </c>
      <c r="S11" s="10"/>
      <c r="T11" s="11"/>
      <c r="U11" s="10"/>
      <c r="V11" s="10"/>
      <c r="W11" s="42"/>
    </row>
    <row r="12" spans="1:23" ht="21.75" customHeight="1">
      <c r="A12" s="18" t="s">
        <v>19</v>
      </c>
      <c r="B12" s="15" t="s">
        <v>20</v>
      </c>
      <c r="C12" s="15" t="s">
        <v>21</v>
      </c>
      <c r="D12" s="15"/>
      <c r="E12" s="21">
        <v>166.71</v>
      </c>
      <c r="F12" s="21">
        <f>54.75+54.75+16.43</f>
        <v>125.93</v>
      </c>
      <c r="G12" s="21">
        <v>35.524999999999999</v>
      </c>
      <c r="H12" s="21">
        <v>176.11</v>
      </c>
      <c r="I12" s="21">
        <f t="shared" si="0"/>
        <v>504.27499999999998</v>
      </c>
      <c r="J12" s="93">
        <f>'2018'!N15</f>
        <v>3556.09</v>
      </c>
      <c r="K12" s="93">
        <f t="shared" si="1"/>
        <v>3698.3336000000004</v>
      </c>
      <c r="L12" s="93">
        <f>'2018'!P15</f>
        <v>1284.5872000000002</v>
      </c>
      <c r="M12" s="93">
        <f t="shared" si="2"/>
        <v>1335.9706880000001</v>
      </c>
      <c r="N12" s="10">
        <f t="shared" si="3"/>
        <v>378682.23178800003</v>
      </c>
      <c r="O12" s="10">
        <f t="shared" si="4"/>
        <v>286050.34760400007</v>
      </c>
      <c r="P12" s="10">
        <f t="shared" si="5"/>
        <v>83922.942448800008</v>
      </c>
      <c r="Q12" s="10">
        <f t="shared" si="6"/>
        <v>416035.73243232013</v>
      </c>
      <c r="R12" s="10">
        <f t="shared" si="7"/>
        <v>1164691.2542731203</v>
      </c>
      <c r="S12" s="10"/>
      <c r="T12" s="11"/>
      <c r="U12" s="10"/>
      <c r="V12" s="10"/>
      <c r="W12" s="42"/>
    </row>
    <row r="13" spans="1:23" ht="21.75" customHeight="1">
      <c r="A13" s="18" t="s">
        <v>22</v>
      </c>
      <c r="B13" s="15" t="s">
        <v>23</v>
      </c>
      <c r="C13" s="15" t="s">
        <v>21</v>
      </c>
      <c r="D13" s="15"/>
      <c r="E13" s="21">
        <v>2956.6579999999999</v>
      </c>
      <c r="F13" s="21">
        <f>887.291+788.884+70.697</f>
        <v>1746.8720000000003</v>
      </c>
      <c r="G13" s="21">
        <v>287.20100000000002</v>
      </c>
      <c r="H13" s="21">
        <v>2469.3589999999999</v>
      </c>
      <c r="I13" s="21">
        <f t="shared" si="0"/>
        <v>7460.09</v>
      </c>
      <c r="J13" s="93">
        <f>'2018'!N16</f>
        <v>3744.5</v>
      </c>
      <c r="K13" s="93">
        <f t="shared" si="1"/>
        <v>3894.28</v>
      </c>
      <c r="L13" s="93">
        <f>'2018'!P16</f>
        <v>1582.3184000000001</v>
      </c>
      <c r="M13" s="93">
        <f t="shared" si="2"/>
        <v>1645.6111360000002</v>
      </c>
      <c r="N13" s="10">
        <f t="shared" si="3"/>
        <v>6392831.5250927992</v>
      </c>
      <c r="O13" s="10">
        <f t="shared" si="4"/>
        <v>3777054.4959552004</v>
      </c>
      <c r="P13" s="10">
        <f t="shared" si="5"/>
        <v>645819.94640966412</v>
      </c>
      <c r="Q13" s="10">
        <f t="shared" si="6"/>
        <v>5552770.697338176</v>
      </c>
      <c r="R13" s="10">
        <f t="shared" si="7"/>
        <v>16368476.664795838</v>
      </c>
      <c r="S13" s="10"/>
      <c r="T13" s="11"/>
      <c r="U13" s="10"/>
      <c r="V13" s="10"/>
      <c r="W13" s="42"/>
    </row>
    <row r="14" spans="1:23" ht="30" customHeight="1">
      <c r="A14" s="133" t="s">
        <v>26</v>
      </c>
      <c r="B14" s="133"/>
      <c r="C14" s="133"/>
      <c r="D14" s="133"/>
      <c r="E14" s="43"/>
      <c r="F14" s="43"/>
      <c r="G14" s="44"/>
      <c r="H14" s="44"/>
      <c r="I14" s="21">
        <f t="shared" si="0"/>
        <v>0</v>
      </c>
      <c r="J14" s="85"/>
      <c r="K14" s="85"/>
      <c r="L14" s="85"/>
      <c r="M14" s="85"/>
      <c r="N14" s="10">
        <f t="shared" si="3"/>
        <v>0</v>
      </c>
      <c r="O14" s="10">
        <f t="shared" si="4"/>
        <v>0</v>
      </c>
      <c r="P14" s="10">
        <f t="shared" si="5"/>
        <v>0</v>
      </c>
      <c r="Q14" s="10">
        <f t="shared" si="6"/>
        <v>0</v>
      </c>
      <c r="R14" s="10">
        <f t="shared" si="7"/>
        <v>0</v>
      </c>
      <c r="S14" s="10"/>
      <c r="T14" s="11"/>
      <c r="U14" s="10"/>
      <c r="V14" s="10"/>
      <c r="W14" s="45"/>
    </row>
    <row r="15" spans="1:23" ht="21">
      <c r="A15" s="18" t="s">
        <v>24</v>
      </c>
      <c r="B15" s="15" t="s">
        <v>25</v>
      </c>
      <c r="C15" s="15" t="s">
        <v>27</v>
      </c>
      <c r="D15" s="15" t="s">
        <v>28</v>
      </c>
      <c r="E15" s="21">
        <v>540.08699999999999</v>
      </c>
      <c r="F15" s="21">
        <f>140.104+94.782</f>
        <v>234.88600000000002</v>
      </c>
      <c r="G15" s="21">
        <v>59.7</v>
      </c>
      <c r="H15" s="21">
        <v>496.04700000000003</v>
      </c>
      <c r="I15" s="21">
        <f t="shared" si="0"/>
        <v>1330.72</v>
      </c>
      <c r="J15" s="93">
        <f>'2018'!N18</f>
        <v>3875.49</v>
      </c>
      <c r="K15" s="93">
        <f t="shared" si="1"/>
        <v>4030.5095999999999</v>
      </c>
      <c r="L15" s="93">
        <f>'2018'!P18</f>
        <v>1827.1448</v>
      </c>
      <c r="M15" s="93">
        <f t="shared" si="2"/>
        <v>1900.2305920000001</v>
      </c>
      <c r="N15" s="10">
        <f t="shared" si="3"/>
        <v>1106284.6140323998</v>
      </c>
      <c r="O15" s="10">
        <f t="shared" si="4"/>
        <v>481127.61064719997</v>
      </c>
      <c r="P15" s="10">
        <f t="shared" si="5"/>
        <v>127177.65677759997</v>
      </c>
      <c r="Q15" s="10">
        <f t="shared" si="6"/>
        <v>1056718.5110813759</v>
      </c>
      <c r="R15" s="10">
        <f t="shared" si="7"/>
        <v>2771308.3925385755</v>
      </c>
      <c r="S15" s="10"/>
      <c r="T15" s="11"/>
      <c r="U15" s="10"/>
      <c r="V15" s="10"/>
      <c r="W15" s="42"/>
    </row>
    <row r="16" spans="1:23" ht="31.5">
      <c r="A16" s="18" t="s">
        <v>24</v>
      </c>
      <c r="B16" s="15" t="s">
        <v>25</v>
      </c>
      <c r="C16" s="15" t="s">
        <v>27</v>
      </c>
      <c r="D16" s="15" t="s">
        <v>29</v>
      </c>
      <c r="E16" s="21">
        <v>109.57899999999999</v>
      </c>
      <c r="F16" s="21">
        <f>36.303+17.82</f>
        <v>54.122999999999998</v>
      </c>
      <c r="G16" s="21">
        <v>22.87</v>
      </c>
      <c r="H16" s="21">
        <v>109.239</v>
      </c>
      <c r="I16" s="21">
        <f t="shared" si="0"/>
        <v>295.81100000000004</v>
      </c>
      <c r="J16" s="93">
        <f>'2018'!N19</f>
        <v>3875.49</v>
      </c>
      <c r="K16" s="93">
        <f t="shared" si="1"/>
        <v>4030.5095999999999</v>
      </c>
      <c r="L16" s="93">
        <f>'2018'!P19</f>
        <v>1357.0856000000001</v>
      </c>
      <c r="M16" s="93">
        <f t="shared" si="2"/>
        <v>1411.3690240000001</v>
      </c>
      <c r="N16" s="10">
        <f t="shared" si="3"/>
        <v>275964.23574759992</v>
      </c>
      <c r="O16" s="10">
        <f t="shared" si="4"/>
        <v>136303.60134119997</v>
      </c>
      <c r="P16" s="10">
        <f t="shared" si="5"/>
        <v>59899.744973119996</v>
      </c>
      <c r="Q16" s="10">
        <f t="shared" si="6"/>
        <v>286112.29738166399</v>
      </c>
      <c r="R16" s="10">
        <f t="shared" si="7"/>
        <v>758279.87944358389</v>
      </c>
      <c r="S16" s="10"/>
      <c r="T16" s="11"/>
      <c r="U16" s="10"/>
      <c r="V16" s="10"/>
      <c r="W16" s="42"/>
    </row>
    <row r="17" spans="1:23" ht="23.25" customHeight="1">
      <c r="A17" s="18" t="s">
        <v>385</v>
      </c>
      <c r="B17" s="15" t="s">
        <v>25</v>
      </c>
      <c r="C17" s="15" t="s">
        <v>27</v>
      </c>
      <c r="D17" s="15" t="s">
        <v>386</v>
      </c>
      <c r="E17" s="21">
        <v>20.265000000000001</v>
      </c>
      <c r="F17" s="21">
        <f>13.51+6.54</f>
        <v>20.05</v>
      </c>
      <c r="G17" s="21">
        <v>6.7549999999999999</v>
      </c>
      <c r="H17" s="21">
        <v>36.475000000000001</v>
      </c>
      <c r="I17" s="21">
        <f t="shared" si="0"/>
        <v>83.545000000000002</v>
      </c>
      <c r="J17" s="93">
        <f>'2018'!N20</f>
        <v>9965.5</v>
      </c>
      <c r="K17" s="93">
        <f t="shared" si="1"/>
        <v>10364.120000000001</v>
      </c>
      <c r="L17" s="93">
        <f>'2018'!P20</f>
        <v>1586</v>
      </c>
      <c r="M17" s="93">
        <f t="shared" si="2"/>
        <v>1649.44</v>
      </c>
      <c r="N17" s="10">
        <f t="shared" si="3"/>
        <v>169810.5675</v>
      </c>
      <c r="O17" s="10">
        <f t="shared" si="4"/>
        <v>168008.97500000001</v>
      </c>
      <c r="P17" s="10">
        <f t="shared" si="5"/>
        <v>58867.663399999998</v>
      </c>
      <c r="Q17" s="10">
        <f t="shared" si="6"/>
        <v>317867.95300000004</v>
      </c>
      <c r="R17" s="10">
        <f t="shared" si="7"/>
        <v>714555.15890000004</v>
      </c>
      <c r="S17" s="10"/>
      <c r="T17" s="11"/>
      <c r="U17" s="10"/>
      <c r="V17" s="10"/>
      <c r="W17" s="42"/>
    </row>
    <row r="18" spans="1:23" ht="19.5" customHeight="1">
      <c r="A18" s="18" t="s">
        <v>30</v>
      </c>
      <c r="B18" s="15" t="s">
        <v>31</v>
      </c>
      <c r="C18" s="15" t="s">
        <v>32</v>
      </c>
      <c r="D18" s="15"/>
      <c r="E18" s="21">
        <v>567.24</v>
      </c>
      <c r="F18" s="21">
        <f>189.082+121.591+1.136</f>
        <v>311.80900000000003</v>
      </c>
      <c r="G18" s="21">
        <v>85.826999999999998</v>
      </c>
      <c r="H18" s="21">
        <v>568.48900000000003</v>
      </c>
      <c r="I18" s="21">
        <f t="shared" si="0"/>
        <v>1533.365</v>
      </c>
      <c r="J18" s="93">
        <f>'2018'!N21</f>
        <v>3194.48</v>
      </c>
      <c r="K18" s="93">
        <f t="shared" si="1"/>
        <v>3322.2592</v>
      </c>
      <c r="L18" s="93">
        <f>'2018'!P21</f>
        <v>1521.2704000000001</v>
      </c>
      <c r="M18" s="93">
        <f t="shared" si="2"/>
        <v>1582.1212160000002</v>
      </c>
      <c r="N18" s="10">
        <f t="shared" si="3"/>
        <v>949111.41350399994</v>
      </c>
      <c r="O18" s="10">
        <f t="shared" si="4"/>
        <v>521721.81216640002</v>
      </c>
      <c r="P18" s="10">
        <f t="shared" si="5"/>
        <v>149350.82275276797</v>
      </c>
      <c r="Q18" s="10">
        <f t="shared" si="6"/>
        <v>989249.30238617596</v>
      </c>
      <c r="R18" s="10">
        <f t="shared" si="7"/>
        <v>2609433.3508093441</v>
      </c>
      <c r="S18" s="10"/>
      <c r="T18" s="11"/>
      <c r="U18" s="10"/>
      <c r="V18" s="10"/>
      <c r="W18" s="42"/>
    </row>
    <row r="19" spans="1:23" ht="23.25" customHeight="1">
      <c r="A19" s="18" t="s">
        <v>33</v>
      </c>
      <c r="B19" s="15" t="s">
        <v>34</v>
      </c>
      <c r="C19" s="15" t="s">
        <v>35</v>
      </c>
      <c r="D19" s="15"/>
      <c r="E19" s="21">
        <v>94.2</v>
      </c>
      <c r="F19" s="21">
        <f>31.4+23.09</f>
        <v>54.489999999999995</v>
      </c>
      <c r="G19" s="21">
        <v>6.27</v>
      </c>
      <c r="H19" s="21">
        <v>94.2</v>
      </c>
      <c r="I19" s="21">
        <f t="shared" si="0"/>
        <v>249.16000000000003</v>
      </c>
      <c r="J19" s="93">
        <f>'2018'!N22</f>
        <v>5492.77</v>
      </c>
      <c r="K19" s="93">
        <f t="shared" si="1"/>
        <v>5712.4808000000003</v>
      </c>
      <c r="L19" s="93">
        <f>'2018'!P22</f>
        <v>1877.8760000000002</v>
      </c>
      <c r="M19" s="93">
        <f t="shared" si="2"/>
        <v>1952.9910400000003</v>
      </c>
      <c r="N19" s="10">
        <f t="shared" si="3"/>
        <v>340523.0148</v>
      </c>
      <c r="O19" s="10">
        <f t="shared" si="4"/>
        <v>196975.57405999998</v>
      </c>
      <c r="P19" s="10">
        <f t="shared" si="5"/>
        <v>23572.000795199998</v>
      </c>
      <c r="Q19" s="10">
        <f t="shared" si="6"/>
        <v>354143.93539200001</v>
      </c>
      <c r="R19" s="10">
        <f t="shared" si="7"/>
        <v>915214.52504720003</v>
      </c>
      <c r="S19" s="10"/>
      <c r="T19" s="11"/>
      <c r="U19" s="10"/>
      <c r="V19" s="10"/>
      <c r="W19" s="42"/>
    </row>
    <row r="20" spans="1:23" ht="23.25" customHeight="1">
      <c r="A20" s="18" t="s">
        <v>36</v>
      </c>
      <c r="B20" s="15" t="s">
        <v>37</v>
      </c>
      <c r="C20" s="15" t="s">
        <v>27</v>
      </c>
      <c r="D20" s="15"/>
      <c r="E20" s="21">
        <v>162.94999999999999</v>
      </c>
      <c r="F20" s="21">
        <f>51.05+32.808</f>
        <v>83.858000000000004</v>
      </c>
      <c r="G20" s="21">
        <v>21.524999999999999</v>
      </c>
      <c r="H20" s="21">
        <v>160.35</v>
      </c>
      <c r="I20" s="21">
        <f t="shared" si="0"/>
        <v>428.68299999999999</v>
      </c>
      <c r="J20" s="93">
        <f>'2018'!N23</f>
        <v>4836.6552000000001</v>
      </c>
      <c r="K20" s="93">
        <f t="shared" si="1"/>
        <v>5030.121408</v>
      </c>
      <c r="L20" s="93">
        <f>'2018'!P23</f>
        <v>1386.7048</v>
      </c>
      <c r="M20" s="93">
        <f t="shared" si="2"/>
        <v>1442.172992</v>
      </c>
      <c r="N20" s="10">
        <f t="shared" si="3"/>
        <v>562169.41767999995</v>
      </c>
      <c r="O20" s="10">
        <f t="shared" si="4"/>
        <v>289305.94064320001</v>
      </c>
      <c r="P20" s="10">
        <f t="shared" si="5"/>
        <v>77230.589654399999</v>
      </c>
      <c r="Q20" s="10">
        <f t="shared" si="6"/>
        <v>575327.52850560006</v>
      </c>
      <c r="R20" s="10">
        <f t="shared" si="7"/>
        <v>1504033.4764832</v>
      </c>
      <c r="S20" s="10"/>
      <c r="T20" s="11"/>
      <c r="U20" s="10"/>
      <c r="V20" s="10"/>
      <c r="W20" s="42"/>
    </row>
    <row r="21" spans="1:23" ht="23.25" customHeight="1">
      <c r="A21" s="18" t="s">
        <v>38</v>
      </c>
      <c r="B21" s="15" t="s">
        <v>39</v>
      </c>
      <c r="C21" s="15" t="s">
        <v>40</v>
      </c>
      <c r="D21" s="15"/>
      <c r="E21" s="21">
        <v>296.10000000000002</v>
      </c>
      <c r="F21" s="21">
        <f>98.7+66.8+26.31</f>
        <v>191.81</v>
      </c>
      <c r="G21" s="21">
        <v>59.22</v>
      </c>
      <c r="H21" s="21">
        <v>282.37</v>
      </c>
      <c r="I21" s="21">
        <f t="shared" si="0"/>
        <v>829.5</v>
      </c>
      <c r="J21" s="93">
        <f>'2018'!N24</f>
        <v>2953.444</v>
      </c>
      <c r="K21" s="93">
        <f t="shared" si="1"/>
        <v>3071.58176</v>
      </c>
      <c r="L21" s="93">
        <f>'2018'!P24</f>
        <v>1773.1584</v>
      </c>
      <c r="M21" s="93">
        <f t="shared" si="2"/>
        <v>1844.084736</v>
      </c>
      <c r="N21" s="10">
        <f t="shared" si="3"/>
        <v>349482.56615999999</v>
      </c>
      <c r="O21" s="10">
        <f t="shared" si="4"/>
        <v>226390.58093599998</v>
      </c>
      <c r="P21" s="10">
        <f t="shared" si="5"/>
        <v>72692.373761280003</v>
      </c>
      <c r="Q21" s="10">
        <f t="shared" si="6"/>
        <v>346608.33466688002</v>
      </c>
      <c r="R21" s="10">
        <f t="shared" si="7"/>
        <v>995173.85552415997</v>
      </c>
      <c r="S21" s="10"/>
      <c r="T21" s="11"/>
      <c r="U21" s="10"/>
      <c r="V21" s="10"/>
      <c r="W21" s="42"/>
    </row>
    <row r="22" spans="1:23" ht="23.25" customHeight="1">
      <c r="A22" s="18" t="s">
        <v>41</v>
      </c>
      <c r="B22" s="15" t="s">
        <v>42</v>
      </c>
      <c r="C22" s="15" t="s">
        <v>43</v>
      </c>
      <c r="D22" s="15"/>
      <c r="E22" s="21">
        <v>411.36</v>
      </c>
      <c r="F22" s="21">
        <f>137.12+68.56</f>
        <v>205.68</v>
      </c>
      <c r="G22" s="21">
        <v>68.56</v>
      </c>
      <c r="H22" s="21">
        <v>411.36</v>
      </c>
      <c r="I22" s="21">
        <f t="shared" si="0"/>
        <v>1096.96</v>
      </c>
      <c r="J22" s="93">
        <f>'2018'!N25</f>
        <v>2627.78</v>
      </c>
      <c r="K22" s="93">
        <f t="shared" si="1"/>
        <v>2732.8912000000005</v>
      </c>
      <c r="L22" s="93">
        <f>'2018'!P25</f>
        <v>1755.4368000000002</v>
      </c>
      <c r="M22" s="93">
        <f t="shared" si="2"/>
        <v>1825.6542720000002</v>
      </c>
      <c r="N22" s="10">
        <f t="shared" si="3"/>
        <v>358847.09875200002</v>
      </c>
      <c r="O22" s="10">
        <f t="shared" si="4"/>
        <v>179423.54937600001</v>
      </c>
      <c r="P22" s="10">
        <f t="shared" si="5"/>
        <v>62200.163783680022</v>
      </c>
      <c r="Q22" s="10">
        <f t="shared" si="6"/>
        <v>373200.9827020801</v>
      </c>
      <c r="R22" s="10">
        <f t="shared" si="7"/>
        <v>973671.7946137602</v>
      </c>
      <c r="S22" s="10"/>
      <c r="T22" s="11"/>
      <c r="U22" s="10"/>
      <c r="V22" s="10"/>
      <c r="W22" s="42"/>
    </row>
    <row r="23" spans="1:23" ht="23.25" customHeight="1">
      <c r="A23" s="18" t="s">
        <v>22</v>
      </c>
      <c r="B23" s="15" t="s">
        <v>23</v>
      </c>
      <c r="C23" s="15" t="s">
        <v>27</v>
      </c>
      <c r="D23" s="15"/>
      <c r="E23" s="21">
        <v>4941.0860000000002</v>
      </c>
      <c r="F23" s="21">
        <f>1375.899+767.172</f>
        <v>2143.0709999999999</v>
      </c>
      <c r="G23" s="21">
        <v>599.72199999999998</v>
      </c>
      <c r="H23" s="21">
        <v>4598.973</v>
      </c>
      <c r="I23" s="21">
        <f t="shared" si="0"/>
        <v>12282.851999999999</v>
      </c>
      <c r="J23" s="93">
        <f>'2018'!N26</f>
        <v>3438.36</v>
      </c>
      <c r="K23" s="93">
        <f t="shared" si="1"/>
        <v>3575.8944000000001</v>
      </c>
      <c r="L23" s="93">
        <f>'2018'!P26</f>
        <v>1578.2103999999999</v>
      </c>
      <c r="M23" s="93">
        <f t="shared" si="2"/>
        <v>1641.338816</v>
      </c>
      <c r="N23" s="10">
        <f t="shared" si="3"/>
        <v>9191159.1464656014</v>
      </c>
      <c r="O23" s="10">
        <f t="shared" si="4"/>
        <v>3986432.6634216001</v>
      </c>
      <c r="P23" s="10">
        <f t="shared" si="5"/>
        <v>1160195.543947648</v>
      </c>
      <c r="Q23" s="10">
        <f t="shared" si="6"/>
        <v>8896968.8978152331</v>
      </c>
      <c r="R23" s="10">
        <f t="shared" si="7"/>
        <v>23234756.25165008</v>
      </c>
      <c r="S23" s="10"/>
      <c r="T23" s="11"/>
      <c r="U23" s="10"/>
      <c r="V23" s="10"/>
      <c r="W23" s="42"/>
    </row>
    <row r="24" spans="1:23" ht="32.25" customHeight="1">
      <c r="A24" s="133" t="s">
        <v>44</v>
      </c>
      <c r="B24" s="133"/>
      <c r="C24" s="133"/>
      <c r="D24" s="133"/>
      <c r="E24" s="43"/>
      <c r="F24" s="43"/>
      <c r="G24" s="44"/>
      <c r="H24" s="44"/>
      <c r="I24" s="21">
        <f t="shared" si="0"/>
        <v>0</v>
      </c>
      <c r="J24" s="85"/>
      <c r="K24" s="85"/>
      <c r="L24" s="85"/>
      <c r="M24" s="85"/>
      <c r="N24" s="10">
        <f t="shared" si="3"/>
        <v>0</v>
      </c>
      <c r="O24" s="10">
        <f t="shared" si="4"/>
        <v>0</v>
      </c>
      <c r="P24" s="10">
        <f t="shared" si="5"/>
        <v>0</v>
      </c>
      <c r="Q24" s="10">
        <f t="shared" si="6"/>
        <v>0</v>
      </c>
      <c r="R24" s="10">
        <f t="shared" si="7"/>
        <v>0</v>
      </c>
      <c r="S24" s="10"/>
      <c r="T24" s="11"/>
      <c r="U24" s="10"/>
      <c r="V24" s="10"/>
      <c r="W24" s="45"/>
    </row>
    <row r="25" spans="1:23" ht="24.75" customHeight="1">
      <c r="A25" s="18" t="s">
        <v>9</v>
      </c>
      <c r="B25" s="15" t="s">
        <v>10</v>
      </c>
      <c r="C25" s="15" t="s">
        <v>45</v>
      </c>
      <c r="D25" s="15"/>
      <c r="E25" s="21">
        <f>106.935-9.71-11.426</f>
        <v>85.798999999999992</v>
      </c>
      <c r="F25" s="21">
        <f>37.47+37.47</f>
        <v>74.94</v>
      </c>
      <c r="G25" s="21">
        <v>94.938000000000002</v>
      </c>
      <c r="H25" s="21">
        <v>124.664</v>
      </c>
      <c r="I25" s="21">
        <f t="shared" si="0"/>
        <v>380.34099999999995</v>
      </c>
      <c r="J25" s="93">
        <f>'2018'!N28</f>
        <v>3804.6215999999999</v>
      </c>
      <c r="K25" s="93">
        <f t="shared" ref="K25:K31" si="8">J25*1.04</f>
        <v>3956.8064640000002</v>
      </c>
      <c r="L25" s="93">
        <f>'2018'!P28</f>
        <v>1514.1243520000003</v>
      </c>
      <c r="M25" s="93">
        <f t="shared" ref="M25:M31" si="9">L25*1.04</f>
        <v>1574.6893260800002</v>
      </c>
      <c r="N25" s="10">
        <f t="shared" si="3"/>
        <v>196522.37338115196</v>
      </c>
      <c r="O25" s="10">
        <f t="shared" si="4"/>
        <v>171649.86376511998</v>
      </c>
      <c r="P25" s="10">
        <f t="shared" si="5"/>
        <v>226153.43683984896</v>
      </c>
      <c r="Q25" s="10">
        <f t="shared" si="6"/>
        <v>296964.25088165887</v>
      </c>
      <c r="R25" s="10">
        <f t="shared" si="7"/>
        <v>891289.92486777983</v>
      </c>
      <c r="S25" s="10"/>
      <c r="T25" s="11"/>
      <c r="U25" s="10"/>
      <c r="V25" s="10"/>
      <c r="W25" s="42"/>
    </row>
    <row r="26" spans="1:23" ht="24.75" customHeight="1">
      <c r="A26" s="18" t="s">
        <v>9</v>
      </c>
      <c r="B26" s="15" t="s">
        <v>10</v>
      </c>
      <c r="C26" s="15" t="s">
        <v>46</v>
      </c>
      <c r="D26" s="15"/>
      <c r="E26" s="21">
        <f>416.733-11.7-14.368</f>
        <v>390.66500000000002</v>
      </c>
      <c r="F26" s="21">
        <f>141.394+141.394</f>
        <v>282.78800000000001</v>
      </c>
      <c r="G26" s="21">
        <v>92.283000000000001</v>
      </c>
      <c r="H26" s="21">
        <v>416.07799999999997</v>
      </c>
      <c r="I26" s="21">
        <f t="shared" si="0"/>
        <v>1181.8139999999999</v>
      </c>
      <c r="J26" s="93">
        <f>'2018'!N29</f>
        <v>3804.6215999999999</v>
      </c>
      <c r="K26" s="93">
        <f t="shared" si="8"/>
        <v>3956.8064640000002</v>
      </c>
      <c r="L26" s="93">
        <f>'2018'!P29</f>
        <v>1514.1243520000003</v>
      </c>
      <c r="M26" s="93">
        <f t="shared" si="9"/>
        <v>1574.6893260800002</v>
      </c>
      <c r="N26" s="10">
        <f t="shared" si="3"/>
        <v>894817.10738991993</v>
      </c>
      <c r="O26" s="10">
        <f t="shared" si="4"/>
        <v>647725.1357674239</v>
      </c>
      <c r="P26" s="10">
        <f t="shared" si="5"/>
        <v>219828.91583867135</v>
      </c>
      <c r="Q26" s="10">
        <f t="shared" si="6"/>
        <v>991146.53451147769</v>
      </c>
      <c r="R26" s="10">
        <f t="shared" si="7"/>
        <v>2753517.693507493</v>
      </c>
      <c r="S26" s="10"/>
      <c r="T26" s="11"/>
      <c r="U26" s="10"/>
      <c r="V26" s="10"/>
      <c r="W26" s="42"/>
    </row>
    <row r="27" spans="1:23" ht="24.75" customHeight="1">
      <c r="A27" s="18" t="s">
        <v>47</v>
      </c>
      <c r="B27" s="15" t="s">
        <v>48</v>
      </c>
      <c r="C27" s="15" t="s">
        <v>46</v>
      </c>
      <c r="D27" s="15"/>
      <c r="E27" s="21">
        <v>48.66</v>
      </c>
      <c r="F27" s="21">
        <f>16.22+16.22</f>
        <v>32.44</v>
      </c>
      <c r="G27" s="21">
        <v>4.9000000000000004</v>
      </c>
      <c r="H27" s="21">
        <v>41.73</v>
      </c>
      <c r="I27" s="21">
        <f t="shared" si="0"/>
        <v>127.72999999999999</v>
      </c>
      <c r="J27" s="93">
        <f>'2018'!N30</f>
        <v>3004.93</v>
      </c>
      <c r="K27" s="93">
        <f t="shared" si="8"/>
        <v>3125.1271999999999</v>
      </c>
      <c r="L27" s="93">
        <f>'2018'!P30</f>
        <v>1485.56</v>
      </c>
      <c r="M27" s="93">
        <f t="shared" si="9"/>
        <v>1544.9824000000001</v>
      </c>
      <c r="N27" s="10">
        <f t="shared" si="3"/>
        <v>73932.544199999989</v>
      </c>
      <c r="O27" s="10">
        <f t="shared" si="4"/>
        <v>49288.362799999995</v>
      </c>
      <c r="P27" s="10">
        <f t="shared" si="5"/>
        <v>7742.7095199999994</v>
      </c>
      <c r="Q27" s="10">
        <f t="shared" si="6"/>
        <v>65939.442503999991</v>
      </c>
      <c r="R27" s="10">
        <f t="shared" si="7"/>
        <v>196903.05902399996</v>
      </c>
      <c r="S27" s="10"/>
      <c r="T27" s="11"/>
      <c r="U27" s="10"/>
      <c r="V27" s="10"/>
      <c r="W27" s="42"/>
    </row>
    <row r="28" spans="1:23" ht="24.75" customHeight="1">
      <c r="A28" s="18" t="s">
        <v>49</v>
      </c>
      <c r="B28" s="15" t="s">
        <v>50</v>
      </c>
      <c r="C28" s="15" t="s">
        <v>51</v>
      </c>
      <c r="D28" s="15"/>
      <c r="E28" s="21">
        <v>2125.4499999999998</v>
      </c>
      <c r="F28" s="21">
        <f>672.71+539.889+130.614</f>
        <v>1343.2130000000002</v>
      </c>
      <c r="G28" s="21">
        <v>65.394999999999996</v>
      </c>
      <c r="H28" s="21">
        <v>1884.0360000000001</v>
      </c>
      <c r="I28" s="21">
        <f t="shared" si="0"/>
        <v>5418.0940000000001</v>
      </c>
      <c r="J28" s="93">
        <f>'2018'!N31</f>
        <v>3928.51</v>
      </c>
      <c r="K28" s="93">
        <f t="shared" si="8"/>
        <v>4085.6504000000004</v>
      </c>
      <c r="L28" s="93">
        <f>'2018'!P31</f>
        <v>1678.762176</v>
      </c>
      <c r="M28" s="93">
        <f t="shared" si="9"/>
        <v>1745.9126630400001</v>
      </c>
      <c r="N28" s="10">
        <f t="shared" si="3"/>
        <v>4781726.5125207994</v>
      </c>
      <c r="O28" s="10">
        <f t="shared" si="4"/>
        <v>3021890.5239185123</v>
      </c>
      <c r="P28" s="10">
        <f t="shared" si="5"/>
        <v>153007.14930849921</v>
      </c>
      <c r="Q28" s="10">
        <f t="shared" si="6"/>
        <v>4408150.1269911714</v>
      </c>
      <c r="R28" s="10">
        <f t="shared" si="7"/>
        <v>12364774.312738981</v>
      </c>
      <c r="S28" s="10"/>
      <c r="T28" s="11"/>
      <c r="U28" s="10"/>
      <c r="V28" s="10"/>
      <c r="W28" s="42"/>
    </row>
    <row r="29" spans="1:23" ht="24.75" customHeight="1">
      <c r="A29" s="18" t="s">
        <v>49</v>
      </c>
      <c r="B29" s="15" t="s">
        <v>50</v>
      </c>
      <c r="C29" s="15" t="s">
        <v>52</v>
      </c>
      <c r="D29" s="15"/>
      <c r="E29" s="21">
        <v>3467.5810000000001</v>
      </c>
      <c r="F29" s="21">
        <f>1142.51+1066.81+259.99</f>
        <v>2469.3099999999995</v>
      </c>
      <c r="G29" s="21">
        <v>651.16200000000003</v>
      </c>
      <c r="H29" s="21">
        <v>3235.7510000000002</v>
      </c>
      <c r="I29" s="21">
        <f t="shared" si="0"/>
        <v>9823.8040000000001</v>
      </c>
      <c r="J29" s="93">
        <f>'2018'!N32</f>
        <v>3269.5134000000007</v>
      </c>
      <c r="K29" s="93">
        <f t="shared" si="8"/>
        <v>3400.2939360000009</v>
      </c>
      <c r="L29" s="93">
        <f>'2018'!P32</f>
        <v>1305.7616</v>
      </c>
      <c r="M29" s="93">
        <f t="shared" si="9"/>
        <v>1357.992064</v>
      </c>
      <c r="N29" s="10">
        <f t="shared" si="3"/>
        <v>6809468.4303958025</v>
      </c>
      <c r="O29" s="10">
        <f t="shared" si="4"/>
        <v>4849111.957258001</v>
      </c>
      <c r="P29" s="10">
        <f t="shared" si="5"/>
        <v>1329869.3715752647</v>
      </c>
      <c r="Q29" s="10">
        <f t="shared" si="6"/>
        <v>6608380.3246258758</v>
      </c>
      <c r="R29" s="10">
        <f t="shared" si="7"/>
        <v>19596830.083854944</v>
      </c>
      <c r="S29" s="10"/>
      <c r="T29" s="11"/>
      <c r="U29" s="10"/>
      <c r="V29" s="10"/>
      <c r="W29" s="42"/>
    </row>
    <row r="30" spans="1:23" ht="24.75" customHeight="1">
      <c r="A30" s="18" t="s">
        <v>53</v>
      </c>
      <c r="B30" s="15" t="s">
        <v>54</v>
      </c>
      <c r="C30" s="15" t="s">
        <v>46</v>
      </c>
      <c r="D30" s="15"/>
      <c r="E30" s="21">
        <v>6689.7150000000001</v>
      </c>
      <c r="F30" s="21">
        <f>2222.016+2216+506.931</f>
        <v>4944.9469999999992</v>
      </c>
      <c r="G30" s="21">
        <v>1276.451</v>
      </c>
      <c r="H30" s="21">
        <v>6615.1980000000003</v>
      </c>
      <c r="I30" s="21">
        <f t="shared" si="0"/>
        <v>19526.311000000002</v>
      </c>
      <c r="J30" s="93">
        <f>'2018'!N33</f>
        <v>3036.6544000000004</v>
      </c>
      <c r="K30" s="93">
        <f t="shared" si="8"/>
        <v>3158.1205760000003</v>
      </c>
      <c r="L30" s="93">
        <f>'2018'!P33</f>
        <v>1485.5568000000001</v>
      </c>
      <c r="M30" s="93">
        <f t="shared" si="9"/>
        <v>1544.9790720000001</v>
      </c>
      <c r="N30" s="10">
        <f t="shared" si="3"/>
        <v>10376400.881184002</v>
      </c>
      <c r="O30" s="10">
        <f t="shared" si="4"/>
        <v>7670095.4238272002</v>
      </c>
      <c r="P30" s="10">
        <f t="shared" si="5"/>
        <v>2059096.0859223043</v>
      </c>
      <c r="Q30" s="10">
        <f t="shared" si="6"/>
        <v>10671250.450977793</v>
      </c>
      <c r="R30" s="10">
        <f t="shared" si="7"/>
        <v>30776842.841911301</v>
      </c>
      <c r="S30" s="10"/>
      <c r="T30" s="11"/>
      <c r="U30" s="10"/>
      <c r="V30" s="10"/>
      <c r="W30" s="42"/>
    </row>
    <row r="31" spans="1:23" ht="24.75" customHeight="1">
      <c r="A31" s="18" t="s">
        <v>55</v>
      </c>
      <c r="B31" s="15" t="s">
        <v>56</v>
      </c>
      <c r="C31" s="15" t="s">
        <v>57</v>
      </c>
      <c r="D31" s="15"/>
      <c r="E31" s="21">
        <v>526.75199999999995</v>
      </c>
      <c r="F31" s="21">
        <f>175.584+175.584</f>
        <v>351.16800000000001</v>
      </c>
      <c r="G31" s="21">
        <v>270.73399999999998</v>
      </c>
      <c r="H31" s="21">
        <v>498.99200000000002</v>
      </c>
      <c r="I31" s="21">
        <f t="shared" si="0"/>
        <v>1647.646</v>
      </c>
      <c r="J31" s="93">
        <f>'2018'!N34</f>
        <v>5628.6</v>
      </c>
      <c r="K31" s="93">
        <f t="shared" si="8"/>
        <v>5853.7440000000006</v>
      </c>
      <c r="L31" s="93">
        <f>'2018'!P34</f>
        <v>1678.77</v>
      </c>
      <c r="M31" s="93">
        <f t="shared" si="9"/>
        <v>1745.9208000000001</v>
      </c>
      <c r="N31" s="10">
        <f t="shared" si="3"/>
        <v>2080580.85216</v>
      </c>
      <c r="O31" s="10">
        <f t="shared" si="4"/>
        <v>1387053.9014400002</v>
      </c>
      <c r="P31" s="10">
        <f t="shared" si="5"/>
        <v>1112127.4062288001</v>
      </c>
      <c r="Q31" s="10">
        <f t="shared" si="6"/>
        <v>2049770.9142144003</v>
      </c>
      <c r="R31" s="10">
        <f t="shared" si="7"/>
        <v>6629533.0740432013</v>
      </c>
      <c r="S31" s="10"/>
      <c r="T31" s="11"/>
      <c r="U31" s="10"/>
      <c r="V31" s="10"/>
      <c r="W31" s="42"/>
    </row>
    <row r="32" spans="1:23" ht="21" customHeight="1">
      <c r="A32" s="133" t="s">
        <v>60</v>
      </c>
      <c r="B32" s="133"/>
      <c r="C32" s="133"/>
      <c r="D32" s="133"/>
      <c r="E32" s="43"/>
      <c r="F32" s="43"/>
      <c r="G32" s="44"/>
      <c r="H32" s="44"/>
      <c r="I32" s="21">
        <f t="shared" si="0"/>
        <v>0</v>
      </c>
      <c r="J32" s="85"/>
      <c r="K32" s="85"/>
      <c r="L32" s="85"/>
      <c r="M32" s="85"/>
      <c r="N32" s="10">
        <f t="shared" si="3"/>
        <v>0</v>
      </c>
      <c r="O32" s="10">
        <f t="shared" si="4"/>
        <v>0</v>
      </c>
      <c r="P32" s="10">
        <f t="shared" si="5"/>
        <v>0</v>
      </c>
      <c r="Q32" s="10">
        <f t="shared" si="6"/>
        <v>0</v>
      </c>
      <c r="R32" s="10">
        <f t="shared" si="7"/>
        <v>0</v>
      </c>
      <c r="S32" s="10"/>
      <c r="T32" s="11"/>
      <c r="U32" s="10"/>
      <c r="V32" s="10"/>
      <c r="W32" s="45"/>
    </row>
    <row r="33" spans="1:23" ht="19.5" customHeight="1">
      <c r="A33" s="18" t="s">
        <v>58</v>
      </c>
      <c r="B33" s="15" t="s">
        <v>59</v>
      </c>
      <c r="C33" s="15" t="s">
        <v>61</v>
      </c>
      <c r="D33" s="15"/>
      <c r="E33" s="21">
        <v>179.01</v>
      </c>
      <c r="F33" s="21">
        <f>55.97+38.42</f>
        <v>94.39</v>
      </c>
      <c r="G33" s="21">
        <v>24.55</v>
      </c>
      <c r="H33" s="21">
        <v>172.88</v>
      </c>
      <c r="I33" s="21">
        <f t="shared" si="0"/>
        <v>470.83</v>
      </c>
      <c r="J33" s="93">
        <f>'2018'!N36</f>
        <v>3131.2269307718107</v>
      </c>
      <c r="K33" s="93">
        <f t="shared" ref="K33:K40" si="10">J33*1.04</f>
        <v>3256.4760080026831</v>
      </c>
      <c r="L33" s="93">
        <f>'2018'!P36</f>
        <v>1355.5</v>
      </c>
      <c r="M33" s="93">
        <f t="shared" ref="M33:M40" si="11">L33*1.04</f>
        <v>1409.72</v>
      </c>
      <c r="N33" s="10">
        <f t="shared" si="3"/>
        <v>317872.87787746178</v>
      </c>
      <c r="O33" s="10">
        <f t="shared" si="4"/>
        <v>167610.86499555121</v>
      </c>
      <c r="P33" s="10">
        <f t="shared" si="5"/>
        <v>45337.859996465872</v>
      </c>
      <c r="Q33" s="10">
        <f t="shared" si="6"/>
        <v>319267.17866350384</v>
      </c>
      <c r="R33" s="10">
        <f t="shared" si="7"/>
        <v>850088.78153298271</v>
      </c>
      <c r="S33" s="10"/>
      <c r="T33" s="11"/>
      <c r="U33" s="10"/>
      <c r="V33" s="10"/>
      <c r="W33" s="42"/>
    </row>
    <row r="34" spans="1:23" ht="19.5" customHeight="1">
      <c r="A34" s="18" t="s">
        <v>62</v>
      </c>
      <c r="B34" s="15" t="s">
        <v>63</v>
      </c>
      <c r="C34" s="15" t="s">
        <v>64</v>
      </c>
      <c r="D34" s="15"/>
      <c r="E34" s="21">
        <v>136.76400000000001</v>
      </c>
      <c r="F34" s="21">
        <f>45.588+32.352</f>
        <v>77.94</v>
      </c>
      <c r="G34" s="21">
        <v>27.353000000000002</v>
      </c>
      <c r="H34" s="21">
        <v>136.76300000000001</v>
      </c>
      <c r="I34" s="21">
        <f t="shared" si="0"/>
        <v>378.82000000000005</v>
      </c>
      <c r="J34" s="93">
        <f>'2018'!N37</f>
        <v>3029.5606302153628</v>
      </c>
      <c r="K34" s="93">
        <f t="shared" si="10"/>
        <v>3150.7430554239772</v>
      </c>
      <c r="L34" s="93">
        <f>'2018'!P37</f>
        <v>1559.6</v>
      </c>
      <c r="M34" s="93">
        <f t="shared" si="11"/>
        <v>1621.9839999999999</v>
      </c>
      <c r="N34" s="10">
        <f t="shared" si="3"/>
        <v>201037.6956307739</v>
      </c>
      <c r="O34" s="10">
        <f t="shared" si="4"/>
        <v>114568.73151898538</v>
      </c>
      <c r="P34" s="10">
        <f t="shared" si="5"/>
        <v>41816.146443012054</v>
      </c>
      <c r="Q34" s="10">
        <f t="shared" si="6"/>
        <v>209077.67469694943</v>
      </c>
      <c r="R34" s="10">
        <f t="shared" si="7"/>
        <v>566500.24828972074</v>
      </c>
      <c r="S34" s="46"/>
      <c r="T34" s="46"/>
      <c r="U34" s="46"/>
      <c r="V34" s="46"/>
      <c r="W34" s="42"/>
    </row>
    <row r="35" spans="1:23" ht="19.5" customHeight="1">
      <c r="A35" s="18" t="s">
        <v>65</v>
      </c>
      <c r="B35" s="15" t="s">
        <v>66</v>
      </c>
      <c r="C35" s="15" t="s">
        <v>67</v>
      </c>
      <c r="D35" s="15"/>
      <c r="E35" s="21">
        <v>5074.0869999999995</v>
      </c>
      <c r="F35" s="21">
        <v>2655.0630000000001</v>
      </c>
      <c r="G35" s="21">
        <v>565.73699999999997</v>
      </c>
      <c r="H35" s="21">
        <v>4755.4549999999999</v>
      </c>
      <c r="I35" s="21">
        <f t="shared" si="0"/>
        <v>13050.341999999999</v>
      </c>
      <c r="J35" s="93">
        <f>'2018'!N38</f>
        <v>2713.4744000000001</v>
      </c>
      <c r="K35" s="93">
        <f t="shared" si="10"/>
        <v>2822.0133760000003</v>
      </c>
      <c r="L35" s="93">
        <f>'2018'!P38</f>
        <v>1452.6</v>
      </c>
      <c r="M35" s="93">
        <f t="shared" si="11"/>
        <v>1510.704</v>
      </c>
      <c r="N35" s="10">
        <f t="shared" si="3"/>
        <v>6397786.4016728001</v>
      </c>
      <c r="O35" s="10">
        <f t="shared" si="4"/>
        <v>3347700.9670872004</v>
      </c>
      <c r="P35" s="10">
        <f t="shared" si="5"/>
        <v>741856.23245011212</v>
      </c>
      <c r="Q35" s="10">
        <f t="shared" si="6"/>
        <v>6235872.7286460819</v>
      </c>
      <c r="R35" s="10">
        <f t="shared" si="7"/>
        <v>16723216.329856195</v>
      </c>
      <c r="S35" s="10"/>
      <c r="T35" s="11"/>
      <c r="U35" s="10"/>
      <c r="V35" s="10"/>
      <c r="W35" s="42"/>
    </row>
    <row r="36" spans="1:23" ht="23.25" customHeight="1">
      <c r="A36" s="18" t="s">
        <v>68</v>
      </c>
      <c r="B36" s="15" t="s">
        <v>69</v>
      </c>
      <c r="C36" s="15" t="s">
        <v>64</v>
      </c>
      <c r="D36" s="15"/>
      <c r="E36" s="21">
        <v>126.447</v>
      </c>
      <c r="F36" s="21">
        <f>28.553+42.149</f>
        <v>70.701999999999998</v>
      </c>
      <c r="G36" s="21">
        <v>25.373999999999999</v>
      </c>
      <c r="H36" s="21">
        <v>126.87</v>
      </c>
      <c r="I36" s="21">
        <f t="shared" si="0"/>
        <v>349.39300000000003</v>
      </c>
      <c r="J36" s="93">
        <f>'2018'!N39</f>
        <v>3988.6059182944068</v>
      </c>
      <c r="K36" s="93">
        <f t="shared" si="10"/>
        <v>4148.1501550261828</v>
      </c>
      <c r="L36" s="93">
        <f>'2018'!P39</f>
        <v>1537.99</v>
      </c>
      <c r="M36" s="93">
        <f t="shared" si="11"/>
        <v>1599.5096000000001</v>
      </c>
      <c r="N36" s="10">
        <f t="shared" si="3"/>
        <v>309873.03102057282</v>
      </c>
      <c r="O36" s="10">
        <f t="shared" si="4"/>
        <v>173263.44665525114</v>
      </c>
      <c r="P36" s="10">
        <f t="shared" si="5"/>
        <v>64669.20544323435</v>
      </c>
      <c r="Q36" s="10">
        <f t="shared" si="6"/>
        <v>323346.02721617179</v>
      </c>
      <c r="R36" s="10">
        <f t="shared" si="7"/>
        <v>871151.71033522999</v>
      </c>
      <c r="S36" s="10"/>
      <c r="T36" s="11"/>
      <c r="U36" s="10"/>
      <c r="V36" s="10"/>
      <c r="W36" s="42"/>
    </row>
    <row r="37" spans="1:23" ht="24" customHeight="1">
      <c r="A37" s="18" t="s">
        <v>70</v>
      </c>
      <c r="B37" s="15" t="s">
        <v>71</v>
      </c>
      <c r="C37" s="15" t="s">
        <v>72</v>
      </c>
      <c r="D37" s="15"/>
      <c r="E37" s="21">
        <v>155.55000000000001</v>
      </c>
      <c r="F37" s="21">
        <f>51.85+36.78</f>
        <v>88.63</v>
      </c>
      <c r="G37" s="21">
        <v>31.1</v>
      </c>
      <c r="H37" s="21">
        <v>155.55000000000001</v>
      </c>
      <c r="I37" s="21">
        <f t="shared" si="0"/>
        <v>430.83000000000004</v>
      </c>
      <c r="J37" s="93">
        <f>'2018'!N40</f>
        <v>4044.8096</v>
      </c>
      <c r="K37" s="93">
        <f t="shared" si="10"/>
        <v>4206.6019839999999</v>
      </c>
      <c r="L37" s="93">
        <f>'2018'!P40</f>
        <v>1463.98</v>
      </c>
      <c r="M37" s="93">
        <f t="shared" si="11"/>
        <v>1522.5392000000002</v>
      </c>
      <c r="N37" s="10">
        <f t="shared" si="3"/>
        <v>401448.04428000003</v>
      </c>
      <c r="O37" s="10">
        <f t="shared" si="4"/>
        <v>228738.927448</v>
      </c>
      <c r="P37" s="10">
        <f t="shared" si="5"/>
        <v>83474.352582399995</v>
      </c>
      <c r="Q37" s="10">
        <f t="shared" si="6"/>
        <v>417505.9660512</v>
      </c>
      <c r="R37" s="10">
        <f t="shared" si="7"/>
        <v>1131167.2903616</v>
      </c>
      <c r="S37" s="10"/>
      <c r="T37" s="11"/>
      <c r="U37" s="10"/>
      <c r="V37" s="10"/>
      <c r="W37" s="42"/>
    </row>
    <row r="38" spans="1:23" ht="24" customHeight="1">
      <c r="A38" s="18" t="s">
        <v>73</v>
      </c>
      <c r="B38" s="15" t="s">
        <v>74</v>
      </c>
      <c r="C38" s="15" t="s">
        <v>43</v>
      </c>
      <c r="D38" s="15"/>
      <c r="E38" s="21">
        <v>249.66300000000001</v>
      </c>
      <c r="F38" s="21">
        <f>83.221+83.221</f>
        <v>166.44200000000001</v>
      </c>
      <c r="G38" s="21">
        <v>49.932000000000002</v>
      </c>
      <c r="H38" s="21">
        <v>244.11500000000001</v>
      </c>
      <c r="I38" s="21">
        <f t="shared" si="0"/>
        <v>710.15200000000004</v>
      </c>
      <c r="J38" s="93">
        <f>'2018'!N41</f>
        <v>3387.448063526695</v>
      </c>
      <c r="K38" s="93">
        <f t="shared" si="10"/>
        <v>3522.945986067763</v>
      </c>
      <c r="L38" s="93">
        <f>'2018'!P41</f>
        <v>1410.78</v>
      </c>
      <c r="M38" s="93">
        <f t="shared" si="11"/>
        <v>1467.2112</v>
      </c>
      <c r="N38" s="10">
        <f t="shared" si="3"/>
        <v>493500.8787442653</v>
      </c>
      <c r="O38" s="10">
        <f t="shared" si="4"/>
        <v>329000.58582951018</v>
      </c>
      <c r="P38" s="10">
        <f t="shared" si="5"/>
        <v>102646.94933793554</v>
      </c>
      <c r="Q38" s="10">
        <f t="shared" si="6"/>
        <v>501835.69730093196</v>
      </c>
      <c r="R38" s="10">
        <f t="shared" si="7"/>
        <v>1426984.1112126429</v>
      </c>
      <c r="S38" s="10"/>
      <c r="T38" s="11"/>
      <c r="U38" s="10"/>
      <c r="V38" s="10"/>
      <c r="W38" s="42"/>
    </row>
    <row r="39" spans="1:23" ht="22.5" customHeight="1">
      <c r="A39" s="18" t="s">
        <v>75</v>
      </c>
      <c r="B39" s="15" t="s">
        <v>76</v>
      </c>
      <c r="C39" s="15" t="s">
        <v>77</v>
      </c>
      <c r="D39" s="15"/>
      <c r="E39" s="21">
        <v>134.90600000000001</v>
      </c>
      <c r="F39" s="21">
        <f>46.55+46.55</f>
        <v>93.1</v>
      </c>
      <c r="G39" s="21">
        <v>48.536999999999999</v>
      </c>
      <c r="H39" s="21">
        <v>143.624</v>
      </c>
      <c r="I39" s="21">
        <f t="shared" si="0"/>
        <v>420.16700000000003</v>
      </c>
      <c r="J39" s="93">
        <f>'2018'!N42</f>
        <v>3791.575415181781</v>
      </c>
      <c r="K39" s="93">
        <f t="shared" si="10"/>
        <v>3943.2384317890524</v>
      </c>
      <c r="L39" s="93">
        <f>'2018'!P42</f>
        <v>1383.6</v>
      </c>
      <c r="M39" s="93">
        <f t="shared" si="11"/>
        <v>1438.944</v>
      </c>
      <c r="N39" s="10">
        <f t="shared" si="3"/>
        <v>324850.33136051334</v>
      </c>
      <c r="O39" s="10">
        <f t="shared" si="4"/>
        <v>224182.51115342381</v>
      </c>
      <c r="P39" s="10">
        <f t="shared" si="5"/>
        <v>121550.93883574524</v>
      </c>
      <c r="Q39" s="10">
        <f t="shared" si="6"/>
        <v>359676.78347127087</v>
      </c>
      <c r="R39" s="10">
        <f t="shared" si="7"/>
        <v>1030260.5648209532</v>
      </c>
      <c r="S39" s="16"/>
      <c r="T39" s="16"/>
      <c r="U39" s="16"/>
      <c r="V39" s="16"/>
      <c r="W39" s="42"/>
    </row>
    <row r="40" spans="1:23" s="29" customFormat="1" ht="22.5" customHeight="1">
      <c r="A40" s="28" t="s">
        <v>428</v>
      </c>
      <c r="B40" s="27" t="s">
        <v>429</v>
      </c>
      <c r="C40" s="27" t="s">
        <v>430</v>
      </c>
      <c r="D40" s="15"/>
      <c r="E40" s="21">
        <v>196.97039999999998</v>
      </c>
      <c r="F40" s="21">
        <v>131.31360000000001</v>
      </c>
      <c r="G40" s="21">
        <v>51.587600000000002</v>
      </c>
      <c r="H40" s="21">
        <v>206.35039999999998</v>
      </c>
      <c r="I40" s="21">
        <f t="shared" si="0"/>
        <v>586.22199999999998</v>
      </c>
      <c r="J40" s="93">
        <f>'2018'!N43</f>
        <v>2197.9463999999998</v>
      </c>
      <c r="K40" s="93">
        <f t="shared" si="10"/>
        <v>2285.8642559999998</v>
      </c>
      <c r="L40" s="93">
        <f>'2018'!P43</f>
        <v>1452.6</v>
      </c>
      <c r="M40" s="93">
        <f t="shared" si="11"/>
        <v>1510.704</v>
      </c>
      <c r="N40" s="10">
        <f t="shared" si="3"/>
        <v>146811.17854655997</v>
      </c>
      <c r="O40" s="10">
        <f t="shared" si="4"/>
        <v>97874.119031039998</v>
      </c>
      <c r="P40" s="10">
        <f t="shared" si="5"/>
        <v>39988.657222425594</v>
      </c>
      <c r="Q40" s="10">
        <f t="shared" si="6"/>
        <v>159954.62888970235</v>
      </c>
      <c r="R40" s="10">
        <f t="shared" si="7"/>
        <v>444628.58368972794</v>
      </c>
      <c r="S40" s="16"/>
      <c r="T40" s="16"/>
      <c r="U40" s="16"/>
      <c r="V40" s="16"/>
      <c r="W40" s="42"/>
    </row>
    <row r="41" spans="1:23" ht="21.75" customHeight="1">
      <c r="A41" s="133" t="s">
        <v>80</v>
      </c>
      <c r="B41" s="133"/>
      <c r="C41" s="133"/>
      <c r="D41" s="133"/>
      <c r="E41" s="43"/>
      <c r="F41" s="43"/>
      <c r="G41" s="44"/>
      <c r="H41" s="44"/>
      <c r="I41" s="21">
        <f t="shared" si="0"/>
        <v>0</v>
      </c>
      <c r="J41" s="85"/>
      <c r="K41" s="85"/>
      <c r="L41" s="85"/>
      <c r="M41" s="85"/>
      <c r="N41" s="10">
        <f t="shared" si="3"/>
        <v>0</v>
      </c>
      <c r="O41" s="10">
        <f t="shared" si="4"/>
        <v>0</v>
      </c>
      <c r="P41" s="10">
        <f t="shared" si="5"/>
        <v>0</v>
      </c>
      <c r="Q41" s="10">
        <f t="shared" si="6"/>
        <v>0</v>
      </c>
      <c r="R41" s="10">
        <f t="shared" si="7"/>
        <v>0</v>
      </c>
      <c r="S41" s="10"/>
      <c r="T41" s="11"/>
      <c r="U41" s="10"/>
      <c r="V41" s="10"/>
      <c r="W41" s="45"/>
    </row>
    <row r="42" spans="1:23" s="6" customFormat="1" ht="21.75" customHeight="1">
      <c r="A42" s="47">
        <v>2912006719</v>
      </c>
      <c r="B42" s="47" t="s">
        <v>378</v>
      </c>
      <c r="C42" s="47" t="s">
        <v>379</v>
      </c>
      <c r="D42" s="47"/>
      <c r="E42" s="21">
        <v>77.459214000000003</v>
      </c>
      <c r="F42" s="21">
        <v>51.639476000000002</v>
      </c>
      <c r="G42" s="21">
        <v>20.744261999999999</v>
      </c>
      <c r="H42" s="21">
        <v>82.977047999999996</v>
      </c>
      <c r="I42" s="21">
        <f t="shared" si="0"/>
        <v>232.82</v>
      </c>
      <c r="J42" s="84">
        <f>'2018'!N45</f>
        <v>3168.03</v>
      </c>
      <c r="K42" s="84">
        <f t="shared" si="1"/>
        <v>3294.7512000000002</v>
      </c>
      <c r="L42" s="84">
        <f>'2018'!P45</f>
        <v>1604.0030240000001</v>
      </c>
      <c r="M42" s="84">
        <f t="shared" si="2"/>
        <v>1668.1631449600002</v>
      </c>
      <c r="N42" s="10">
        <f t="shared" si="3"/>
        <v>121148.30023575688</v>
      </c>
      <c r="O42" s="10">
        <f t="shared" si="4"/>
        <v>80765.533490504589</v>
      </c>
      <c r="P42" s="10">
        <f t="shared" si="5"/>
        <v>33742.368779820179</v>
      </c>
      <c r="Q42" s="10">
        <f t="shared" si="6"/>
        <v>134969.47511928072</v>
      </c>
      <c r="R42" s="10">
        <f t="shared" si="7"/>
        <v>370625.67762536235</v>
      </c>
      <c r="S42" s="10"/>
      <c r="T42" s="11"/>
      <c r="U42" s="10"/>
      <c r="V42" s="10"/>
    </row>
    <row r="43" spans="1:23" ht="21" customHeight="1">
      <c r="A43" s="18" t="s">
        <v>78</v>
      </c>
      <c r="B43" s="15" t="s">
        <v>79</v>
      </c>
      <c r="C43" s="15" t="s">
        <v>81</v>
      </c>
      <c r="D43" s="15"/>
      <c r="E43" s="21">
        <v>3326.36</v>
      </c>
      <c r="F43" s="21">
        <f>1108.88+1091.38</f>
        <v>2200.2600000000002</v>
      </c>
      <c r="G43" s="21">
        <v>551.75</v>
      </c>
      <c r="H43" s="21">
        <v>3342.14</v>
      </c>
      <c r="I43" s="21">
        <f t="shared" si="0"/>
        <v>9420.51</v>
      </c>
      <c r="J43" s="93">
        <f>'2018'!N46</f>
        <v>3368.3</v>
      </c>
      <c r="K43" s="93">
        <f t="shared" si="1"/>
        <v>3503.0320000000002</v>
      </c>
      <c r="L43" s="93">
        <f>'2018'!P46</f>
        <v>1527.959472</v>
      </c>
      <c r="M43" s="93">
        <f t="shared" si="2"/>
        <v>1589.0778508800001</v>
      </c>
      <c r="N43" s="10">
        <f t="shared" si="3"/>
        <v>6121635.1187180812</v>
      </c>
      <c r="O43" s="10">
        <f t="shared" si="4"/>
        <v>4049227.6501372806</v>
      </c>
      <c r="P43" s="10">
        <f t="shared" si="5"/>
        <v>1056024.2017769599</v>
      </c>
      <c r="Q43" s="10">
        <f t="shared" si="6"/>
        <v>6396702.7199399164</v>
      </c>
      <c r="R43" s="10">
        <f t="shared" si="7"/>
        <v>17623589.690572239</v>
      </c>
      <c r="S43" s="10"/>
      <c r="T43" s="11"/>
      <c r="U43" s="10"/>
      <c r="V43" s="10"/>
      <c r="W43" s="42"/>
    </row>
    <row r="44" spans="1:23" ht="21" customHeight="1">
      <c r="A44" s="18" t="s">
        <v>82</v>
      </c>
      <c r="B44" s="15" t="s">
        <v>83</v>
      </c>
      <c r="C44" s="15" t="s">
        <v>84</v>
      </c>
      <c r="D44" s="15"/>
      <c r="E44" s="21">
        <v>220.274</v>
      </c>
      <c r="F44" s="21">
        <f>60.696+61.478</f>
        <v>122.17400000000001</v>
      </c>
      <c r="G44" s="21">
        <v>13.88</v>
      </c>
      <c r="H44" s="21">
        <v>192.24600000000001</v>
      </c>
      <c r="I44" s="21">
        <f t="shared" si="0"/>
        <v>548.57399999999996</v>
      </c>
      <c r="J44" s="93">
        <f>'2018'!N47</f>
        <v>2738.0288</v>
      </c>
      <c r="K44" s="93">
        <f t="shared" si="1"/>
        <v>2847.5499520000003</v>
      </c>
      <c r="L44" s="93">
        <f>'2018'!P47</f>
        <v>2044.9630240000001</v>
      </c>
      <c r="M44" s="93">
        <f t="shared" si="2"/>
        <v>2126.7615449600003</v>
      </c>
      <c r="N44" s="10">
        <f t="shared" si="3"/>
        <v>152664.37074262399</v>
      </c>
      <c r="O44" s="10">
        <f t="shared" si="4"/>
        <v>84674.618117023987</v>
      </c>
      <c r="P44" s="10">
        <f t="shared" si="5"/>
        <v>10004.543089715202</v>
      </c>
      <c r="Q44" s="10">
        <f t="shared" si="6"/>
        <v>138568.68809981184</v>
      </c>
      <c r="R44" s="10">
        <f t="shared" si="7"/>
        <v>385912.22004917503</v>
      </c>
      <c r="S44" s="10"/>
      <c r="T44" s="11"/>
      <c r="U44" s="10"/>
      <c r="V44" s="10"/>
      <c r="W44" s="42"/>
    </row>
    <row r="45" spans="1:23" ht="21" customHeight="1">
      <c r="A45" s="18" t="s">
        <v>85</v>
      </c>
      <c r="B45" s="15" t="s">
        <v>86</v>
      </c>
      <c r="C45" s="15" t="s">
        <v>84</v>
      </c>
      <c r="D45" s="15"/>
      <c r="E45" s="21">
        <v>10521.2</v>
      </c>
      <c r="F45" s="21">
        <f>3183.29+3170.81</f>
        <v>6354.1</v>
      </c>
      <c r="G45" s="21">
        <v>607.32000000000005</v>
      </c>
      <c r="H45" s="21">
        <v>10103.18</v>
      </c>
      <c r="I45" s="21">
        <f t="shared" si="0"/>
        <v>27585.800000000003</v>
      </c>
      <c r="J45" s="93">
        <f>'2018'!N48</f>
        <v>3270.51</v>
      </c>
      <c r="K45" s="93">
        <f t="shared" si="1"/>
        <v>3401.3304000000003</v>
      </c>
      <c r="L45" s="93">
        <f>'2018'!P48</f>
        <v>1419.6728000000001</v>
      </c>
      <c r="M45" s="93">
        <f t="shared" si="2"/>
        <v>1476.4597120000001</v>
      </c>
      <c r="N45" s="10">
        <f t="shared" si="3"/>
        <v>19473028.348640002</v>
      </c>
      <c r="O45" s="10">
        <f t="shared" si="4"/>
        <v>11760404.652520001</v>
      </c>
      <c r="P45" s="10">
        <f t="shared" si="5"/>
        <v>1169012.4662361601</v>
      </c>
      <c r="Q45" s="10">
        <f t="shared" si="6"/>
        <v>19447315.037587844</v>
      </c>
      <c r="R45" s="10">
        <f t="shared" si="7"/>
        <v>51849760.504984006</v>
      </c>
      <c r="S45" s="10"/>
      <c r="T45" s="11"/>
      <c r="U45" s="10"/>
      <c r="V45" s="10"/>
      <c r="W45" s="42"/>
    </row>
    <row r="46" spans="1:23" ht="21" customHeight="1">
      <c r="A46" s="18" t="s">
        <v>87</v>
      </c>
      <c r="B46" s="15" t="s">
        <v>88</v>
      </c>
      <c r="C46" s="15" t="s">
        <v>89</v>
      </c>
      <c r="D46" s="15"/>
      <c r="E46" s="21">
        <v>116.61</v>
      </c>
      <c r="F46" s="21">
        <f>31.33+38.87</f>
        <v>70.199999999999989</v>
      </c>
      <c r="G46" s="21">
        <v>20.73</v>
      </c>
      <c r="H46" s="21">
        <v>116.61</v>
      </c>
      <c r="I46" s="21">
        <f t="shared" si="0"/>
        <v>324.14999999999998</v>
      </c>
      <c r="J46" s="93">
        <f>'2018'!N49</f>
        <v>3417.53</v>
      </c>
      <c r="K46" s="93">
        <f t="shared" si="1"/>
        <v>3554.2312000000002</v>
      </c>
      <c r="L46" s="93">
        <f>'2018'!P49</f>
        <v>1510.6618175999999</v>
      </c>
      <c r="M46" s="93">
        <f t="shared" si="2"/>
        <v>1571.0882903040001</v>
      </c>
      <c r="N46" s="10">
        <f t="shared" si="3"/>
        <v>222359.89874966402</v>
      </c>
      <c r="O46" s="10">
        <f t="shared" si="4"/>
        <v>133862.14640448001</v>
      </c>
      <c r="P46" s="10">
        <f t="shared" si="5"/>
        <v>41110.552517998083</v>
      </c>
      <c r="Q46" s="10">
        <f t="shared" si="6"/>
        <v>231254.29469965058</v>
      </c>
      <c r="R46" s="10">
        <f t="shared" si="7"/>
        <v>628586.8923717927</v>
      </c>
      <c r="S46" s="10"/>
      <c r="T46" s="11"/>
      <c r="U46" s="10"/>
      <c r="V46" s="10"/>
      <c r="W46" s="42"/>
    </row>
    <row r="47" spans="1:23" ht="21" customHeight="1">
      <c r="A47" s="18" t="s">
        <v>90</v>
      </c>
      <c r="B47" s="15" t="s">
        <v>91</v>
      </c>
      <c r="C47" s="15" t="s">
        <v>84</v>
      </c>
      <c r="D47" s="15"/>
      <c r="E47" s="21">
        <v>744.37</v>
      </c>
      <c r="F47" s="21">
        <f>221.143+222.938</f>
        <v>444.08100000000002</v>
      </c>
      <c r="G47" s="21">
        <v>157.68</v>
      </c>
      <c r="H47" s="21">
        <v>726.13199999999995</v>
      </c>
      <c r="I47" s="21">
        <f t="shared" si="0"/>
        <v>2072.2629999999999</v>
      </c>
      <c r="J47" s="93">
        <f>'2018'!N50</f>
        <v>3330.3920000000003</v>
      </c>
      <c r="K47" s="93">
        <f t="shared" si="1"/>
        <v>3463.6076800000005</v>
      </c>
      <c r="L47" s="93">
        <f>'2018'!P50</f>
        <v>1454.96</v>
      </c>
      <c r="M47" s="93">
        <f t="shared" si="2"/>
        <v>1513.1584</v>
      </c>
      <c r="N47" s="10">
        <f t="shared" si="3"/>
        <v>1396015.3178400001</v>
      </c>
      <c r="O47" s="10">
        <f t="shared" si="4"/>
        <v>832843.71799200017</v>
      </c>
      <c r="P47" s="10">
        <f t="shared" si="5"/>
        <v>307546.84247040009</v>
      </c>
      <c r="Q47" s="10">
        <f t="shared" si="6"/>
        <v>1416283.6365849602</v>
      </c>
      <c r="R47" s="10">
        <f t="shared" si="7"/>
        <v>3952689.5148873609</v>
      </c>
      <c r="S47" s="10"/>
      <c r="T47" s="11"/>
      <c r="U47" s="10"/>
      <c r="V47" s="10"/>
      <c r="W47" s="42"/>
    </row>
    <row r="48" spans="1:23" ht="21" customHeight="1">
      <c r="A48" s="18" t="s">
        <v>92</v>
      </c>
      <c r="B48" s="15" t="s">
        <v>93</v>
      </c>
      <c r="C48" s="15" t="s">
        <v>94</v>
      </c>
      <c r="D48" s="15"/>
      <c r="E48" s="21">
        <v>34.56</v>
      </c>
      <c r="F48" s="21">
        <f>11.52+8.917</f>
        <v>20.436999999999998</v>
      </c>
      <c r="G48" s="21">
        <v>5.7590000000000003</v>
      </c>
      <c r="H48" s="21">
        <v>34.554000000000002</v>
      </c>
      <c r="I48" s="21">
        <f t="shared" si="0"/>
        <v>95.31</v>
      </c>
      <c r="J48" s="93">
        <f>'2018'!N51</f>
        <v>5349.57</v>
      </c>
      <c r="K48" s="93">
        <f t="shared" si="1"/>
        <v>5563.5527999999995</v>
      </c>
      <c r="L48" s="93">
        <f>'2018'!P51</f>
        <v>1527.9576000000002</v>
      </c>
      <c r="M48" s="93">
        <f t="shared" si="2"/>
        <v>1589.0759040000003</v>
      </c>
      <c r="N48" s="10">
        <f t="shared" si="3"/>
        <v>132074.92454399998</v>
      </c>
      <c r="O48" s="10">
        <f t="shared" si="4"/>
        <v>78102.292618799984</v>
      </c>
      <c r="P48" s="10">
        <f t="shared" si="5"/>
        <v>22889.012444063996</v>
      </c>
      <c r="Q48" s="10">
        <f t="shared" si="6"/>
        <v>137334.07466438398</v>
      </c>
      <c r="R48" s="10">
        <f t="shared" si="7"/>
        <v>370400.30427124794</v>
      </c>
      <c r="S48" s="10"/>
      <c r="T48" s="11"/>
      <c r="U48" s="10"/>
      <c r="V48" s="10"/>
      <c r="W48" s="42"/>
    </row>
    <row r="49" spans="1:196" s="6" customFormat="1" ht="21" customHeight="1" outlineLevel="1">
      <c r="A49" s="18" t="s">
        <v>340</v>
      </c>
      <c r="B49" s="15" t="s">
        <v>341</v>
      </c>
      <c r="C49" s="15" t="s">
        <v>342</v>
      </c>
      <c r="D49" s="48"/>
      <c r="E49" s="21">
        <v>71.13</v>
      </c>
      <c r="F49" s="21">
        <f>23.71+11.86</f>
        <v>35.57</v>
      </c>
      <c r="G49" s="21">
        <v>11.86</v>
      </c>
      <c r="H49" s="21">
        <v>71.12</v>
      </c>
      <c r="I49" s="21">
        <f t="shared" si="0"/>
        <v>189.68</v>
      </c>
      <c r="J49" s="93">
        <f>'2018'!N52</f>
        <v>5067.92</v>
      </c>
      <c r="K49" s="93">
        <f t="shared" si="1"/>
        <v>5270.6368000000002</v>
      </c>
      <c r="L49" s="93">
        <f>'2018'!P52</f>
        <v>1527.959472</v>
      </c>
      <c r="M49" s="93">
        <f t="shared" si="2"/>
        <v>1589.0778508800001</v>
      </c>
      <c r="N49" s="10">
        <f t="shared" si="3"/>
        <v>251797.39235663999</v>
      </c>
      <c r="O49" s="10">
        <f t="shared" si="4"/>
        <v>125916.39598096001</v>
      </c>
      <c r="P49" s="10">
        <f t="shared" si="5"/>
        <v>43663.289136563195</v>
      </c>
      <c r="Q49" s="10">
        <f t="shared" si="6"/>
        <v>261832.47246141441</v>
      </c>
      <c r="R49" s="10">
        <f t="shared" si="7"/>
        <v>683209.54993557767</v>
      </c>
      <c r="S49" s="10"/>
      <c r="T49" s="11"/>
      <c r="U49" s="49"/>
      <c r="V49" s="49"/>
      <c r="W49" s="42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</row>
    <row r="50" spans="1:196" s="6" customFormat="1" ht="21.75" customHeight="1" outlineLevel="1">
      <c r="A50" s="28" t="s">
        <v>415</v>
      </c>
      <c r="B50" s="27" t="s">
        <v>414</v>
      </c>
      <c r="C50" s="27" t="s">
        <v>348</v>
      </c>
      <c r="D50" s="48"/>
      <c r="E50" s="21">
        <v>278.625</v>
      </c>
      <c r="F50" s="21">
        <v>146.37100000000001</v>
      </c>
      <c r="G50" s="21">
        <v>69.099000000000004</v>
      </c>
      <c r="H50" s="21">
        <v>278.625</v>
      </c>
      <c r="I50" s="21">
        <f t="shared" si="0"/>
        <v>772.72</v>
      </c>
      <c r="J50" s="93">
        <f>'2018'!N53</f>
        <v>2880.51</v>
      </c>
      <c r="K50" s="93">
        <f t="shared" si="1"/>
        <v>2995.7304000000004</v>
      </c>
      <c r="L50" s="83">
        <f>'2018'!P53</f>
        <v>1582.2</v>
      </c>
      <c r="M50" s="83">
        <f t="shared" si="2"/>
        <v>1645.4880000000001</v>
      </c>
      <c r="N50" s="10">
        <f t="shared" si="3"/>
        <v>361741.62375000003</v>
      </c>
      <c r="O50" s="10">
        <f t="shared" si="4"/>
        <v>190034.93301000004</v>
      </c>
      <c r="P50" s="10">
        <f t="shared" si="5"/>
        <v>93300.39959760003</v>
      </c>
      <c r="Q50" s="10">
        <f t="shared" si="6"/>
        <v>376211.28870000009</v>
      </c>
      <c r="R50" s="10">
        <f t="shared" si="7"/>
        <v>1021288.2450576001</v>
      </c>
      <c r="S50" s="10"/>
      <c r="T50" s="11"/>
      <c r="U50" s="49"/>
      <c r="V50" s="49"/>
      <c r="W50" s="42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</row>
    <row r="51" spans="1:196" s="6" customFormat="1" ht="21.75" customHeight="1" outlineLevel="1">
      <c r="A51" s="18" t="s">
        <v>292</v>
      </c>
      <c r="B51" s="15" t="s">
        <v>293</v>
      </c>
      <c r="C51" s="15" t="s">
        <v>84</v>
      </c>
      <c r="D51" s="50"/>
      <c r="E51" s="21">
        <v>158.64099999999999</v>
      </c>
      <c r="F51" s="21">
        <f>49.192-0.897+47.769-0.149+5.945-0.149</f>
        <v>101.71099999999998</v>
      </c>
      <c r="G51" s="21">
        <v>33.323999999999998</v>
      </c>
      <c r="H51" s="21">
        <v>155.22</v>
      </c>
      <c r="I51" s="21">
        <f t="shared" si="0"/>
        <v>448.89599999999996</v>
      </c>
      <c r="J51" s="93">
        <f>'2018'!N54</f>
        <v>3219.06</v>
      </c>
      <c r="K51" s="93">
        <f t="shared" si="1"/>
        <v>3347.8224</v>
      </c>
      <c r="L51" s="93">
        <f>'2018'!P54</f>
        <v>1603.43</v>
      </c>
      <c r="M51" s="93">
        <f t="shared" si="2"/>
        <v>1667.5672000000002</v>
      </c>
      <c r="N51" s="10">
        <f t="shared" si="3"/>
        <v>256305.15882999997</v>
      </c>
      <c r="O51" s="10">
        <f t="shared" si="4"/>
        <v>164327.34292999996</v>
      </c>
      <c r="P51" s="10">
        <f t="shared" si="5"/>
        <v>55992.824284799994</v>
      </c>
      <c r="Q51" s="10">
        <f t="shared" si="6"/>
        <v>260809.21214399996</v>
      </c>
      <c r="R51" s="10">
        <f t="shared" si="7"/>
        <v>737434.53818879987</v>
      </c>
      <c r="S51" s="10"/>
      <c r="T51" s="11"/>
      <c r="U51" s="49"/>
      <c r="V51" s="49"/>
      <c r="W51" s="42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</row>
    <row r="52" spans="1:196" s="14" customFormat="1" ht="26.25" customHeight="1" outlineLevel="1">
      <c r="A52" s="159" t="s">
        <v>349</v>
      </c>
      <c r="B52" s="160"/>
      <c r="C52" s="161"/>
      <c r="D52" s="51"/>
      <c r="E52" s="43"/>
      <c r="F52" s="43"/>
      <c r="G52" s="44"/>
      <c r="H52" s="52"/>
      <c r="I52" s="21">
        <f t="shared" si="0"/>
        <v>0</v>
      </c>
      <c r="J52" s="85"/>
      <c r="K52" s="85"/>
      <c r="L52" s="85"/>
      <c r="M52" s="85"/>
      <c r="N52" s="10">
        <f t="shared" si="3"/>
        <v>0</v>
      </c>
      <c r="O52" s="10">
        <f t="shared" si="4"/>
        <v>0</v>
      </c>
      <c r="P52" s="10">
        <f t="shared" si="5"/>
        <v>0</v>
      </c>
      <c r="Q52" s="10">
        <f t="shared" si="6"/>
        <v>0</v>
      </c>
      <c r="R52" s="10">
        <f t="shared" si="7"/>
        <v>0</v>
      </c>
      <c r="S52" s="53">
        <f>SUM(S53:S54)</f>
        <v>0</v>
      </c>
      <c r="T52" s="53">
        <f>SUM(T53:T54)</f>
        <v>0</v>
      </c>
      <c r="U52" s="53">
        <f>SUM(U53:U54)</f>
        <v>0</v>
      </c>
      <c r="V52" s="53">
        <f>SUM(V53:V54)</f>
        <v>0</v>
      </c>
    </row>
    <row r="53" spans="1:196" s="6" customFormat="1" ht="21" customHeight="1" outlineLevel="1">
      <c r="A53" s="28" t="s">
        <v>415</v>
      </c>
      <c r="B53" s="27" t="s">
        <v>414</v>
      </c>
      <c r="C53" s="27" t="s">
        <v>348</v>
      </c>
      <c r="D53" s="54"/>
      <c r="E53" s="21">
        <v>459.03199999999998</v>
      </c>
      <c r="F53" s="21">
        <v>268.61799999999999</v>
      </c>
      <c r="G53" s="21">
        <v>136.31800000000001</v>
      </c>
      <c r="H53" s="21">
        <v>459.03199999999998</v>
      </c>
      <c r="I53" s="21">
        <f t="shared" si="0"/>
        <v>1323</v>
      </c>
      <c r="J53" s="93">
        <f>'2018'!N56</f>
        <v>5509.59</v>
      </c>
      <c r="K53" s="93">
        <f t="shared" si="1"/>
        <v>5729.9736000000003</v>
      </c>
      <c r="L53" s="93">
        <f>'2018'!P56</f>
        <v>1949</v>
      </c>
      <c r="M53" s="93">
        <f t="shared" si="2"/>
        <v>2026.96</v>
      </c>
      <c r="N53" s="10">
        <f t="shared" si="3"/>
        <v>1634424.7488800001</v>
      </c>
      <c r="O53" s="10">
        <f t="shared" si="4"/>
        <v>956438.56462000008</v>
      </c>
      <c r="P53" s="10">
        <f t="shared" si="5"/>
        <v>504787.40792480006</v>
      </c>
      <c r="Q53" s="10">
        <f t="shared" si="6"/>
        <v>1699801.7388352</v>
      </c>
      <c r="R53" s="10">
        <f t="shared" si="7"/>
        <v>4795452.4602600001</v>
      </c>
      <c r="S53" s="10"/>
      <c r="T53" s="11"/>
      <c r="U53" s="49"/>
      <c r="V53" s="49"/>
      <c r="W53" s="42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</row>
    <row r="54" spans="1:196" s="6" customFormat="1" ht="20.25" customHeight="1" outlineLevel="1">
      <c r="A54" s="18" t="s">
        <v>292</v>
      </c>
      <c r="B54" s="15" t="s">
        <v>351</v>
      </c>
      <c r="C54" s="15"/>
      <c r="D54" s="50"/>
      <c r="E54" s="21">
        <v>2682.2089999999998</v>
      </c>
      <c r="F54" s="21">
        <f>652.423+542.604+192.289-48.186</f>
        <v>1339.13</v>
      </c>
      <c r="G54" s="21">
        <v>436.26499999999999</v>
      </c>
      <c r="H54" s="21">
        <v>1933.26</v>
      </c>
      <c r="I54" s="21">
        <f t="shared" si="0"/>
        <v>6390.8640000000005</v>
      </c>
      <c r="J54" s="93">
        <f>'2018'!N57</f>
        <v>1966.44</v>
      </c>
      <c r="K54" s="93">
        <f t="shared" si="1"/>
        <v>2045.0976000000001</v>
      </c>
      <c r="L54" s="93">
        <f>'2018'!P57</f>
        <v>1588.29</v>
      </c>
      <c r="M54" s="93">
        <f t="shared" si="2"/>
        <v>1651.8216</v>
      </c>
      <c r="N54" s="10">
        <f t="shared" si="3"/>
        <v>1014277.3333500002</v>
      </c>
      <c r="O54" s="10">
        <f t="shared" si="4"/>
        <v>506392.00950000016</v>
      </c>
      <c r="P54" s="10">
        <f t="shared" si="5"/>
        <v>171572.55414000002</v>
      </c>
      <c r="Q54" s="10">
        <f t="shared" si="6"/>
        <v>760304.75976000016</v>
      </c>
      <c r="R54" s="10">
        <f t="shared" si="7"/>
        <v>2452546.6567500005</v>
      </c>
      <c r="S54" s="10"/>
      <c r="T54" s="11"/>
      <c r="U54" s="49"/>
      <c r="V54" s="49"/>
      <c r="W54" s="42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</row>
    <row r="55" spans="1:196" ht="28.5" customHeight="1">
      <c r="A55" s="133" t="s">
        <v>97</v>
      </c>
      <c r="B55" s="133"/>
      <c r="C55" s="133"/>
      <c r="D55" s="133"/>
      <c r="E55" s="43"/>
      <c r="F55" s="43"/>
      <c r="G55" s="44"/>
      <c r="H55" s="44"/>
      <c r="I55" s="21">
        <f t="shared" si="0"/>
        <v>0</v>
      </c>
      <c r="J55" s="85"/>
      <c r="K55" s="85"/>
      <c r="L55" s="85"/>
      <c r="M55" s="85"/>
      <c r="N55" s="10">
        <f t="shared" si="3"/>
        <v>0</v>
      </c>
      <c r="O55" s="10">
        <f t="shared" si="4"/>
        <v>0</v>
      </c>
      <c r="P55" s="10">
        <f t="shared" si="5"/>
        <v>0</v>
      </c>
      <c r="Q55" s="10">
        <f t="shared" si="6"/>
        <v>0</v>
      </c>
      <c r="R55" s="10">
        <f t="shared" si="7"/>
        <v>0</v>
      </c>
      <c r="S55" s="10"/>
      <c r="T55" s="11"/>
      <c r="U55" s="10"/>
      <c r="V55" s="10"/>
      <c r="W55" s="45"/>
    </row>
    <row r="56" spans="1:196" ht="30" customHeight="1">
      <c r="A56" s="18" t="s">
        <v>95</v>
      </c>
      <c r="B56" s="15" t="s">
        <v>96</v>
      </c>
      <c r="C56" s="15" t="s">
        <v>98</v>
      </c>
      <c r="D56" s="15"/>
      <c r="E56" s="21">
        <v>206.79599999999999</v>
      </c>
      <c r="F56" s="21">
        <f>68.933+68.933+11.489</f>
        <v>149.35500000000002</v>
      </c>
      <c r="G56" s="21">
        <v>36.764000000000003</v>
      </c>
      <c r="H56" s="21">
        <v>206.79900000000001</v>
      </c>
      <c r="I56" s="21">
        <f t="shared" si="0"/>
        <v>599.71400000000006</v>
      </c>
      <c r="J56" s="93">
        <f>'2018'!N59</f>
        <v>4617.6400000000003</v>
      </c>
      <c r="K56" s="93">
        <f t="shared" ref="K56:K68" si="12">J56*1.04</f>
        <v>4802.3456000000006</v>
      </c>
      <c r="L56" s="93">
        <f>'2018'!P59</f>
        <v>1495.0624</v>
      </c>
      <c r="M56" s="93">
        <f t="shared" ref="M56:M68" si="13">L56*1.04</f>
        <v>1554.864896</v>
      </c>
      <c r="N56" s="10">
        <f t="shared" si="3"/>
        <v>645736.55736960005</v>
      </c>
      <c r="O56" s="10">
        <f t="shared" si="4"/>
        <v>466372.57744800014</v>
      </c>
      <c r="P56" s="10">
        <f t="shared" si="5"/>
        <v>119390.38060185603</v>
      </c>
      <c r="Q56" s="10">
        <f t="shared" si="6"/>
        <v>671575.76210649614</v>
      </c>
      <c r="R56" s="10">
        <f t="shared" si="7"/>
        <v>1903075.2775259523</v>
      </c>
      <c r="S56" s="10"/>
      <c r="T56" s="11"/>
      <c r="U56" s="10"/>
      <c r="V56" s="10"/>
      <c r="W56" s="42"/>
    </row>
    <row r="57" spans="1:196" ht="30" customHeight="1">
      <c r="A57" s="18" t="s">
        <v>99</v>
      </c>
      <c r="B57" s="15" t="s">
        <v>100</v>
      </c>
      <c r="C57" s="15" t="s">
        <v>101</v>
      </c>
      <c r="D57" s="15"/>
      <c r="E57" s="21">
        <v>243.02099999999999</v>
      </c>
      <c r="F57" s="21">
        <f>58.892+26.666</f>
        <v>85.558000000000007</v>
      </c>
      <c r="G57" s="21">
        <v>46.6</v>
      </c>
      <c r="H57" s="21">
        <v>222.39</v>
      </c>
      <c r="I57" s="21">
        <f t="shared" si="0"/>
        <v>597.56899999999996</v>
      </c>
      <c r="J57" s="93">
        <f>'2018'!N60</f>
        <v>4998.47</v>
      </c>
      <c r="K57" s="93">
        <f t="shared" si="12"/>
        <v>5198.4088000000002</v>
      </c>
      <c r="L57" s="93">
        <f>'2018'!P60</f>
        <v>1510.6312</v>
      </c>
      <c r="M57" s="93">
        <f t="shared" si="13"/>
        <v>1571.056448</v>
      </c>
      <c r="N57" s="10">
        <f t="shared" si="3"/>
        <v>847618.07301480009</v>
      </c>
      <c r="O57" s="10">
        <f t="shared" si="4"/>
        <v>298412.51205040008</v>
      </c>
      <c r="P57" s="10">
        <f t="shared" si="5"/>
        <v>169034.6196032</v>
      </c>
      <c r="Q57" s="10">
        <f t="shared" si="6"/>
        <v>806686.88956127991</v>
      </c>
      <c r="R57" s="10">
        <f t="shared" si="7"/>
        <v>2121752.0942296805</v>
      </c>
      <c r="S57" s="16"/>
      <c r="T57" s="16"/>
      <c r="U57" s="16"/>
      <c r="V57" s="16"/>
      <c r="W57" s="42"/>
    </row>
    <row r="58" spans="1:196" s="29" customFormat="1" ht="30" customHeight="1">
      <c r="A58" s="28" t="s">
        <v>431</v>
      </c>
      <c r="B58" s="27" t="s">
        <v>432</v>
      </c>
      <c r="C58" s="27" t="s">
        <v>433</v>
      </c>
      <c r="D58" s="15"/>
      <c r="E58" s="21">
        <v>6550.4831999999997</v>
      </c>
      <c r="F58" s="21">
        <v>4366.9888000000001</v>
      </c>
      <c r="G58" s="21">
        <v>1536.2575999999999</v>
      </c>
      <c r="H58" s="21">
        <v>6145.0303999999996</v>
      </c>
      <c r="I58" s="21">
        <f t="shared" si="0"/>
        <v>18598.759999999998</v>
      </c>
      <c r="J58" s="93">
        <f>'2018'!N61</f>
        <v>1181.7728</v>
      </c>
      <c r="K58" s="93">
        <f t="shared" si="12"/>
        <v>1229.0437119999999</v>
      </c>
      <c r="L58" s="93">
        <f>'2018'!P61</f>
        <v>1181.7728</v>
      </c>
      <c r="M58" s="93">
        <f t="shared" si="13"/>
        <v>1229.0437119999999</v>
      </c>
      <c r="N58" s="10">
        <f t="shared" si="3"/>
        <v>0</v>
      </c>
      <c r="O58" s="10">
        <f t="shared" si="4"/>
        <v>0</v>
      </c>
      <c r="P58" s="10">
        <f t="shared" si="5"/>
        <v>0</v>
      </c>
      <c r="Q58" s="10">
        <f t="shared" si="6"/>
        <v>0</v>
      </c>
      <c r="R58" s="10">
        <f t="shared" si="7"/>
        <v>0</v>
      </c>
      <c r="S58" s="16"/>
      <c r="T58" s="16"/>
      <c r="U58" s="16"/>
      <c r="V58" s="16"/>
      <c r="W58" s="42"/>
    </row>
    <row r="59" spans="1:196" ht="30" customHeight="1">
      <c r="A59" s="18" t="s">
        <v>22</v>
      </c>
      <c r="B59" s="15" t="s">
        <v>23</v>
      </c>
      <c r="C59" s="15" t="s">
        <v>98</v>
      </c>
      <c r="D59" s="15" t="s">
        <v>102</v>
      </c>
      <c r="E59" s="21">
        <v>592.47699999999998</v>
      </c>
      <c r="F59" s="21">
        <f>192.254+75.696</f>
        <v>267.95</v>
      </c>
      <c r="G59" s="21">
        <v>117.15600000000001</v>
      </c>
      <c r="H59" s="21">
        <v>587.27700000000004</v>
      </c>
      <c r="I59" s="21">
        <f t="shared" si="0"/>
        <v>1564.86</v>
      </c>
      <c r="J59" s="93">
        <f>'2018'!N62</f>
        <v>2839.83</v>
      </c>
      <c r="K59" s="93">
        <f t="shared" si="12"/>
        <v>2953.4232000000002</v>
      </c>
      <c r="L59" s="93">
        <f>'2018'!P62</f>
        <v>1450.8</v>
      </c>
      <c r="M59" s="93">
        <f t="shared" si="13"/>
        <v>1508.8320000000001</v>
      </c>
      <c r="N59" s="10">
        <f t="shared" si="3"/>
        <v>822968.32730999996</v>
      </c>
      <c r="O59" s="10">
        <f t="shared" si="4"/>
        <v>372190.58849999995</v>
      </c>
      <c r="P59" s="10">
        <f t="shared" si="5"/>
        <v>169242.52662720002</v>
      </c>
      <c r="Q59" s="10">
        <f t="shared" si="6"/>
        <v>848375.18616240006</v>
      </c>
      <c r="R59" s="10">
        <f t="shared" si="7"/>
        <v>2212776.6285995999</v>
      </c>
      <c r="S59" s="10"/>
      <c r="T59" s="11"/>
      <c r="U59" s="10"/>
      <c r="V59" s="10"/>
      <c r="W59" s="42"/>
    </row>
    <row r="60" spans="1:196" ht="30" customHeight="1">
      <c r="A60" s="18" t="s">
        <v>22</v>
      </c>
      <c r="B60" s="15" t="s">
        <v>23</v>
      </c>
      <c r="C60" s="15" t="s">
        <v>98</v>
      </c>
      <c r="D60" s="15" t="s">
        <v>103</v>
      </c>
      <c r="E60" s="21">
        <v>704.56200000000001</v>
      </c>
      <c r="F60" s="21">
        <f>234.854+91.86</f>
        <v>326.714</v>
      </c>
      <c r="G60" s="21">
        <v>142.988</v>
      </c>
      <c r="H60" s="21">
        <v>704.56200000000001</v>
      </c>
      <c r="I60" s="21">
        <f t="shared" si="0"/>
        <v>1878.826</v>
      </c>
      <c r="J60" s="93">
        <f>'2018'!N63</f>
        <v>2839.83</v>
      </c>
      <c r="K60" s="93">
        <f t="shared" si="12"/>
        <v>2953.4232000000002</v>
      </c>
      <c r="L60" s="93">
        <f>'2018'!P63</f>
        <v>1343.5760000000002</v>
      </c>
      <c r="M60" s="93">
        <f t="shared" si="13"/>
        <v>1397.3190400000003</v>
      </c>
      <c r="N60" s="10">
        <f t="shared" si="3"/>
        <v>1054203.7107479998</v>
      </c>
      <c r="O60" s="10">
        <f t="shared" si="4"/>
        <v>488847.12935599987</v>
      </c>
      <c r="P60" s="10">
        <f t="shared" si="5"/>
        <v>222504.22163007999</v>
      </c>
      <c r="Q60" s="10">
        <f t="shared" si="6"/>
        <v>1096371.85917792</v>
      </c>
      <c r="R60" s="10">
        <f t="shared" si="7"/>
        <v>2861926.9209119994</v>
      </c>
      <c r="S60" s="10"/>
      <c r="T60" s="11"/>
      <c r="U60" s="10"/>
      <c r="V60" s="10"/>
      <c r="W60" s="42"/>
    </row>
    <row r="61" spans="1:196" ht="30" customHeight="1">
      <c r="A61" s="18" t="s">
        <v>22</v>
      </c>
      <c r="B61" s="15" t="s">
        <v>23</v>
      </c>
      <c r="C61" s="15" t="s">
        <v>104</v>
      </c>
      <c r="D61" s="15"/>
      <c r="E61" s="21">
        <v>4783.4129999999996</v>
      </c>
      <c r="F61" s="21">
        <f>1598.267+694.435+24.423</f>
        <v>2317.125</v>
      </c>
      <c r="G61" s="21">
        <v>958.28200000000004</v>
      </c>
      <c r="H61" s="21">
        <v>4752.0529999999999</v>
      </c>
      <c r="I61" s="21">
        <f t="shared" si="0"/>
        <v>12810.873</v>
      </c>
      <c r="J61" s="93">
        <f>'2018'!N64</f>
        <v>2182.6799999999998</v>
      </c>
      <c r="K61" s="93">
        <f t="shared" si="12"/>
        <v>2269.9872</v>
      </c>
      <c r="L61" s="93">
        <f>'2018'!P64</f>
        <v>1481.2096000000001</v>
      </c>
      <c r="M61" s="93">
        <f t="shared" si="13"/>
        <v>1540.4579840000001</v>
      </c>
      <c r="N61" s="10">
        <f t="shared" si="3"/>
        <v>3355422.6304751984</v>
      </c>
      <c r="O61" s="10">
        <f t="shared" si="4"/>
        <v>1625394.6005999993</v>
      </c>
      <c r="P61" s="10">
        <f t="shared" si="5"/>
        <v>699094.716166912</v>
      </c>
      <c r="Q61" s="10">
        <f t="shared" si="6"/>
        <v>3466761.4994804473</v>
      </c>
      <c r="R61" s="10">
        <f t="shared" si="7"/>
        <v>9146673.4467225559</v>
      </c>
      <c r="S61" s="10"/>
      <c r="T61" s="11"/>
      <c r="U61" s="10"/>
      <c r="V61" s="10"/>
      <c r="W61" s="42"/>
    </row>
    <row r="62" spans="1:196" s="6" customFormat="1" ht="30" customHeight="1" outlineLevel="1">
      <c r="A62" s="18" t="s">
        <v>355</v>
      </c>
      <c r="B62" s="15" t="s">
        <v>23</v>
      </c>
      <c r="C62" s="15" t="s">
        <v>352</v>
      </c>
      <c r="D62" s="48"/>
      <c r="E62" s="21">
        <v>3292.7489999999998</v>
      </c>
      <c r="F62" s="21">
        <f>1308.559+642.463+57.572-9.12</f>
        <v>1999.4740000000002</v>
      </c>
      <c r="G62" s="21">
        <v>779.89499999999998</v>
      </c>
      <c r="H62" s="21">
        <v>3999.7489999999998</v>
      </c>
      <c r="I62" s="21">
        <f t="shared" si="0"/>
        <v>10071.867</v>
      </c>
      <c r="J62" s="93">
        <f>'2018'!N65</f>
        <v>4117.16</v>
      </c>
      <c r="K62" s="93">
        <f t="shared" si="12"/>
        <v>4281.8464000000004</v>
      </c>
      <c r="L62" s="93">
        <f>'2018'!P65</f>
        <v>1457.7784000000001</v>
      </c>
      <c r="M62" s="93">
        <f t="shared" si="13"/>
        <v>1516.0895360000002</v>
      </c>
      <c r="N62" s="10">
        <f t="shared" si="3"/>
        <v>8756676.1040183976</v>
      </c>
      <c r="O62" s="10">
        <f t="shared" si="4"/>
        <v>5317364.3652783995</v>
      </c>
      <c r="P62" s="10">
        <f t="shared" si="5"/>
        <v>2156999.9494492798</v>
      </c>
      <c r="Q62" s="10">
        <f t="shared" si="6"/>
        <v>11062333.251027135</v>
      </c>
      <c r="R62" s="10">
        <f t="shared" si="7"/>
        <v>27293373.669773214</v>
      </c>
      <c r="S62" s="10"/>
      <c r="T62" s="11"/>
      <c r="U62" s="49"/>
      <c r="V62" s="49"/>
      <c r="W62" s="4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</row>
    <row r="63" spans="1:196" s="6" customFormat="1" ht="30" customHeight="1" outlineLevel="1">
      <c r="A63" s="18" t="s">
        <v>356</v>
      </c>
      <c r="B63" s="15" t="s">
        <v>23</v>
      </c>
      <c r="C63" s="15" t="s">
        <v>353</v>
      </c>
      <c r="D63" s="48"/>
      <c r="E63" s="21">
        <v>533.86199999999997</v>
      </c>
      <c r="F63" s="21">
        <f>213.615+185.575+30.928</f>
        <v>430.11799999999999</v>
      </c>
      <c r="G63" s="21">
        <v>137.417</v>
      </c>
      <c r="H63" s="21">
        <v>704.75099999999998</v>
      </c>
      <c r="I63" s="21">
        <f t="shared" si="0"/>
        <v>1806.1479999999999</v>
      </c>
      <c r="J63" s="93">
        <f>'2018'!N66</f>
        <v>4117.16</v>
      </c>
      <c r="K63" s="93">
        <f t="shared" si="12"/>
        <v>4281.8464000000004</v>
      </c>
      <c r="L63" s="93">
        <f>'2018'!P66</f>
        <v>2101.8712</v>
      </c>
      <c r="M63" s="93">
        <f t="shared" si="13"/>
        <v>2185.9460480000002</v>
      </c>
      <c r="N63" s="10">
        <f t="shared" si="3"/>
        <v>1075886.1093455998</v>
      </c>
      <c r="O63" s="10">
        <f t="shared" si="4"/>
        <v>866811.98807839991</v>
      </c>
      <c r="P63" s="10">
        <f t="shared" si="5"/>
        <v>288012.33867078403</v>
      </c>
      <c r="Q63" s="10">
        <f t="shared" si="6"/>
        <v>1477087.868972352</v>
      </c>
      <c r="R63" s="10">
        <f t="shared" si="7"/>
        <v>3707798.305067136</v>
      </c>
      <c r="S63" s="10"/>
      <c r="T63" s="11"/>
      <c r="U63" s="49"/>
      <c r="V63" s="49"/>
      <c r="W63" s="42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</row>
    <row r="64" spans="1:196" s="6" customFormat="1" ht="30" customHeight="1" outlineLevel="1">
      <c r="A64" s="18" t="s">
        <v>357</v>
      </c>
      <c r="B64" s="15" t="s">
        <v>23</v>
      </c>
      <c r="C64" s="15" t="s">
        <v>354</v>
      </c>
      <c r="D64" s="48"/>
      <c r="E64" s="21">
        <v>310.834</v>
      </c>
      <c r="F64" s="21">
        <f>161.952+66.574</f>
        <v>228.52600000000001</v>
      </c>
      <c r="G64" s="21">
        <v>86.552999999999997</v>
      </c>
      <c r="H64" s="21">
        <v>443.89299999999997</v>
      </c>
      <c r="I64" s="21">
        <f t="shared" si="0"/>
        <v>1069.806</v>
      </c>
      <c r="J64" s="93">
        <f>'2018'!N67</f>
        <v>4117.16</v>
      </c>
      <c r="K64" s="93">
        <f t="shared" si="12"/>
        <v>4281.8464000000004</v>
      </c>
      <c r="L64" s="93">
        <f>'2018'!P67</f>
        <v>1369.1912</v>
      </c>
      <c r="M64" s="93">
        <f t="shared" si="13"/>
        <v>1423.958848</v>
      </c>
      <c r="N64" s="10">
        <f t="shared" si="3"/>
        <v>854162.13397919992</v>
      </c>
      <c r="O64" s="10">
        <f t="shared" si="4"/>
        <v>627982.3179888</v>
      </c>
      <c r="P64" s="10">
        <f t="shared" si="5"/>
        <v>247358.74128825602</v>
      </c>
      <c r="Q64" s="10">
        <f t="shared" si="6"/>
        <v>1268596.2791199361</v>
      </c>
      <c r="R64" s="10">
        <f t="shared" si="7"/>
        <v>2998099.472376192</v>
      </c>
      <c r="S64" s="10"/>
      <c r="T64" s="11"/>
      <c r="U64" s="49"/>
      <c r="V64" s="49"/>
      <c r="W64" s="42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</row>
    <row r="65" spans="1:196" ht="30" customHeight="1">
      <c r="A65" s="18" t="s">
        <v>105</v>
      </c>
      <c r="B65" s="15" t="s">
        <v>106</v>
      </c>
      <c r="C65" s="15" t="s">
        <v>101</v>
      </c>
      <c r="D65" s="15"/>
      <c r="E65" s="21">
        <v>249.15700000000001</v>
      </c>
      <c r="F65" s="21">
        <f>66.969+41.839</f>
        <v>108.80799999999999</v>
      </c>
      <c r="G65" s="21">
        <v>37.027000000000001</v>
      </c>
      <c r="H65" s="21">
        <v>251.48699999999999</v>
      </c>
      <c r="I65" s="21">
        <f t="shared" si="0"/>
        <v>646.47900000000004</v>
      </c>
      <c r="J65" s="93">
        <f>'2018'!N68</f>
        <v>5575.53</v>
      </c>
      <c r="K65" s="93">
        <f t="shared" si="12"/>
        <v>5798.5511999999999</v>
      </c>
      <c r="L65" s="93">
        <f>'2018'!P68</f>
        <v>1510.6312</v>
      </c>
      <c r="M65" s="93">
        <f t="shared" si="13"/>
        <v>1571.056448</v>
      </c>
      <c r="N65" s="10">
        <f t="shared" si="3"/>
        <v>1012797.9903116</v>
      </c>
      <c r="O65" s="10">
        <f t="shared" si="4"/>
        <v>442293.50863039994</v>
      </c>
      <c r="P65" s="10">
        <f t="shared" si="5"/>
        <v>156531.44818230398</v>
      </c>
      <c r="Q65" s="10">
        <f t="shared" si="6"/>
        <v>1063159.972696224</v>
      </c>
      <c r="R65" s="10">
        <f t="shared" si="7"/>
        <v>2674782.9198205275</v>
      </c>
      <c r="S65" s="10"/>
      <c r="T65" s="11"/>
      <c r="U65" s="10"/>
      <c r="V65" s="10"/>
      <c r="W65" s="42"/>
    </row>
    <row r="66" spans="1:196" s="6" customFormat="1" ht="28.5" customHeight="1" outlineLevel="1">
      <c r="A66" s="28" t="s">
        <v>415</v>
      </c>
      <c r="B66" s="27" t="s">
        <v>414</v>
      </c>
      <c r="C66" s="15" t="s">
        <v>101</v>
      </c>
      <c r="D66" s="15" t="s">
        <v>358</v>
      </c>
      <c r="E66" s="21">
        <v>3408.4470000000001</v>
      </c>
      <c r="F66" s="21">
        <v>1001</v>
      </c>
      <c r="G66" s="21">
        <v>455.72899999999998</v>
      </c>
      <c r="H66" s="21">
        <v>3152</v>
      </c>
      <c r="I66" s="21">
        <f t="shared" si="0"/>
        <v>8017.1760000000004</v>
      </c>
      <c r="J66" s="93">
        <f>'2018'!N69</f>
        <v>2001.3173000000002</v>
      </c>
      <c r="K66" s="93">
        <f t="shared" si="12"/>
        <v>2081.3699920000004</v>
      </c>
      <c r="L66" s="93">
        <f>'2018'!P69</f>
        <v>1310.6184000000001</v>
      </c>
      <c r="M66" s="93">
        <f t="shared" si="13"/>
        <v>1363.043136</v>
      </c>
      <c r="N66" s="10">
        <f t="shared" si="3"/>
        <v>2354210.5936083002</v>
      </c>
      <c r="O66" s="10">
        <f t="shared" si="4"/>
        <v>691389.5989000001</v>
      </c>
      <c r="P66" s="10">
        <f t="shared" si="5"/>
        <v>327362.37975802418</v>
      </c>
      <c r="Q66" s="10">
        <f t="shared" si="6"/>
        <v>2264166.2501120013</v>
      </c>
      <c r="R66" s="10">
        <f t="shared" si="7"/>
        <v>5637128.8223783262</v>
      </c>
      <c r="S66" s="10"/>
      <c r="T66" s="11"/>
      <c r="U66" s="49"/>
      <c r="V66" s="49"/>
      <c r="W66" s="42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</row>
    <row r="67" spans="1:196" s="92" customFormat="1" ht="28.5" customHeight="1" outlineLevel="1">
      <c r="A67" s="28" t="s">
        <v>459</v>
      </c>
      <c r="B67" s="27" t="s">
        <v>460</v>
      </c>
      <c r="C67" s="27" t="s">
        <v>104</v>
      </c>
      <c r="D67" s="27"/>
      <c r="E67" s="21">
        <v>45.211920000000006</v>
      </c>
      <c r="F67" s="21">
        <v>30.141280000000009</v>
      </c>
      <c r="G67" s="21">
        <v>11.889360000000002</v>
      </c>
      <c r="H67" s="21">
        <v>47.557440000000007</v>
      </c>
      <c r="I67" s="21">
        <f t="shared" si="0"/>
        <v>134.80000000000001</v>
      </c>
      <c r="J67" s="93">
        <f>'2018'!N70</f>
        <v>1756.5184000000002</v>
      </c>
      <c r="K67" s="93">
        <f t="shared" ref="K67" si="14">J67*1.04</f>
        <v>1826.7791360000003</v>
      </c>
      <c r="L67" s="93">
        <f>'2018'!P70</f>
        <v>1481.2096000000001</v>
      </c>
      <c r="M67" s="93">
        <f t="shared" ref="M67" si="15">L67*1.04</f>
        <v>1540.4579840000001</v>
      </c>
      <c r="N67" s="10">
        <f t="shared" si="3"/>
        <v>12447.239440896003</v>
      </c>
      <c r="O67" s="10">
        <f t="shared" si="4"/>
        <v>8298.1596272640036</v>
      </c>
      <c r="P67" s="10">
        <f t="shared" si="5"/>
        <v>3404.175251742723</v>
      </c>
      <c r="Q67" s="10">
        <f t="shared" si="6"/>
        <v>13616.701006970892</v>
      </c>
      <c r="R67" s="10">
        <f t="shared" si="7"/>
        <v>37766.27532687362</v>
      </c>
      <c r="S67" s="10"/>
      <c r="T67" s="93"/>
      <c r="U67" s="49"/>
      <c r="V67" s="49"/>
      <c r="W67" s="42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</row>
    <row r="68" spans="1:196" s="6" customFormat="1" ht="28.5" customHeight="1" outlineLevel="1">
      <c r="A68" s="28" t="s">
        <v>434</v>
      </c>
      <c r="B68" s="27" t="s">
        <v>435</v>
      </c>
      <c r="C68" s="27" t="s">
        <v>436</v>
      </c>
      <c r="D68" s="27"/>
      <c r="E68" s="21">
        <v>174.08459999999999</v>
      </c>
      <c r="F68" s="21">
        <v>116.05640000000002</v>
      </c>
      <c r="G68" s="21">
        <v>44.891800000000003</v>
      </c>
      <c r="H68" s="21">
        <v>179.56720000000001</v>
      </c>
      <c r="I68" s="21">
        <f t="shared" si="0"/>
        <v>514.6</v>
      </c>
      <c r="J68" s="93">
        <f>'2018'!N71</f>
        <v>2421.7800000000002</v>
      </c>
      <c r="K68" s="93">
        <f t="shared" si="12"/>
        <v>2518.6512000000002</v>
      </c>
      <c r="L68" s="93">
        <f>'2018'!P71</f>
        <v>1858.0224000000001</v>
      </c>
      <c r="M68" s="93">
        <f t="shared" si="13"/>
        <v>1932.3432960000002</v>
      </c>
      <c r="N68" s="10">
        <f t="shared" si="3"/>
        <v>98141.516292960019</v>
      </c>
      <c r="O68" s="10">
        <f t="shared" si="4"/>
        <v>65427.67752864003</v>
      </c>
      <c r="P68" s="10">
        <f t="shared" si="5"/>
        <v>26320.417164787203</v>
      </c>
      <c r="Q68" s="10">
        <f t="shared" si="6"/>
        <v>105281.66865914881</v>
      </c>
      <c r="R68" s="10">
        <f t="shared" si="7"/>
        <v>295171.27964553609</v>
      </c>
      <c r="S68" s="10"/>
      <c r="T68" s="11"/>
      <c r="U68" s="49"/>
      <c r="V68" s="49"/>
      <c r="W68" s="42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</row>
    <row r="69" spans="1:196" ht="21" customHeight="1">
      <c r="A69" s="133" t="s">
        <v>109</v>
      </c>
      <c r="B69" s="133"/>
      <c r="C69" s="133"/>
      <c r="D69" s="133"/>
      <c r="E69" s="43"/>
      <c r="F69" s="43"/>
      <c r="G69" s="44"/>
      <c r="H69" s="44"/>
      <c r="I69" s="21">
        <f t="shared" si="0"/>
        <v>0</v>
      </c>
      <c r="J69" s="85"/>
      <c r="K69" s="85"/>
      <c r="L69" s="85"/>
      <c r="M69" s="85"/>
      <c r="N69" s="10">
        <f t="shared" si="3"/>
        <v>0</v>
      </c>
      <c r="O69" s="10">
        <f t="shared" si="4"/>
        <v>0</v>
      </c>
      <c r="P69" s="10">
        <f t="shared" si="5"/>
        <v>0</v>
      </c>
      <c r="Q69" s="10">
        <f t="shared" si="6"/>
        <v>0</v>
      </c>
      <c r="R69" s="10">
        <f t="shared" si="7"/>
        <v>0</v>
      </c>
      <c r="S69" s="10"/>
      <c r="T69" s="11"/>
      <c r="U69" s="10"/>
      <c r="V69" s="10"/>
      <c r="W69" s="45"/>
    </row>
    <row r="70" spans="1:196" ht="25.5" customHeight="1">
      <c r="A70" s="18" t="s">
        <v>107</v>
      </c>
      <c r="B70" s="15" t="s">
        <v>108</v>
      </c>
      <c r="C70" s="15" t="s">
        <v>110</v>
      </c>
      <c r="D70" s="15"/>
      <c r="E70" s="21">
        <v>302.73500000000001</v>
      </c>
      <c r="F70" s="21">
        <f>99.987+79.98</f>
        <v>179.96699999999998</v>
      </c>
      <c r="G70" s="21">
        <v>61.786000000000001</v>
      </c>
      <c r="H70" s="21">
        <v>301.75400000000002</v>
      </c>
      <c r="I70" s="21">
        <f t="shared" si="0"/>
        <v>846.24200000000008</v>
      </c>
      <c r="J70" s="93">
        <f>'2018'!N73</f>
        <v>4210.71</v>
      </c>
      <c r="K70" s="93">
        <f t="shared" ref="K70:K72" si="16">J70*1.04</f>
        <v>4379.1383999999998</v>
      </c>
      <c r="L70" s="93">
        <f>'2018'!P73</f>
        <v>1636.0968</v>
      </c>
      <c r="M70" s="93">
        <f t="shared" ref="M70:M72" si="17">L70*1.04</f>
        <v>1701.5406720000001</v>
      </c>
      <c r="N70" s="10">
        <f t="shared" si="3"/>
        <v>779425.52710199996</v>
      </c>
      <c r="O70" s="10">
        <f t="shared" si="4"/>
        <v>463345.41376439994</v>
      </c>
      <c r="P70" s="10">
        <f t="shared" si="5"/>
        <v>165438.05322220799</v>
      </c>
      <c r="Q70" s="10">
        <f t="shared" si="6"/>
        <v>807975.82481491193</v>
      </c>
      <c r="R70" s="10">
        <f t="shared" si="7"/>
        <v>2216184.8189035198</v>
      </c>
      <c r="S70" s="10"/>
      <c r="T70" s="11"/>
      <c r="U70" s="10"/>
      <c r="V70" s="10"/>
      <c r="W70" s="42"/>
    </row>
    <row r="71" spans="1:196" s="29" customFormat="1" ht="25.5" customHeight="1">
      <c r="A71" s="28" t="s">
        <v>437</v>
      </c>
      <c r="B71" s="27" t="s">
        <v>438</v>
      </c>
      <c r="C71" s="27" t="s">
        <v>110</v>
      </c>
      <c r="D71" s="15"/>
      <c r="E71" s="21">
        <v>50.389800000000001</v>
      </c>
      <c r="F71" s="21">
        <v>33.593200000000003</v>
      </c>
      <c r="G71" s="21">
        <v>13.1974</v>
      </c>
      <c r="H71" s="21">
        <v>52.789599999999993</v>
      </c>
      <c r="I71" s="21">
        <f t="shared" si="0"/>
        <v>149.97</v>
      </c>
      <c r="J71" s="93">
        <f>'2018'!N74</f>
        <v>5328.87</v>
      </c>
      <c r="K71" s="93">
        <f t="shared" si="16"/>
        <v>5542.0248000000001</v>
      </c>
      <c r="L71" s="93">
        <f>'2018'!P74</f>
        <v>1636.1</v>
      </c>
      <c r="M71" s="93">
        <f t="shared" si="17"/>
        <v>1701.5439999999999</v>
      </c>
      <c r="N71" s="10">
        <f t="shared" si="3"/>
        <v>186077.941746</v>
      </c>
      <c r="O71" s="10">
        <f t="shared" si="4"/>
        <v>124051.96116400001</v>
      </c>
      <c r="P71" s="10">
        <f t="shared" si="5"/>
        <v>50684.361309920001</v>
      </c>
      <c r="Q71" s="10">
        <f t="shared" si="6"/>
        <v>202737.44523967998</v>
      </c>
      <c r="R71" s="10">
        <f t="shared" si="7"/>
        <v>563551.70945960004</v>
      </c>
      <c r="S71" s="10"/>
      <c r="T71" s="11"/>
      <c r="U71" s="10"/>
      <c r="V71" s="10"/>
      <c r="W71" s="42"/>
    </row>
    <row r="72" spans="1:196" ht="25.5" customHeight="1">
      <c r="A72" s="18" t="s">
        <v>22</v>
      </c>
      <c r="B72" s="15" t="s">
        <v>23</v>
      </c>
      <c r="C72" s="15" t="s">
        <v>111</v>
      </c>
      <c r="D72" s="15"/>
      <c r="E72" s="21">
        <v>3251.6410000000001</v>
      </c>
      <c r="F72" s="21">
        <f>1003.352+495.869</f>
        <v>1499.221</v>
      </c>
      <c r="G72" s="21">
        <v>462.88900000000001</v>
      </c>
      <c r="H72" s="21">
        <v>3147.85</v>
      </c>
      <c r="I72" s="21">
        <f t="shared" si="0"/>
        <v>8361.6010000000006</v>
      </c>
      <c r="J72" s="93">
        <f>'2018'!N75</f>
        <v>4309.41</v>
      </c>
      <c r="K72" s="93">
        <f t="shared" si="16"/>
        <v>4481.7864</v>
      </c>
      <c r="L72" s="93">
        <f>'2018'!P75</f>
        <v>1591.0024000000001</v>
      </c>
      <c r="M72" s="93">
        <f t="shared" si="17"/>
        <v>1654.6424960000002</v>
      </c>
      <c r="N72" s="10">
        <f t="shared" si="3"/>
        <v>8839285.6068715993</v>
      </c>
      <c r="O72" s="10">
        <f t="shared" si="4"/>
        <v>4075493.7604795992</v>
      </c>
      <c r="P72" s="10">
        <f t="shared" si="5"/>
        <v>1308653.8145786559</v>
      </c>
      <c r="Q72" s="10">
        <f t="shared" si="6"/>
        <v>8899424.9382063989</v>
      </c>
      <c r="R72" s="10">
        <f t="shared" si="7"/>
        <v>23122858.120136254</v>
      </c>
      <c r="S72" s="10"/>
      <c r="T72" s="11"/>
      <c r="U72" s="10"/>
      <c r="V72" s="10"/>
      <c r="W72" s="42"/>
    </row>
    <row r="73" spans="1:196" ht="20.25" customHeight="1">
      <c r="A73" s="133" t="s">
        <v>114</v>
      </c>
      <c r="B73" s="133"/>
      <c r="C73" s="133"/>
      <c r="D73" s="133"/>
      <c r="E73" s="43"/>
      <c r="F73" s="43"/>
      <c r="G73" s="44"/>
      <c r="H73" s="44"/>
      <c r="I73" s="21">
        <f t="shared" si="0"/>
        <v>0</v>
      </c>
      <c r="J73" s="85"/>
      <c r="K73" s="85"/>
      <c r="L73" s="85"/>
      <c r="M73" s="85"/>
      <c r="N73" s="10">
        <f t="shared" si="3"/>
        <v>0</v>
      </c>
      <c r="O73" s="10">
        <f t="shared" si="4"/>
        <v>0</v>
      </c>
      <c r="P73" s="10">
        <f t="shared" si="5"/>
        <v>0</v>
      </c>
      <c r="Q73" s="10">
        <f t="shared" si="6"/>
        <v>0</v>
      </c>
      <c r="R73" s="10">
        <f t="shared" si="7"/>
        <v>0</v>
      </c>
      <c r="S73" s="16"/>
      <c r="T73" s="17"/>
      <c r="U73" s="16"/>
      <c r="V73" s="16"/>
      <c r="W73" s="45"/>
    </row>
    <row r="74" spans="1:196" ht="20.25" customHeight="1">
      <c r="A74" s="18" t="s">
        <v>112</v>
      </c>
      <c r="B74" s="15" t="s">
        <v>113</v>
      </c>
      <c r="C74" s="15" t="s">
        <v>115</v>
      </c>
      <c r="D74" s="15"/>
      <c r="E74" s="21">
        <v>962.60500000000002</v>
      </c>
      <c r="F74" s="21">
        <f>315.053+309.713</f>
        <v>624.76600000000008</v>
      </c>
      <c r="G74" s="21">
        <v>138.83699999999999</v>
      </c>
      <c r="H74" s="21">
        <v>931.46400000000006</v>
      </c>
      <c r="I74" s="21">
        <f t="shared" ref="I74:I137" si="18">SUM(E74:H74)</f>
        <v>2657.672</v>
      </c>
      <c r="J74" s="93">
        <f>'2018'!N77</f>
        <v>2343.2609156960134</v>
      </c>
      <c r="K74" s="93">
        <f t="shared" si="1"/>
        <v>2436.9913523238542</v>
      </c>
      <c r="L74" s="93">
        <f>'2018'!P77</f>
        <v>1597.44</v>
      </c>
      <c r="M74" s="93">
        <f t="shared" si="2"/>
        <v>1661.3376000000001</v>
      </c>
      <c r="N74" s="10">
        <f t="shared" ref="N74:N137" si="19">(J74-L74)*E74</f>
        <v>717930.94255356095</v>
      </c>
      <c r="O74" s="10">
        <f t="shared" ref="O74:O137" si="20">(J74-L74)*F74</f>
        <v>465963.55021573551</v>
      </c>
      <c r="P74" s="10">
        <f t="shared" ref="P74:P137" si="21">(K74-M74)*G74</f>
        <v>107689.44001138693</v>
      </c>
      <c r="Q74" s="10">
        <f t="shared" ref="Q74:Q137" si="22">(K74-M74)*H74</f>
        <v>722493.54675458651</v>
      </c>
      <c r="R74" s="10">
        <f t="shared" ref="R74:R137" si="23">SUM(N74:Q74)</f>
        <v>2014077.47953527</v>
      </c>
      <c r="S74" s="10"/>
      <c r="T74" s="11"/>
      <c r="U74" s="10"/>
      <c r="V74" s="10"/>
      <c r="W74" s="42"/>
    </row>
    <row r="75" spans="1:196" ht="20.25" customHeight="1">
      <c r="A75" s="18" t="s">
        <v>116</v>
      </c>
      <c r="B75" s="15" t="s">
        <v>117</v>
      </c>
      <c r="C75" s="15" t="s">
        <v>118</v>
      </c>
      <c r="D75" s="15"/>
      <c r="E75" s="21">
        <v>466.084</v>
      </c>
      <c r="F75" s="21">
        <f>148.024+140.74+24.22</f>
        <v>312.98400000000004</v>
      </c>
      <c r="G75" s="21">
        <v>72.38</v>
      </c>
      <c r="H75" s="21">
        <v>474.65</v>
      </c>
      <c r="I75" s="21">
        <f t="shared" si="18"/>
        <v>1326.098</v>
      </c>
      <c r="J75" s="93">
        <f>'2018'!N78</f>
        <v>2835.19</v>
      </c>
      <c r="K75" s="93">
        <f t="shared" si="1"/>
        <v>2948.5976000000001</v>
      </c>
      <c r="L75" s="93">
        <f>'2018'!P78</f>
        <v>1638.2808</v>
      </c>
      <c r="M75" s="93">
        <f t="shared" si="2"/>
        <v>1703.812032</v>
      </c>
      <c r="N75" s="10">
        <f t="shared" si="19"/>
        <v>557860.22757280001</v>
      </c>
      <c r="O75" s="10">
        <f t="shared" si="20"/>
        <v>374613.42905280006</v>
      </c>
      <c r="P75" s="10">
        <f t="shared" si="21"/>
        <v>90097.579411839994</v>
      </c>
      <c r="Q75" s="10">
        <f t="shared" si="22"/>
        <v>590837.4698512</v>
      </c>
      <c r="R75" s="10">
        <f t="shared" si="23"/>
        <v>1613408.7058886401</v>
      </c>
      <c r="S75" s="16"/>
      <c r="T75" s="16"/>
      <c r="U75" s="16"/>
      <c r="V75" s="16"/>
      <c r="W75" s="42"/>
    </row>
    <row r="76" spans="1:196" ht="20.25" customHeight="1">
      <c r="A76" s="18" t="s">
        <v>119</v>
      </c>
      <c r="B76" s="15" t="s">
        <v>120</v>
      </c>
      <c r="C76" s="15" t="s">
        <v>121</v>
      </c>
      <c r="D76" s="15"/>
      <c r="E76" s="21">
        <v>12.72</v>
      </c>
      <c r="F76" s="21">
        <f>4.38+2.94</f>
        <v>7.32</v>
      </c>
      <c r="G76" s="21">
        <v>2.25</v>
      </c>
      <c r="H76" s="21">
        <v>13.5</v>
      </c>
      <c r="I76" s="21">
        <f t="shared" si="18"/>
        <v>35.79</v>
      </c>
      <c r="J76" s="93">
        <f>'2018'!N79</f>
        <v>4224.4399999999996</v>
      </c>
      <c r="K76" s="93">
        <f t="shared" si="1"/>
        <v>4393.4175999999998</v>
      </c>
      <c r="L76" s="93">
        <f>'2018'!P79</f>
        <v>1312.25</v>
      </c>
      <c r="M76" s="93">
        <f t="shared" si="2"/>
        <v>1364.74</v>
      </c>
      <c r="N76" s="10">
        <f t="shared" si="19"/>
        <v>37043.056799999998</v>
      </c>
      <c r="O76" s="10">
        <f t="shared" si="20"/>
        <v>21317.230799999998</v>
      </c>
      <c r="P76" s="10">
        <f t="shared" si="21"/>
        <v>6814.5245999999997</v>
      </c>
      <c r="Q76" s="10">
        <f t="shared" si="22"/>
        <v>40887.147599999997</v>
      </c>
      <c r="R76" s="10">
        <f t="shared" si="23"/>
        <v>106061.95979999998</v>
      </c>
      <c r="S76" s="10"/>
      <c r="T76" s="11"/>
      <c r="U76" s="10"/>
      <c r="V76" s="10"/>
      <c r="W76" s="42"/>
    </row>
    <row r="77" spans="1:196" ht="20.25" customHeight="1">
      <c r="A77" s="18" t="s">
        <v>122</v>
      </c>
      <c r="B77" s="15" t="s">
        <v>123</v>
      </c>
      <c r="C77" s="15" t="s">
        <v>124</v>
      </c>
      <c r="D77" s="15"/>
      <c r="E77" s="21">
        <v>2612.7150000000001</v>
      </c>
      <c r="F77" s="21">
        <f>813.756+813.496+32.219</f>
        <v>1659.471</v>
      </c>
      <c r="G77" s="21">
        <v>337</v>
      </c>
      <c r="H77" s="21">
        <v>2159</v>
      </c>
      <c r="I77" s="21">
        <f t="shared" si="18"/>
        <v>6768.1859999999997</v>
      </c>
      <c r="J77" s="93">
        <f>'2018'!N80</f>
        <v>3641.47</v>
      </c>
      <c r="K77" s="93">
        <f t="shared" si="1"/>
        <v>3787.1288</v>
      </c>
      <c r="L77" s="93">
        <f>'2018'!P80</f>
        <v>1378.1</v>
      </c>
      <c r="M77" s="93">
        <f t="shared" si="2"/>
        <v>1433.2239999999999</v>
      </c>
      <c r="N77" s="10">
        <f t="shared" si="19"/>
        <v>5913540.7495499998</v>
      </c>
      <c r="O77" s="10">
        <f t="shared" si="20"/>
        <v>3755996.8772700001</v>
      </c>
      <c r="P77" s="10">
        <f t="shared" si="21"/>
        <v>793265.91760000004</v>
      </c>
      <c r="Q77" s="10">
        <f t="shared" si="22"/>
        <v>5082080.4632000001</v>
      </c>
      <c r="R77" s="10">
        <f t="shared" si="23"/>
        <v>15544884.007619999</v>
      </c>
      <c r="S77" s="10"/>
      <c r="T77" s="11"/>
      <c r="U77" s="10"/>
      <c r="V77" s="10"/>
      <c r="W77" s="42"/>
    </row>
    <row r="78" spans="1:196" ht="24" customHeight="1">
      <c r="A78" s="18" t="s">
        <v>347</v>
      </c>
      <c r="B78" s="15" t="s">
        <v>359</v>
      </c>
      <c r="C78" s="15" t="s">
        <v>124</v>
      </c>
      <c r="D78" s="15"/>
      <c r="E78" s="21">
        <v>43.944000000000003</v>
      </c>
      <c r="F78" s="21">
        <f>14.648+7.088</f>
        <v>21.736000000000001</v>
      </c>
      <c r="G78" s="21">
        <v>7.3239999999999998</v>
      </c>
      <c r="H78" s="21">
        <v>43.944000000000003</v>
      </c>
      <c r="I78" s="21">
        <f t="shared" si="18"/>
        <v>116.94800000000001</v>
      </c>
      <c r="J78" s="93">
        <f>'2018'!N81</f>
        <v>4068.2096000000001</v>
      </c>
      <c r="K78" s="93">
        <f t="shared" ref="K78:K147" si="24">J78*1.04</f>
        <v>4230.9379840000001</v>
      </c>
      <c r="L78" s="93">
        <f>'2018'!P81</f>
        <v>1367.59</v>
      </c>
      <c r="M78" s="93">
        <f t="shared" ref="M78:M147" si="25">L78*1.04</f>
        <v>1422.2936</v>
      </c>
      <c r="N78" s="10">
        <f t="shared" si="19"/>
        <v>118676.02770240001</v>
      </c>
      <c r="O78" s="10">
        <f t="shared" si="20"/>
        <v>58700.667625599999</v>
      </c>
      <c r="P78" s="10">
        <f t="shared" si="21"/>
        <v>20570.511468416</v>
      </c>
      <c r="Q78" s="10">
        <f t="shared" si="22"/>
        <v>123423.06881049601</v>
      </c>
      <c r="R78" s="10">
        <f t="shared" si="23"/>
        <v>321370.27560691198</v>
      </c>
      <c r="S78" s="10"/>
      <c r="T78" s="11"/>
      <c r="U78" s="10"/>
      <c r="V78" s="10"/>
      <c r="W78" s="42"/>
    </row>
    <row r="79" spans="1:196" ht="24" customHeight="1">
      <c r="A79" s="18" t="s">
        <v>360</v>
      </c>
      <c r="B79" s="15" t="s">
        <v>361</v>
      </c>
      <c r="C79" s="15" t="s">
        <v>115</v>
      </c>
      <c r="D79" s="15"/>
      <c r="E79" s="21">
        <v>3756.7640000000001</v>
      </c>
      <c r="F79" s="21">
        <f>1126.023+871.261+180.159</f>
        <v>2177.4429999999998</v>
      </c>
      <c r="G79" s="21">
        <v>644.89200000000005</v>
      </c>
      <c r="H79" s="21">
        <v>3154.4059999999999</v>
      </c>
      <c r="I79" s="21">
        <f t="shared" si="18"/>
        <v>9733.505000000001</v>
      </c>
      <c r="J79" s="93">
        <f>'2018'!N82</f>
        <v>1012.9288</v>
      </c>
      <c r="K79" s="93">
        <f t="shared" si="24"/>
        <v>1053.445952</v>
      </c>
      <c r="L79" s="93">
        <f>'2018'!P82</f>
        <v>664.91</v>
      </c>
      <c r="M79" s="93">
        <f t="shared" si="25"/>
        <v>691.50639999999999</v>
      </c>
      <c r="N79" s="10">
        <f t="shared" si="19"/>
        <v>1307424.4991632001</v>
      </c>
      <c r="O79" s="10">
        <f t="shared" si="20"/>
        <v>757791.09992840001</v>
      </c>
      <c r="P79" s="10">
        <f t="shared" si="21"/>
        <v>233411.92156838404</v>
      </c>
      <c r="Q79" s="10">
        <f t="shared" si="22"/>
        <v>1141704.294466112</v>
      </c>
      <c r="R79" s="10">
        <f t="shared" si="23"/>
        <v>3440331.8151260959</v>
      </c>
      <c r="S79" s="10"/>
      <c r="T79" s="11"/>
      <c r="U79" s="10"/>
      <c r="V79" s="10"/>
      <c r="W79" s="42"/>
    </row>
    <row r="80" spans="1:196" s="108" customFormat="1" ht="24" customHeight="1">
      <c r="A80" s="105" t="s">
        <v>459</v>
      </c>
      <c r="B80" s="106" t="s">
        <v>460</v>
      </c>
      <c r="C80" s="27" t="s">
        <v>124</v>
      </c>
      <c r="D80" s="107"/>
      <c r="E80" s="21">
        <v>8.0546399999999991</v>
      </c>
      <c r="F80" s="21">
        <v>5.3697600000000012</v>
      </c>
      <c r="G80" s="21">
        <v>1.8351200000000003</v>
      </c>
      <c r="H80" s="21">
        <v>7.3404800000000012</v>
      </c>
      <c r="I80" s="21">
        <f t="shared" si="18"/>
        <v>22.6</v>
      </c>
      <c r="J80" s="93">
        <f>'2018'!N83</f>
        <v>1844.1607831180802</v>
      </c>
      <c r="K80" s="93">
        <f t="shared" ref="K80" si="26">J80*1.04</f>
        <v>1917.9272144428035</v>
      </c>
      <c r="L80" s="93">
        <f>'2018'!P83</f>
        <v>1393.8855840000003</v>
      </c>
      <c r="M80" s="93">
        <f t="shared" ref="M80" si="27">L80*1.04</f>
        <v>1449.6410073600005</v>
      </c>
      <c r="N80" s="10">
        <f t="shared" si="19"/>
        <v>3626.8046298244503</v>
      </c>
      <c r="O80" s="10">
        <f t="shared" si="20"/>
        <v>2417.869753216301</v>
      </c>
      <c r="P80" s="10">
        <f t="shared" si="21"/>
        <v>859.36138434179361</v>
      </c>
      <c r="Q80" s="10">
        <f t="shared" si="22"/>
        <v>3437.4455373671744</v>
      </c>
      <c r="R80" s="10">
        <f t="shared" si="23"/>
        <v>10341.481304749719</v>
      </c>
      <c r="S80" s="10"/>
      <c r="T80" s="93"/>
      <c r="U80" s="10"/>
      <c r="V80" s="10"/>
      <c r="W80" s="42"/>
    </row>
    <row r="81" spans="1:23" ht="21.75" customHeight="1">
      <c r="A81" s="133" t="s">
        <v>125</v>
      </c>
      <c r="B81" s="133"/>
      <c r="C81" s="133"/>
      <c r="D81" s="133"/>
      <c r="E81" s="43"/>
      <c r="F81" s="43"/>
      <c r="G81" s="44"/>
      <c r="H81" s="44"/>
      <c r="I81" s="21">
        <f t="shared" si="18"/>
        <v>0</v>
      </c>
      <c r="J81" s="85"/>
      <c r="K81" s="85"/>
      <c r="L81" s="85"/>
      <c r="M81" s="85"/>
      <c r="N81" s="10">
        <f t="shared" si="19"/>
        <v>0</v>
      </c>
      <c r="O81" s="10">
        <f t="shared" si="20"/>
        <v>0</v>
      </c>
      <c r="P81" s="10">
        <f t="shared" si="21"/>
        <v>0</v>
      </c>
      <c r="Q81" s="10">
        <f t="shared" si="22"/>
        <v>0</v>
      </c>
      <c r="R81" s="10">
        <f t="shared" si="23"/>
        <v>0</v>
      </c>
      <c r="S81" s="10"/>
      <c r="T81" s="11"/>
      <c r="U81" s="10"/>
      <c r="V81" s="10"/>
      <c r="W81" s="45"/>
    </row>
    <row r="82" spans="1:23" ht="27.75" customHeight="1">
      <c r="A82" s="18" t="s">
        <v>22</v>
      </c>
      <c r="B82" s="15" t="s">
        <v>23</v>
      </c>
      <c r="C82" s="15" t="s">
        <v>387</v>
      </c>
      <c r="D82" s="15"/>
      <c r="E82" s="21">
        <v>4419.3710000000001</v>
      </c>
      <c r="F82" s="21">
        <f>1255.741+1168.344+163.019</f>
        <v>2587.1040000000003</v>
      </c>
      <c r="G82" s="21">
        <v>956.33299999999997</v>
      </c>
      <c r="H82" s="21">
        <v>3929.395</v>
      </c>
      <c r="I82" s="21">
        <f t="shared" si="18"/>
        <v>11892.203</v>
      </c>
      <c r="J82" s="93">
        <f>'2018'!N85</f>
        <v>5238.99</v>
      </c>
      <c r="K82" s="93">
        <f t="shared" si="24"/>
        <v>5448.5496000000003</v>
      </c>
      <c r="L82" s="93">
        <f>'2018'!P85</f>
        <v>1478.7136</v>
      </c>
      <c r="M82" s="93">
        <f t="shared" si="25"/>
        <v>1537.8621440000002</v>
      </c>
      <c r="N82" s="10">
        <f t="shared" si="19"/>
        <v>16618056.474144399</v>
      </c>
      <c r="O82" s="10">
        <f t="shared" si="20"/>
        <v>9728226.1155456007</v>
      </c>
      <c r="P82" s="10">
        <f t="shared" si="21"/>
        <v>3739919.466858848</v>
      </c>
      <c r="Q82" s="10">
        <f t="shared" si="22"/>
        <v>15366635.73616912</v>
      </c>
      <c r="R82" s="10">
        <f t="shared" si="23"/>
        <v>45452837.792717971</v>
      </c>
      <c r="S82" s="10"/>
      <c r="T82" s="11"/>
      <c r="U82" s="10"/>
      <c r="V82" s="10"/>
      <c r="W82" s="42"/>
    </row>
    <row r="83" spans="1:23" ht="23.25" customHeight="1">
      <c r="A83" s="133" t="s">
        <v>126</v>
      </c>
      <c r="B83" s="133"/>
      <c r="C83" s="133"/>
      <c r="D83" s="133"/>
      <c r="E83" s="43"/>
      <c r="F83" s="43"/>
      <c r="G83" s="44"/>
      <c r="H83" s="44"/>
      <c r="I83" s="21">
        <f t="shared" si="18"/>
        <v>0</v>
      </c>
      <c r="J83" s="85"/>
      <c r="K83" s="85"/>
      <c r="L83" s="85"/>
      <c r="M83" s="85"/>
      <c r="N83" s="10">
        <f t="shared" si="19"/>
        <v>0</v>
      </c>
      <c r="O83" s="10">
        <f t="shared" si="20"/>
        <v>0</v>
      </c>
      <c r="P83" s="10">
        <f t="shared" si="21"/>
        <v>0</v>
      </c>
      <c r="Q83" s="10">
        <f t="shared" si="22"/>
        <v>0</v>
      </c>
      <c r="R83" s="10">
        <f t="shared" si="23"/>
        <v>0</v>
      </c>
      <c r="S83" s="10"/>
      <c r="T83" s="11"/>
      <c r="U83" s="10"/>
      <c r="V83" s="10"/>
      <c r="W83" s="45"/>
    </row>
    <row r="84" spans="1:23" ht="20.25" customHeight="1">
      <c r="A84" s="18" t="s">
        <v>22</v>
      </c>
      <c r="B84" s="15" t="s">
        <v>23</v>
      </c>
      <c r="C84" s="15" t="s">
        <v>388</v>
      </c>
      <c r="D84" s="15"/>
      <c r="E84" s="21">
        <v>3504.9989999999998</v>
      </c>
      <c r="F84" s="21">
        <f>1073.489+1049.063+114.402</f>
        <v>2236.9540000000002</v>
      </c>
      <c r="G84" s="21">
        <v>904.39700000000005</v>
      </c>
      <c r="H84" s="21">
        <v>3260.19</v>
      </c>
      <c r="I84" s="21">
        <f t="shared" si="18"/>
        <v>9906.5399999999991</v>
      </c>
      <c r="J84" s="93">
        <f>'2018'!N87</f>
        <v>5445.12</v>
      </c>
      <c r="K84" s="93">
        <f t="shared" si="24"/>
        <v>5662.9247999999998</v>
      </c>
      <c r="L84" s="93">
        <f>'2018'!P87</f>
        <v>1276.3607999999999</v>
      </c>
      <c r="M84" s="93">
        <f t="shared" si="25"/>
        <v>1327.4152320000001</v>
      </c>
      <c r="N84" s="10">
        <f t="shared" si="19"/>
        <v>14611496.8272408</v>
      </c>
      <c r="O84" s="10">
        <f t="shared" si="20"/>
        <v>9325322.5674768016</v>
      </c>
      <c r="P84" s="10">
        <f t="shared" si="21"/>
        <v>3921021.8467704956</v>
      </c>
      <c r="Q84" s="10">
        <f t="shared" si="22"/>
        <v>14134584.938497918</v>
      </c>
      <c r="R84" s="10">
        <f t="shared" si="23"/>
        <v>41992426.179986015</v>
      </c>
      <c r="S84" s="10"/>
      <c r="T84" s="11"/>
      <c r="U84" s="10"/>
      <c r="V84" s="10"/>
      <c r="W84" s="42"/>
    </row>
    <row r="85" spans="1:23" ht="20.25" customHeight="1">
      <c r="A85" s="28" t="s">
        <v>415</v>
      </c>
      <c r="B85" s="27" t="s">
        <v>414</v>
      </c>
      <c r="C85" s="15" t="s">
        <v>362</v>
      </c>
      <c r="D85" s="15"/>
      <c r="E85" s="21">
        <v>39.113999999999997</v>
      </c>
      <c r="F85" s="21">
        <v>25.422999999999998</v>
      </c>
      <c r="G85" s="21">
        <v>13.689</v>
      </c>
      <c r="H85" s="21">
        <v>39.113999999999997</v>
      </c>
      <c r="I85" s="21">
        <f t="shared" si="18"/>
        <v>117.34</v>
      </c>
      <c r="J85" s="93">
        <f>'2018'!N88</f>
        <v>7339.57</v>
      </c>
      <c r="K85" s="93">
        <f t="shared" si="24"/>
        <v>7633.1527999999998</v>
      </c>
      <c r="L85" s="93">
        <f>'2018'!P88</f>
        <v>1252.2744</v>
      </c>
      <c r="M85" s="93">
        <f t="shared" si="25"/>
        <v>1302.365376</v>
      </c>
      <c r="N85" s="10">
        <f t="shared" si="19"/>
        <v>238098.48009839997</v>
      </c>
      <c r="O85" s="10">
        <f t="shared" si="20"/>
        <v>154757.31603879997</v>
      </c>
      <c r="P85" s="10">
        <f t="shared" si="21"/>
        <v>86662.149047136001</v>
      </c>
      <c r="Q85" s="10">
        <f t="shared" si="22"/>
        <v>247622.419302336</v>
      </c>
      <c r="R85" s="10">
        <f t="shared" si="23"/>
        <v>727140.36448667198</v>
      </c>
      <c r="S85" s="10"/>
      <c r="T85" s="11"/>
      <c r="U85" s="10"/>
      <c r="V85" s="10"/>
      <c r="W85" s="42"/>
    </row>
    <row r="86" spans="1:23" ht="20.25" customHeight="1">
      <c r="A86" s="133" t="s">
        <v>94</v>
      </c>
      <c r="B86" s="133"/>
      <c r="C86" s="133"/>
      <c r="D86" s="133"/>
      <c r="E86" s="43"/>
      <c r="F86" s="43"/>
      <c r="G86" s="44"/>
      <c r="H86" s="44"/>
      <c r="I86" s="21">
        <f t="shared" si="18"/>
        <v>0</v>
      </c>
      <c r="J86" s="85"/>
      <c r="K86" s="85"/>
      <c r="L86" s="85"/>
      <c r="M86" s="85"/>
      <c r="N86" s="10">
        <f t="shared" si="19"/>
        <v>0</v>
      </c>
      <c r="O86" s="10">
        <f t="shared" si="20"/>
        <v>0</v>
      </c>
      <c r="P86" s="10">
        <f t="shared" si="21"/>
        <v>0</v>
      </c>
      <c r="Q86" s="10">
        <f t="shared" si="22"/>
        <v>0</v>
      </c>
      <c r="R86" s="10">
        <f t="shared" si="23"/>
        <v>0</v>
      </c>
      <c r="S86" s="10"/>
      <c r="T86" s="11"/>
      <c r="U86" s="10"/>
      <c r="V86" s="10"/>
      <c r="W86" s="45"/>
    </row>
    <row r="87" spans="1:23" ht="18.75" customHeight="1">
      <c r="A87" s="18" t="s">
        <v>127</v>
      </c>
      <c r="B87" s="15" t="s">
        <v>128</v>
      </c>
      <c r="C87" s="15"/>
      <c r="D87" s="15"/>
      <c r="E87" s="21">
        <v>44924.853999999999</v>
      </c>
      <c r="F87" s="21">
        <f>14375.289+12376.21+5339.789</f>
        <v>32091.288</v>
      </c>
      <c r="G87" s="55">
        <v>19100.506000000001</v>
      </c>
      <c r="H87" s="21">
        <v>43424.788</v>
      </c>
      <c r="I87" s="21">
        <f t="shared" si="18"/>
        <v>139541.43599999999</v>
      </c>
      <c r="J87" s="93">
        <f>'2018'!N90</f>
        <v>1879.0381697500939</v>
      </c>
      <c r="K87" s="93">
        <f t="shared" si="24"/>
        <v>1954.1996965400976</v>
      </c>
      <c r="L87" s="93">
        <f>'2018'!P90</f>
        <v>1439.0796160000002</v>
      </c>
      <c r="M87" s="93">
        <f t="shared" si="25"/>
        <v>1496.6428006400004</v>
      </c>
      <c r="N87" s="10">
        <f t="shared" si="19"/>
        <v>19765073.793274108</v>
      </c>
      <c r="O87" s="10">
        <f t="shared" si="20"/>
        <v>14118836.656457735</v>
      </c>
      <c r="P87" s="10">
        <f t="shared" si="21"/>
        <v>8739568.235481184</v>
      </c>
      <c r="Q87" s="10">
        <f t="shared" si="22"/>
        <v>19869311.202399794</v>
      </c>
      <c r="R87" s="10">
        <f t="shared" si="23"/>
        <v>62492789.88761282</v>
      </c>
      <c r="S87" s="10"/>
      <c r="T87" s="11"/>
      <c r="U87" s="10"/>
      <c r="V87" s="10"/>
      <c r="W87" s="42"/>
    </row>
    <row r="88" spans="1:23" ht="18.75" customHeight="1">
      <c r="A88" s="28" t="s">
        <v>415</v>
      </c>
      <c r="B88" s="27" t="s">
        <v>414</v>
      </c>
      <c r="C88" s="15" t="s">
        <v>363</v>
      </c>
      <c r="D88" s="15"/>
      <c r="E88" s="21">
        <v>912.29499999999996</v>
      </c>
      <c r="F88" s="21">
        <v>619.779</v>
      </c>
      <c r="G88" s="21">
        <v>406.17399999999998</v>
      </c>
      <c r="H88" s="21">
        <v>913.00199999999995</v>
      </c>
      <c r="I88" s="21">
        <f t="shared" si="18"/>
        <v>2851.25</v>
      </c>
      <c r="J88" s="93">
        <f>'2018'!N91</f>
        <v>1603.72</v>
      </c>
      <c r="K88" s="93">
        <f t="shared" si="24"/>
        <v>1667.8688000000002</v>
      </c>
      <c r="L88" s="93">
        <f>'2018'!P91</f>
        <v>1439.08</v>
      </c>
      <c r="M88" s="93">
        <f t="shared" si="25"/>
        <v>1496.6432</v>
      </c>
      <c r="N88" s="10">
        <f t="shared" si="19"/>
        <v>150200.24880000009</v>
      </c>
      <c r="O88" s="10">
        <f t="shared" si="20"/>
        <v>102040.41456000006</v>
      </c>
      <c r="P88" s="10">
        <f t="shared" si="21"/>
        <v>69547.386854400087</v>
      </c>
      <c r="Q88" s="10">
        <f t="shared" si="22"/>
        <v>156329.3152512002</v>
      </c>
      <c r="R88" s="10">
        <f t="shared" si="23"/>
        <v>478117.36546560039</v>
      </c>
      <c r="S88" s="10"/>
      <c r="T88" s="11"/>
      <c r="U88" s="10"/>
      <c r="V88" s="10"/>
      <c r="W88" s="42"/>
    </row>
    <row r="89" spans="1:23" ht="18.75" customHeight="1">
      <c r="A89" s="159" t="s">
        <v>364</v>
      </c>
      <c r="B89" s="160"/>
      <c r="C89" s="161"/>
      <c r="D89" s="15"/>
      <c r="E89" s="31"/>
      <c r="F89" s="31"/>
      <c r="G89" s="21"/>
      <c r="H89" s="21"/>
      <c r="I89" s="21">
        <f t="shared" si="18"/>
        <v>0</v>
      </c>
      <c r="J89" s="93"/>
      <c r="K89" s="93"/>
      <c r="L89" s="93"/>
      <c r="M89" s="93"/>
      <c r="N89" s="10">
        <f t="shared" si="19"/>
        <v>0</v>
      </c>
      <c r="O89" s="10">
        <f t="shared" si="20"/>
        <v>0</v>
      </c>
      <c r="P89" s="10">
        <f t="shared" si="21"/>
        <v>0</v>
      </c>
      <c r="Q89" s="10">
        <f t="shared" si="22"/>
        <v>0</v>
      </c>
      <c r="R89" s="10">
        <f t="shared" si="23"/>
        <v>0</v>
      </c>
      <c r="S89" s="10"/>
      <c r="T89" s="11"/>
      <c r="U89" s="10"/>
      <c r="V89" s="10"/>
      <c r="W89" s="42"/>
    </row>
    <row r="90" spans="1:23" ht="18.75" customHeight="1">
      <c r="A90" s="28" t="s">
        <v>415</v>
      </c>
      <c r="B90" s="27" t="s">
        <v>414</v>
      </c>
      <c r="C90" s="15" t="s">
        <v>394</v>
      </c>
      <c r="D90" s="15" t="s">
        <v>395</v>
      </c>
      <c r="E90" s="21">
        <v>2982.33</v>
      </c>
      <c r="F90" s="21">
        <v>2982.33</v>
      </c>
      <c r="G90" s="21">
        <v>2440.09</v>
      </c>
      <c r="H90" s="21">
        <v>2440.09</v>
      </c>
      <c r="I90" s="21">
        <f t="shared" si="18"/>
        <v>10844.84</v>
      </c>
      <c r="J90" s="93">
        <f>'2018'!N93</f>
        <v>5207.3</v>
      </c>
      <c r="K90" s="93">
        <f t="shared" si="24"/>
        <v>5415.5920000000006</v>
      </c>
      <c r="L90" s="93">
        <f>'2018'!P93</f>
        <v>1948.96</v>
      </c>
      <c r="M90" s="93">
        <f t="shared" si="25"/>
        <v>2026.9184</v>
      </c>
      <c r="N90" s="10">
        <f t="shared" si="19"/>
        <v>9717445.1322000008</v>
      </c>
      <c r="O90" s="10">
        <f t="shared" si="20"/>
        <v>9717445.1322000008</v>
      </c>
      <c r="P90" s="10">
        <f t="shared" si="21"/>
        <v>8268668.5646240022</v>
      </c>
      <c r="Q90" s="10">
        <f t="shared" si="22"/>
        <v>8268668.5646240022</v>
      </c>
      <c r="R90" s="10">
        <f t="shared" si="23"/>
        <v>35972227.393648006</v>
      </c>
      <c r="S90" s="10"/>
      <c r="T90" s="11"/>
      <c r="U90" s="10"/>
      <c r="V90" s="10"/>
      <c r="W90" s="42"/>
    </row>
    <row r="91" spans="1:23" ht="22.5" customHeight="1">
      <c r="A91" s="133" t="s">
        <v>131</v>
      </c>
      <c r="B91" s="133"/>
      <c r="C91" s="133"/>
      <c r="D91" s="133"/>
      <c r="E91" s="43"/>
      <c r="F91" s="43"/>
      <c r="G91" s="44"/>
      <c r="H91" s="44"/>
      <c r="I91" s="21">
        <f t="shared" si="18"/>
        <v>0</v>
      </c>
      <c r="J91" s="85"/>
      <c r="K91" s="85"/>
      <c r="L91" s="85"/>
      <c r="M91" s="85"/>
      <c r="N91" s="10">
        <f t="shared" si="19"/>
        <v>0</v>
      </c>
      <c r="O91" s="10">
        <f t="shared" si="20"/>
        <v>0</v>
      </c>
      <c r="P91" s="10">
        <f t="shared" si="21"/>
        <v>0</v>
      </c>
      <c r="Q91" s="10">
        <f t="shared" si="22"/>
        <v>0</v>
      </c>
      <c r="R91" s="10">
        <f t="shared" si="23"/>
        <v>0</v>
      </c>
      <c r="S91" s="10"/>
      <c r="T91" s="11"/>
      <c r="U91" s="10"/>
      <c r="V91" s="10"/>
      <c r="W91" s="45"/>
    </row>
    <row r="92" spans="1:23" ht="21.75" customHeight="1">
      <c r="A92" s="18" t="s">
        <v>129</v>
      </c>
      <c r="B92" s="15" t="s">
        <v>130</v>
      </c>
      <c r="C92" s="15" t="s">
        <v>132</v>
      </c>
      <c r="D92" s="15"/>
      <c r="E92" s="21">
        <v>28057.741999999998</v>
      </c>
      <c r="F92" s="21">
        <f>8915.225+8660.405+1018.952</f>
        <v>18594.582000000002</v>
      </c>
      <c r="G92" s="21">
        <v>7784.7730000000001</v>
      </c>
      <c r="H92" s="21">
        <v>28174.696</v>
      </c>
      <c r="I92" s="21">
        <f t="shared" si="18"/>
        <v>82611.793000000005</v>
      </c>
      <c r="J92" s="93">
        <f>'2018'!N95</f>
        <v>1496.9656000000002</v>
      </c>
      <c r="K92" s="93">
        <f t="shared" si="24"/>
        <v>1556.8442240000004</v>
      </c>
      <c r="L92" s="93">
        <f>'2018'!P95</f>
        <v>1218.204</v>
      </c>
      <c r="M92" s="93">
        <f t="shared" si="25"/>
        <v>1266.9321600000001</v>
      </c>
      <c r="N92" s="10">
        <f t="shared" si="19"/>
        <v>7821421.0523072071</v>
      </c>
      <c r="O92" s="10">
        <f t="shared" si="20"/>
        <v>5183455.4296512054</v>
      </c>
      <c r="P92" s="10">
        <f t="shared" si="21"/>
        <v>2256899.6082014744</v>
      </c>
      <c r="Q92" s="10">
        <f t="shared" si="22"/>
        <v>8168184.2699325532</v>
      </c>
      <c r="R92" s="10">
        <f t="shared" si="23"/>
        <v>23429960.360092439</v>
      </c>
      <c r="S92" s="10"/>
      <c r="T92" s="11"/>
      <c r="U92" s="10"/>
      <c r="V92" s="10"/>
      <c r="W92" s="42"/>
    </row>
    <row r="93" spans="1:23" ht="21.75" customHeight="1">
      <c r="A93" s="18" t="s">
        <v>133</v>
      </c>
      <c r="B93" s="15" t="s">
        <v>134</v>
      </c>
      <c r="C93" s="15" t="s">
        <v>135</v>
      </c>
      <c r="D93" s="15" t="s">
        <v>136</v>
      </c>
      <c r="E93" s="21">
        <v>47.360999999999997</v>
      </c>
      <c r="F93" s="21">
        <f>15.24+12.47</f>
        <v>27.71</v>
      </c>
      <c r="G93" s="21">
        <v>15.787000000000001</v>
      </c>
      <c r="H93" s="21">
        <v>47.362000000000002</v>
      </c>
      <c r="I93" s="21">
        <f t="shared" si="18"/>
        <v>138.22</v>
      </c>
      <c r="J93" s="93">
        <f>'2018'!N96</f>
        <v>3916.7544000000003</v>
      </c>
      <c r="K93" s="93">
        <f t="shared" si="24"/>
        <v>4073.4245760000003</v>
      </c>
      <c r="L93" s="93">
        <f>'2018'!P96</f>
        <v>1260.4488000000001</v>
      </c>
      <c r="M93" s="93">
        <f t="shared" si="25"/>
        <v>1310.8667520000001</v>
      </c>
      <c r="N93" s="10">
        <f t="shared" si="19"/>
        <v>125805.2895216</v>
      </c>
      <c r="O93" s="10">
        <f t="shared" si="20"/>
        <v>73606.228176000004</v>
      </c>
      <c r="P93" s="10">
        <f t="shared" si="21"/>
        <v>43612.500367488006</v>
      </c>
      <c r="Q93" s="10">
        <f t="shared" si="22"/>
        <v>130840.26366028802</v>
      </c>
      <c r="R93" s="10">
        <f t="shared" si="23"/>
        <v>373864.28172537603</v>
      </c>
      <c r="S93" s="16"/>
      <c r="T93" s="16"/>
      <c r="U93" s="16"/>
      <c r="V93" s="16"/>
      <c r="W93" s="42"/>
    </row>
    <row r="94" spans="1:23" ht="21.75" customHeight="1">
      <c r="A94" s="18" t="s">
        <v>137</v>
      </c>
      <c r="B94" s="15" t="s">
        <v>138</v>
      </c>
      <c r="C94" s="15"/>
      <c r="D94" s="15"/>
      <c r="E94" s="21">
        <v>9110.9639999999999</v>
      </c>
      <c r="F94" s="21">
        <f>3052.213+3016.846+252.969</f>
        <v>6322.0280000000002</v>
      </c>
      <c r="G94" s="21">
        <v>2705.1930000000002</v>
      </c>
      <c r="H94" s="21">
        <v>8843.9989999999998</v>
      </c>
      <c r="I94" s="21">
        <f t="shared" si="18"/>
        <v>26982.184000000001</v>
      </c>
      <c r="J94" s="93">
        <f>'2018'!N97</f>
        <v>3464.5936000000002</v>
      </c>
      <c r="K94" s="93">
        <f t="shared" si="24"/>
        <v>3603.1773440000002</v>
      </c>
      <c r="L94" s="93">
        <f>'2018'!P97</f>
        <v>1218.204</v>
      </c>
      <c r="M94" s="93">
        <f t="shared" si="25"/>
        <v>1266.9321600000001</v>
      </c>
      <c r="N94" s="10">
        <f t="shared" si="19"/>
        <v>20466774.775574405</v>
      </c>
      <c r="O94" s="10">
        <f t="shared" si="20"/>
        <v>14201737.950108804</v>
      </c>
      <c r="P94" s="10">
        <f t="shared" si="21"/>
        <v>6319994.1180405132</v>
      </c>
      <c r="Q94" s="10">
        <f t="shared" si="22"/>
        <v>20661750.071050819</v>
      </c>
      <c r="R94" s="10">
        <f t="shared" si="23"/>
        <v>61650256.914774552</v>
      </c>
      <c r="S94" s="10"/>
      <c r="T94" s="11"/>
      <c r="U94" s="10"/>
      <c r="V94" s="10"/>
      <c r="W94" s="42"/>
    </row>
    <row r="95" spans="1:23" ht="21.75" customHeight="1">
      <c r="A95" s="18" t="s">
        <v>292</v>
      </c>
      <c r="B95" s="15" t="s">
        <v>293</v>
      </c>
      <c r="C95" s="15" t="s">
        <v>365</v>
      </c>
      <c r="D95" s="15"/>
      <c r="E95" s="21">
        <v>446.20100000000002</v>
      </c>
      <c r="F95" s="21">
        <f>152.007-0.586+150.202+0.401</f>
        <v>302.024</v>
      </c>
      <c r="G95" s="21">
        <v>9.2240000000000002</v>
      </c>
      <c r="H95" s="21">
        <v>477.77499999999998</v>
      </c>
      <c r="I95" s="21">
        <f t="shared" si="18"/>
        <v>1235.2240000000002</v>
      </c>
      <c r="J95" s="93">
        <f>'2018'!N98</f>
        <v>2840.66</v>
      </c>
      <c r="K95" s="93">
        <f t="shared" si="24"/>
        <v>2954.2864</v>
      </c>
      <c r="L95" s="93">
        <f>'2018'!P98</f>
        <v>1218.2</v>
      </c>
      <c r="M95" s="93">
        <f t="shared" si="25"/>
        <v>1266.9280000000001</v>
      </c>
      <c r="N95" s="10">
        <f t="shared" si="19"/>
        <v>723943.27445999999</v>
      </c>
      <c r="O95" s="10">
        <f t="shared" si="20"/>
        <v>490021.85903999995</v>
      </c>
      <c r="P95" s="10">
        <f t="shared" si="21"/>
        <v>15564.193881599998</v>
      </c>
      <c r="Q95" s="10">
        <f t="shared" si="22"/>
        <v>806177.65955999994</v>
      </c>
      <c r="R95" s="10">
        <f t="shared" si="23"/>
        <v>2035706.9869415998</v>
      </c>
      <c r="S95" s="10"/>
      <c r="T95" s="11"/>
      <c r="U95" s="10"/>
      <c r="V95" s="10"/>
      <c r="W95" s="42"/>
    </row>
    <row r="96" spans="1:23" ht="21.75" customHeight="1">
      <c r="A96" s="22" t="s">
        <v>448</v>
      </c>
      <c r="B96" s="22" t="s">
        <v>449</v>
      </c>
      <c r="C96" s="15" t="s">
        <v>135</v>
      </c>
      <c r="D96" s="15" t="s">
        <v>380</v>
      </c>
      <c r="E96" s="21">
        <v>120.02825537999999</v>
      </c>
      <c r="F96" s="21">
        <v>80.018836920000012</v>
      </c>
      <c r="G96" s="21">
        <v>32.734978739999995</v>
      </c>
      <c r="H96" s="21">
        <v>130.93991495999995</v>
      </c>
      <c r="I96" s="21">
        <f t="shared" si="18"/>
        <v>363.72198599999996</v>
      </c>
      <c r="J96" s="93">
        <f>'2018'!N99</f>
        <v>2975.4192000000003</v>
      </c>
      <c r="K96" s="93">
        <f t="shared" si="24"/>
        <v>3094.4359680000002</v>
      </c>
      <c r="L96" s="93">
        <f>'2018'!P99</f>
        <v>1260.4488000000001</v>
      </c>
      <c r="M96" s="93">
        <f t="shared" si="25"/>
        <v>1310.8667520000001</v>
      </c>
      <c r="N96" s="10">
        <f t="shared" si="19"/>
        <v>205844.90514034076</v>
      </c>
      <c r="O96" s="10">
        <f t="shared" si="20"/>
        <v>137229.9367602272</v>
      </c>
      <c r="P96" s="10">
        <f t="shared" si="21"/>
        <v>58385.100367078463</v>
      </c>
      <c r="Q96" s="10">
        <f t="shared" si="22"/>
        <v>233540.40146831379</v>
      </c>
      <c r="R96" s="10">
        <f t="shared" si="23"/>
        <v>635000.3437359602</v>
      </c>
      <c r="S96" s="10"/>
      <c r="T96" s="11"/>
      <c r="U96" s="10"/>
      <c r="V96" s="10"/>
      <c r="W96" s="42"/>
    </row>
    <row r="97" spans="1:23" ht="21" customHeight="1">
      <c r="A97" s="133" t="s">
        <v>141</v>
      </c>
      <c r="B97" s="133"/>
      <c r="C97" s="133"/>
      <c r="D97" s="133"/>
      <c r="E97" s="43"/>
      <c r="F97" s="43"/>
      <c r="G97" s="44"/>
      <c r="H97" s="44"/>
      <c r="I97" s="21">
        <f t="shared" si="18"/>
        <v>0</v>
      </c>
      <c r="J97" s="85"/>
      <c r="K97" s="85"/>
      <c r="L97" s="85"/>
      <c r="M97" s="85"/>
      <c r="N97" s="10">
        <f t="shared" si="19"/>
        <v>0</v>
      </c>
      <c r="O97" s="10">
        <f t="shared" si="20"/>
        <v>0</v>
      </c>
      <c r="P97" s="10">
        <f t="shared" si="21"/>
        <v>0</v>
      </c>
      <c r="Q97" s="10">
        <f t="shared" si="22"/>
        <v>0</v>
      </c>
      <c r="R97" s="10">
        <f t="shared" si="23"/>
        <v>0</v>
      </c>
      <c r="S97" s="10"/>
      <c r="T97" s="11"/>
      <c r="U97" s="10"/>
      <c r="V97" s="10"/>
      <c r="W97" s="45"/>
    </row>
    <row r="98" spans="1:23" ht="27" customHeight="1">
      <c r="A98" s="18" t="s">
        <v>139</v>
      </c>
      <c r="B98" s="15" t="s">
        <v>140</v>
      </c>
      <c r="C98" s="15" t="s">
        <v>142</v>
      </c>
      <c r="D98" s="15"/>
      <c r="E98" s="21">
        <v>3873.15</v>
      </c>
      <c r="F98" s="21">
        <f>1292.61+1288.58+10.26</f>
        <v>2591.4499999999998</v>
      </c>
      <c r="G98" s="21">
        <v>1275.83</v>
      </c>
      <c r="H98" s="21">
        <v>2621.0210000000002</v>
      </c>
      <c r="I98" s="21">
        <f t="shared" si="18"/>
        <v>10361.451000000001</v>
      </c>
      <c r="J98" s="93">
        <f>'2018'!N101</f>
        <v>3840.41</v>
      </c>
      <c r="K98" s="93">
        <f t="shared" si="24"/>
        <v>3994.0264000000002</v>
      </c>
      <c r="L98" s="93">
        <f>'2018'!P101</f>
        <v>1272.2424000000001</v>
      </c>
      <c r="M98" s="93">
        <f t="shared" si="25"/>
        <v>1323.132096</v>
      </c>
      <c r="N98" s="10">
        <f t="shared" si="19"/>
        <v>9946898.3399399985</v>
      </c>
      <c r="O98" s="10">
        <f t="shared" si="20"/>
        <v>6655277.9270199994</v>
      </c>
      <c r="P98" s="10">
        <f t="shared" si="21"/>
        <v>3407607.0798723204</v>
      </c>
      <c r="Q98" s="10">
        <f t="shared" si="22"/>
        <v>7000470.0595643856</v>
      </c>
      <c r="R98" s="10">
        <f t="shared" si="23"/>
        <v>27010253.406396706</v>
      </c>
      <c r="S98" s="10"/>
      <c r="T98" s="11"/>
      <c r="U98" s="10"/>
      <c r="V98" s="10"/>
      <c r="W98" s="42"/>
    </row>
    <row r="99" spans="1:23" ht="27" customHeight="1">
      <c r="A99" s="18" t="s">
        <v>143</v>
      </c>
      <c r="B99" s="15" t="s">
        <v>144</v>
      </c>
      <c r="C99" s="15" t="s">
        <v>145</v>
      </c>
      <c r="D99" s="15"/>
      <c r="E99" s="21">
        <v>3194.5010000000002</v>
      </c>
      <c r="F99" s="21">
        <f>990.254+954.677+78.181+56.314</f>
        <v>2079.4259999999999</v>
      </c>
      <c r="G99" s="21">
        <v>686.7</v>
      </c>
      <c r="H99" s="21">
        <v>3045.5619999999999</v>
      </c>
      <c r="I99" s="21">
        <f t="shared" si="18"/>
        <v>9006.1889999999985</v>
      </c>
      <c r="J99" s="93">
        <f>'2018'!N102</f>
        <v>4487.4399999999996</v>
      </c>
      <c r="K99" s="93">
        <f t="shared" si="24"/>
        <v>4666.9375999999993</v>
      </c>
      <c r="L99" s="93">
        <f>'2018'!P102</f>
        <v>1296.7239999999999</v>
      </c>
      <c r="M99" s="93">
        <f t="shared" si="25"/>
        <v>1348.5929599999999</v>
      </c>
      <c r="N99" s="10">
        <f t="shared" si="19"/>
        <v>10192745.452715999</v>
      </c>
      <c r="O99" s="10">
        <f t="shared" si="20"/>
        <v>6634857.8090159986</v>
      </c>
      <c r="P99" s="10">
        <f t="shared" si="21"/>
        <v>2278707.2642879998</v>
      </c>
      <c r="Q99" s="10">
        <f t="shared" si="22"/>
        <v>10106224.338487677</v>
      </c>
      <c r="R99" s="10">
        <f t="shared" si="23"/>
        <v>29212534.864507675</v>
      </c>
      <c r="S99" s="10"/>
      <c r="T99" s="11"/>
      <c r="U99" s="10"/>
      <c r="V99" s="10"/>
      <c r="W99" s="42"/>
    </row>
    <row r="100" spans="1:23" ht="27" customHeight="1">
      <c r="A100" s="18" t="s">
        <v>143</v>
      </c>
      <c r="B100" s="15" t="s">
        <v>144</v>
      </c>
      <c r="C100" s="15" t="s">
        <v>146</v>
      </c>
      <c r="D100" s="15"/>
      <c r="E100" s="21">
        <v>2166.4090000000001</v>
      </c>
      <c r="F100" s="21">
        <f>698.187+725.752+17.05-39.925</f>
        <v>1401.0639999999999</v>
      </c>
      <c r="G100" s="21">
        <v>581.596</v>
      </c>
      <c r="H100" s="21">
        <v>2125.7069999999999</v>
      </c>
      <c r="I100" s="21">
        <f t="shared" si="18"/>
        <v>6274.7759999999998</v>
      </c>
      <c r="J100" s="93">
        <f>'2018'!N103</f>
        <v>4236.46</v>
      </c>
      <c r="K100" s="93">
        <f t="shared" si="24"/>
        <v>4405.9184000000005</v>
      </c>
      <c r="L100" s="93">
        <f>'2018'!P103</f>
        <v>1296.7239999999999</v>
      </c>
      <c r="M100" s="93">
        <f t="shared" si="25"/>
        <v>1348.5929599999999</v>
      </c>
      <c r="N100" s="10">
        <f t="shared" si="19"/>
        <v>6368670.5280240001</v>
      </c>
      <c r="O100" s="10">
        <f t="shared" si="20"/>
        <v>4118758.2791039995</v>
      </c>
      <c r="P100" s="10">
        <f t="shared" si="21"/>
        <v>1778128.2466022403</v>
      </c>
      <c r="Q100" s="10">
        <f t="shared" si="22"/>
        <v>6498978.0890860809</v>
      </c>
      <c r="R100" s="10">
        <f t="shared" si="23"/>
        <v>18764535.14281632</v>
      </c>
      <c r="S100" s="10"/>
      <c r="T100" s="11"/>
      <c r="U100" s="10"/>
      <c r="V100" s="10"/>
      <c r="W100" s="42"/>
    </row>
    <row r="101" spans="1:23" ht="27" customHeight="1">
      <c r="A101" s="18" t="s">
        <v>143</v>
      </c>
      <c r="B101" s="15" t="s">
        <v>144</v>
      </c>
      <c r="C101" s="15" t="s">
        <v>147</v>
      </c>
      <c r="D101" s="15"/>
      <c r="E101" s="21">
        <v>4887.424</v>
      </c>
      <c r="F101" s="21">
        <f>1650.93+1658.216+3.3-6.554</f>
        <v>3305.8919999999998</v>
      </c>
      <c r="G101" s="21">
        <v>1550.777</v>
      </c>
      <c r="H101" s="21">
        <v>4929.6049999999996</v>
      </c>
      <c r="I101" s="21">
        <f t="shared" si="18"/>
        <v>14673.697999999999</v>
      </c>
      <c r="J101" s="93">
        <f>'2018'!N104</f>
        <v>4073.49</v>
      </c>
      <c r="K101" s="93">
        <f t="shared" si="24"/>
        <v>4236.4295999999995</v>
      </c>
      <c r="L101" s="93">
        <f>'2018'!P104</f>
        <v>1296.7239999999999</v>
      </c>
      <c r="M101" s="93">
        <f t="shared" si="25"/>
        <v>1348.5929599999999</v>
      </c>
      <c r="N101" s="10">
        <f t="shared" si="19"/>
        <v>13571232.790783998</v>
      </c>
      <c r="O101" s="10">
        <f t="shared" si="20"/>
        <v>9179688.5052719992</v>
      </c>
      <c r="P101" s="10">
        <f t="shared" si="21"/>
        <v>4478390.6410692791</v>
      </c>
      <c r="Q101" s="10">
        <f t="shared" si="22"/>
        <v>14235893.939727196</v>
      </c>
      <c r="R101" s="10">
        <f t="shared" si="23"/>
        <v>41465205.876852468</v>
      </c>
      <c r="S101" s="10"/>
      <c r="T101" s="11"/>
      <c r="U101" s="10"/>
      <c r="V101" s="10"/>
      <c r="W101" s="42"/>
    </row>
    <row r="102" spans="1:23" ht="27" customHeight="1">
      <c r="A102" s="18" t="s">
        <v>143</v>
      </c>
      <c r="B102" s="15" t="s">
        <v>144</v>
      </c>
      <c r="C102" s="15" t="s">
        <v>148</v>
      </c>
      <c r="D102" s="15"/>
      <c r="E102" s="21">
        <v>95.927999999999997</v>
      </c>
      <c r="F102" s="21">
        <f>31.976+31.976</f>
        <v>63.951999999999998</v>
      </c>
      <c r="G102" s="21">
        <f>30.5</f>
        <v>30.5</v>
      </c>
      <c r="H102" s="21">
        <v>93.53</v>
      </c>
      <c r="I102" s="21">
        <f t="shared" si="18"/>
        <v>283.90999999999997</v>
      </c>
      <c r="J102" s="93">
        <f>'2018'!N105</f>
        <v>6638.41</v>
      </c>
      <c r="K102" s="93">
        <f t="shared" si="24"/>
        <v>6903.9463999999998</v>
      </c>
      <c r="L102" s="93">
        <f>'2018'!P105</f>
        <v>1282.0392000000002</v>
      </c>
      <c r="M102" s="93">
        <f t="shared" si="25"/>
        <v>1333.3207680000003</v>
      </c>
      <c r="N102" s="10">
        <f t="shared" si="19"/>
        <v>513825.93810239993</v>
      </c>
      <c r="O102" s="10">
        <f t="shared" si="20"/>
        <v>342550.62540159997</v>
      </c>
      <c r="P102" s="10">
        <f t="shared" si="21"/>
        <v>169904.08177599998</v>
      </c>
      <c r="Q102" s="10">
        <f t="shared" si="22"/>
        <v>521020.61536095996</v>
      </c>
      <c r="R102" s="10">
        <f t="shared" si="23"/>
        <v>1547301.26064096</v>
      </c>
      <c r="S102" s="10"/>
      <c r="T102" s="11"/>
      <c r="U102" s="10"/>
      <c r="V102" s="10"/>
      <c r="W102" s="42"/>
    </row>
    <row r="103" spans="1:23" ht="27" customHeight="1">
      <c r="A103" s="18" t="s">
        <v>143</v>
      </c>
      <c r="B103" s="15" t="s">
        <v>144</v>
      </c>
      <c r="C103" s="15" t="s">
        <v>149</v>
      </c>
      <c r="D103" s="15"/>
      <c r="E103" s="21">
        <v>164.822</v>
      </c>
      <c r="F103" s="21">
        <f>57.357+60.96-3.603</f>
        <v>114.71400000000001</v>
      </c>
      <c r="G103" s="21">
        <v>63.62</v>
      </c>
      <c r="H103" s="21">
        <v>195.12</v>
      </c>
      <c r="I103" s="21">
        <f t="shared" si="18"/>
        <v>538.27600000000007</v>
      </c>
      <c r="J103" s="93">
        <f>'2018'!N106</f>
        <v>6638.41</v>
      </c>
      <c r="K103" s="93">
        <f t="shared" si="24"/>
        <v>6903.9463999999998</v>
      </c>
      <c r="L103" s="93">
        <f>'2018'!P106</f>
        <v>1282.0392000000002</v>
      </c>
      <c r="M103" s="93">
        <f t="shared" si="25"/>
        <v>1333.3207680000003</v>
      </c>
      <c r="N103" s="10">
        <f t="shared" si="19"/>
        <v>882847.7479976</v>
      </c>
      <c r="O103" s="10">
        <f t="shared" si="20"/>
        <v>614450.71995120007</v>
      </c>
      <c r="P103" s="10">
        <f t="shared" si="21"/>
        <v>354403.20270783996</v>
      </c>
      <c r="Q103" s="10">
        <f t="shared" si="22"/>
        <v>1086940.4733158399</v>
      </c>
      <c r="R103" s="10">
        <f t="shared" si="23"/>
        <v>2938642.1439724797</v>
      </c>
      <c r="S103" s="10"/>
      <c r="T103" s="11"/>
      <c r="U103" s="10"/>
      <c r="V103" s="10"/>
      <c r="W103" s="42"/>
    </row>
    <row r="104" spans="1:23" ht="27" customHeight="1">
      <c r="A104" s="18" t="s">
        <v>143</v>
      </c>
      <c r="B104" s="15" t="s">
        <v>144</v>
      </c>
      <c r="C104" s="15" t="s">
        <v>150</v>
      </c>
      <c r="D104" s="15"/>
      <c r="E104" s="21">
        <v>125.622</v>
      </c>
      <c r="F104" s="21">
        <f>41.874+41.874</f>
        <v>83.748000000000005</v>
      </c>
      <c r="G104" s="21">
        <v>39.93</v>
      </c>
      <c r="H104" s="21">
        <v>122.48</v>
      </c>
      <c r="I104" s="21">
        <f t="shared" si="18"/>
        <v>371.78000000000003</v>
      </c>
      <c r="J104" s="93">
        <f>'2018'!N107</f>
        <v>6638.41</v>
      </c>
      <c r="K104" s="93">
        <f t="shared" si="24"/>
        <v>6903.9463999999998</v>
      </c>
      <c r="L104" s="93">
        <f>'2018'!P107</f>
        <v>1282.0392000000002</v>
      </c>
      <c r="M104" s="93">
        <f t="shared" si="25"/>
        <v>1333.3207680000003</v>
      </c>
      <c r="N104" s="10">
        <f t="shared" si="19"/>
        <v>672878.01263759995</v>
      </c>
      <c r="O104" s="10">
        <f t="shared" si="20"/>
        <v>448585.34175840003</v>
      </c>
      <c r="P104" s="10">
        <f t="shared" si="21"/>
        <v>222435.08148575996</v>
      </c>
      <c r="Q104" s="10">
        <f t="shared" si="22"/>
        <v>682290.22740735998</v>
      </c>
      <c r="R104" s="10">
        <f t="shared" si="23"/>
        <v>2026188.66328912</v>
      </c>
      <c r="S104" s="16"/>
      <c r="T104" s="16"/>
      <c r="U104" s="16"/>
      <c r="V104" s="16"/>
      <c r="W104" s="42"/>
    </row>
    <row r="105" spans="1:23" s="29" customFormat="1" ht="27" customHeight="1">
      <c r="A105" s="22" t="s">
        <v>420</v>
      </c>
      <c r="B105" s="72" t="s">
        <v>423</v>
      </c>
      <c r="C105" s="72" t="s">
        <v>424</v>
      </c>
      <c r="D105" s="15"/>
      <c r="E105" s="21">
        <v>15.147</v>
      </c>
      <c r="F105" s="21">
        <v>10.098000000000001</v>
      </c>
      <c r="G105" s="21">
        <v>3.8090000000000006</v>
      </c>
      <c r="H105" s="21">
        <v>15.236000000000001</v>
      </c>
      <c r="I105" s="21">
        <f t="shared" si="18"/>
        <v>44.290000000000006</v>
      </c>
      <c r="J105" s="93">
        <f>'2018'!N108</f>
        <v>3717.6671999999999</v>
      </c>
      <c r="K105" s="93">
        <f t="shared" ref="K105:K106" si="28">J105*1.04</f>
        <v>3866.3738880000001</v>
      </c>
      <c r="L105" s="93">
        <f>'2018'!P108</f>
        <v>1530.1208000000001</v>
      </c>
      <c r="M105" s="93">
        <f t="shared" ref="M105:M106" si="29">L105*1.04</f>
        <v>1591.3256320000003</v>
      </c>
      <c r="N105" s="10">
        <f t="shared" si="19"/>
        <v>33134.765320799997</v>
      </c>
      <c r="O105" s="10">
        <f t="shared" si="20"/>
        <v>22089.843547199998</v>
      </c>
      <c r="P105" s="10">
        <f t="shared" si="21"/>
        <v>8665.6588071040023</v>
      </c>
      <c r="Q105" s="10">
        <f t="shared" si="22"/>
        <v>34662.635228416002</v>
      </c>
      <c r="R105" s="10">
        <f t="shared" si="23"/>
        <v>98552.902903520007</v>
      </c>
      <c r="S105" s="16"/>
      <c r="T105" s="16"/>
      <c r="U105" s="16"/>
      <c r="V105" s="16"/>
      <c r="W105" s="42"/>
    </row>
    <row r="106" spans="1:23" s="29" customFormat="1" ht="27" customHeight="1">
      <c r="A106" s="22" t="s">
        <v>421</v>
      </c>
      <c r="B106" s="72" t="s">
        <v>422</v>
      </c>
      <c r="C106" s="72" t="s">
        <v>425</v>
      </c>
      <c r="D106" s="15"/>
      <c r="E106" s="21">
        <v>17.636399999999998</v>
      </c>
      <c r="F106" s="21">
        <v>11.7576</v>
      </c>
      <c r="G106" s="21">
        <v>19.2392</v>
      </c>
      <c r="H106" s="21">
        <v>4.8097999999999992</v>
      </c>
      <c r="I106" s="21">
        <f t="shared" si="18"/>
        <v>53.442999999999998</v>
      </c>
      <c r="J106" s="93">
        <f>'2018'!N109</f>
        <v>3349.4863999999998</v>
      </c>
      <c r="K106" s="93">
        <f t="shared" si="28"/>
        <v>3483.4658559999998</v>
      </c>
      <c r="L106" s="93">
        <f>'2018'!P109</f>
        <v>1530.1208000000001</v>
      </c>
      <c r="M106" s="93">
        <f t="shared" si="29"/>
        <v>1591.3256320000003</v>
      </c>
      <c r="N106" s="10">
        <f t="shared" si="19"/>
        <v>32087.05946783999</v>
      </c>
      <c r="O106" s="10">
        <f t="shared" si="20"/>
        <v>21391.372978559997</v>
      </c>
      <c r="P106" s="10">
        <f t="shared" si="21"/>
        <v>36403.264197580793</v>
      </c>
      <c r="Q106" s="10">
        <f t="shared" si="22"/>
        <v>9100.8160493951964</v>
      </c>
      <c r="R106" s="10">
        <f t="shared" si="23"/>
        <v>98982.512693375975</v>
      </c>
      <c r="S106" s="16"/>
      <c r="T106" s="16"/>
      <c r="U106" s="16"/>
      <c r="V106" s="16"/>
      <c r="W106" s="42"/>
    </row>
    <row r="107" spans="1:23" ht="27" customHeight="1">
      <c r="A107" s="18" t="s">
        <v>151</v>
      </c>
      <c r="B107" s="15" t="s">
        <v>152</v>
      </c>
      <c r="C107" s="15" t="s">
        <v>153</v>
      </c>
      <c r="D107" s="15"/>
      <c r="E107" s="21">
        <v>491.12</v>
      </c>
      <c r="F107" s="21">
        <f>157.8+150.89+3.93</f>
        <v>312.62</v>
      </c>
      <c r="G107" s="21">
        <v>136.33000000000001</v>
      </c>
      <c r="H107" s="21">
        <v>473.51</v>
      </c>
      <c r="I107" s="21">
        <f t="shared" si="18"/>
        <v>1413.58</v>
      </c>
      <c r="J107" s="93">
        <f>'2018'!N110</f>
        <v>5522.38</v>
      </c>
      <c r="K107" s="93">
        <f t="shared" si="24"/>
        <v>5743.2752</v>
      </c>
      <c r="L107" s="93">
        <f>'2018'!P110</f>
        <v>1501.2504000000001</v>
      </c>
      <c r="M107" s="93">
        <f t="shared" si="25"/>
        <v>1561.3004160000003</v>
      </c>
      <c r="N107" s="10">
        <f t="shared" si="19"/>
        <v>1974857.1691520002</v>
      </c>
      <c r="O107" s="10">
        <f t="shared" si="20"/>
        <v>1257085.5355520002</v>
      </c>
      <c r="P107" s="10">
        <f t="shared" si="21"/>
        <v>570128.62230272009</v>
      </c>
      <c r="Q107" s="10">
        <f t="shared" si="22"/>
        <v>1980206.87997184</v>
      </c>
      <c r="R107" s="10">
        <f t="shared" si="23"/>
        <v>5782278.2069785614</v>
      </c>
      <c r="S107" s="10"/>
      <c r="T107" s="11"/>
      <c r="U107" s="10"/>
      <c r="V107" s="10"/>
      <c r="W107" s="42"/>
    </row>
    <row r="108" spans="1:23" ht="27" customHeight="1">
      <c r="A108" s="18" t="s">
        <v>366</v>
      </c>
      <c r="B108" s="15" t="s">
        <v>367</v>
      </c>
      <c r="C108" s="15" t="s">
        <v>153</v>
      </c>
      <c r="D108" s="15"/>
      <c r="E108" s="21">
        <v>4.5119999999999996</v>
      </c>
      <c r="F108" s="21">
        <f>1.504+1.504</f>
        <v>3.008</v>
      </c>
      <c r="G108" s="21">
        <v>1.5</v>
      </c>
      <c r="H108" s="21">
        <v>4.57</v>
      </c>
      <c r="I108" s="21">
        <f t="shared" si="18"/>
        <v>13.59</v>
      </c>
      <c r="J108" s="93">
        <f>'2018'!N111</f>
        <v>2677.25</v>
      </c>
      <c r="K108" s="93">
        <f t="shared" si="24"/>
        <v>2784.34</v>
      </c>
      <c r="L108" s="93">
        <f>'2018'!P111</f>
        <v>1272.1384</v>
      </c>
      <c r="M108" s="93">
        <f t="shared" si="25"/>
        <v>1323.023936</v>
      </c>
      <c r="N108" s="10">
        <f t="shared" si="19"/>
        <v>6339.8635391999987</v>
      </c>
      <c r="O108" s="10">
        <f t="shared" si="20"/>
        <v>4226.5756928000001</v>
      </c>
      <c r="P108" s="10">
        <f t="shared" si="21"/>
        <v>2191.9740959999999</v>
      </c>
      <c r="Q108" s="10">
        <f t="shared" si="22"/>
        <v>6678.2144124800006</v>
      </c>
      <c r="R108" s="10">
        <f t="shared" si="23"/>
        <v>19436.627740479998</v>
      </c>
      <c r="S108" s="10"/>
      <c r="T108" s="11"/>
      <c r="U108" s="10"/>
      <c r="V108" s="10"/>
      <c r="W108" s="42"/>
    </row>
    <row r="109" spans="1:23" ht="19.5" customHeight="1">
      <c r="A109" s="133" t="s">
        <v>156</v>
      </c>
      <c r="B109" s="133"/>
      <c r="C109" s="133"/>
      <c r="D109" s="133"/>
      <c r="E109" s="43"/>
      <c r="F109" s="43"/>
      <c r="G109" s="44"/>
      <c r="H109" s="44"/>
      <c r="I109" s="21">
        <f t="shared" si="18"/>
        <v>0</v>
      </c>
      <c r="J109" s="85"/>
      <c r="K109" s="85"/>
      <c r="L109" s="85"/>
      <c r="M109" s="85"/>
      <c r="N109" s="10">
        <f t="shared" si="19"/>
        <v>0</v>
      </c>
      <c r="O109" s="10">
        <f t="shared" si="20"/>
        <v>0</v>
      </c>
      <c r="P109" s="10">
        <f t="shared" si="21"/>
        <v>0</v>
      </c>
      <c r="Q109" s="10">
        <f t="shared" si="22"/>
        <v>0</v>
      </c>
      <c r="R109" s="10">
        <f t="shared" si="23"/>
        <v>0</v>
      </c>
      <c r="S109" s="10"/>
      <c r="T109" s="11"/>
      <c r="U109" s="10"/>
      <c r="V109" s="10"/>
      <c r="W109" s="45"/>
    </row>
    <row r="110" spans="1:23" ht="27.75" customHeight="1">
      <c r="A110" s="18" t="s">
        <v>154</v>
      </c>
      <c r="B110" s="15" t="s">
        <v>155</v>
      </c>
      <c r="C110" s="15" t="s">
        <v>157</v>
      </c>
      <c r="D110" s="15"/>
      <c r="E110" s="21">
        <v>422.87200000000001</v>
      </c>
      <c r="F110" s="21">
        <f>126.857+79.768+14.718</f>
        <v>221.34299999999999</v>
      </c>
      <c r="G110" s="21">
        <v>50.143999999999998</v>
      </c>
      <c r="H110" s="21">
        <v>374.87900000000002</v>
      </c>
      <c r="I110" s="21">
        <f t="shared" si="18"/>
        <v>1069.2380000000001</v>
      </c>
      <c r="J110" s="93">
        <f>'2018'!N113</f>
        <v>3877.8063999999999</v>
      </c>
      <c r="K110" s="93">
        <f t="shared" si="24"/>
        <v>4032.9186560000003</v>
      </c>
      <c r="L110" s="93">
        <f>'2018'!P113</f>
        <v>1845.5388639999999</v>
      </c>
      <c r="M110" s="93">
        <f t="shared" si="25"/>
        <v>1919.36041856</v>
      </c>
      <c r="N110" s="10">
        <f t="shared" si="19"/>
        <v>859389.03748339205</v>
      </c>
      <c r="O110" s="10">
        <f t="shared" si="20"/>
        <v>449828.19322084798</v>
      </c>
      <c r="P110" s="10">
        <f t="shared" si="21"/>
        <v>105982.26425819137</v>
      </c>
      <c r="Q110" s="10">
        <f t="shared" si="22"/>
        <v>792328.59849326988</v>
      </c>
      <c r="R110" s="10">
        <f t="shared" si="23"/>
        <v>2207528.0934557011</v>
      </c>
      <c r="S110" s="16"/>
      <c r="T110" s="11"/>
      <c r="U110" s="16"/>
      <c r="V110" s="16"/>
      <c r="W110" s="42"/>
    </row>
    <row r="111" spans="1:23" ht="27.75" customHeight="1">
      <c r="A111" s="18" t="s">
        <v>154</v>
      </c>
      <c r="B111" s="15" t="s">
        <v>155</v>
      </c>
      <c r="C111" s="15" t="s">
        <v>158</v>
      </c>
      <c r="D111" s="15"/>
      <c r="E111" s="21">
        <v>630.44899999999996</v>
      </c>
      <c r="F111" s="21">
        <f>207.152+141.334</f>
        <v>348.48599999999999</v>
      </c>
      <c r="G111" s="21">
        <v>147.4</v>
      </c>
      <c r="H111" s="21">
        <v>619.48199999999997</v>
      </c>
      <c r="I111" s="21">
        <f t="shared" si="18"/>
        <v>1745.817</v>
      </c>
      <c r="J111" s="93">
        <f>'2018'!N114</f>
        <v>3877.8063999999999</v>
      </c>
      <c r="K111" s="93">
        <f t="shared" si="24"/>
        <v>4032.9186560000003</v>
      </c>
      <c r="L111" s="93">
        <f>'2018'!P114</f>
        <v>1845.5388639999999</v>
      </c>
      <c r="M111" s="93">
        <f t="shared" si="25"/>
        <v>1919.36041856</v>
      </c>
      <c r="N111" s="10">
        <f t="shared" si="19"/>
        <v>1281241.035803664</v>
      </c>
      <c r="O111" s="10">
        <f t="shared" si="20"/>
        <v>708216.78455049603</v>
      </c>
      <c r="P111" s="10">
        <f t="shared" si="21"/>
        <v>311538.48419865605</v>
      </c>
      <c r="Q111" s="10">
        <f t="shared" si="22"/>
        <v>1309311.2840458062</v>
      </c>
      <c r="R111" s="10">
        <f t="shared" si="23"/>
        <v>3610307.588598622</v>
      </c>
      <c r="S111" s="10"/>
      <c r="T111" s="11"/>
      <c r="U111" s="10"/>
      <c r="V111" s="10"/>
      <c r="W111" s="42"/>
    </row>
    <row r="112" spans="1:23" ht="27.75" customHeight="1">
      <c r="A112" s="18" t="s">
        <v>154</v>
      </c>
      <c r="B112" s="15" t="s">
        <v>155</v>
      </c>
      <c r="C112" s="15" t="s">
        <v>159</v>
      </c>
      <c r="D112" s="15"/>
      <c r="E112" s="21">
        <v>44.151000000000003</v>
      </c>
      <c r="F112" s="21">
        <f>14.717+7.121</f>
        <v>21.838000000000001</v>
      </c>
      <c r="G112" s="21">
        <v>5.23</v>
      </c>
      <c r="H112" s="21">
        <v>44.807000000000002</v>
      </c>
      <c r="I112" s="21">
        <f t="shared" si="18"/>
        <v>116.02600000000001</v>
      </c>
      <c r="J112" s="93">
        <f>'2018'!N115</f>
        <v>3877.8063999999999</v>
      </c>
      <c r="K112" s="93">
        <f t="shared" si="24"/>
        <v>4032.9186560000003</v>
      </c>
      <c r="L112" s="93">
        <f>'2018'!P115</f>
        <v>1845.5388639999999</v>
      </c>
      <c r="M112" s="93">
        <f t="shared" si="25"/>
        <v>1919.36041856</v>
      </c>
      <c r="N112" s="10">
        <f t="shared" si="19"/>
        <v>89726.643981936009</v>
      </c>
      <c r="O112" s="10">
        <f t="shared" si="20"/>
        <v>44380.658451168005</v>
      </c>
      <c r="P112" s="10">
        <f t="shared" si="21"/>
        <v>11053.909581811202</v>
      </c>
      <c r="Q112" s="10">
        <f t="shared" si="22"/>
        <v>94702.203944974084</v>
      </c>
      <c r="R112" s="10">
        <f t="shared" si="23"/>
        <v>239863.4159598893</v>
      </c>
      <c r="S112" s="10"/>
      <c r="T112" s="11"/>
      <c r="U112" s="10"/>
      <c r="V112" s="10"/>
      <c r="W112" s="42"/>
    </row>
    <row r="113" spans="1:23" ht="27.75" customHeight="1">
      <c r="A113" s="18" t="s">
        <v>154</v>
      </c>
      <c r="B113" s="15" t="s">
        <v>155</v>
      </c>
      <c r="C113" s="15" t="s">
        <v>392</v>
      </c>
      <c r="D113" s="15"/>
      <c r="E113" s="21">
        <v>134.39759999999998</v>
      </c>
      <c r="F113" s="21">
        <v>89.598399999999998</v>
      </c>
      <c r="G113" s="21">
        <v>32.440800000000003</v>
      </c>
      <c r="H113" s="21">
        <v>129.76320000000001</v>
      </c>
      <c r="I113" s="21">
        <f t="shared" si="18"/>
        <v>386.20000000000005</v>
      </c>
      <c r="J113" s="93">
        <f>'2018'!N116</f>
        <v>6206.4391999999998</v>
      </c>
      <c r="K113" s="93">
        <f t="shared" si="24"/>
        <v>6454.6967679999998</v>
      </c>
      <c r="L113" s="93">
        <f>'2018'!P116</f>
        <v>1845.5388639999999</v>
      </c>
      <c r="M113" s="93">
        <f t="shared" si="25"/>
        <v>1919.36041856</v>
      </c>
      <c r="N113" s="10">
        <f t="shared" si="19"/>
        <v>586094.53899759345</v>
      </c>
      <c r="O113" s="10">
        <f t="shared" si="20"/>
        <v>390729.69266506238</v>
      </c>
      <c r="P113" s="10">
        <f t="shared" si="21"/>
        <v>147129.93944491318</v>
      </c>
      <c r="Q113" s="10">
        <f t="shared" si="22"/>
        <v>588519.75777965272</v>
      </c>
      <c r="R113" s="10">
        <f t="shared" si="23"/>
        <v>1712473.9288872217</v>
      </c>
      <c r="S113" s="10"/>
      <c r="T113" s="11"/>
      <c r="U113" s="10"/>
      <c r="V113" s="10"/>
      <c r="W113" s="42"/>
    </row>
    <row r="114" spans="1:23" ht="27.75" customHeight="1">
      <c r="A114" s="18" t="s">
        <v>154</v>
      </c>
      <c r="B114" s="15" t="s">
        <v>155</v>
      </c>
      <c r="C114" s="15" t="s">
        <v>458</v>
      </c>
      <c r="D114" s="15"/>
      <c r="E114" s="21">
        <v>8.2475999999999985</v>
      </c>
      <c r="F114" s="21">
        <v>5.4984000000000002</v>
      </c>
      <c r="G114" s="21">
        <v>1.9908000000000001</v>
      </c>
      <c r="H114" s="21">
        <v>7.9632000000000005</v>
      </c>
      <c r="I114" s="21">
        <f t="shared" si="18"/>
        <v>23.7</v>
      </c>
      <c r="J114" s="93">
        <f>'2018'!N117</f>
        <v>6206.4391999999998</v>
      </c>
      <c r="K114" s="93">
        <f t="shared" si="24"/>
        <v>6454.6967679999998</v>
      </c>
      <c r="L114" s="93">
        <f>'2018'!P117</f>
        <v>1845.5388639999999</v>
      </c>
      <c r="M114" s="93">
        <f t="shared" si="25"/>
        <v>1919.36041856</v>
      </c>
      <c r="N114" s="10">
        <f t="shared" si="19"/>
        <v>35966.96161119359</v>
      </c>
      <c r="O114" s="10">
        <f t="shared" si="20"/>
        <v>23977.9744074624</v>
      </c>
      <c r="P114" s="10">
        <f t="shared" si="21"/>
        <v>9028.9476044651528</v>
      </c>
      <c r="Q114" s="10">
        <f t="shared" si="22"/>
        <v>36115.790417860611</v>
      </c>
      <c r="R114" s="10">
        <f t="shared" si="23"/>
        <v>105089.67404098176</v>
      </c>
      <c r="S114" s="10"/>
      <c r="T114" s="11"/>
      <c r="U114" s="10"/>
      <c r="V114" s="10"/>
      <c r="W114" s="42"/>
    </row>
    <row r="115" spans="1:23" ht="27.75" customHeight="1">
      <c r="A115" s="18" t="s">
        <v>154</v>
      </c>
      <c r="B115" s="15" t="s">
        <v>155</v>
      </c>
      <c r="C115" s="15" t="s">
        <v>160</v>
      </c>
      <c r="D115" s="15"/>
      <c r="E115" s="21">
        <v>2651.7310000000002</v>
      </c>
      <c r="F115" s="21">
        <f>850.02+752.448</f>
        <v>1602.4679999999998</v>
      </c>
      <c r="G115" s="21">
        <v>572.58000000000004</v>
      </c>
      <c r="H115" s="21">
        <v>2453.8609999999999</v>
      </c>
      <c r="I115" s="21">
        <f t="shared" si="18"/>
        <v>7280.64</v>
      </c>
      <c r="J115" s="93">
        <f>'2018'!N118</f>
        <v>3765.4032000000002</v>
      </c>
      <c r="K115" s="93">
        <f t="shared" si="24"/>
        <v>3916.0193280000003</v>
      </c>
      <c r="L115" s="93">
        <f>'2018'!P118</f>
        <v>1845.5388639999999</v>
      </c>
      <c r="M115" s="93">
        <f t="shared" si="25"/>
        <v>1919.36041856</v>
      </c>
      <c r="N115" s="10">
        <f t="shared" si="19"/>
        <v>5090963.7755656177</v>
      </c>
      <c r="O115" s="10">
        <f t="shared" si="20"/>
        <v>3076521.1627812483</v>
      </c>
      <c r="P115" s="10">
        <f t="shared" si="21"/>
        <v>1143246.9583671554</v>
      </c>
      <c r="Q115" s="10">
        <f t="shared" si="22"/>
        <v>4899523.4281773483</v>
      </c>
      <c r="R115" s="10">
        <f t="shared" si="23"/>
        <v>14210255.32489137</v>
      </c>
      <c r="S115" s="10"/>
      <c r="T115" s="11"/>
      <c r="U115" s="10"/>
      <c r="V115" s="10"/>
      <c r="W115" s="42"/>
    </row>
    <row r="116" spans="1:23" ht="27.75" customHeight="1">
      <c r="A116" s="18" t="s">
        <v>161</v>
      </c>
      <c r="B116" s="15" t="s">
        <v>162</v>
      </c>
      <c r="C116" s="15" t="s">
        <v>163</v>
      </c>
      <c r="D116" s="15"/>
      <c r="E116" s="21">
        <v>13047.43</v>
      </c>
      <c r="F116" s="21">
        <f>3862.167+3516.444+1105.565</f>
        <v>8484.1759999999995</v>
      </c>
      <c r="G116" s="21">
        <v>3157.71</v>
      </c>
      <c r="H116" s="21">
        <v>11341.85</v>
      </c>
      <c r="I116" s="21">
        <f t="shared" si="18"/>
        <v>36031.165999999997</v>
      </c>
      <c r="J116" s="93">
        <f>'2018'!N119</f>
        <v>2480.9299999999998</v>
      </c>
      <c r="K116" s="93">
        <f t="shared" si="24"/>
        <v>2580.1671999999999</v>
      </c>
      <c r="L116" s="93">
        <f>'2018'!P119</f>
        <v>1845.5388639999999</v>
      </c>
      <c r="M116" s="93">
        <f t="shared" si="25"/>
        <v>1919.36041856</v>
      </c>
      <c r="N116" s="10">
        <f t="shared" si="19"/>
        <v>8290221.3695804793</v>
      </c>
      <c r="O116" s="10">
        <f t="shared" si="20"/>
        <v>5390770.226663935</v>
      </c>
      <c r="P116" s="10">
        <f t="shared" si="21"/>
        <v>2086636.181820902</v>
      </c>
      <c r="Q116" s="10">
        <f t="shared" si="22"/>
        <v>7494771.3940752633</v>
      </c>
      <c r="R116" s="10">
        <f t="shared" si="23"/>
        <v>23262399.17214058</v>
      </c>
      <c r="S116" s="10"/>
      <c r="T116" s="11"/>
      <c r="U116" s="10"/>
      <c r="V116" s="10"/>
      <c r="W116" s="42"/>
    </row>
    <row r="117" spans="1:23" ht="27.75" customHeight="1">
      <c r="A117" s="18" t="s">
        <v>161</v>
      </c>
      <c r="B117" s="15" t="s">
        <v>162</v>
      </c>
      <c r="C117" s="15" t="s">
        <v>157</v>
      </c>
      <c r="D117" s="15"/>
      <c r="E117" s="21">
        <v>12635.251</v>
      </c>
      <c r="F117" s="21">
        <f>3239.019+2998.505+1402.348</f>
        <v>7639.8719999999994</v>
      </c>
      <c r="G117" s="21">
        <v>2339.3679999999999</v>
      </c>
      <c r="H117" s="21">
        <v>10103.151</v>
      </c>
      <c r="I117" s="21">
        <f t="shared" si="18"/>
        <v>32717.642</v>
      </c>
      <c r="J117" s="93">
        <f>'2018'!N120</f>
        <v>2759.9104000000002</v>
      </c>
      <c r="K117" s="93">
        <f t="shared" si="24"/>
        <v>2870.3068160000003</v>
      </c>
      <c r="L117" s="93">
        <f>'2018'!P120</f>
        <v>1845.5388639999999</v>
      </c>
      <c r="M117" s="93">
        <f t="shared" si="25"/>
        <v>1919.36041856</v>
      </c>
      <c r="N117" s="10">
        <f t="shared" si="19"/>
        <v>11553313.864615541</v>
      </c>
      <c r="O117" s="10">
        <f t="shared" si="20"/>
        <v>6985681.4954833938</v>
      </c>
      <c r="P117" s="10">
        <f t="shared" si="21"/>
        <v>2224613.5718864184</v>
      </c>
      <c r="Q117" s="10">
        <f t="shared" si="22"/>
        <v>9607555.0462423358</v>
      </c>
      <c r="R117" s="10">
        <f t="shared" si="23"/>
        <v>30371163.97822769</v>
      </c>
      <c r="S117" s="10"/>
      <c r="T117" s="11"/>
      <c r="U117" s="10"/>
      <c r="V117" s="10"/>
      <c r="W117" s="42"/>
    </row>
    <row r="118" spans="1:23" ht="27.75" customHeight="1">
      <c r="A118" s="18" t="s">
        <v>161</v>
      </c>
      <c r="B118" s="15" t="s">
        <v>162</v>
      </c>
      <c r="C118" s="15" t="s">
        <v>164</v>
      </c>
      <c r="D118" s="15"/>
      <c r="E118" s="21">
        <v>503.45100000000002</v>
      </c>
      <c r="F118" s="21">
        <f>167.818+167.818</f>
        <v>335.63600000000002</v>
      </c>
      <c r="G118" s="21">
        <v>221.9</v>
      </c>
      <c r="H118" s="21">
        <v>665.7</v>
      </c>
      <c r="I118" s="21">
        <f t="shared" si="18"/>
        <v>1726.6870000000001</v>
      </c>
      <c r="J118" s="93">
        <f>'2018'!N121</f>
        <v>3518.99</v>
      </c>
      <c r="K118" s="93">
        <f t="shared" si="24"/>
        <v>3659.7496000000001</v>
      </c>
      <c r="L118" s="93">
        <f>'2018'!P121</f>
        <v>1845.5388639999999</v>
      </c>
      <c r="M118" s="93">
        <f t="shared" si="25"/>
        <v>1919.36041856</v>
      </c>
      <c r="N118" s="10">
        <f t="shared" si="19"/>
        <v>842500.64787033596</v>
      </c>
      <c r="O118" s="10">
        <f t="shared" si="20"/>
        <v>561670.44548249606</v>
      </c>
      <c r="P118" s="10">
        <f t="shared" si="21"/>
        <v>386192.35936153604</v>
      </c>
      <c r="Q118" s="10">
        <f t="shared" si="22"/>
        <v>1158577.0780846081</v>
      </c>
      <c r="R118" s="10">
        <f t="shared" si="23"/>
        <v>2948940.5307989763</v>
      </c>
      <c r="S118" s="10"/>
      <c r="T118" s="11"/>
      <c r="U118" s="10"/>
      <c r="V118" s="10"/>
      <c r="W118" s="42"/>
    </row>
    <row r="119" spans="1:23" ht="27.75" customHeight="1">
      <c r="A119" s="18" t="s">
        <v>165</v>
      </c>
      <c r="B119" s="15" t="s">
        <v>166</v>
      </c>
      <c r="C119" s="15" t="s">
        <v>163</v>
      </c>
      <c r="D119" s="15"/>
      <c r="E119" s="21">
        <v>80.738</v>
      </c>
      <c r="F119" s="21">
        <f>26.719+26.409</f>
        <v>53.128</v>
      </c>
      <c r="G119" s="21">
        <v>26.198</v>
      </c>
      <c r="H119" s="21">
        <v>80.150999999999996</v>
      </c>
      <c r="I119" s="21">
        <f t="shared" si="18"/>
        <v>240.21499999999997</v>
      </c>
      <c r="J119" s="93">
        <f>'2018'!N122</f>
        <v>3266.3487999999998</v>
      </c>
      <c r="K119" s="93">
        <f t="shared" si="24"/>
        <v>3397.0027519999999</v>
      </c>
      <c r="L119" s="93">
        <f>'2018'!P122</f>
        <v>2177.7360800000006</v>
      </c>
      <c r="M119" s="93">
        <f t="shared" si="25"/>
        <v>2264.8455232000006</v>
      </c>
      <c r="N119" s="10">
        <f t="shared" si="19"/>
        <v>87892.413787359939</v>
      </c>
      <c r="O119" s="10">
        <f t="shared" si="20"/>
        <v>57835.816588159956</v>
      </c>
      <c r="P119" s="10">
        <f t="shared" si="21"/>
        <v>29660.255080102383</v>
      </c>
      <c r="Q119" s="10">
        <f t="shared" si="22"/>
        <v>90743.534045548746</v>
      </c>
      <c r="R119" s="10">
        <f t="shared" si="23"/>
        <v>266132.01950117102</v>
      </c>
      <c r="S119" s="10"/>
      <c r="T119" s="11"/>
      <c r="U119" s="10"/>
      <c r="V119" s="10"/>
      <c r="W119" s="42"/>
    </row>
    <row r="120" spans="1:23" ht="27.75" customHeight="1">
      <c r="A120" s="18" t="s">
        <v>22</v>
      </c>
      <c r="B120" s="15" t="s">
        <v>23</v>
      </c>
      <c r="C120" s="15" t="s">
        <v>167</v>
      </c>
      <c r="D120" s="15"/>
      <c r="E120" s="21">
        <f>10571.706-0.958</f>
        <v>10570.748</v>
      </c>
      <c r="F120" s="21">
        <f>3530.082+2319.763-419.122</f>
        <v>5430.722999999999</v>
      </c>
      <c r="G120" s="21">
        <v>1886.11</v>
      </c>
      <c r="H120" s="21">
        <v>9161.09</v>
      </c>
      <c r="I120" s="21">
        <f t="shared" si="18"/>
        <v>27048.670999999998</v>
      </c>
      <c r="J120" s="93">
        <f>'2018'!N123</f>
        <v>5121.1472000000003</v>
      </c>
      <c r="K120" s="93">
        <f t="shared" si="24"/>
        <v>5325.9930880000002</v>
      </c>
      <c r="L120" s="93">
        <f>'2018'!P123</f>
        <v>1845.5388639999999</v>
      </c>
      <c r="M120" s="93">
        <f t="shared" si="25"/>
        <v>1919.36041856</v>
      </c>
      <c r="N120" s="10">
        <f t="shared" si="19"/>
        <v>34625630.266555332</v>
      </c>
      <c r="O120" s="10">
        <f t="shared" si="20"/>
        <v>17788921.529306926</v>
      </c>
      <c r="P120" s="10">
        <f t="shared" si="21"/>
        <v>6425283.9441574784</v>
      </c>
      <c r="Q120" s="10">
        <f t="shared" si="22"/>
        <v>31208468.481680095</v>
      </c>
      <c r="R120" s="10">
        <f t="shared" si="23"/>
        <v>90048304.221699834</v>
      </c>
      <c r="S120" s="10"/>
      <c r="T120" s="11"/>
      <c r="U120" s="10"/>
      <c r="V120" s="10"/>
      <c r="W120" s="42"/>
    </row>
    <row r="121" spans="1:23" ht="27.75" customHeight="1">
      <c r="A121" s="18" t="s">
        <v>168</v>
      </c>
      <c r="B121" s="15" t="s">
        <v>169</v>
      </c>
      <c r="C121" s="15" t="s">
        <v>163</v>
      </c>
      <c r="D121" s="15"/>
      <c r="E121" s="21">
        <v>203.26400000000001</v>
      </c>
      <c r="F121" s="21">
        <f>69.152+64.51</f>
        <v>133.66200000000001</v>
      </c>
      <c r="G121" s="21">
        <v>33.290999999999997</v>
      </c>
      <c r="H121" s="21">
        <v>201.07</v>
      </c>
      <c r="I121" s="21">
        <f t="shared" si="18"/>
        <v>571.28700000000003</v>
      </c>
      <c r="J121" s="93">
        <f>'2018'!N124</f>
        <v>4828.7096000000001</v>
      </c>
      <c r="K121" s="93">
        <f t="shared" si="24"/>
        <v>5021.8579840000002</v>
      </c>
      <c r="L121" s="93">
        <f>'2018'!P124</f>
        <v>2177.7360800000006</v>
      </c>
      <c r="M121" s="93">
        <f t="shared" si="25"/>
        <v>2264.8455232000006</v>
      </c>
      <c r="N121" s="10">
        <f t="shared" si="19"/>
        <v>538847.48156927992</v>
      </c>
      <c r="O121" s="10">
        <f t="shared" si="20"/>
        <v>354334.42263023998</v>
      </c>
      <c r="P121" s="10">
        <f t="shared" si="21"/>
        <v>91783.701832492778</v>
      </c>
      <c r="Q121" s="10">
        <f t="shared" si="22"/>
        <v>554352.4954930559</v>
      </c>
      <c r="R121" s="10">
        <f t="shared" si="23"/>
        <v>1539318.1015250687</v>
      </c>
      <c r="S121" s="10"/>
      <c r="T121" s="11"/>
      <c r="U121" s="10"/>
      <c r="V121" s="10"/>
      <c r="W121" s="42"/>
    </row>
    <row r="122" spans="1:23" s="29" customFormat="1" ht="27.75" customHeight="1">
      <c r="A122" s="22" t="s">
        <v>439</v>
      </c>
      <c r="B122" s="72" t="s">
        <v>440</v>
      </c>
      <c r="C122" s="72" t="s">
        <v>163</v>
      </c>
      <c r="D122" s="15"/>
      <c r="E122" s="21">
        <v>36.623399999999997</v>
      </c>
      <c r="F122" s="21">
        <v>24.415600000000005</v>
      </c>
      <c r="G122" s="21">
        <v>9.9882000000000009</v>
      </c>
      <c r="H122" s="21">
        <v>39.952800000000003</v>
      </c>
      <c r="I122" s="21">
        <f t="shared" si="18"/>
        <v>110.98000000000002</v>
      </c>
      <c r="J122" s="93">
        <f>'2018'!N125</f>
        <v>2553.73</v>
      </c>
      <c r="K122" s="93">
        <f t="shared" ref="K122:K125" si="30">J122*1.04</f>
        <v>2655.8792000000003</v>
      </c>
      <c r="L122" s="93">
        <f>'2018'!P125</f>
        <v>2177.77</v>
      </c>
      <c r="M122" s="93">
        <f t="shared" ref="M122:M125" si="31">L122*1.04</f>
        <v>2264.8807999999999</v>
      </c>
      <c r="N122" s="10">
        <f t="shared" si="19"/>
        <v>13768.933464</v>
      </c>
      <c r="O122" s="10">
        <f t="shared" si="20"/>
        <v>9179.2889760000035</v>
      </c>
      <c r="P122" s="10">
        <f t="shared" si="21"/>
        <v>3905.3702188800044</v>
      </c>
      <c r="Q122" s="10">
        <f t="shared" si="22"/>
        <v>15621.480875520017</v>
      </c>
      <c r="R122" s="10">
        <f t="shared" si="23"/>
        <v>42475.073534400028</v>
      </c>
      <c r="S122" s="10"/>
      <c r="T122" s="11"/>
      <c r="U122" s="10"/>
      <c r="V122" s="10"/>
      <c r="W122" s="42"/>
    </row>
    <row r="123" spans="1:23" s="29" customFormat="1" ht="27.75" customHeight="1">
      <c r="A123" s="22" t="s">
        <v>441</v>
      </c>
      <c r="B123" s="72" t="s">
        <v>442</v>
      </c>
      <c r="C123" s="72" t="s">
        <v>167</v>
      </c>
      <c r="D123" s="15"/>
      <c r="E123" s="21">
        <v>45.24</v>
      </c>
      <c r="F123" s="21">
        <v>30.160000000000004</v>
      </c>
      <c r="G123" s="21">
        <v>10.920000000000002</v>
      </c>
      <c r="H123" s="21">
        <v>43.68</v>
      </c>
      <c r="I123" s="21">
        <f t="shared" si="18"/>
        <v>130</v>
      </c>
      <c r="J123" s="93">
        <f>'2018'!N126</f>
        <v>1740.41</v>
      </c>
      <c r="K123" s="93">
        <f t="shared" si="30"/>
        <v>1810.0264000000002</v>
      </c>
      <c r="L123" s="93">
        <f>'2018'!P126</f>
        <v>1740.41</v>
      </c>
      <c r="M123" s="93">
        <f t="shared" si="31"/>
        <v>1810.0264000000002</v>
      </c>
      <c r="N123" s="10">
        <f t="shared" si="19"/>
        <v>0</v>
      </c>
      <c r="O123" s="10">
        <f t="shared" si="20"/>
        <v>0</v>
      </c>
      <c r="P123" s="10">
        <f t="shared" si="21"/>
        <v>0</v>
      </c>
      <c r="Q123" s="10">
        <f t="shared" si="22"/>
        <v>0</v>
      </c>
      <c r="R123" s="10">
        <f t="shared" si="23"/>
        <v>0</v>
      </c>
      <c r="S123" s="10"/>
      <c r="T123" s="11"/>
      <c r="U123" s="10"/>
      <c r="V123" s="10"/>
      <c r="W123" s="42"/>
    </row>
    <row r="124" spans="1:23" s="29" customFormat="1" ht="27.75" customHeight="1">
      <c r="A124" s="22" t="s">
        <v>443</v>
      </c>
      <c r="B124" s="72" t="s">
        <v>444</v>
      </c>
      <c r="C124" s="72" t="s">
        <v>445</v>
      </c>
      <c r="D124" s="15"/>
      <c r="E124" s="21">
        <v>233.3064</v>
      </c>
      <c r="F124" s="21">
        <v>155.5376</v>
      </c>
      <c r="G124" s="21">
        <v>52.279200000000003</v>
      </c>
      <c r="H124" s="21">
        <v>209.11680000000001</v>
      </c>
      <c r="I124" s="21">
        <f t="shared" si="18"/>
        <v>650.24</v>
      </c>
      <c r="J124" s="93">
        <f>'2018'!N127</f>
        <v>3016.99</v>
      </c>
      <c r="K124" s="93">
        <f t="shared" si="30"/>
        <v>3137.6695999999997</v>
      </c>
      <c r="L124" s="93">
        <f>'2018'!P127</f>
        <v>2177.77</v>
      </c>
      <c r="M124" s="93">
        <f t="shared" si="31"/>
        <v>2264.8807999999999</v>
      </c>
      <c r="N124" s="10">
        <f t="shared" si="19"/>
        <v>195795.39700799994</v>
      </c>
      <c r="O124" s="10">
        <f t="shared" si="20"/>
        <v>130530.26467199996</v>
      </c>
      <c r="P124" s="10">
        <f t="shared" si="21"/>
        <v>45628.700232959993</v>
      </c>
      <c r="Q124" s="10">
        <f t="shared" si="22"/>
        <v>182514.80093183997</v>
      </c>
      <c r="R124" s="10">
        <f t="shared" si="23"/>
        <v>554469.16284479992</v>
      </c>
      <c r="S124" s="10"/>
      <c r="T124" s="11"/>
      <c r="U124" s="10"/>
      <c r="V124" s="10"/>
      <c r="W124" s="42"/>
    </row>
    <row r="125" spans="1:23" s="29" customFormat="1" ht="27.75" customHeight="1">
      <c r="A125" s="22" t="s">
        <v>426</v>
      </c>
      <c r="B125" s="22" t="s">
        <v>427</v>
      </c>
      <c r="C125" s="22" t="s">
        <v>164</v>
      </c>
      <c r="D125" s="15"/>
      <c r="E125" s="21">
        <v>155.13959999999997</v>
      </c>
      <c r="F125" s="21">
        <v>103.4264</v>
      </c>
      <c r="G125" s="21">
        <v>45.858800000000002</v>
      </c>
      <c r="H125" s="21">
        <v>183.43520000000001</v>
      </c>
      <c r="I125" s="21">
        <f t="shared" si="18"/>
        <v>487.86</v>
      </c>
      <c r="J125" s="93">
        <f>'2018'!N128</f>
        <v>2922.9616000000001</v>
      </c>
      <c r="K125" s="93">
        <f t="shared" si="30"/>
        <v>3039.8800640000004</v>
      </c>
      <c r="L125" s="93">
        <f>'2018'!P128</f>
        <v>2177.7399999999998</v>
      </c>
      <c r="M125" s="93">
        <f t="shared" si="31"/>
        <v>2264.8496</v>
      </c>
      <c r="N125" s="10">
        <f t="shared" si="19"/>
        <v>115613.38093536002</v>
      </c>
      <c r="O125" s="10">
        <f t="shared" si="20"/>
        <v>77075.58729024003</v>
      </c>
      <c r="P125" s="10">
        <f t="shared" si="21"/>
        <v>35541.967042483222</v>
      </c>
      <c r="Q125" s="10">
        <f t="shared" si="22"/>
        <v>142167.86816993289</v>
      </c>
      <c r="R125" s="10">
        <f t="shared" si="23"/>
        <v>370398.80343801616</v>
      </c>
      <c r="S125" s="10"/>
      <c r="T125" s="11"/>
      <c r="U125" s="10"/>
      <c r="V125" s="10"/>
      <c r="W125" s="42"/>
    </row>
    <row r="126" spans="1:23" ht="21.75" customHeight="1">
      <c r="A126" s="18" t="s">
        <v>292</v>
      </c>
      <c r="B126" s="15" t="s">
        <v>293</v>
      </c>
      <c r="C126" s="15" t="s">
        <v>160</v>
      </c>
      <c r="D126" s="15"/>
      <c r="E126" s="21">
        <v>1200.5719999999999</v>
      </c>
      <c r="F126" s="21">
        <f>387.167-11.549+361.237-5.125+39.424-1.243</f>
        <v>769.91099999999994</v>
      </c>
      <c r="G126" s="21">
        <v>449.762</v>
      </c>
      <c r="H126" s="21">
        <v>1100.971</v>
      </c>
      <c r="I126" s="21">
        <f t="shared" si="18"/>
        <v>3521.2159999999999</v>
      </c>
      <c r="J126" s="93">
        <f>'2018'!N129</f>
        <v>2812.77</v>
      </c>
      <c r="K126" s="93">
        <f t="shared" si="24"/>
        <v>2925.2808</v>
      </c>
      <c r="L126" s="93">
        <f>'2018'!P129</f>
        <v>1810.72</v>
      </c>
      <c r="M126" s="93">
        <f t="shared" si="25"/>
        <v>1883.1488000000002</v>
      </c>
      <c r="N126" s="10">
        <f t="shared" si="19"/>
        <v>1203033.1725999999</v>
      </c>
      <c r="O126" s="10">
        <f t="shared" si="20"/>
        <v>771489.31754999992</v>
      </c>
      <c r="P126" s="10">
        <f t="shared" si="21"/>
        <v>468711.37258399994</v>
      </c>
      <c r="Q126" s="10">
        <f t="shared" si="22"/>
        <v>1147357.1101719998</v>
      </c>
      <c r="R126" s="10">
        <f t="shared" si="23"/>
        <v>3590590.9729059995</v>
      </c>
      <c r="S126" s="10"/>
      <c r="T126" s="11"/>
      <c r="U126" s="10"/>
      <c r="V126" s="10"/>
      <c r="W126" s="42"/>
    </row>
    <row r="127" spans="1:23" ht="24" customHeight="1">
      <c r="A127" s="133" t="s">
        <v>172</v>
      </c>
      <c r="B127" s="133"/>
      <c r="C127" s="133"/>
      <c r="D127" s="133"/>
      <c r="E127" s="43"/>
      <c r="F127" s="43"/>
      <c r="G127" s="44"/>
      <c r="H127" s="44"/>
      <c r="I127" s="21">
        <f t="shared" si="18"/>
        <v>0</v>
      </c>
      <c r="J127" s="85"/>
      <c r="K127" s="85"/>
      <c r="L127" s="85"/>
      <c r="M127" s="85"/>
      <c r="N127" s="10">
        <f t="shared" si="19"/>
        <v>0</v>
      </c>
      <c r="O127" s="10">
        <f t="shared" si="20"/>
        <v>0</v>
      </c>
      <c r="P127" s="10">
        <f t="shared" si="21"/>
        <v>0</v>
      </c>
      <c r="Q127" s="10">
        <f t="shared" si="22"/>
        <v>0</v>
      </c>
      <c r="R127" s="10">
        <f t="shared" si="23"/>
        <v>0</v>
      </c>
      <c r="S127" s="16"/>
      <c r="T127" s="16"/>
      <c r="U127" s="16"/>
      <c r="V127" s="16"/>
      <c r="W127" s="45"/>
    </row>
    <row r="128" spans="1:23" ht="24" customHeight="1">
      <c r="A128" s="18" t="s">
        <v>170</v>
      </c>
      <c r="B128" s="15" t="s">
        <v>171</v>
      </c>
      <c r="C128" s="15" t="s">
        <v>173</v>
      </c>
      <c r="D128" s="15"/>
      <c r="E128" s="21">
        <v>1528.4880000000001</v>
      </c>
      <c r="F128" s="21">
        <f>442.814+435.723+64.907</f>
        <v>943.44400000000007</v>
      </c>
      <c r="G128" s="21">
        <v>268.69</v>
      </c>
      <c r="H128" s="21">
        <v>1418.328</v>
      </c>
      <c r="I128" s="21">
        <f t="shared" si="18"/>
        <v>4158.9500000000007</v>
      </c>
      <c r="J128" s="93">
        <f>'2018'!N131</f>
        <v>4715.72</v>
      </c>
      <c r="K128" s="93">
        <f t="shared" si="24"/>
        <v>4904.3488000000007</v>
      </c>
      <c r="L128" s="93">
        <f>'2018'!P131</f>
        <v>2059.7200000000003</v>
      </c>
      <c r="M128" s="93">
        <f t="shared" si="25"/>
        <v>2142.1088000000004</v>
      </c>
      <c r="N128" s="10">
        <f t="shared" si="19"/>
        <v>4059664.128</v>
      </c>
      <c r="O128" s="10">
        <f t="shared" si="20"/>
        <v>2505787.264</v>
      </c>
      <c r="P128" s="10">
        <f t="shared" si="21"/>
        <v>742186.26560000004</v>
      </c>
      <c r="Q128" s="10">
        <f t="shared" si="22"/>
        <v>3917762.3347200002</v>
      </c>
      <c r="R128" s="10">
        <f t="shared" si="23"/>
        <v>11225399.992320001</v>
      </c>
      <c r="S128" s="10"/>
      <c r="T128" s="11"/>
      <c r="U128" s="10"/>
      <c r="V128" s="10"/>
      <c r="W128" s="42"/>
    </row>
    <row r="129" spans="1:23" ht="24" customHeight="1">
      <c r="A129" s="18" t="s">
        <v>174</v>
      </c>
      <c r="B129" s="15" t="s">
        <v>175</v>
      </c>
      <c r="C129" s="15" t="s">
        <v>176</v>
      </c>
      <c r="D129" s="15"/>
      <c r="E129" s="21">
        <v>6896.8590000000004</v>
      </c>
      <c r="F129" s="21">
        <f>2026.567+1724.714+937.659</f>
        <v>4688.9399999999996</v>
      </c>
      <c r="G129" s="21">
        <v>1198.393</v>
      </c>
      <c r="H129" s="21">
        <v>6198.3180000000002</v>
      </c>
      <c r="I129" s="21">
        <f t="shared" si="18"/>
        <v>18982.509999999998</v>
      </c>
      <c r="J129" s="93">
        <f>'2018'!N132</f>
        <v>2463.59</v>
      </c>
      <c r="K129" s="93">
        <f t="shared" si="24"/>
        <v>2562.1336000000001</v>
      </c>
      <c r="L129" s="93">
        <f>'2018'!P132</f>
        <v>1712.5992000000001</v>
      </c>
      <c r="M129" s="93">
        <f t="shared" si="25"/>
        <v>1781.1031680000001</v>
      </c>
      <c r="N129" s="10">
        <f t="shared" si="19"/>
        <v>5179477.6578972004</v>
      </c>
      <c r="O129" s="10">
        <f t="shared" si="20"/>
        <v>3521350.8017519997</v>
      </c>
      <c r="P129" s="10">
        <f t="shared" si="21"/>
        <v>935981.40249577607</v>
      </c>
      <c r="Q129" s="10">
        <f t="shared" si="22"/>
        <v>4841074.9852133766</v>
      </c>
      <c r="R129" s="10">
        <f t="shared" si="23"/>
        <v>14477884.847358352</v>
      </c>
      <c r="S129" s="10"/>
      <c r="T129" s="11"/>
      <c r="U129" s="10"/>
      <c r="V129" s="10"/>
      <c r="W129" s="42"/>
    </row>
    <row r="130" spans="1:23" ht="24" customHeight="1">
      <c r="A130" s="18" t="s">
        <v>174</v>
      </c>
      <c r="B130" s="15" t="s">
        <v>175</v>
      </c>
      <c r="C130" s="15" t="s">
        <v>177</v>
      </c>
      <c r="D130" s="15"/>
      <c r="E130" s="21">
        <v>3954.1550000000002</v>
      </c>
      <c r="F130" s="21">
        <f>1100.934+931.684+492.764</f>
        <v>2525.3820000000001</v>
      </c>
      <c r="G130" s="21">
        <v>705.19</v>
      </c>
      <c r="H130" s="21">
        <v>3377.828</v>
      </c>
      <c r="I130" s="21">
        <f t="shared" si="18"/>
        <v>10562.555</v>
      </c>
      <c r="J130" s="93">
        <f>'2018'!N133</f>
        <v>2984.86</v>
      </c>
      <c r="K130" s="93">
        <f t="shared" si="24"/>
        <v>3104.2544000000003</v>
      </c>
      <c r="L130" s="93">
        <f>'2018'!P133</f>
        <v>1712.5992000000001</v>
      </c>
      <c r="M130" s="93">
        <f t="shared" si="25"/>
        <v>1781.1031680000001</v>
      </c>
      <c r="N130" s="10">
        <f t="shared" si="19"/>
        <v>5030716.403624</v>
      </c>
      <c r="O130" s="10">
        <f t="shared" si="20"/>
        <v>3212944.5236256002</v>
      </c>
      <c r="P130" s="10">
        <f t="shared" si="21"/>
        <v>933073.01729408023</v>
      </c>
      <c r="Q130" s="10">
        <f t="shared" si="22"/>
        <v>4469377.2796840966</v>
      </c>
      <c r="R130" s="10">
        <f t="shared" si="23"/>
        <v>13646111.224227777</v>
      </c>
      <c r="S130" s="10"/>
      <c r="T130" s="11"/>
      <c r="U130" s="10"/>
      <c r="V130" s="10"/>
      <c r="W130" s="42"/>
    </row>
    <row r="131" spans="1:23" ht="24" customHeight="1">
      <c r="A131" s="18" t="s">
        <v>178</v>
      </c>
      <c r="B131" s="15" t="s">
        <v>179</v>
      </c>
      <c r="C131" s="15" t="s">
        <v>180</v>
      </c>
      <c r="D131" s="15"/>
      <c r="E131" s="21">
        <v>1814.2619999999999</v>
      </c>
      <c r="F131" s="21">
        <f>523.588+627.012+111.116</f>
        <v>1261.7159999999999</v>
      </c>
      <c r="G131" s="21">
        <v>286.56299999999999</v>
      </c>
      <c r="H131" s="21">
        <v>1721.5029999999999</v>
      </c>
      <c r="I131" s="21">
        <f t="shared" si="18"/>
        <v>5084.0439999999999</v>
      </c>
      <c r="J131" s="93">
        <f>'2018'!N134</f>
        <v>3882.52</v>
      </c>
      <c r="K131" s="93">
        <f t="shared" si="24"/>
        <v>4037.8208</v>
      </c>
      <c r="L131" s="93">
        <f>'2018'!P134</f>
        <v>2059.7200000000003</v>
      </c>
      <c r="M131" s="93">
        <f t="shared" si="25"/>
        <v>2142.1088000000004</v>
      </c>
      <c r="N131" s="10">
        <f t="shared" si="19"/>
        <v>3307036.7735999995</v>
      </c>
      <c r="O131" s="10">
        <f t="shared" si="20"/>
        <v>2299855.9247999997</v>
      </c>
      <c r="P131" s="10">
        <f t="shared" si="21"/>
        <v>543240.9178559999</v>
      </c>
      <c r="Q131" s="10">
        <f t="shared" si="22"/>
        <v>3263473.8951359992</v>
      </c>
      <c r="R131" s="10">
        <f t="shared" si="23"/>
        <v>9413607.5113919973</v>
      </c>
      <c r="S131" s="16"/>
      <c r="T131" s="16"/>
      <c r="U131" s="16"/>
      <c r="V131" s="16"/>
      <c r="W131" s="42"/>
    </row>
    <row r="132" spans="1:23" ht="24" customHeight="1">
      <c r="A132" s="18" t="s">
        <v>181</v>
      </c>
      <c r="B132" s="15" t="s">
        <v>182</v>
      </c>
      <c r="C132" s="15" t="s">
        <v>183</v>
      </c>
      <c r="D132" s="15"/>
      <c r="E132" s="21">
        <v>724.77499999999998</v>
      </c>
      <c r="F132" s="21">
        <f>232.091+212.879+12.228</f>
        <v>457.19800000000004</v>
      </c>
      <c r="G132" s="21">
        <v>151.084</v>
      </c>
      <c r="H132" s="21">
        <v>659.10400000000004</v>
      </c>
      <c r="I132" s="21">
        <f t="shared" si="18"/>
        <v>1992.1610000000001</v>
      </c>
      <c r="J132" s="93">
        <f>'2018'!N135</f>
        <v>4761.87</v>
      </c>
      <c r="K132" s="93">
        <f t="shared" si="24"/>
        <v>4952.3447999999999</v>
      </c>
      <c r="L132" s="93">
        <f>'2018'!P135</f>
        <v>2059.7200000000003</v>
      </c>
      <c r="M132" s="93">
        <f t="shared" si="25"/>
        <v>2142.1088000000004</v>
      </c>
      <c r="N132" s="10">
        <f t="shared" si="19"/>
        <v>1958450.7662499996</v>
      </c>
      <c r="O132" s="10">
        <f t="shared" si="20"/>
        <v>1235417.5756999999</v>
      </c>
      <c r="P132" s="10">
        <f t="shared" si="21"/>
        <v>424581.69582399994</v>
      </c>
      <c r="Q132" s="10">
        <f t="shared" si="22"/>
        <v>1852237.7885439997</v>
      </c>
      <c r="R132" s="10">
        <f t="shared" si="23"/>
        <v>5470687.8263179995</v>
      </c>
      <c r="S132" s="10"/>
      <c r="T132" s="11"/>
      <c r="U132" s="10"/>
      <c r="V132" s="10"/>
      <c r="W132" s="42"/>
    </row>
    <row r="133" spans="1:23" ht="24" customHeight="1">
      <c r="A133" s="18" t="s">
        <v>184</v>
      </c>
      <c r="B133" s="15" t="s">
        <v>185</v>
      </c>
      <c r="C133" s="15" t="s">
        <v>186</v>
      </c>
      <c r="D133" s="15" t="s">
        <v>187</v>
      </c>
      <c r="E133" s="21">
        <v>889.71799999999996</v>
      </c>
      <c r="F133" s="21">
        <f>292.889+292.889</f>
        <v>585.77800000000002</v>
      </c>
      <c r="G133" s="21">
        <v>423.29599999999999</v>
      </c>
      <c r="H133" s="21">
        <v>881.88</v>
      </c>
      <c r="I133" s="21">
        <f t="shared" si="18"/>
        <v>2780.672</v>
      </c>
      <c r="J133" s="93">
        <f>'2018'!N136</f>
        <v>5115.22</v>
      </c>
      <c r="K133" s="93">
        <f t="shared" si="24"/>
        <v>5319.8288000000002</v>
      </c>
      <c r="L133" s="93">
        <f>'2018'!P136</f>
        <v>2059.7200000000003</v>
      </c>
      <c r="M133" s="93">
        <f t="shared" si="25"/>
        <v>2142.1088000000004</v>
      </c>
      <c r="N133" s="10">
        <f t="shared" si="19"/>
        <v>2718533.3489999999</v>
      </c>
      <c r="O133" s="10">
        <f t="shared" si="20"/>
        <v>1789844.679</v>
      </c>
      <c r="P133" s="10">
        <f t="shared" si="21"/>
        <v>1345116.1651199998</v>
      </c>
      <c r="Q133" s="10">
        <f t="shared" si="22"/>
        <v>2802367.7135999999</v>
      </c>
      <c r="R133" s="10">
        <f t="shared" si="23"/>
        <v>8655861.9067199994</v>
      </c>
      <c r="S133" s="10"/>
      <c r="T133" s="11"/>
      <c r="U133" s="10"/>
      <c r="V133" s="10"/>
      <c r="W133" s="42"/>
    </row>
    <row r="134" spans="1:23" ht="24" customHeight="1">
      <c r="A134" s="18" t="s">
        <v>184</v>
      </c>
      <c r="B134" s="15" t="s">
        <v>185</v>
      </c>
      <c r="C134" s="15" t="s">
        <v>186</v>
      </c>
      <c r="D134" s="15" t="s">
        <v>188</v>
      </c>
      <c r="E134" s="21">
        <v>1198.2809999999999</v>
      </c>
      <c r="F134" s="21">
        <f>399.667+399.667</f>
        <v>799.33399999999995</v>
      </c>
      <c r="G134" s="21">
        <v>592.41200000000003</v>
      </c>
      <c r="H134" s="21">
        <v>1198.2809999999999</v>
      </c>
      <c r="I134" s="21">
        <f t="shared" si="18"/>
        <v>3788.308</v>
      </c>
      <c r="J134" s="93">
        <f>'2018'!N137</f>
        <v>3798.31</v>
      </c>
      <c r="K134" s="93">
        <f t="shared" si="24"/>
        <v>3950.2424000000001</v>
      </c>
      <c r="L134" s="93">
        <f>'2018'!P137</f>
        <v>1580.5816</v>
      </c>
      <c r="M134" s="93">
        <f t="shared" si="25"/>
        <v>1643.804864</v>
      </c>
      <c r="N134" s="10">
        <f t="shared" si="19"/>
        <v>2657461.8048803997</v>
      </c>
      <c r="O134" s="10">
        <f t="shared" si="20"/>
        <v>1772705.7128855998</v>
      </c>
      <c r="P134" s="10">
        <f t="shared" si="21"/>
        <v>1366361.2735768324</v>
      </c>
      <c r="Q134" s="10">
        <f t="shared" si="22"/>
        <v>2763760.2770756162</v>
      </c>
      <c r="R134" s="10">
        <f t="shared" si="23"/>
        <v>8560289.0684184488</v>
      </c>
      <c r="S134" s="10"/>
      <c r="T134" s="11"/>
      <c r="U134" s="10"/>
      <c r="V134" s="10"/>
      <c r="W134" s="42"/>
    </row>
    <row r="135" spans="1:23" ht="24" customHeight="1">
      <c r="A135" s="18" t="s">
        <v>184</v>
      </c>
      <c r="B135" s="15" t="s">
        <v>185</v>
      </c>
      <c r="C135" s="15" t="s">
        <v>186</v>
      </c>
      <c r="D135" s="15" t="s">
        <v>189</v>
      </c>
      <c r="E135" s="21">
        <v>374.33100000000002</v>
      </c>
      <c r="F135" s="21">
        <f>124.777+124.777</f>
        <v>249.554</v>
      </c>
      <c r="G135" s="21">
        <v>185.15700000000001</v>
      </c>
      <c r="H135" s="21">
        <v>374.33100000000002</v>
      </c>
      <c r="I135" s="21">
        <f t="shared" si="18"/>
        <v>1183.373</v>
      </c>
      <c r="J135" s="93">
        <f>'2018'!N138</f>
        <v>6015.68</v>
      </c>
      <c r="K135" s="93">
        <f t="shared" si="24"/>
        <v>6256.3072000000002</v>
      </c>
      <c r="L135" s="93">
        <f>'2018'!P138</f>
        <v>2059.7200000000003</v>
      </c>
      <c r="M135" s="93">
        <f t="shared" si="25"/>
        <v>2142.1088000000004</v>
      </c>
      <c r="N135" s="10">
        <f t="shared" si="19"/>
        <v>1480838.46276</v>
      </c>
      <c r="O135" s="10">
        <f t="shared" si="20"/>
        <v>987225.64184000005</v>
      </c>
      <c r="P135" s="10">
        <f t="shared" si="21"/>
        <v>761772.63314879988</v>
      </c>
      <c r="Q135" s="10">
        <f t="shared" si="22"/>
        <v>1540072.0012703999</v>
      </c>
      <c r="R135" s="10">
        <f t="shared" si="23"/>
        <v>4769908.7390192002</v>
      </c>
      <c r="S135" s="10"/>
      <c r="T135" s="11"/>
      <c r="U135" s="10"/>
      <c r="V135" s="10"/>
      <c r="W135" s="42"/>
    </row>
    <row r="136" spans="1:23" ht="24" customHeight="1">
      <c r="A136" s="18" t="s">
        <v>190</v>
      </c>
      <c r="B136" s="15" t="s">
        <v>191</v>
      </c>
      <c r="C136" s="15" t="s">
        <v>176</v>
      </c>
      <c r="D136" s="15"/>
      <c r="E136" s="21">
        <v>409.28399999999999</v>
      </c>
      <c r="F136" s="21">
        <f>136.428+136.428</f>
        <v>272.85599999999999</v>
      </c>
      <c r="G136" s="21">
        <v>136.41900000000001</v>
      </c>
      <c r="H136" s="21">
        <v>409.29</v>
      </c>
      <c r="I136" s="21">
        <f t="shared" si="18"/>
        <v>1227.8489999999999</v>
      </c>
      <c r="J136" s="93">
        <f>'2018'!N139</f>
        <v>5924.31</v>
      </c>
      <c r="K136" s="93">
        <f t="shared" si="24"/>
        <v>6161.282400000001</v>
      </c>
      <c r="L136" s="93">
        <f>'2018'!P139</f>
        <v>2059.7200000000003</v>
      </c>
      <c r="M136" s="93">
        <f t="shared" si="25"/>
        <v>2142.1088000000004</v>
      </c>
      <c r="N136" s="10">
        <f t="shared" si="19"/>
        <v>1581714.85356</v>
      </c>
      <c r="O136" s="10">
        <f t="shared" si="20"/>
        <v>1054476.56904</v>
      </c>
      <c r="P136" s="10">
        <f t="shared" si="21"/>
        <v>548291.64333840017</v>
      </c>
      <c r="Q136" s="10">
        <f t="shared" si="22"/>
        <v>1645007.5627440002</v>
      </c>
      <c r="R136" s="10">
        <f t="shared" si="23"/>
        <v>4829490.6286824001</v>
      </c>
      <c r="S136" s="10"/>
      <c r="T136" s="11"/>
      <c r="U136" s="10"/>
      <c r="V136" s="10"/>
      <c r="W136" s="42"/>
    </row>
    <row r="137" spans="1:23" ht="24" customHeight="1">
      <c r="A137" s="18" t="s">
        <v>190</v>
      </c>
      <c r="B137" s="15" t="s">
        <v>191</v>
      </c>
      <c r="C137" s="15" t="s">
        <v>173</v>
      </c>
      <c r="D137" s="15"/>
      <c r="E137" s="21">
        <v>232.62100000000001</v>
      </c>
      <c r="F137" s="21">
        <f>58.424+60.029+15.234</f>
        <v>133.68700000000001</v>
      </c>
      <c r="G137" s="21">
        <v>20.219000000000001</v>
      </c>
      <c r="H137" s="21">
        <v>199.77600000000001</v>
      </c>
      <c r="I137" s="21">
        <f t="shared" si="18"/>
        <v>586.303</v>
      </c>
      <c r="J137" s="93">
        <f>'2018'!N140</f>
        <v>7366.34</v>
      </c>
      <c r="K137" s="93">
        <f t="shared" si="24"/>
        <v>7660.9936000000007</v>
      </c>
      <c r="L137" s="93">
        <f>'2018'!P140</f>
        <v>2059.7200000000003</v>
      </c>
      <c r="M137" s="93">
        <f t="shared" si="25"/>
        <v>2142.1088000000004</v>
      </c>
      <c r="N137" s="10">
        <f t="shared" si="19"/>
        <v>1234431.2510200001</v>
      </c>
      <c r="O137" s="10">
        <f t="shared" si="20"/>
        <v>709426.10794000002</v>
      </c>
      <c r="P137" s="10">
        <f t="shared" si="21"/>
        <v>111586.3317712</v>
      </c>
      <c r="Q137" s="10">
        <f t="shared" si="22"/>
        <v>1102540.7298048001</v>
      </c>
      <c r="R137" s="10">
        <f t="shared" si="23"/>
        <v>3157984.4205360003</v>
      </c>
      <c r="S137" s="10"/>
      <c r="T137" s="11"/>
      <c r="U137" s="10"/>
      <c r="V137" s="10"/>
      <c r="W137" s="42"/>
    </row>
    <row r="138" spans="1:23" ht="24" customHeight="1">
      <c r="A138" s="18" t="s">
        <v>192</v>
      </c>
      <c r="B138" s="15" t="s">
        <v>193</v>
      </c>
      <c r="C138" s="15" t="s">
        <v>183</v>
      </c>
      <c r="D138" s="15"/>
      <c r="E138" s="21">
        <v>82.83</v>
      </c>
      <c r="F138" s="21">
        <f>21.103+19.421+5.505</f>
        <v>46.029000000000003</v>
      </c>
      <c r="G138" s="21">
        <v>14.997999999999999</v>
      </c>
      <c r="H138" s="21">
        <v>74.320999999999998</v>
      </c>
      <c r="I138" s="21">
        <f t="shared" ref="I138:I201" si="32">SUM(E138:H138)</f>
        <v>218.178</v>
      </c>
      <c r="J138" s="93">
        <f>'2018'!N141</f>
        <v>3022.96</v>
      </c>
      <c r="K138" s="93">
        <f t="shared" si="24"/>
        <v>3143.8784000000001</v>
      </c>
      <c r="L138" s="93">
        <f>'2018'!P141</f>
        <v>1712.59</v>
      </c>
      <c r="M138" s="93">
        <f t="shared" si="25"/>
        <v>1781.0935999999999</v>
      </c>
      <c r="N138" s="10">
        <f t="shared" ref="N138:N201" si="33">(J138-L138)*E138</f>
        <v>108537.9471</v>
      </c>
      <c r="O138" s="10">
        <f t="shared" ref="O138:O201" si="34">(J138-L138)*F138</f>
        <v>60315.020730000011</v>
      </c>
      <c r="P138" s="10">
        <f t="shared" ref="P138:P201" si="35">(K138-M138)*G138</f>
        <v>20439.046430400002</v>
      </c>
      <c r="Q138" s="10">
        <f t="shared" ref="Q138:Q201" si="36">(K138-M138)*H138</f>
        <v>101283.52912080001</v>
      </c>
      <c r="R138" s="10">
        <f t="shared" ref="R138:R201" si="37">SUM(N138:Q138)</f>
        <v>290575.5433812</v>
      </c>
      <c r="S138" s="10"/>
      <c r="T138" s="11"/>
      <c r="U138" s="10"/>
      <c r="V138" s="10"/>
      <c r="W138" s="42"/>
    </row>
    <row r="139" spans="1:23" ht="24" customHeight="1">
      <c r="A139" s="18" t="s">
        <v>194</v>
      </c>
      <c r="B139" s="15" t="s">
        <v>195</v>
      </c>
      <c r="C139" s="15" t="s">
        <v>196</v>
      </c>
      <c r="D139" s="15"/>
      <c r="E139" s="21">
        <v>2230.511</v>
      </c>
      <c r="F139" s="21">
        <f>651.109+528.791+256.616</f>
        <v>1436.5160000000001</v>
      </c>
      <c r="G139" s="21">
        <v>467.988</v>
      </c>
      <c r="H139" s="21">
        <v>1905.4880000000001</v>
      </c>
      <c r="I139" s="21">
        <f t="shared" si="32"/>
        <v>6040.5030000000006</v>
      </c>
      <c r="J139" s="93">
        <f>'2018'!N142</f>
        <v>3740.04</v>
      </c>
      <c r="K139" s="93">
        <f t="shared" si="24"/>
        <v>3889.6415999999999</v>
      </c>
      <c r="L139" s="93">
        <f>'2018'!P142</f>
        <v>2059.7200000000003</v>
      </c>
      <c r="M139" s="93">
        <f t="shared" si="25"/>
        <v>2142.1088000000004</v>
      </c>
      <c r="N139" s="10">
        <f t="shared" si="33"/>
        <v>3747972.2435199991</v>
      </c>
      <c r="O139" s="10">
        <f t="shared" si="34"/>
        <v>2413806.5651199999</v>
      </c>
      <c r="P139" s="10">
        <f t="shared" si="35"/>
        <v>817824.38000639982</v>
      </c>
      <c r="Q139" s="10">
        <f t="shared" si="36"/>
        <v>3329902.7800063989</v>
      </c>
      <c r="R139" s="10">
        <f t="shared" si="37"/>
        <v>10309505.968652798</v>
      </c>
      <c r="S139" s="10"/>
      <c r="T139" s="11"/>
      <c r="U139" s="10"/>
      <c r="V139" s="10"/>
      <c r="W139" s="42"/>
    </row>
    <row r="140" spans="1:23" ht="24" customHeight="1">
      <c r="A140" s="18" t="s">
        <v>197</v>
      </c>
      <c r="B140" s="15" t="s">
        <v>198</v>
      </c>
      <c r="C140" s="15" t="s">
        <v>183</v>
      </c>
      <c r="D140" s="15"/>
      <c r="E140" s="21">
        <v>9017.4869999999992</v>
      </c>
      <c r="F140" s="21">
        <f>2854.796+3173.965+7.804+760.653+0.13</f>
        <v>6797.3480000000009</v>
      </c>
      <c r="G140" s="21">
        <v>1909.126</v>
      </c>
      <c r="H140" s="21">
        <f>10832.528-G140</f>
        <v>8923.402</v>
      </c>
      <c r="I140" s="21">
        <f t="shared" si="32"/>
        <v>26647.362999999998</v>
      </c>
      <c r="J140" s="93">
        <f>'2018'!N143</f>
        <v>4203.82</v>
      </c>
      <c r="K140" s="93">
        <f t="shared" si="24"/>
        <v>4371.9727999999996</v>
      </c>
      <c r="L140" s="93">
        <f>'2018'!P143</f>
        <v>1745.5256000000002</v>
      </c>
      <c r="M140" s="93">
        <f t="shared" si="25"/>
        <v>1815.3466240000002</v>
      </c>
      <c r="N140" s="10">
        <f t="shared" si="33"/>
        <v>22167637.794172797</v>
      </c>
      <c r="O140" s="10">
        <f t="shared" si="34"/>
        <v>16709882.5232512</v>
      </c>
      <c r="P140" s="10">
        <f t="shared" si="35"/>
        <v>4880921.5048821745</v>
      </c>
      <c r="Q140" s="10">
        <f t="shared" si="36"/>
        <v>22813803.132170744</v>
      </c>
      <c r="R140" s="10">
        <f t="shared" si="37"/>
        <v>66572244.954476915</v>
      </c>
      <c r="S140" s="10"/>
      <c r="T140" s="11"/>
      <c r="U140" s="10"/>
      <c r="V140" s="10"/>
      <c r="W140" s="42"/>
    </row>
    <row r="141" spans="1:23" ht="24" customHeight="1">
      <c r="A141" s="18" t="s">
        <v>197</v>
      </c>
      <c r="B141" s="15" t="s">
        <v>198</v>
      </c>
      <c r="C141" s="15" t="s">
        <v>173</v>
      </c>
      <c r="D141" s="15"/>
      <c r="E141" s="21">
        <v>2002.8969999999999</v>
      </c>
      <c r="F141" s="21">
        <f>542.722+577.281+92.126</f>
        <v>1212.1289999999999</v>
      </c>
      <c r="G141" s="21">
        <f>240.493</f>
        <v>240.49299999999999</v>
      </c>
      <c r="H141" s="21">
        <f>1926.515-G141</f>
        <v>1686.0220000000002</v>
      </c>
      <c r="I141" s="21">
        <f t="shared" si="32"/>
        <v>5141.5410000000002</v>
      </c>
      <c r="J141" s="93">
        <f>'2018'!N144</f>
        <v>4824.7159999999994</v>
      </c>
      <c r="K141" s="93">
        <f t="shared" si="24"/>
        <v>5017.7046399999999</v>
      </c>
      <c r="L141" s="93">
        <f>'2018'!P144</f>
        <v>1745.5256000000002</v>
      </c>
      <c r="M141" s="93">
        <f t="shared" si="25"/>
        <v>1815.3466240000002</v>
      </c>
      <c r="N141" s="10">
        <f t="shared" si="33"/>
        <v>6167301.2145887986</v>
      </c>
      <c r="O141" s="10">
        <f t="shared" si="34"/>
        <v>3732375.980361599</v>
      </c>
      <c r="P141" s="10">
        <f t="shared" si="35"/>
        <v>770144.68634188792</v>
      </c>
      <c r="Q141" s="10">
        <f t="shared" si="36"/>
        <v>5399246.0668523517</v>
      </c>
      <c r="R141" s="10">
        <f t="shared" si="37"/>
        <v>16069067.948144637</v>
      </c>
      <c r="S141" s="16"/>
      <c r="T141" s="16"/>
      <c r="U141" s="16"/>
      <c r="V141" s="16"/>
      <c r="W141" s="42"/>
    </row>
    <row r="142" spans="1:23" ht="24" customHeight="1">
      <c r="A142" s="18" t="s">
        <v>197</v>
      </c>
      <c r="B142" s="15" t="s">
        <v>198</v>
      </c>
      <c r="C142" s="15" t="s">
        <v>177</v>
      </c>
      <c r="D142" s="15"/>
      <c r="E142" s="21">
        <v>1434.0070000000001</v>
      </c>
      <c r="F142" s="21">
        <f>457.265+421.372+60.725</f>
        <v>939.36199999999997</v>
      </c>
      <c r="G142" s="21">
        <v>327.40600000000001</v>
      </c>
      <c r="H142" s="21">
        <f>1703.299-G142</f>
        <v>1375.893</v>
      </c>
      <c r="I142" s="21">
        <f t="shared" si="32"/>
        <v>4076.6680000000001</v>
      </c>
      <c r="J142" s="93">
        <f>'2018'!N145</f>
        <v>4824.7159999999994</v>
      </c>
      <c r="K142" s="93">
        <f t="shared" si="24"/>
        <v>5017.7046399999999</v>
      </c>
      <c r="L142" s="93">
        <f>'2018'!P145</f>
        <v>1745.5256000000002</v>
      </c>
      <c r="M142" s="93">
        <f t="shared" si="25"/>
        <v>1815.3466240000002</v>
      </c>
      <c r="N142" s="10">
        <f t="shared" si="33"/>
        <v>4415580.587932799</v>
      </c>
      <c r="O142" s="10">
        <f t="shared" si="34"/>
        <v>2892474.4525247994</v>
      </c>
      <c r="P142" s="10">
        <f t="shared" si="35"/>
        <v>1048471.228586496</v>
      </c>
      <c r="Q142" s="10">
        <f t="shared" si="36"/>
        <v>4406101.9777082875</v>
      </c>
      <c r="R142" s="10">
        <f t="shared" si="37"/>
        <v>12762628.246752381</v>
      </c>
      <c r="S142" s="10"/>
      <c r="T142" s="11"/>
      <c r="U142" s="10"/>
      <c r="V142" s="10"/>
      <c r="W142" s="42"/>
    </row>
    <row r="143" spans="1:23" ht="24" customHeight="1">
      <c r="A143" s="18" t="s">
        <v>197</v>
      </c>
      <c r="B143" s="15" t="s">
        <v>198</v>
      </c>
      <c r="C143" s="15" t="s">
        <v>180</v>
      </c>
      <c r="D143" s="15"/>
      <c r="E143" s="21">
        <v>790.45299999999997</v>
      </c>
      <c r="F143" s="21">
        <f>266.745+258.631+33.709</f>
        <v>559.08500000000004</v>
      </c>
      <c r="G143" s="21">
        <f>309.232</f>
        <v>309.23200000000003</v>
      </c>
      <c r="H143" s="21">
        <f>1059.836-G143</f>
        <v>750.60400000000004</v>
      </c>
      <c r="I143" s="21">
        <f t="shared" si="32"/>
        <v>2409.3739999999998</v>
      </c>
      <c r="J143" s="93">
        <f>'2018'!N146</f>
        <v>4824.7159999999994</v>
      </c>
      <c r="K143" s="93">
        <f t="shared" si="24"/>
        <v>5017.7046399999999</v>
      </c>
      <c r="L143" s="93">
        <f>'2018'!P146</f>
        <v>1745.5256000000002</v>
      </c>
      <c r="M143" s="93">
        <f t="shared" si="25"/>
        <v>1815.3466240000002</v>
      </c>
      <c r="N143" s="10">
        <f t="shared" si="33"/>
        <v>2433955.2892511995</v>
      </c>
      <c r="O143" s="10">
        <f t="shared" si="34"/>
        <v>1721529.1647839998</v>
      </c>
      <c r="P143" s="10">
        <f t="shared" si="35"/>
        <v>990271.57400371204</v>
      </c>
      <c r="Q143" s="10">
        <f t="shared" si="36"/>
        <v>2403702.7362416638</v>
      </c>
      <c r="R143" s="10">
        <f t="shared" si="37"/>
        <v>7549458.7642805753</v>
      </c>
      <c r="S143" s="16"/>
      <c r="T143" s="16"/>
      <c r="U143" s="16"/>
      <c r="V143" s="16"/>
      <c r="W143" s="42"/>
    </row>
    <row r="144" spans="1:23" ht="24" customHeight="1">
      <c r="A144" s="18" t="s">
        <v>199</v>
      </c>
      <c r="B144" s="15" t="s">
        <v>200</v>
      </c>
      <c r="C144" s="15" t="s">
        <v>173</v>
      </c>
      <c r="D144" s="15"/>
      <c r="E144" s="21">
        <v>62.786000000000001</v>
      </c>
      <c r="F144" s="21">
        <f>20.926+20.926</f>
        <v>41.851999999999997</v>
      </c>
      <c r="G144" s="21">
        <v>33.081000000000003</v>
      </c>
      <c r="H144" s="21">
        <v>62.79</v>
      </c>
      <c r="I144" s="21">
        <f t="shared" si="32"/>
        <v>200.50899999999999</v>
      </c>
      <c r="J144" s="93">
        <f>'2018'!N147</f>
        <v>9991.34</v>
      </c>
      <c r="K144" s="93">
        <f t="shared" si="24"/>
        <v>10390.9936</v>
      </c>
      <c r="L144" s="93">
        <f>'2018'!P147</f>
        <v>2020.86</v>
      </c>
      <c r="M144" s="93">
        <f t="shared" si="25"/>
        <v>2101.6943999999999</v>
      </c>
      <c r="N144" s="10">
        <f t="shared" si="33"/>
        <v>500434.55728000007</v>
      </c>
      <c r="O144" s="10">
        <f t="shared" si="34"/>
        <v>333580.52895999997</v>
      </c>
      <c r="P144" s="10">
        <f t="shared" si="35"/>
        <v>274218.3068352</v>
      </c>
      <c r="Q144" s="10">
        <f t="shared" si="36"/>
        <v>520485.09676799999</v>
      </c>
      <c r="R144" s="10">
        <f t="shared" si="37"/>
        <v>1628718.4898432</v>
      </c>
      <c r="S144" s="10"/>
      <c r="T144" s="11"/>
      <c r="U144" s="10"/>
      <c r="V144" s="10"/>
      <c r="W144" s="42"/>
    </row>
    <row r="145" spans="1:23" ht="24" customHeight="1">
      <c r="A145" s="18" t="s">
        <v>201</v>
      </c>
      <c r="B145" s="15" t="s">
        <v>202</v>
      </c>
      <c r="C145" s="15" t="s">
        <v>196</v>
      </c>
      <c r="D145" s="15"/>
      <c r="E145" s="21">
        <v>586.73599999999999</v>
      </c>
      <c r="F145" s="21">
        <f>162.466+134.02+111.4</f>
        <v>407.88599999999997</v>
      </c>
      <c r="G145" s="21">
        <v>74.543000000000006</v>
      </c>
      <c r="H145" s="21">
        <v>506.50200000000001</v>
      </c>
      <c r="I145" s="21">
        <f t="shared" si="32"/>
        <v>1575.6669999999999</v>
      </c>
      <c r="J145" s="93">
        <f>'2018'!N148</f>
        <v>6220.23</v>
      </c>
      <c r="K145" s="93">
        <f t="shared" si="24"/>
        <v>6469.0392000000002</v>
      </c>
      <c r="L145" s="93">
        <f>'2018'!P148</f>
        <v>2020.86</v>
      </c>
      <c r="M145" s="93">
        <f t="shared" si="25"/>
        <v>2101.6943999999999</v>
      </c>
      <c r="N145" s="10">
        <f t="shared" si="33"/>
        <v>2463921.55632</v>
      </c>
      <c r="O145" s="10">
        <f t="shared" si="34"/>
        <v>1712864.2318199999</v>
      </c>
      <c r="P145" s="10">
        <f t="shared" si="35"/>
        <v>325554.98342640011</v>
      </c>
      <c r="Q145" s="10">
        <f t="shared" si="36"/>
        <v>2212068.8758896003</v>
      </c>
      <c r="R145" s="10">
        <f t="shared" si="37"/>
        <v>6714409.6474560006</v>
      </c>
      <c r="S145" s="10"/>
      <c r="T145" s="11"/>
      <c r="U145" s="10"/>
      <c r="V145" s="10"/>
      <c r="W145" s="42"/>
    </row>
    <row r="146" spans="1:23" ht="24" customHeight="1">
      <c r="A146" s="18" t="s">
        <v>22</v>
      </c>
      <c r="B146" s="15" t="s">
        <v>23</v>
      </c>
      <c r="C146" s="15" t="s">
        <v>196</v>
      </c>
      <c r="D146" s="15"/>
      <c r="E146" s="21">
        <v>733.24599999999998</v>
      </c>
      <c r="F146" s="21">
        <f>196.4+178.07+162.51</f>
        <v>536.98</v>
      </c>
      <c r="G146" s="21">
        <v>154.922</v>
      </c>
      <c r="H146" s="21">
        <v>586.00800000000004</v>
      </c>
      <c r="I146" s="21">
        <f t="shared" si="32"/>
        <v>2011.1560000000002</v>
      </c>
      <c r="J146" s="93">
        <f>'2018'!N149</f>
        <v>2354.92</v>
      </c>
      <c r="K146" s="93">
        <f t="shared" si="24"/>
        <v>2449.1168000000002</v>
      </c>
      <c r="L146" s="93">
        <f>'2018'!P149</f>
        <v>1624.6464000000001</v>
      </c>
      <c r="M146" s="93">
        <f t="shared" si="25"/>
        <v>1689.6322560000001</v>
      </c>
      <c r="N146" s="10">
        <f t="shared" si="33"/>
        <v>535470.19610559999</v>
      </c>
      <c r="O146" s="10">
        <f t="shared" si="34"/>
        <v>392142.31772799999</v>
      </c>
      <c r="P146" s="10">
        <f t="shared" si="35"/>
        <v>117660.86452556802</v>
      </c>
      <c r="Q146" s="10">
        <f t="shared" si="36"/>
        <v>445064.0186603521</v>
      </c>
      <c r="R146" s="10">
        <f t="shared" si="37"/>
        <v>1490337.3970195199</v>
      </c>
      <c r="S146" s="16"/>
      <c r="T146" s="16"/>
      <c r="U146" s="16"/>
      <c r="V146" s="16"/>
      <c r="W146" s="42"/>
    </row>
    <row r="147" spans="1:23" ht="24" customHeight="1">
      <c r="A147" s="18" t="s">
        <v>22</v>
      </c>
      <c r="B147" s="15" t="s">
        <v>23</v>
      </c>
      <c r="C147" s="15" t="s">
        <v>203</v>
      </c>
      <c r="D147" s="15"/>
      <c r="E147" s="21">
        <v>1008.178</v>
      </c>
      <c r="F147" s="21">
        <f>326.841+335.252+6.187</f>
        <v>668.28000000000009</v>
      </c>
      <c r="G147" s="21">
        <v>325.56</v>
      </c>
      <c r="H147" s="21">
        <v>994.39400000000001</v>
      </c>
      <c r="I147" s="21">
        <f t="shared" si="32"/>
        <v>2996.4120000000003</v>
      </c>
      <c r="J147" s="93">
        <f>'2018'!N150</f>
        <v>7693.72</v>
      </c>
      <c r="K147" s="93">
        <f t="shared" si="24"/>
        <v>8001.4688000000006</v>
      </c>
      <c r="L147" s="93">
        <f>'2018'!P150</f>
        <v>1162.9904000000001</v>
      </c>
      <c r="M147" s="93">
        <f t="shared" si="25"/>
        <v>1209.5100160000002</v>
      </c>
      <c r="N147" s="10">
        <f t="shared" si="33"/>
        <v>6584137.9066688009</v>
      </c>
      <c r="O147" s="10">
        <f t="shared" si="34"/>
        <v>4364355.9770880006</v>
      </c>
      <c r="P147" s="10">
        <f t="shared" si="35"/>
        <v>2211190.10171904</v>
      </c>
      <c r="Q147" s="10">
        <f t="shared" si="36"/>
        <v>6753883.0630568964</v>
      </c>
      <c r="R147" s="10">
        <f t="shared" si="37"/>
        <v>19913567.048532739</v>
      </c>
      <c r="S147" s="10"/>
      <c r="T147" s="11"/>
      <c r="U147" s="10"/>
      <c r="V147" s="10"/>
      <c r="W147" s="42"/>
    </row>
    <row r="148" spans="1:23" ht="29.25" customHeight="1">
      <c r="A148" s="28" t="s">
        <v>415</v>
      </c>
      <c r="B148" s="27" t="s">
        <v>414</v>
      </c>
      <c r="C148" s="15" t="s">
        <v>173</v>
      </c>
      <c r="D148" s="15" t="s">
        <v>368</v>
      </c>
      <c r="E148" s="21">
        <v>479.58800000000002</v>
      </c>
      <c r="F148" s="21">
        <v>254.04599999999999</v>
      </c>
      <c r="G148" s="21">
        <v>120.658</v>
      </c>
      <c r="H148" s="21">
        <v>479.58800000000002</v>
      </c>
      <c r="I148" s="21">
        <f t="shared" si="32"/>
        <v>1333.88</v>
      </c>
      <c r="J148" s="93">
        <f>'2018'!N151</f>
        <v>3906.83</v>
      </c>
      <c r="K148" s="93">
        <f t="shared" ref="K148:K212" si="38">J148*1.04</f>
        <v>4063.1032</v>
      </c>
      <c r="L148" s="93">
        <f>'2018'!P151</f>
        <v>1623.1384</v>
      </c>
      <c r="M148" s="93">
        <f t="shared" ref="M148:M212" si="39">L148*1.04</f>
        <v>1688.063936</v>
      </c>
      <c r="N148" s="10">
        <f t="shared" si="33"/>
        <v>1095231.0870608001</v>
      </c>
      <c r="O148" s="10">
        <f t="shared" si="34"/>
        <v>580162.71621360001</v>
      </c>
      <c r="P148" s="10">
        <f t="shared" si="35"/>
        <v>286567.48751571198</v>
      </c>
      <c r="Q148" s="10">
        <f t="shared" si="36"/>
        <v>1139040.3305432322</v>
      </c>
      <c r="R148" s="10">
        <f t="shared" si="37"/>
        <v>3101001.6213333439</v>
      </c>
      <c r="S148" s="10"/>
      <c r="T148" s="11"/>
      <c r="U148" s="10"/>
      <c r="V148" s="10"/>
      <c r="W148" s="42"/>
    </row>
    <row r="149" spans="1:23" ht="40.5" customHeight="1">
      <c r="A149" s="28" t="s">
        <v>415</v>
      </c>
      <c r="B149" s="27" t="s">
        <v>414</v>
      </c>
      <c r="C149" s="15" t="s">
        <v>384</v>
      </c>
      <c r="D149" s="15" t="s">
        <v>369</v>
      </c>
      <c r="E149" s="21">
        <f>91.179+60.927</f>
        <v>152.10599999999999</v>
      </c>
      <c r="F149" s="21">
        <f>54.115+34.066</f>
        <v>88.181000000000012</v>
      </c>
      <c r="G149" s="21">
        <f>36.089+13.539</f>
        <v>49.628</v>
      </c>
      <c r="H149" s="21">
        <f>91.179+60.927</f>
        <v>152.10599999999999</v>
      </c>
      <c r="I149" s="21">
        <f t="shared" si="32"/>
        <v>442.02100000000002</v>
      </c>
      <c r="J149" s="93">
        <f>'2018'!N152</f>
        <v>3906.83</v>
      </c>
      <c r="K149" s="93">
        <f t="shared" si="38"/>
        <v>4063.1032</v>
      </c>
      <c r="L149" s="93">
        <f>'2018'!P152</f>
        <v>1755.9360000000001</v>
      </c>
      <c r="M149" s="93">
        <f t="shared" si="39"/>
        <v>1826.1734400000003</v>
      </c>
      <c r="N149" s="10">
        <f t="shared" si="33"/>
        <v>327163.88276399998</v>
      </c>
      <c r="O149" s="10">
        <f t="shared" si="34"/>
        <v>189667.98381400001</v>
      </c>
      <c r="P149" s="10">
        <f t="shared" si="35"/>
        <v>111014.35012928001</v>
      </c>
      <c r="Q149" s="10">
        <f t="shared" si="36"/>
        <v>340250.43807455996</v>
      </c>
      <c r="R149" s="10">
        <f t="shared" si="37"/>
        <v>968096.65478184004</v>
      </c>
      <c r="S149" s="10"/>
      <c r="T149" s="11"/>
      <c r="U149" s="10"/>
      <c r="V149" s="10"/>
      <c r="W149" s="42"/>
    </row>
    <row r="150" spans="1:23" ht="23.25" customHeight="1">
      <c r="A150" s="133" t="s">
        <v>206</v>
      </c>
      <c r="B150" s="133"/>
      <c r="C150" s="133"/>
      <c r="D150" s="133"/>
      <c r="E150" s="43"/>
      <c r="F150" s="43"/>
      <c r="G150" s="44"/>
      <c r="H150" s="44"/>
      <c r="I150" s="21">
        <f t="shared" si="32"/>
        <v>0</v>
      </c>
      <c r="J150" s="85"/>
      <c r="K150" s="85"/>
      <c r="L150" s="85"/>
      <c r="M150" s="85"/>
      <c r="N150" s="10">
        <f t="shared" si="33"/>
        <v>0</v>
      </c>
      <c r="O150" s="10">
        <f t="shared" si="34"/>
        <v>0</v>
      </c>
      <c r="P150" s="10">
        <f t="shared" si="35"/>
        <v>0</v>
      </c>
      <c r="Q150" s="10">
        <f t="shared" si="36"/>
        <v>0</v>
      </c>
      <c r="R150" s="10">
        <f t="shared" si="37"/>
        <v>0</v>
      </c>
      <c r="S150" s="10"/>
      <c r="T150" s="11"/>
      <c r="U150" s="10"/>
      <c r="V150" s="10"/>
      <c r="W150" s="45"/>
    </row>
    <row r="151" spans="1:23" ht="25.5" customHeight="1">
      <c r="A151" s="18" t="s">
        <v>204</v>
      </c>
      <c r="B151" s="15" t="s">
        <v>205</v>
      </c>
      <c r="C151" s="15"/>
      <c r="D151" s="15"/>
      <c r="E151" s="21">
        <v>119.37</v>
      </c>
      <c r="F151" s="21">
        <f>39.79+39.79</f>
        <v>79.58</v>
      </c>
      <c r="G151" s="21">
        <v>39.79</v>
      </c>
      <c r="H151" s="21">
        <v>119.37</v>
      </c>
      <c r="I151" s="21">
        <f t="shared" si="32"/>
        <v>358.11</v>
      </c>
      <c r="J151" s="93">
        <f>'2018'!N154</f>
        <v>5500.9</v>
      </c>
      <c r="K151" s="93">
        <f t="shared" si="38"/>
        <v>5720.9359999999997</v>
      </c>
      <c r="L151" s="93">
        <f>'2018'!P154</f>
        <v>1074.3965440000002</v>
      </c>
      <c r="M151" s="93">
        <f t="shared" si="39"/>
        <v>1117.3724057600002</v>
      </c>
      <c r="N151" s="10">
        <f t="shared" si="33"/>
        <v>528391.71754271991</v>
      </c>
      <c r="O151" s="10">
        <f t="shared" si="34"/>
        <v>352261.14502847992</v>
      </c>
      <c r="P151" s="10">
        <f t="shared" si="35"/>
        <v>183175.79541480957</v>
      </c>
      <c r="Q151" s="10">
        <f t="shared" si="36"/>
        <v>549527.38624442881</v>
      </c>
      <c r="R151" s="10">
        <f t="shared" si="37"/>
        <v>1613356.0442304383</v>
      </c>
      <c r="S151" s="16"/>
      <c r="T151" s="17"/>
      <c r="U151" s="16"/>
      <c r="V151" s="16"/>
      <c r="W151" s="42"/>
    </row>
    <row r="152" spans="1:23" ht="25.5" customHeight="1">
      <c r="A152" s="18" t="s">
        <v>207</v>
      </c>
      <c r="B152" s="15" t="s">
        <v>208</v>
      </c>
      <c r="C152" s="15" t="s">
        <v>209</v>
      </c>
      <c r="D152" s="15"/>
      <c r="E152" s="21">
        <v>152.47300000000001</v>
      </c>
      <c r="F152" s="21">
        <f>59.033+58.311</f>
        <v>117.34399999999999</v>
      </c>
      <c r="G152" s="21">
        <v>31.73</v>
      </c>
      <c r="H152" s="21">
        <v>172.88</v>
      </c>
      <c r="I152" s="21">
        <f t="shared" si="32"/>
        <v>474.42700000000002</v>
      </c>
      <c r="J152" s="93">
        <f>'2018'!N155</f>
        <v>5377.6527999999998</v>
      </c>
      <c r="K152" s="93">
        <f t="shared" si="38"/>
        <v>5592.7589120000002</v>
      </c>
      <c r="L152" s="93">
        <f>'2018'!P155</f>
        <v>926.66079999999999</v>
      </c>
      <c r="M152" s="93">
        <f t="shared" si="39"/>
        <v>963.72723200000007</v>
      </c>
      <c r="N152" s="10">
        <f t="shared" si="33"/>
        <v>678656.10321600013</v>
      </c>
      <c r="O152" s="10">
        <f t="shared" si="34"/>
        <v>522297.20524799998</v>
      </c>
      <c r="P152" s="10">
        <f t="shared" si="35"/>
        <v>146879.17520640002</v>
      </c>
      <c r="Q152" s="10">
        <f t="shared" si="36"/>
        <v>800266.99683840002</v>
      </c>
      <c r="R152" s="10">
        <f t="shared" si="37"/>
        <v>2148099.4805088001</v>
      </c>
      <c r="S152" s="10"/>
      <c r="T152" s="11"/>
      <c r="U152" s="10"/>
      <c r="V152" s="10"/>
      <c r="W152" s="42"/>
    </row>
    <row r="153" spans="1:23" ht="25.5" customHeight="1">
      <c r="A153" s="18" t="s">
        <v>207</v>
      </c>
      <c r="B153" s="15" t="s">
        <v>208</v>
      </c>
      <c r="C153" s="15" t="s">
        <v>210</v>
      </c>
      <c r="D153" s="15"/>
      <c r="E153" s="21">
        <v>204.762</v>
      </c>
      <c r="F153" s="21">
        <f>68.251+68.251</f>
        <v>136.50200000000001</v>
      </c>
      <c r="G153" s="21">
        <v>47.1</v>
      </c>
      <c r="H153" s="21">
        <v>204.76</v>
      </c>
      <c r="I153" s="21">
        <f t="shared" si="32"/>
        <v>593.12400000000002</v>
      </c>
      <c r="J153" s="93">
        <f>'2018'!N156</f>
        <v>4061.8968000000004</v>
      </c>
      <c r="K153" s="93">
        <f t="shared" si="38"/>
        <v>4224.3726720000004</v>
      </c>
      <c r="L153" s="93">
        <f>'2018'!P156</f>
        <v>926.66079999999999</v>
      </c>
      <c r="M153" s="93">
        <f t="shared" si="39"/>
        <v>963.72723200000007</v>
      </c>
      <c r="N153" s="10">
        <f t="shared" si="33"/>
        <v>641977.19383200002</v>
      </c>
      <c r="O153" s="10">
        <f t="shared" si="34"/>
        <v>427965.9844720001</v>
      </c>
      <c r="P153" s="10">
        <f t="shared" si="35"/>
        <v>153576.40022400001</v>
      </c>
      <c r="Q153" s="10">
        <f t="shared" si="36"/>
        <v>667649.76029440004</v>
      </c>
      <c r="R153" s="10">
        <f t="shared" si="37"/>
        <v>1891169.3388224002</v>
      </c>
      <c r="S153" s="16"/>
      <c r="T153" s="16"/>
      <c r="U153" s="16"/>
      <c r="V153" s="16"/>
      <c r="W153" s="42"/>
    </row>
    <row r="154" spans="1:23" ht="25.5" customHeight="1">
      <c r="A154" s="28" t="s">
        <v>415</v>
      </c>
      <c r="B154" s="27" t="s">
        <v>414</v>
      </c>
      <c r="C154" s="15" t="s">
        <v>393</v>
      </c>
      <c r="D154" s="15"/>
      <c r="E154" s="21">
        <v>1719.2360000000001</v>
      </c>
      <c r="F154" s="21">
        <v>1079.3620000000001</v>
      </c>
      <c r="G154" s="21">
        <v>570.52599999999995</v>
      </c>
      <c r="H154" s="21">
        <v>1719.2360000000001</v>
      </c>
      <c r="I154" s="21">
        <f t="shared" si="32"/>
        <v>5088.3599999999997</v>
      </c>
      <c r="J154" s="93">
        <f>'2018'!N157</f>
        <v>3034</v>
      </c>
      <c r="K154" s="93">
        <f t="shared" si="38"/>
        <v>3155.36</v>
      </c>
      <c r="L154" s="93">
        <f>'2018'!P157</f>
        <v>1191.56</v>
      </c>
      <c r="M154" s="93">
        <f t="shared" si="39"/>
        <v>1239.2223999999999</v>
      </c>
      <c r="N154" s="10">
        <f t="shared" si="33"/>
        <v>3167589.1758400002</v>
      </c>
      <c r="O154" s="10">
        <f t="shared" si="34"/>
        <v>1988659.7232800003</v>
      </c>
      <c r="P154" s="10">
        <f t="shared" si="35"/>
        <v>1093206.3203776001</v>
      </c>
      <c r="Q154" s="10">
        <f t="shared" si="36"/>
        <v>3294292.7428736007</v>
      </c>
      <c r="R154" s="10">
        <f t="shared" si="37"/>
        <v>9543747.9623712003</v>
      </c>
      <c r="S154" s="16"/>
      <c r="T154" s="16"/>
      <c r="U154" s="16"/>
      <c r="V154" s="16"/>
      <c r="W154" s="42"/>
    </row>
    <row r="155" spans="1:23" ht="22.5" customHeight="1">
      <c r="A155" s="133" t="s">
        <v>213</v>
      </c>
      <c r="B155" s="133"/>
      <c r="C155" s="133"/>
      <c r="D155" s="133"/>
      <c r="E155" s="43"/>
      <c r="F155" s="43"/>
      <c r="G155" s="44"/>
      <c r="H155" s="44"/>
      <c r="I155" s="21">
        <f t="shared" si="32"/>
        <v>0</v>
      </c>
      <c r="J155" s="85"/>
      <c r="K155" s="85"/>
      <c r="L155" s="85"/>
      <c r="M155" s="85"/>
      <c r="N155" s="10">
        <f t="shared" si="33"/>
        <v>0</v>
      </c>
      <c r="O155" s="10">
        <f t="shared" si="34"/>
        <v>0</v>
      </c>
      <c r="P155" s="10">
        <f t="shared" si="35"/>
        <v>0</v>
      </c>
      <c r="Q155" s="10">
        <f t="shared" si="36"/>
        <v>0</v>
      </c>
      <c r="R155" s="10">
        <f t="shared" si="37"/>
        <v>0</v>
      </c>
      <c r="S155" s="10"/>
      <c r="T155" s="11"/>
      <c r="U155" s="10"/>
      <c r="V155" s="10"/>
      <c r="W155" s="45"/>
    </row>
    <row r="156" spans="1:23" ht="22.5" customHeight="1">
      <c r="A156" s="18" t="s">
        <v>211</v>
      </c>
      <c r="B156" s="15" t="s">
        <v>212</v>
      </c>
      <c r="C156" s="15" t="s">
        <v>214</v>
      </c>
      <c r="D156" s="15"/>
      <c r="E156" s="21">
        <v>16425.016</v>
      </c>
      <c r="F156" s="21">
        <f>5155.886+4133.065+374.725</f>
        <v>9663.6760000000013</v>
      </c>
      <c r="G156" s="21">
        <v>2727.328</v>
      </c>
      <c r="H156" s="21">
        <v>15459.641</v>
      </c>
      <c r="I156" s="21">
        <f t="shared" si="32"/>
        <v>44275.661000000007</v>
      </c>
      <c r="J156" s="93">
        <f>'2018'!N159</f>
        <v>3741.34</v>
      </c>
      <c r="K156" s="93">
        <f t="shared" si="38"/>
        <v>3890.9936000000002</v>
      </c>
      <c r="L156" s="93">
        <f>'2018'!P159</f>
        <v>1452.13</v>
      </c>
      <c r="M156" s="93">
        <f t="shared" si="39"/>
        <v>1510.2152000000001</v>
      </c>
      <c r="N156" s="10">
        <f t="shared" si="33"/>
        <v>37600310.877360001</v>
      </c>
      <c r="O156" s="10">
        <f t="shared" si="34"/>
        <v>22122183.735960003</v>
      </c>
      <c r="P156" s="10">
        <f t="shared" si="35"/>
        <v>6493163.5921152001</v>
      </c>
      <c r="Q156" s="10">
        <f t="shared" si="36"/>
        <v>36805979.364554398</v>
      </c>
      <c r="R156" s="10">
        <f t="shared" si="37"/>
        <v>103021637.56998961</v>
      </c>
      <c r="S156" s="10"/>
      <c r="T156" s="11"/>
      <c r="U156" s="10"/>
      <c r="V156" s="10"/>
      <c r="W156" s="42"/>
    </row>
    <row r="157" spans="1:23" ht="22.5" customHeight="1">
      <c r="A157" s="18" t="s">
        <v>215</v>
      </c>
      <c r="B157" s="15" t="s">
        <v>216</v>
      </c>
      <c r="C157" s="15" t="s">
        <v>217</v>
      </c>
      <c r="D157" s="15"/>
      <c r="E157" s="21">
        <v>274.75200000000001</v>
      </c>
      <c r="F157" s="21">
        <f>82.993+66.66</f>
        <v>149.65299999999999</v>
      </c>
      <c r="G157" s="21">
        <v>30.33</v>
      </c>
      <c r="H157" s="21">
        <v>226.97300000000001</v>
      </c>
      <c r="I157" s="21">
        <f t="shared" si="32"/>
        <v>681.70799999999997</v>
      </c>
      <c r="J157" s="93">
        <f>'2018'!N160</f>
        <v>2796.63</v>
      </c>
      <c r="K157" s="93">
        <f t="shared" si="38"/>
        <v>2908.4952000000003</v>
      </c>
      <c r="L157" s="93">
        <f>'2018'!P160</f>
        <v>1593.53</v>
      </c>
      <c r="M157" s="93">
        <f t="shared" si="39"/>
        <v>1657.2712000000001</v>
      </c>
      <c r="N157" s="10">
        <f t="shared" si="33"/>
        <v>330554.13120000006</v>
      </c>
      <c r="O157" s="10">
        <f t="shared" si="34"/>
        <v>180047.52430000002</v>
      </c>
      <c r="P157" s="10">
        <f t="shared" si="35"/>
        <v>37949.623920000005</v>
      </c>
      <c r="Q157" s="10">
        <f t="shared" si="36"/>
        <v>283994.06495200004</v>
      </c>
      <c r="R157" s="10">
        <f t="shared" si="37"/>
        <v>832545.3443720002</v>
      </c>
      <c r="S157" s="10"/>
      <c r="T157" s="11"/>
      <c r="U157" s="10"/>
      <c r="V157" s="10"/>
      <c r="W157" s="42"/>
    </row>
    <row r="158" spans="1:23" ht="22.5" customHeight="1">
      <c r="A158" s="18" t="s">
        <v>218</v>
      </c>
      <c r="B158" s="15" t="s">
        <v>219</v>
      </c>
      <c r="C158" s="15" t="s">
        <v>220</v>
      </c>
      <c r="D158" s="15"/>
      <c r="E158" s="21">
        <v>574.80999999999995</v>
      </c>
      <c r="F158" s="21">
        <f>199.3+200.18+99</f>
        <v>498.48</v>
      </c>
      <c r="G158" s="21">
        <v>75.53</v>
      </c>
      <c r="H158" s="21">
        <v>549.63</v>
      </c>
      <c r="I158" s="21">
        <f t="shared" si="32"/>
        <v>1698.4499999999998</v>
      </c>
      <c r="J158" s="93">
        <f>'2018'!N161</f>
        <v>2654.43</v>
      </c>
      <c r="K158" s="93">
        <f t="shared" si="38"/>
        <v>2760.6071999999999</v>
      </c>
      <c r="L158" s="93">
        <f>'2018'!P161</f>
        <v>1478.35</v>
      </c>
      <c r="M158" s="93">
        <f t="shared" si="39"/>
        <v>1537.4839999999999</v>
      </c>
      <c r="N158" s="10">
        <f t="shared" si="33"/>
        <v>676022.54479999992</v>
      </c>
      <c r="O158" s="10">
        <f t="shared" si="34"/>
        <v>586252.35840000003</v>
      </c>
      <c r="P158" s="10">
        <f t="shared" si="35"/>
        <v>92382.495296000008</v>
      </c>
      <c r="Q158" s="10">
        <f t="shared" si="36"/>
        <v>672265.20441599994</v>
      </c>
      <c r="R158" s="10">
        <f t="shared" si="37"/>
        <v>2026922.6029119999</v>
      </c>
      <c r="S158" s="10"/>
      <c r="T158" s="11"/>
      <c r="U158" s="10"/>
      <c r="V158" s="10"/>
      <c r="W158" s="42"/>
    </row>
    <row r="159" spans="1:23" ht="22.5" customHeight="1">
      <c r="A159" s="18" t="s">
        <v>221</v>
      </c>
      <c r="B159" s="15" t="s">
        <v>222</v>
      </c>
      <c r="C159" s="15" t="s">
        <v>223</v>
      </c>
      <c r="D159" s="15"/>
      <c r="E159" s="21">
        <v>2054.7660000000001</v>
      </c>
      <c r="F159" s="21">
        <f>607.326+299.807</f>
        <v>907.13300000000004</v>
      </c>
      <c r="G159" s="21">
        <v>496.387</v>
      </c>
      <c r="H159" s="21">
        <v>1947.2249999999999</v>
      </c>
      <c r="I159" s="21">
        <f t="shared" si="32"/>
        <v>5405.5110000000004</v>
      </c>
      <c r="J159" s="93">
        <f>'2018'!N162</f>
        <v>3348.0512000000003</v>
      </c>
      <c r="K159" s="93">
        <f t="shared" si="38"/>
        <v>3481.9732480000007</v>
      </c>
      <c r="L159" s="93">
        <f>'2018'!P162</f>
        <v>1317.44</v>
      </c>
      <c r="M159" s="93">
        <f t="shared" si="39"/>
        <v>1370.1376</v>
      </c>
      <c r="N159" s="10">
        <f t="shared" si="33"/>
        <v>4172430.8529792009</v>
      </c>
      <c r="O159" s="10">
        <f t="shared" si="34"/>
        <v>1842034.4296896004</v>
      </c>
      <c r="P159" s="10">
        <f t="shared" si="35"/>
        <v>1048287.7618037764</v>
      </c>
      <c r="Q159" s="10">
        <f t="shared" si="36"/>
        <v>4112219.1696768012</v>
      </c>
      <c r="R159" s="10">
        <f t="shared" si="37"/>
        <v>11174972.214149378</v>
      </c>
      <c r="S159" s="10"/>
      <c r="T159" s="11"/>
      <c r="U159" s="10"/>
      <c r="V159" s="10"/>
      <c r="W159" s="42"/>
    </row>
    <row r="160" spans="1:23" ht="22.5" customHeight="1">
      <c r="A160" s="18" t="s">
        <v>224</v>
      </c>
      <c r="B160" s="15" t="s">
        <v>225</v>
      </c>
      <c r="C160" s="15" t="s">
        <v>226</v>
      </c>
      <c r="D160" s="15"/>
      <c r="E160" s="21">
        <v>62.524000000000001</v>
      </c>
      <c r="F160" s="21">
        <f>21.078+13.699</f>
        <v>34.777000000000001</v>
      </c>
      <c r="G160" s="21">
        <v>10.538</v>
      </c>
      <c r="H160" s="21">
        <v>61.030999999999999</v>
      </c>
      <c r="I160" s="21">
        <f t="shared" si="32"/>
        <v>168.87</v>
      </c>
      <c r="J160" s="93">
        <f>'2018'!N163</f>
        <v>4734.72</v>
      </c>
      <c r="K160" s="93">
        <f t="shared" si="38"/>
        <v>4924.1088000000009</v>
      </c>
      <c r="L160" s="93">
        <f>'2018'!P163</f>
        <v>1791.56</v>
      </c>
      <c r="M160" s="93">
        <f t="shared" si="39"/>
        <v>1863.2224000000001</v>
      </c>
      <c r="N160" s="10">
        <f t="shared" si="33"/>
        <v>184018.13584000003</v>
      </c>
      <c r="O160" s="10">
        <f t="shared" si="34"/>
        <v>102354.27532000002</v>
      </c>
      <c r="P160" s="10">
        <f t="shared" si="35"/>
        <v>32255.620883200008</v>
      </c>
      <c r="Q160" s="10">
        <f t="shared" si="36"/>
        <v>186808.95787840005</v>
      </c>
      <c r="R160" s="10">
        <f t="shared" si="37"/>
        <v>505436.98992160009</v>
      </c>
      <c r="S160" s="10"/>
      <c r="T160" s="11"/>
      <c r="U160" s="10"/>
      <c r="V160" s="10"/>
      <c r="W160" s="42"/>
    </row>
    <row r="161" spans="1:23" ht="22.5" customHeight="1">
      <c r="A161" s="18" t="s">
        <v>227</v>
      </c>
      <c r="B161" s="15" t="s">
        <v>228</v>
      </c>
      <c r="C161" s="15" t="s">
        <v>229</v>
      </c>
      <c r="D161" s="15"/>
      <c r="E161" s="21">
        <v>6.2789999999999999</v>
      </c>
      <c r="F161" s="21">
        <f>1.756+2.093</f>
        <v>3.8490000000000002</v>
      </c>
      <c r="G161" s="21">
        <v>1.117</v>
      </c>
      <c r="H161" s="21">
        <v>6.28</v>
      </c>
      <c r="I161" s="21">
        <f t="shared" si="32"/>
        <v>17.525000000000002</v>
      </c>
      <c r="J161" s="93">
        <f>'2018'!N164</f>
        <v>3931.66</v>
      </c>
      <c r="K161" s="93">
        <f t="shared" si="38"/>
        <v>4088.9263999999998</v>
      </c>
      <c r="L161" s="93">
        <f>'2018'!P164</f>
        <v>1316.69</v>
      </c>
      <c r="M161" s="93">
        <f t="shared" si="39"/>
        <v>1369.3576</v>
      </c>
      <c r="N161" s="10">
        <f t="shared" si="33"/>
        <v>16419.396629999999</v>
      </c>
      <c r="O161" s="10">
        <f t="shared" si="34"/>
        <v>10065.01953</v>
      </c>
      <c r="P161" s="10">
        <f t="shared" si="35"/>
        <v>3037.7583496000002</v>
      </c>
      <c r="Q161" s="10">
        <f t="shared" si="36"/>
        <v>17078.892064</v>
      </c>
      <c r="R161" s="10">
        <f t="shared" si="37"/>
        <v>46601.066573600001</v>
      </c>
      <c r="S161" s="16"/>
      <c r="T161" s="16"/>
      <c r="U161" s="16"/>
      <c r="V161" s="16"/>
      <c r="W161" s="42"/>
    </row>
    <row r="162" spans="1:23" ht="22.5" customHeight="1">
      <c r="A162" s="18" t="s">
        <v>227</v>
      </c>
      <c r="B162" s="15" t="s">
        <v>228</v>
      </c>
      <c r="C162" s="15" t="s">
        <v>230</v>
      </c>
      <c r="D162" s="15"/>
      <c r="E162" s="21">
        <v>7.6079999999999997</v>
      </c>
      <c r="F162" s="21">
        <f>2.127+2.536</f>
        <v>4.6630000000000003</v>
      </c>
      <c r="G162" s="21">
        <v>1.353</v>
      </c>
      <c r="H162" s="21">
        <v>7.6070000000000002</v>
      </c>
      <c r="I162" s="21">
        <f t="shared" si="32"/>
        <v>21.231000000000002</v>
      </c>
      <c r="J162" s="93">
        <f>'2018'!N165</f>
        <v>3682.2552000000001</v>
      </c>
      <c r="K162" s="93">
        <f t="shared" si="38"/>
        <v>3829.5454080000004</v>
      </c>
      <c r="L162" s="93">
        <f>'2018'!P165</f>
        <v>1291.83</v>
      </c>
      <c r="M162" s="93">
        <f t="shared" si="39"/>
        <v>1343.5031999999999</v>
      </c>
      <c r="N162" s="10">
        <f t="shared" si="33"/>
        <v>18186.354921599999</v>
      </c>
      <c r="O162" s="10">
        <f t="shared" si="34"/>
        <v>11146.552707600002</v>
      </c>
      <c r="P162" s="10">
        <f t="shared" si="35"/>
        <v>3363.6151074240011</v>
      </c>
      <c r="Q162" s="10">
        <f t="shared" si="36"/>
        <v>18911.323076256005</v>
      </c>
      <c r="R162" s="10">
        <f t="shared" si="37"/>
        <v>51607.845812880012</v>
      </c>
      <c r="S162" s="10"/>
      <c r="T162" s="11"/>
      <c r="U162" s="10"/>
      <c r="V162" s="10"/>
      <c r="W162" s="42"/>
    </row>
    <row r="163" spans="1:23" ht="22.5" customHeight="1">
      <c r="A163" s="18" t="s">
        <v>227</v>
      </c>
      <c r="B163" s="15" t="s">
        <v>228</v>
      </c>
      <c r="C163" s="15" t="s">
        <v>231</v>
      </c>
      <c r="D163" s="15"/>
      <c r="E163" s="21">
        <v>17.231999999999999</v>
      </c>
      <c r="F163" s="21">
        <f>4.818+5.744</f>
        <v>10.561999999999999</v>
      </c>
      <c r="G163" s="21">
        <v>3.06</v>
      </c>
      <c r="H163" s="21">
        <v>17.45</v>
      </c>
      <c r="I163" s="21">
        <f t="shared" si="32"/>
        <v>48.303999999999995</v>
      </c>
      <c r="J163" s="93">
        <f>'2018'!N166</f>
        <v>4135.67</v>
      </c>
      <c r="K163" s="93">
        <f t="shared" si="38"/>
        <v>4301.0968000000003</v>
      </c>
      <c r="L163" s="93">
        <f>'2018'!P166</f>
        <v>1689.61</v>
      </c>
      <c r="M163" s="93">
        <f t="shared" si="39"/>
        <v>1757.1943999999999</v>
      </c>
      <c r="N163" s="10">
        <f t="shared" si="33"/>
        <v>42150.505920000003</v>
      </c>
      <c r="O163" s="10">
        <f t="shared" si="34"/>
        <v>25835.285720000003</v>
      </c>
      <c r="P163" s="10">
        <f t="shared" si="35"/>
        <v>7784.3413440000013</v>
      </c>
      <c r="Q163" s="10">
        <f t="shared" si="36"/>
        <v>44391.096880000005</v>
      </c>
      <c r="R163" s="10">
        <f t="shared" si="37"/>
        <v>120161.22986400002</v>
      </c>
      <c r="S163" s="10"/>
      <c r="T163" s="11"/>
      <c r="U163" s="10"/>
      <c r="V163" s="10"/>
      <c r="W163" s="42"/>
    </row>
    <row r="164" spans="1:23" ht="22.5" customHeight="1">
      <c r="A164" s="18" t="s">
        <v>232</v>
      </c>
      <c r="B164" s="15" t="s">
        <v>233</v>
      </c>
      <c r="C164" s="15" t="s">
        <v>234</v>
      </c>
      <c r="D164" s="15"/>
      <c r="E164" s="21">
        <v>16.134</v>
      </c>
      <c r="F164" s="21">
        <f>5.378+3.498</f>
        <v>8.8760000000000012</v>
      </c>
      <c r="G164" s="21">
        <v>2.8679999999999999</v>
      </c>
      <c r="H164" s="21">
        <v>16.134</v>
      </c>
      <c r="I164" s="21">
        <f t="shared" si="32"/>
        <v>44.012</v>
      </c>
      <c r="J164" s="93">
        <f>'2018'!N167</f>
        <v>3186.37</v>
      </c>
      <c r="K164" s="93">
        <f t="shared" si="38"/>
        <v>3313.8247999999999</v>
      </c>
      <c r="L164" s="93">
        <f>'2018'!P167</f>
        <v>1321.37</v>
      </c>
      <c r="M164" s="93">
        <f t="shared" si="39"/>
        <v>1374.2248</v>
      </c>
      <c r="N164" s="10">
        <f t="shared" si="33"/>
        <v>30089.91</v>
      </c>
      <c r="O164" s="10">
        <f t="shared" si="34"/>
        <v>16553.740000000002</v>
      </c>
      <c r="P164" s="10">
        <f t="shared" si="35"/>
        <v>5562.7727999999997</v>
      </c>
      <c r="Q164" s="10">
        <f t="shared" si="36"/>
        <v>31293.506399999998</v>
      </c>
      <c r="R164" s="10">
        <f t="shared" si="37"/>
        <v>83499.929199999999</v>
      </c>
      <c r="S164" s="10"/>
      <c r="T164" s="11"/>
      <c r="U164" s="10"/>
      <c r="V164" s="10"/>
      <c r="W164" s="42"/>
    </row>
    <row r="165" spans="1:23" ht="22.5" customHeight="1">
      <c r="A165" s="18" t="s">
        <v>235</v>
      </c>
      <c r="B165" s="15" t="s">
        <v>236</v>
      </c>
      <c r="C165" s="15" t="s">
        <v>237</v>
      </c>
      <c r="D165" s="15"/>
      <c r="E165" s="21">
        <v>2368.7579999999998</v>
      </c>
      <c r="F165" s="21">
        <f>789.586+611.224</f>
        <v>1400.81</v>
      </c>
      <c r="G165" s="21">
        <v>786.96199999999999</v>
      </c>
      <c r="H165" s="21">
        <v>1998.4559999999999</v>
      </c>
      <c r="I165" s="21">
        <f t="shared" si="32"/>
        <v>6554.9859999999999</v>
      </c>
      <c r="J165" s="93">
        <f>'2018'!N168</f>
        <v>3720.61</v>
      </c>
      <c r="K165" s="93">
        <f t="shared" si="38"/>
        <v>3869.4344000000001</v>
      </c>
      <c r="L165" s="93">
        <f>'2018'!P168</f>
        <v>1389.85</v>
      </c>
      <c r="M165" s="93">
        <f t="shared" si="39"/>
        <v>1445.444</v>
      </c>
      <c r="N165" s="10">
        <f t="shared" si="33"/>
        <v>5521006.3960800003</v>
      </c>
      <c r="O165" s="10">
        <f t="shared" si="34"/>
        <v>3264951.9155999999</v>
      </c>
      <c r="P165" s="10">
        <f t="shared" si="35"/>
        <v>1907588.3331648002</v>
      </c>
      <c r="Q165" s="10">
        <f t="shared" si="36"/>
        <v>4844238.1588224005</v>
      </c>
      <c r="R165" s="10">
        <f t="shared" si="37"/>
        <v>15537784.803667201</v>
      </c>
      <c r="S165" s="10"/>
      <c r="T165" s="11"/>
      <c r="U165" s="10"/>
      <c r="V165" s="10"/>
      <c r="W165" s="42"/>
    </row>
    <row r="166" spans="1:23" ht="22.5" customHeight="1">
      <c r="A166" s="18" t="s">
        <v>370</v>
      </c>
      <c r="B166" s="15" t="s">
        <v>371</v>
      </c>
      <c r="C166" s="15" t="s">
        <v>372</v>
      </c>
      <c r="D166" s="15"/>
      <c r="E166" s="21">
        <v>55</v>
      </c>
      <c r="F166" s="21">
        <f>12.839+10.962</f>
        <v>23.801000000000002</v>
      </c>
      <c r="G166" s="21">
        <v>4</v>
      </c>
      <c r="H166" s="21">
        <v>45</v>
      </c>
      <c r="I166" s="21">
        <f t="shared" si="32"/>
        <v>127.801</v>
      </c>
      <c r="J166" s="93">
        <f>'2018'!N169</f>
        <v>4258.6400000000003</v>
      </c>
      <c r="K166" s="93">
        <f t="shared" si="38"/>
        <v>4428.9856000000009</v>
      </c>
      <c r="L166" s="93">
        <f>'2018'!P169</f>
        <v>1779.72</v>
      </c>
      <c r="M166" s="93">
        <f t="shared" si="39"/>
        <v>1850.9088000000002</v>
      </c>
      <c r="N166" s="10">
        <f t="shared" si="33"/>
        <v>136340.6</v>
      </c>
      <c r="O166" s="10">
        <f t="shared" si="34"/>
        <v>59000.774920000003</v>
      </c>
      <c r="P166" s="10">
        <f t="shared" si="35"/>
        <v>10312.307200000003</v>
      </c>
      <c r="Q166" s="10">
        <f t="shared" si="36"/>
        <v>116013.45600000003</v>
      </c>
      <c r="R166" s="10">
        <f t="shared" si="37"/>
        <v>321667.13812000002</v>
      </c>
      <c r="S166" s="10"/>
      <c r="T166" s="11"/>
      <c r="U166" s="10"/>
      <c r="V166" s="10"/>
      <c r="W166" s="42"/>
    </row>
    <row r="167" spans="1:23" ht="22.5" customHeight="1">
      <c r="A167" s="18" t="s">
        <v>389</v>
      </c>
      <c r="B167" s="15" t="s">
        <v>390</v>
      </c>
      <c r="C167" s="15" t="s">
        <v>391</v>
      </c>
      <c r="D167" s="15"/>
      <c r="E167" s="21">
        <v>10.332000000000001</v>
      </c>
      <c r="F167" s="21">
        <v>1.25</v>
      </c>
      <c r="G167" s="21">
        <v>0.49</v>
      </c>
      <c r="H167" s="21">
        <v>3.02</v>
      </c>
      <c r="I167" s="21">
        <f t="shared" si="32"/>
        <v>15.092000000000001</v>
      </c>
      <c r="J167" s="93">
        <f>'2018'!N170</f>
        <v>3507.9096</v>
      </c>
      <c r="K167" s="93">
        <f t="shared" si="38"/>
        <v>3648.2259840000002</v>
      </c>
      <c r="L167" s="93">
        <f>'2018'!P170</f>
        <v>1779.56</v>
      </c>
      <c r="M167" s="93">
        <f t="shared" si="39"/>
        <v>1850.7424000000001</v>
      </c>
      <c r="N167" s="10">
        <f t="shared" si="33"/>
        <v>17857.3080672</v>
      </c>
      <c r="O167" s="10">
        <f t="shared" si="34"/>
        <v>2160.4369999999999</v>
      </c>
      <c r="P167" s="10">
        <f t="shared" si="35"/>
        <v>880.76695616000006</v>
      </c>
      <c r="Q167" s="10">
        <f t="shared" si="36"/>
        <v>5428.4004236800001</v>
      </c>
      <c r="R167" s="10">
        <f t="shared" si="37"/>
        <v>26326.912447039998</v>
      </c>
      <c r="S167" s="10"/>
      <c r="T167" s="11"/>
      <c r="U167" s="10"/>
      <c r="V167" s="10"/>
      <c r="W167" s="42"/>
    </row>
    <row r="168" spans="1:23" ht="22.5" customHeight="1">
      <c r="A168" s="18" t="s">
        <v>381</v>
      </c>
      <c r="B168" s="15" t="s">
        <v>382</v>
      </c>
      <c r="C168" s="15" t="s">
        <v>383</v>
      </c>
      <c r="D168" s="15"/>
      <c r="E168" s="21">
        <v>50.088000000000001</v>
      </c>
      <c r="F168" s="21">
        <f>78.901-E168</f>
        <v>28.812999999999995</v>
      </c>
      <c r="G168" s="21">
        <v>8.9</v>
      </c>
      <c r="H168" s="21">
        <v>50.1</v>
      </c>
      <c r="I168" s="21">
        <f t="shared" si="32"/>
        <v>137.90100000000001</v>
      </c>
      <c r="J168" s="93">
        <f>'2018'!N171</f>
        <v>3619.46</v>
      </c>
      <c r="K168" s="93">
        <f t="shared" si="38"/>
        <v>3764.2384000000002</v>
      </c>
      <c r="L168" s="93">
        <f>'2018'!P171</f>
        <v>1577.03</v>
      </c>
      <c r="M168" s="93">
        <f t="shared" si="39"/>
        <v>1640.1112000000001</v>
      </c>
      <c r="N168" s="10">
        <f t="shared" si="33"/>
        <v>102301.23384</v>
      </c>
      <c r="O168" s="10">
        <f t="shared" si="34"/>
        <v>58848.535589999992</v>
      </c>
      <c r="P168" s="10">
        <f t="shared" si="35"/>
        <v>18904.732080000002</v>
      </c>
      <c r="Q168" s="10">
        <f t="shared" si="36"/>
        <v>106418.77271999999</v>
      </c>
      <c r="R168" s="10">
        <f t="shared" si="37"/>
        <v>286473.27422999998</v>
      </c>
      <c r="S168" s="10"/>
      <c r="T168" s="11"/>
      <c r="U168" s="10"/>
      <c r="V168" s="10"/>
      <c r="W168" s="42"/>
    </row>
    <row r="169" spans="1:23" ht="25.5" customHeight="1">
      <c r="A169" s="133" t="s">
        <v>240</v>
      </c>
      <c r="B169" s="133"/>
      <c r="C169" s="133"/>
      <c r="D169" s="133"/>
      <c r="E169" s="43"/>
      <c r="F169" s="43"/>
      <c r="G169" s="44"/>
      <c r="H169" s="44"/>
      <c r="I169" s="21">
        <f t="shared" si="32"/>
        <v>0</v>
      </c>
      <c r="J169" s="85"/>
      <c r="K169" s="85"/>
      <c r="L169" s="85"/>
      <c r="M169" s="85"/>
      <c r="N169" s="10">
        <f t="shared" si="33"/>
        <v>0</v>
      </c>
      <c r="O169" s="10">
        <f t="shared" si="34"/>
        <v>0</v>
      </c>
      <c r="P169" s="10">
        <f t="shared" si="35"/>
        <v>0</v>
      </c>
      <c r="Q169" s="10">
        <f t="shared" si="36"/>
        <v>0</v>
      </c>
      <c r="R169" s="10">
        <f t="shared" si="37"/>
        <v>0</v>
      </c>
      <c r="S169" s="10"/>
      <c r="T169" s="11"/>
      <c r="U169" s="10"/>
      <c r="V169" s="10"/>
      <c r="W169" s="45"/>
    </row>
    <row r="170" spans="1:23">
      <c r="A170" s="18" t="s">
        <v>238</v>
      </c>
      <c r="B170" s="15" t="s">
        <v>239</v>
      </c>
      <c r="C170" s="15" t="s">
        <v>241</v>
      </c>
      <c r="D170" s="15"/>
      <c r="E170" s="21">
        <v>6664.0249999999996</v>
      </c>
      <c r="F170" s="21">
        <f>2084.866+10.526+2050.69+132.816</f>
        <v>4278.8980000000001</v>
      </c>
      <c r="G170" s="21">
        <v>1739.1679999999999</v>
      </c>
      <c r="H170" s="21">
        <v>6648.7470000000003</v>
      </c>
      <c r="I170" s="21">
        <f t="shared" si="32"/>
        <v>19330.838</v>
      </c>
      <c r="J170" s="93">
        <f>'2018'!N173</f>
        <v>3671.45</v>
      </c>
      <c r="K170" s="93">
        <f t="shared" si="38"/>
        <v>3818.308</v>
      </c>
      <c r="L170" s="93">
        <f>'2018'!P173</f>
        <v>1160.7</v>
      </c>
      <c r="M170" s="93">
        <f t="shared" si="39"/>
        <v>1207.1280000000002</v>
      </c>
      <c r="N170" s="10">
        <f t="shared" si="33"/>
        <v>16731700.768749999</v>
      </c>
      <c r="O170" s="10">
        <f t="shared" si="34"/>
        <v>10743243.1535</v>
      </c>
      <c r="P170" s="10">
        <f t="shared" si="35"/>
        <v>4541280.6982399998</v>
      </c>
      <c r="Q170" s="10">
        <f t="shared" si="36"/>
        <v>17361075.191459998</v>
      </c>
      <c r="R170" s="10">
        <f t="shared" si="37"/>
        <v>49377299.811949998</v>
      </c>
      <c r="S170" s="10"/>
      <c r="T170" s="11"/>
      <c r="U170" s="10"/>
      <c r="V170" s="10"/>
      <c r="W170" s="42"/>
    </row>
    <row r="171" spans="1:23" ht="19.5" customHeight="1">
      <c r="A171" s="18" t="s">
        <v>242</v>
      </c>
      <c r="B171" s="15" t="s">
        <v>243</v>
      </c>
      <c r="C171" s="15" t="s">
        <v>244</v>
      </c>
      <c r="D171" s="15"/>
      <c r="E171" s="21">
        <v>3564.895</v>
      </c>
      <c r="F171" s="21">
        <f>1101.543+918.387+145.986</f>
        <v>2165.9159999999997</v>
      </c>
      <c r="G171" s="21">
        <v>433.959</v>
      </c>
      <c r="H171" s="21">
        <v>3093.2530000000002</v>
      </c>
      <c r="I171" s="21">
        <f t="shared" si="32"/>
        <v>9258.0229999999992</v>
      </c>
      <c r="J171" s="93">
        <f>'2018'!N174</f>
        <v>5260.16</v>
      </c>
      <c r="K171" s="93">
        <f t="shared" si="38"/>
        <v>5470.5663999999997</v>
      </c>
      <c r="L171" s="93">
        <f>'2018'!P174</f>
        <v>1369.63</v>
      </c>
      <c r="M171" s="93">
        <f t="shared" si="39"/>
        <v>1424.4152000000001</v>
      </c>
      <c r="N171" s="10">
        <f t="shared" si="33"/>
        <v>13869330.944349999</v>
      </c>
      <c r="O171" s="10">
        <f t="shared" si="34"/>
        <v>8426561.1754799988</v>
      </c>
      <c r="P171" s="10">
        <f t="shared" si="35"/>
        <v>1755863.7286007998</v>
      </c>
      <c r="Q171" s="10">
        <f t="shared" si="36"/>
        <v>12515769.337853599</v>
      </c>
      <c r="R171" s="10">
        <f t="shared" si="37"/>
        <v>36567525.186284393</v>
      </c>
      <c r="S171" s="10"/>
      <c r="T171" s="11"/>
      <c r="U171" s="10"/>
      <c r="V171" s="10"/>
      <c r="W171" s="42"/>
    </row>
    <row r="172" spans="1:23" ht="19.5" customHeight="1">
      <c r="A172" s="18" t="s">
        <v>245</v>
      </c>
      <c r="B172" s="15" t="s">
        <v>246</v>
      </c>
      <c r="C172" s="15" t="s">
        <v>247</v>
      </c>
      <c r="D172" s="15"/>
      <c r="E172" s="21">
        <v>4307.4539999999997</v>
      </c>
      <c r="F172" s="21">
        <f>1230.433+1189.735+208.157-0.157</f>
        <v>2628.1679999999997</v>
      </c>
      <c r="G172" s="21">
        <v>477.37200000000001</v>
      </c>
      <c r="H172" s="21">
        <v>3710.2420000000002</v>
      </c>
      <c r="I172" s="21">
        <f t="shared" si="32"/>
        <v>11123.236000000001</v>
      </c>
      <c r="J172" s="93">
        <f>'2018'!N175</f>
        <v>4001.02</v>
      </c>
      <c r="K172" s="93">
        <f t="shared" si="38"/>
        <v>4161.0608000000002</v>
      </c>
      <c r="L172" s="93">
        <f>'2018'!P175</f>
        <v>1400.62</v>
      </c>
      <c r="M172" s="93">
        <f t="shared" si="39"/>
        <v>1456.6448</v>
      </c>
      <c r="N172" s="10">
        <f t="shared" si="33"/>
        <v>11201103.3816</v>
      </c>
      <c r="O172" s="10">
        <f t="shared" si="34"/>
        <v>6834288.0671999995</v>
      </c>
      <c r="P172" s="10">
        <f t="shared" si="35"/>
        <v>1291012.4747520001</v>
      </c>
      <c r="Q172" s="10">
        <f t="shared" si="36"/>
        <v>10034037.828672001</v>
      </c>
      <c r="R172" s="10">
        <f t="shared" si="37"/>
        <v>29360441.752223998</v>
      </c>
      <c r="S172" s="10"/>
      <c r="T172" s="11"/>
      <c r="U172" s="10"/>
      <c r="V172" s="10"/>
      <c r="W172" s="42"/>
    </row>
    <row r="173" spans="1:23" ht="19.5" customHeight="1">
      <c r="A173" s="18" t="s">
        <v>248</v>
      </c>
      <c r="B173" s="15" t="s">
        <v>249</v>
      </c>
      <c r="C173" s="15" t="s">
        <v>250</v>
      </c>
      <c r="D173" s="15" t="s">
        <v>251</v>
      </c>
      <c r="E173" s="21">
        <v>188.685</v>
      </c>
      <c r="F173" s="21">
        <f>63.11+63.11+12.622</f>
        <v>138.84199999999998</v>
      </c>
      <c r="G173" s="21">
        <v>37.737000000000002</v>
      </c>
      <c r="H173" s="21">
        <v>188.685</v>
      </c>
      <c r="I173" s="21">
        <f t="shared" si="32"/>
        <v>553.94900000000007</v>
      </c>
      <c r="J173" s="93">
        <f>'2018'!N176</f>
        <v>4337.82</v>
      </c>
      <c r="K173" s="93">
        <f t="shared" si="38"/>
        <v>4511.3328000000001</v>
      </c>
      <c r="L173" s="93">
        <f>'2018'!P176</f>
        <v>1427.5528800000002</v>
      </c>
      <c r="M173" s="93">
        <f t="shared" si="39"/>
        <v>1484.6549952000003</v>
      </c>
      <c r="N173" s="10">
        <f t="shared" si="33"/>
        <v>549123.75153719995</v>
      </c>
      <c r="O173" s="10">
        <f t="shared" si="34"/>
        <v>404067.30747503991</v>
      </c>
      <c r="P173" s="10">
        <f t="shared" si="35"/>
        <v>114217.7403197376</v>
      </c>
      <c r="Q173" s="10">
        <f t="shared" si="36"/>
        <v>571088.70159868791</v>
      </c>
      <c r="R173" s="10">
        <f t="shared" si="37"/>
        <v>1638497.5009306655</v>
      </c>
      <c r="S173" s="10"/>
      <c r="T173" s="11"/>
      <c r="U173" s="10"/>
      <c r="V173" s="10"/>
      <c r="W173" s="42"/>
    </row>
    <row r="174" spans="1:23" ht="19.5" customHeight="1">
      <c r="A174" s="18" t="s">
        <v>248</v>
      </c>
      <c r="B174" s="15" t="s">
        <v>249</v>
      </c>
      <c r="C174" s="15" t="s">
        <v>250</v>
      </c>
      <c r="D174" s="15" t="s">
        <v>252</v>
      </c>
      <c r="E174" s="21">
        <v>65.046999999999997</v>
      </c>
      <c r="F174" s="21">
        <f>14.605+19.913+3.983</f>
        <v>38.500999999999998</v>
      </c>
      <c r="G174" s="21">
        <v>13.54</v>
      </c>
      <c r="H174" s="21">
        <v>64.17</v>
      </c>
      <c r="I174" s="21">
        <f t="shared" si="32"/>
        <v>181.25799999999998</v>
      </c>
      <c r="J174" s="93">
        <f>'2018'!N177</f>
        <v>4337.82</v>
      </c>
      <c r="K174" s="93">
        <f t="shared" si="38"/>
        <v>4511.3328000000001</v>
      </c>
      <c r="L174" s="93">
        <f>'2018'!P177</f>
        <v>1364.6830080000002</v>
      </c>
      <c r="M174" s="93">
        <f t="shared" si="39"/>
        <v>1419.2703283200003</v>
      </c>
      <c r="N174" s="10">
        <f t="shared" si="33"/>
        <v>193393.64191862397</v>
      </c>
      <c r="O174" s="10">
        <f t="shared" si="34"/>
        <v>114468.74732899199</v>
      </c>
      <c r="P174" s="10">
        <f t="shared" si="35"/>
        <v>41866.525866547192</v>
      </c>
      <c r="Q174" s="10">
        <f t="shared" si="36"/>
        <v>198417.64880770558</v>
      </c>
      <c r="R174" s="10">
        <f t="shared" si="37"/>
        <v>548146.56392186868</v>
      </c>
      <c r="S174" s="10"/>
      <c r="T174" s="11"/>
      <c r="U174" s="10"/>
      <c r="V174" s="10"/>
      <c r="W174" s="42"/>
    </row>
    <row r="175" spans="1:23" ht="19.5" customHeight="1">
      <c r="A175" s="18" t="s">
        <v>253</v>
      </c>
      <c r="B175" s="15" t="s">
        <v>254</v>
      </c>
      <c r="C175" s="15" t="s">
        <v>250</v>
      </c>
      <c r="D175" s="15"/>
      <c r="E175" s="21">
        <v>2979.2190000000001</v>
      </c>
      <c r="F175" s="21">
        <f>886.508+829.936+168.749</f>
        <v>1885.193</v>
      </c>
      <c r="G175" s="21">
        <v>383.42</v>
      </c>
      <c r="H175" s="21">
        <v>2734.0749999999998</v>
      </c>
      <c r="I175" s="21">
        <f t="shared" si="32"/>
        <v>7981.9070000000002</v>
      </c>
      <c r="J175" s="93">
        <f>'2018'!N178</f>
        <v>3940.99</v>
      </c>
      <c r="K175" s="93">
        <f t="shared" si="38"/>
        <v>4098.6296000000002</v>
      </c>
      <c r="L175" s="93">
        <f>'2018'!P178</f>
        <v>1400.62</v>
      </c>
      <c r="M175" s="93">
        <f t="shared" si="39"/>
        <v>1456.6448</v>
      </c>
      <c r="N175" s="10">
        <f t="shared" si="33"/>
        <v>7568318.5710300002</v>
      </c>
      <c r="O175" s="10">
        <f t="shared" si="34"/>
        <v>4789087.7414099993</v>
      </c>
      <c r="P175" s="10">
        <f t="shared" si="35"/>
        <v>1012989.8120160002</v>
      </c>
      <c r="Q175" s="10">
        <f t="shared" si="36"/>
        <v>7223384.5920599997</v>
      </c>
      <c r="R175" s="10">
        <f t="shared" si="37"/>
        <v>20593780.716516003</v>
      </c>
      <c r="S175" s="16"/>
      <c r="T175" s="16"/>
      <c r="U175" s="16"/>
      <c r="V175" s="16"/>
      <c r="W175" s="42"/>
    </row>
    <row r="176" spans="1:23" ht="19.5" customHeight="1">
      <c r="A176" s="18" t="s">
        <v>253</v>
      </c>
      <c r="B176" s="15" t="s">
        <v>254</v>
      </c>
      <c r="C176" s="15" t="s">
        <v>255</v>
      </c>
      <c r="D176" s="15"/>
      <c r="E176" s="21">
        <v>1404.845</v>
      </c>
      <c r="F176" s="21">
        <f>445.1+410.898+94.287</f>
        <v>950.28500000000008</v>
      </c>
      <c r="G176" s="21">
        <v>221.845</v>
      </c>
      <c r="H176" s="21">
        <v>1348.83</v>
      </c>
      <c r="I176" s="21">
        <f t="shared" si="32"/>
        <v>3925.8049999999998</v>
      </c>
      <c r="J176" s="93">
        <f>'2018'!N179</f>
        <v>4171.1499999999996</v>
      </c>
      <c r="K176" s="93">
        <f t="shared" si="38"/>
        <v>4337.9960000000001</v>
      </c>
      <c r="L176" s="93">
        <f>'2018'!P179</f>
        <v>1400.62</v>
      </c>
      <c r="M176" s="93">
        <f t="shared" si="39"/>
        <v>1456.6448</v>
      </c>
      <c r="N176" s="10">
        <f t="shared" si="33"/>
        <v>3892165.2178499997</v>
      </c>
      <c r="O176" s="10">
        <f t="shared" si="34"/>
        <v>2632793.1010500002</v>
      </c>
      <c r="P176" s="10">
        <f t="shared" si="35"/>
        <v>639213.35696400004</v>
      </c>
      <c r="Q176" s="10">
        <f t="shared" si="36"/>
        <v>3886452.939096</v>
      </c>
      <c r="R176" s="10">
        <f t="shared" si="37"/>
        <v>11050624.61496</v>
      </c>
      <c r="S176" s="10"/>
      <c r="T176" s="11"/>
      <c r="U176" s="10"/>
      <c r="V176" s="10"/>
      <c r="W176" s="42"/>
    </row>
    <row r="177" spans="1:23" ht="19.5" customHeight="1">
      <c r="A177" s="18" t="s">
        <v>253</v>
      </c>
      <c r="B177" s="15" t="s">
        <v>254</v>
      </c>
      <c r="C177" s="15" t="s">
        <v>21</v>
      </c>
      <c r="D177" s="15"/>
      <c r="E177" s="21">
        <v>1538.915</v>
      </c>
      <c r="F177" s="21">
        <f>493.195+478.979+105.46</f>
        <v>1077.634</v>
      </c>
      <c r="G177" s="21">
        <v>278.87400000000002</v>
      </c>
      <c r="H177" s="21">
        <v>1690.2560000000001</v>
      </c>
      <c r="I177" s="21">
        <f t="shared" si="32"/>
        <v>4585.6790000000001</v>
      </c>
      <c r="J177" s="93">
        <f>'2018'!N180</f>
        <v>3473.49</v>
      </c>
      <c r="K177" s="93">
        <f t="shared" si="38"/>
        <v>3612.4295999999999</v>
      </c>
      <c r="L177" s="93">
        <f>'2018'!P180</f>
        <v>1400.62</v>
      </c>
      <c r="M177" s="93">
        <f t="shared" si="39"/>
        <v>1456.6448</v>
      </c>
      <c r="N177" s="10">
        <f t="shared" si="33"/>
        <v>3189970.7360499999</v>
      </c>
      <c r="O177" s="10">
        <f t="shared" si="34"/>
        <v>2233795.18958</v>
      </c>
      <c r="P177" s="10">
        <f t="shared" si="35"/>
        <v>601192.33031520003</v>
      </c>
      <c r="Q177" s="10">
        <f t="shared" si="36"/>
        <v>3643828.1929088002</v>
      </c>
      <c r="R177" s="10">
        <f t="shared" si="37"/>
        <v>9668786.4488539994</v>
      </c>
      <c r="S177" s="10"/>
      <c r="T177" s="11"/>
      <c r="U177" s="10"/>
      <c r="V177" s="10"/>
      <c r="W177" s="42"/>
    </row>
    <row r="178" spans="1:23" ht="19.5" customHeight="1">
      <c r="A178" s="18" t="s">
        <v>256</v>
      </c>
      <c r="B178" s="15" t="s">
        <v>257</v>
      </c>
      <c r="C178" s="15" t="s">
        <v>247</v>
      </c>
      <c r="D178" s="15" t="s">
        <v>258</v>
      </c>
      <c r="E178" s="21">
        <v>475.00400000000002</v>
      </c>
      <c r="F178" s="21">
        <f>131.371+110.71+49.405</f>
        <v>291.48599999999999</v>
      </c>
      <c r="G178" s="21">
        <v>123.233</v>
      </c>
      <c r="H178" s="21">
        <v>452.09500000000003</v>
      </c>
      <c r="I178" s="21">
        <f t="shared" si="32"/>
        <v>1341.818</v>
      </c>
      <c r="J178" s="93">
        <f>'2018'!N181</f>
        <v>5718.41</v>
      </c>
      <c r="K178" s="93">
        <f t="shared" si="38"/>
        <v>5947.1463999999996</v>
      </c>
      <c r="L178" s="93">
        <f>'2018'!P181</f>
        <v>1400.62</v>
      </c>
      <c r="M178" s="93">
        <f t="shared" si="39"/>
        <v>1456.6448</v>
      </c>
      <c r="N178" s="10">
        <f t="shared" si="33"/>
        <v>2050967.52116</v>
      </c>
      <c r="O178" s="10">
        <f t="shared" si="34"/>
        <v>1258575.3359399999</v>
      </c>
      <c r="P178" s="10">
        <f t="shared" si="35"/>
        <v>553377.98367280001</v>
      </c>
      <c r="Q178" s="10">
        <f t="shared" si="36"/>
        <v>2030133.320852</v>
      </c>
      <c r="R178" s="10">
        <f t="shared" si="37"/>
        <v>5893054.1616247995</v>
      </c>
      <c r="S178" s="10"/>
      <c r="T178" s="11"/>
      <c r="U178" s="10"/>
      <c r="V178" s="10"/>
      <c r="W178" s="42"/>
    </row>
    <row r="179" spans="1:23" ht="19.5" customHeight="1">
      <c r="A179" s="18" t="s">
        <v>256</v>
      </c>
      <c r="B179" s="15" t="s">
        <v>257</v>
      </c>
      <c r="C179" s="15" t="s">
        <v>247</v>
      </c>
      <c r="D179" s="15" t="s">
        <v>259</v>
      </c>
      <c r="E179" s="21">
        <v>384.93599999999998</v>
      </c>
      <c r="F179" s="21">
        <f>128.313+128.313+25.663</f>
        <v>282.28899999999999</v>
      </c>
      <c r="G179" s="21">
        <v>93.045000000000002</v>
      </c>
      <c r="H179" s="21">
        <v>341.74700000000001</v>
      </c>
      <c r="I179" s="21">
        <f t="shared" si="32"/>
        <v>1102.0169999999998</v>
      </c>
      <c r="J179" s="93">
        <f>'2018'!N182</f>
        <v>5718.41</v>
      </c>
      <c r="K179" s="93">
        <f t="shared" si="38"/>
        <v>5947.1463999999996</v>
      </c>
      <c r="L179" s="93">
        <f>'2018'!P182</f>
        <v>1400.62</v>
      </c>
      <c r="M179" s="93">
        <f t="shared" si="39"/>
        <v>1456.6448</v>
      </c>
      <c r="N179" s="10">
        <f t="shared" si="33"/>
        <v>1662072.8114399998</v>
      </c>
      <c r="O179" s="10">
        <f t="shared" si="34"/>
        <v>1218864.6213099998</v>
      </c>
      <c r="P179" s="10">
        <f t="shared" si="35"/>
        <v>417818.72137199994</v>
      </c>
      <c r="Q179" s="10">
        <f t="shared" si="36"/>
        <v>1534615.4502951999</v>
      </c>
      <c r="R179" s="10">
        <f t="shared" si="37"/>
        <v>4833371.6044171993</v>
      </c>
      <c r="S179" s="10"/>
      <c r="T179" s="11"/>
      <c r="U179" s="10"/>
      <c r="V179" s="10"/>
      <c r="W179" s="42"/>
    </row>
    <row r="180" spans="1:23" ht="19.5" customHeight="1">
      <c r="A180" s="18" t="s">
        <v>260</v>
      </c>
      <c r="B180" s="15" t="s">
        <v>261</v>
      </c>
      <c r="C180" s="15" t="s">
        <v>262</v>
      </c>
      <c r="D180" s="15"/>
      <c r="E180" s="21">
        <v>2157.5250000000001</v>
      </c>
      <c r="F180" s="21">
        <f>719.175+719.175+143.835</f>
        <v>1582.1849999999999</v>
      </c>
      <c r="G180" s="21">
        <v>430.58</v>
      </c>
      <c r="H180" s="21">
        <v>2154.4670000000001</v>
      </c>
      <c r="I180" s="21">
        <f t="shared" si="32"/>
        <v>6324.7569999999996</v>
      </c>
      <c r="J180" s="93">
        <f>'2018'!N183</f>
        <v>4390.72</v>
      </c>
      <c r="K180" s="93">
        <f t="shared" si="38"/>
        <v>4566.3488000000007</v>
      </c>
      <c r="L180" s="93">
        <f>'2018'!P183</f>
        <v>1338.93</v>
      </c>
      <c r="M180" s="93">
        <f t="shared" si="39"/>
        <v>1392.4872</v>
      </c>
      <c r="N180" s="10">
        <f t="shared" si="33"/>
        <v>6584313.2197500002</v>
      </c>
      <c r="O180" s="10">
        <f t="shared" si="34"/>
        <v>4828496.3611499993</v>
      </c>
      <c r="P180" s="10">
        <f t="shared" si="35"/>
        <v>1366601.3277280002</v>
      </c>
      <c r="Q180" s="10">
        <f t="shared" si="36"/>
        <v>6837980.079767202</v>
      </c>
      <c r="R180" s="10">
        <f t="shared" si="37"/>
        <v>19617390.988395199</v>
      </c>
      <c r="S180" s="10"/>
      <c r="T180" s="11"/>
      <c r="U180" s="10"/>
      <c r="V180" s="10"/>
      <c r="W180" s="42"/>
    </row>
    <row r="181" spans="1:23" ht="19.5" customHeight="1">
      <c r="A181" s="18" t="s">
        <v>263</v>
      </c>
      <c r="B181" s="15" t="s">
        <v>264</v>
      </c>
      <c r="C181" s="15" t="s">
        <v>247</v>
      </c>
      <c r="D181" s="15"/>
      <c r="E181" s="21">
        <v>3389.6669999999999</v>
      </c>
      <c r="F181" s="21">
        <f>1081.701+1053.851+204.643</f>
        <v>2340.1950000000002</v>
      </c>
      <c r="G181" s="21">
        <v>606.77</v>
      </c>
      <c r="H181" s="21">
        <v>3374.7510000000002</v>
      </c>
      <c r="I181" s="21">
        <f t="shared" si="32"/>
        <v>9711.3829999999998</v>
      </c>
      <c r="J181" s="93">
        <f>'2018'!N184</f>
        <v>3174.84</v>
      </c>
      <c r="K181" s="93">
        <f t="shared" si="38"/>
        <v>3301.8336000000004</v>
      </c>
      <c r="L181" s="93">
        <f>'2018'!P184</f>
        <v>1400.62</v>
      </c>
      <c r="M181" s="93">
        <f t="shared" si="39"/>
        <v>1456.6448</v>
      </c>
      <c r="N181" s="10">
        <f t="shared" si="33"/>
        <v>6014014.9847400011</v>
      </c>
      <c r="O181" s="10">
        <f t="shared" si="34"/>
        <v>4152020.7729000007</v>
      </c>
      <c r="P181" s="10">
        <f t="shared" si="35"/>
        <v>1119605.2081760003</v>
      </c>
      <c r="Q181" s="10">
        <f t="shared" si="36"/>
        <v>6227052.7479888014</v>
      </c>
      <c r="R181" s="10">
        <f t="shared" si="37"/>
        <v>17512693.713804804</v>
      </c>
      <c r="S181" s="10"/>
      <c r="T181" s="11"/>
      <c r="U181" s="10"/>
      <c r="V181" s="10"/>
      <c r="W181" s="42"/>
    </row>
    <row r="182" spans="1:23" ht="19.5" customHeight="1">
      <c r="A182" s="18" t="s">
        <v>265</v>
      </c>
      <c r="B182" s="15" t="s">
        <v>266</v>
      </c>
      <c r="C182" s="15" t="s">
        <v>247</v>
      </c>
      <c r="D182" s="15"/>
      <c r="E182" s="21">
        <v>1109.24</v>
      </c>
      <c r="F182" s="21">
        <f>346.533+383.71+62.69</f>
        <v>792.93299999999999</v>
      </c>
      <c r="G182" s="21">
        <v>228.94499999999999</v>
      </c>
      <c r="H182" s="21">
        <v>1165.2339999999999</v>
      </c>
      <c r="I182" s="21">
        <f t="shared" si="32"/>
        <v>3296.3519999999999</v>
      </c>
      <c r="J182" s="93">
        <f>'2018'!N185</f>
        <v>3849.32</v>
      </c>
      <c r="K182" s="93">
        <f t="shared" si="38"/>
        <v>4003.2928000000002</v>
      </c>
      <c r="L182" s="93">
        <f>'2018'!P185</f>
        <v>1411.39</v>
      </c>
      <c r="M182" s="93">
        <f t="shared" si="39"/>
        <v>1467.8456000000001</v>
      </c>
      <c r="N182" s="10">
        <f t="shared" si="33"/>
        <v>2704249.4732000004</v>
      </c>
      <c r="O182" s="10">
        <f t="shared" si="34"/>
        <v>1933115.1486900002</v>
      </c>
      <c r="P182" s="10">
        <f t="shared" si="35"/>
        <v>580477.95920399996</v>
      </c>
      <c r="Q182" s="10">
        <f t="shared" si="36"/>
        <v>2954389.2826447999</v>
      </c>
      <c r="R182" s="10">
        <f t="shared" si="37"/>
        <v>8172231.8637388004</v>
      </c>
      <c r="S182" s="10"/>
      <c r="T182" s="11"/>
      <c r="U182" s="10"/>
      <c r="V182" s="10"/>
      <c r="W182" s="42"/>
    </row>
    <row r="183" spans="1:23" ht="19.5" customHeight="1">
      <c r="A183" s="18" t="s">
        <v>267</v>
      </c>
      <c r="B183" s="15" t="s">
        <v>268</v>
      </c>
      <c r="C183" s="15" t="s">
        <v>269</v>
      </c>
      <c r="D183" s="15"/>
      <c r="E183" s="21">
        <v>2815.26</v>
      </c>
      <c r="F183" s="21">
        <f>938.42+938.42+187.684</f>
        <v>2064.5239999999999</v>
      </c>
      <c r="G183" s="21">
        <v>563.05200000000002</v>
      </c>
      <c r="H183" s="21">
        <v>2815.26</v>
      </c>
      <c r="I183" s="21">
        <f t="shared" si="32"/>
        <v>8258.0959999999995</v>
      </c>
      <c r="J183" s="93">
        <f>'2018'!N186</f>
        <v>4097</v>
      </c>
      <c r="K183" s="93">
        <f t="shared" si="38"/>
        <v>4260.88</v>
      </c>
      <c r="L183" s="93">
        <f>'2018'!P186</f>
        <v>1338.93</v>
      </c>
      <c r="M183" s="93">
        <f t="shared" si="39"/>
        <v>1392.4872</v>
      </c>
      <c r="N183" s="10">
        <f t="shared" si="33"/>
        <v>7764684.1481999997</v>
      </c>
      <c r="O183" s="10">
        <f t="shared" si="34"/>
        <v>5694101.7086799992</v>
      </c>
      <c r="P183" s="10">
        <f t="shared" si="35"/>
        <v>1615054.3028256001</v>
      </c>
      <c r="Q183" s="10">
        <f t="shared" si="36"/>
        <v>8075271.5141280005</v>
      </c>
      <c r="R183" s="10">
        <f t="shared" si="37"/>
        <v>23149111.673833597</v>
      </c>
      <c r="S183" s="10"/>
      <c r="T183" s="11"/>
      <c r="U183" s="10"/>
      <c r="V183" s="10"/>
      <c r="W183" s="42"/>
    </row>
    <row r="184" spans="1:23" ht="19.5" customHeight="1">
      <c r="A184" s="18" t="s">
        <v>55</v>
      </c>
      <c r="B184" s="15" t="s">
        <v>56</v>
      </c>
      <c r="C184" s="15" t="s">
        <v>270</v>
      </c>
      <c r="D184" s="15"/>
      <c r="E184" s="21">
        <v>2847.0590000000002</v>
      </c>
      <c r="F184" s="21">
        <f>839.562+802.092+40.965</f>
        <v>1682.6189999999999</v>
      </c>
      <c r="G184" s="21">
        <v>970.52300000000002</v>
      </c>
      <c r="H184" s="21">
        <v>2783.665</v>
      </c>
      <c r="I184" s="21">
        <f t="shared" si="32"/>
        <v>8283.866</v>
      </c>
      <c r="J184" s="93">
        <f>'2018'!N187</f>
        <v>5556.98</v>
      </c>
      <c r="K184" s="93">
        <f t="shared" si="38"/>
        <v>5779.2591999999995</v>
      </c>
      <c r="L184" s="93">
        <f>'2018'!P187</f>
        <v>1338.93</v>
      </c>
      <c r="M184" s="93">
        <f t="shared" si="39"/>
        <v>1392.4872</v>
      </c>
      <c r="N184" s="10">
        <f t="shared" si="33"/>
        <v>12009037.214949999</v>
      </c>
      <c r="O184" s="10">
        <f t="shared" si="34"/>
        <v>7097371.0729499981</v>
      </c>
      <c r="P184" s="10">
        <f t="shared" si="35"/>
        <v>4257463.1217559995</v>
      </c>
      <c r="Q184" s="10">
        <f t="shared" si="36"/>
        <v>12211303.679379998</v>
      </c>
      <c r="R184" s="10">
        <f t="shared" si="37"/>
        <v>35575175.089035995</v>
      </c>
      <c r="S184" s="10"/>
      <c r="T184" s="11"/>
      <c r="U184" s="10"/>
      <c r="V184" s="10"/>
      <c r="W184" s="42"/>
    </row>
    <row r="185" spans="1:23" s="29" customFormat="1" ht="27" customHeight="1">
      <c r="A185" s="22" t="s">
        <v>446</v>
      </c>
      <c r="B185" s="72" t="s">
        <v>447</v>
      </c>
      <c r="C185" s="72" t="s">
        <v>270</v>
      </c>
      <c r="D185" s="15"/>
      <c r="E185" s="21">
        <v>53.567999999999998</v>
      </c>
      <c r="F185" s="21">
        <v>35.712000000000003</v>
      </c>
      <c r="G185" s="21">
        <v>14.144</v>
      </c>
      <c r="H185" s="21">
        <v>56.576000000000001</v>
      </c>
      <c r="I185" s="21">
        <f t="shared" si="32"/>
        <v>160</v>
      </c>
      <c r="J185" s="93">
        <f>'2018'!N188</f>
        <v>1709.46</v>
      </c>
      <c r="K185" s="93">
        <f t="shared" ref="K185" si="40">J185*1.04</f>
        <v>1777.8384000000001</v>
      </c>
      <c r="L185" s="93">
        <f>'2018'!P188</f>
        <v>1068.52</v>
      </c>
      <c r="M185" s="93">
        <f t="shared" ref="M185" si="41">L185*1.04</f>
        <v>1111.2608</v>
      </c>
      <c r="N185" s="10">
        <f t="shared" si="33"/>
        <v>34333.873919999998</v>
      </c>
      <c r="O185" s="10">
        <f t="shared" si="34"/>
        <v>22889.249280000004</v>
      </c>
      <c r="P185" s="10">
        <f t="shared" si="35"/>
        <v>9428.0735744000012</v>
      </c>
      <c r="Q185" s="10">
        <f t="shared" si="36"/>
        <v>37712.294297600005</v>
      </c>
      <c r="R185" s="10">
        <f t="shared" si="37"/>
        <v>104363.491072</v>
      </c>
      <c r="S185" s="10"/>
      <c r="T185" s="11"/>
      <c r="U185" s="10"/>
      <c r="V185" s="10"/>
      <c r="W185" s="42"/>
    </row>
    <row r="186" spans="1:23" ht="24.75" customHeight="1">
      <c r="A186" s="28" t="s">
        <v>415</v>
      </c>
      <c r="B186" s="27" t="s">
        <v>414</v>
      </c>
      <c r="C186" s="15" t="s">
        <v>373</v>
      </c>
      <c r="D186" s="15" t="s">
        <v>374</v>
      </c>
      <c r="E186" s="21">
        <v>622.63599999999997</v>
      </c>
      <c r="F186" s="21">
        <v>375.92200000000003</v>
      </c>
      <c r="G186" s="21">
        <v>194.36600000000001</v>
      </c>
      <c r="H186" s="21">
        <v>622.63599999999997</v>
      </c>
      <c r="I186" s="21">
        <f t="shared" si="32"/>
        <v>1815.56</v>
      </c>
      <c r="J186" s="93">
        <f>'2018'!N189</f>
        <v>3202.29</v>
      </c>
      <c r="K186" s="93">
        <f t="shared" si="38"/>
        <v>3330.3816000000002</v>
      </c>
      <c r="L186" s="93">
        <f>'2018'!P189</f>
        <v>1134.69</v>
      </c>
      <c r="M186" s="93">
        <f t="shared" si="39"/>
        <v>1180.0776000000001</v>
      </c>
      <c r="N186" s="10">
        <f t="shared" si="33"/>
        <v>1287362.1935999999</v>
      </c>
      <c r="O186" s="10">
        <f t="shared" si="34"/>
        <v>777256.32720000006</v>
      </c>
      <c r="P186" s="10">
        <f t="shared" si="35"/>
        <v>417945.98726400005</v>
      </c>
      <c r="Q186" s="10">
        <f t="shared" si="36"/>
        <v>1338856.6813439999</v>
      </c>
      <c r="R186" s="10">
        <f t="shared" si="37"/>
        <v>3821421.1894079996</v>
      </c>
      <c r="S186" s="10"/>
      <c r="T186" s="11"/>
      <c r="U186" s="10"/>
      <c r="V186" s="10"/>
      <c r="W186" s="42"/>
    </row>
    <row r="187" spans="1:23" ht="26.25" customHeight="1">
      <c r="A187" s="133" t="s">
        <v>273</v>
      </c>
      <c r="B187" s="133"/>
      <c r="C187" s="133"/>
      <c r="D187" s="133"/>
      <c r="E187" s="43"/>
      <c r="F187" s="43"/>
      <c r="G187" s="44"/>
      <c r="H187" s="44"/>
      <c r="I187" s="21">
        <f t="shared" si="32"/>
        <v>0</v>
      </c>
      <c r="J187" s="85"/>
      <c r="K187" s="85"/>
      <c r="L187" s="85"/>
      <c r="M187" s="85"/>
      <c r="N187" s="10">
        <f t="shared" si="33"/>
        <v>0</v>
      </c>
      <c r="O187" s="10">
        <f t="shared" si="34"/>
        <v>0</v>
      </c>
      <c r="P187" s="10">
        <f t="shared" si="35"/>
        <v>0</v>
      </c>
      <c r="Q187" s="10">
        <f t="shared" si="36"/>
        <v>0</v>
      </c>
      <c r="R187" s="10">
        <f t="shared" si="37"/>
        <v>0</v>
      </c>
      <c r="S187" s="10"/>
      <c r="T187" s="11"/>
      <c r="U187" s="10"/>
      <c r="V187" s="10"/>
      <c r="W187" s="45"/>
    </row>
    <row r="188" spans="1:23" ht="26.25" customHeight="1">
      <c r="A188" s="18" t="s">
        <v>271</v>
      </c>
      <c r="B188" s="15" t="s">
        <v>272</v>
      </c>
      <c r="C188" s="15" t="s">
        <v>274</v>
      </c>
      <c r="D188" s="15"/>
      <c r="E188" s="21">
        <v>1844.056</v>
      </c>
      <c r="F188" s="21">
        <f>601.302+405.153</f>
        <v>1006.455</v>
      </c>
      <c r="G188" s="21">
        <v>405.67399999999998</v>
      </c>
      <c r="H188" s="21">
        <v>1818.434</v>
      </c>
      <c r="I188" s="21">
        <f t="shared" si="32"/>
        <v>5074.6189999999997</v>
      </c>
      <c r="J188" s="93">
        <f>'2018'!N191</f>
        <v>4370.4399999999996</v>
      </c>
      <c r="K188" s="93">
        <f t="shared" si="38"/>
        <v>4545.2575999999999</v>
      </c>
      <c r="L188" s="93">
        <f>'2018'!P191</f>
        <v>1901.041792</v>
      </c>
      <c r="M188" s="93">
        <f t="shared" si="39"/>
        <v>1977.08346368</v>
      </c>
      <c r="N188" s="10">
        <f t="shared" si="33"/>
        <v>4553708.5818516472</v>
      </c>
      <c r="O188" s="10">
        <f t="shared" si="34"/>
        <v>2485338.1734326398</v>
      </c>
      <c r="P188" s="10">
        <f t="shared" si="35"/>
        <v>1041841.4745774795</v>
      </c>
      <c r="Q188" s="10">
        <f t="shared" si="36"/>
        <v>4670055.1674049227</v>
      </c>
      <c r="R188" s="10">
        <f t="shared" si="37"/>
        <v>12750943.39726669</v>
      </c>
      <c r="S188" s="10"/>
      <c r="T188" s="11"/>
      <c r="U188" s="10"/>
      <c r="V188" s="10"/>
      <c r="W188" s="42"/>
    </row>
    <row r="189" spans="1:23" ht="26.25" customHeight="1">
      <c r="A189" s="18" t="s">
        <v>275</v>
      </c>
      <c r="B189" s="15" t="s">
        <v>276</v>
      </c>
      <c r="C189" s="15" t="s">
        <v>274</v>
      </c>
      <c r="D189" s="15"/>
      <c r="E189" s="21">
        <v>2387.1410000000001</v>
      </c>
      <c r="F189" s="21">
        <f>787.394+531.314</f>
        <v>1318.7080000000001</v>
      </c>
      <c r="G189" s="21">
        <v>507.90899999999999</v>
      </c>
      <c r="H189" s="21">
        <f>2869.445-G189</f>
        <v>2361.5360000000001</v>
      </c>
      <c r="I189" s="21">
        <f t="shared" si="32"/>
        <v>6575.2939999999999</v>
      </c>
      <c r="J189" s="93">
        <f>'2018'!N192</f>
        <v>3763.7704000000003</v>
      </c>
      <c r="K189" s="93">
        <f t="shared" si="38"/>
        <v>3914.3212160000003</v>
      </c>
      <c r="L189" s="93">
        <f>'2018'!P192</f>
        <v>1901.041792</v>
      </c>
      <c r="M189" s="93">
        <f t="shared" si="39"/>
        <v>1977.08346368</v>
      </c>
      <c r="N189" s="10">
        <f t="shared" si="33"/>
        <v>4446595.8320297292</v>
      </c>
      <c r="O189" s="10">
        <f t="shared" si="34"/>
        <v>2456395.1171984645</v>
      </c>
      <c r="P189" s="10">
        <f t="shared" si="35"/>
        <v>983940.48954309896</v>
      </c>
      <c r="Q189" s="10">
        <f t="shared" si="36"/>
        <v>4574856.6926627643</v>
      </c>
      <c r="R189" s="10">
        <f t="shared" si="37"/>
        <v>12461788.131434057</v>
      </c>
      <c r="S189" s="10"/>
      <c r="T189" s="11"/>
      <c r="U189" s="10"/>
      <c r="V189" s="10"/>
      <c r="W189" s="42"/>
    </row>
    <row r="190" spans="1:23" ht="26.25" customHeight="1">
      <c r="A190" s="18" t="s">
        <v>275</v>
      </c>
      <c r="B190" s="15" t="s">
        <v>276</v>
      </c>
      <c r="C190" s="15" t="s">
        <v>277</v>
      </c>
      <c r="D190" s="15"/>
      <c r="E190" s="21">
        <v>551.23699999999997</v>
      </c>
      <c r="F190" s="21">
        <f>184.474+124.962</f>
        <v>309.43599999999998</v>
      </c>
      <c r="G190" s="21">
        <v>112.536</v>
      </c>
      <c r="H190" s="21">
        <f>664.867-G190</f>
        <v>552.3309999999999</v>
      </c>
      <c r="I190" s="21">
        <f t="shared" si="32"/>
        <v>1525.54</v>
      </c>
      <c r="J190" s="93">
        <f>'2018'!N193</f>
        <v>3763.7704000000003</v>
      </c>
      <c r="K190" s="93">
        <f t="shared" si="38"/>
        <v>3914.3212160000003</v>
      </c>
      <c r="L190" s="93">
        <f>'2018'!P193</f>
        <v>1901.041792</v>
      </c>
      <c r="M190" s="93">
        <f t="shared" si="39"/>
        <v>1977.08346368</v>
      </c>
      <c r="N190" s="10">
        <f t="shared" si="33"/>
        <v>1026804.9296880962</v>
      </c>
      <c r="O190" s="10">
        <f t="shared" si="34"/>
        <v>576395.28954508808</v>
      </c>
      <c r="P190" s="10">
        <f t="shared" si="35"/>
        <v>218008.98769508355</v>
      </c>
      <c r="Q190" s="10">
        <f t="shared" si="36"/>
        <v>1069996.4649766579</v>
      </c>
      <c r="R190" s="10">
        <f t="shared" si="37"/>
        <v>2891205.6719049253</v>
      </c>
      <c r="S190" s="10"/>
      <c r="T190" s="11"/>
      <c r="U190" s="10"/>
      <c r="V190" s="10"/>
      <c r="W190" s="42"/>
    </row>
    <row r="191" spans="1:23" ht="26.25" customHeight="1">
      <c r="A191" s="18" t="s">
        <v>49</v>
      </c>
      <c r="B191" s="15" t="s">
        <v>50</v>
      </c>
      <c r="C191" s="15" t="s">
        <v>278</v>
      </c>
      <c r="D191" s="15"/>
      <c r="E191" s="21">
        <v>102.798</v>
      </c>
      <c r="F191" s="21">
        <f>34.266+23.212</f>
        <v>57.477999999999994</v>
      </c>
      <c r="G191" s="21">
        <v>21.702000000000002</v>
      </c>
      <c r="H191" s="21">
        <v>102.798</v>
      </c>
      <c r="I191" s="21">
        <f t="shared" si="32"/>
        <v>284.77600000000001</v>
      </c>
      <c r="J191" s="93">
        <f>'2018'!N194</f>
        <v>5064.1759999999995</v>
      </c>
      <c r="K191" s="93">
        <f t="shared" si="38"/>
        <v>5266.7430399999994</v>
      </c>
      <c r="L191" s="93">
        <f>'2018'!P194</f>
        <v>1542.102016</v>
      </c>
      <c r="M191" s="93">
        <f t="shared" si="39"/>
        <v>1603.7860966400001</v>
      </c>
      <c r="N191" s="10">
        <f t="shared" si="33"/>
        <v>362062.16140723199</v>
      </c>
      <c r="O191" s="10">
        <f t="shared" si="34"/>
        <v>202441.76845235197</v>
      </c>
      <c r="P191" s="10">
        <f t="shared" si="35"/>
        <v>79493.491584798699</v>
      </c>
      <c r="Q191" s="10">
        <f t="shared" si="36"/>
        <v>376544.64786352118</v>
      </c>
      <c r="R191" s="10">
        <f t="shared" si="37"/>
        <v>1020542.0693079038</v>
      </c>
      <c r="S191" s="10"/>
      <c r="T191" s="11"/>
      <c r="U191" s="10"/>
      <c r="V191" s="10"/>
      <c r="W191" s="42"/>
    </row>
    <row r="192" spans="1:23" ht="26.25" customHeight="1">
      <c r="A192" s="18" t="s">
        <v>49</v>
      </c>
      <c r="B192" s="15" t="s">
        <v>50</v>
      </c>
      <c r="C192" s="15" t="s">
        <v>279</v>
      </c>
      <c r="D192" s="15" t="s">
        <v>280</v>
      </c>
      <c r="E192" s="21">
        <v>67.391999999999996</v>
      </c>
      <c r="F192" s="21">
        <f>22.464+18.116</f>
        <v>40.58</v>
      </c>
      <c r="G192" s="21">
        <v>11.808999999999999</v>
      </c>
      <c r="H192" s="21">
        <v>64.63</v>
      </c>
      <c r="I192" s="21">
        <f t="shared" si="32"/>
        <v>184.411</v>
      </c>
      <c r="J192" s="93">
        <f>'2018'!N195</f>
        <v>5236.54</v>
      </c>
      <c r="K192" s="93">
        <f t="shared" si="38"/>
        <v>5446.0016000000005</v>
      </c>
      <c r="L192" s="93">
        <f>'2018'!P195</f>
        <v>1542.102016</v>
      </c>
      <c r="M192" s="93">
        <f t="shared" si="39"/>
        <v>1603.7860966400001</v>
      </c>
      <c r="N192" s="10">
        <f t="shared" si="33"/>
        <v>248975.564617728</v>
      </c>
      <c r="O192" s="10">
        <f t="shared" si="34"/>
        <v>149920.29339072001</v>
      </c>
      <c r="P192" s="10">
        <f t="shared" si="35"/>
        <v>45372.72287917824</v>
      </c>
      <c r="Q192" s="10">
        <f t="shared" si="36"/>
        <v>248322.3879821568</v>
      </c>
      <c r="R192" s="10">
        <f t="shared" si="37"/>
        <v>692590.9688697831</v>
      </c>
      <c r="S192" s="10"/>
      <c r="T192" s="11"/>
      <c r="U192" s="10"/>
      <c r="V192" s="10"/>
      <c r="W192" s="42"/>
    </row>
    <row r="193" spans="1:186" ht="26.25" customHeight="1">
      <c r="A193" s="18" t="s">
        <v>49</v>
      </c>
      <c r="B193" s="15" t="s">
        <v>50</v>
      </c>
      <c r="C193" s="15" t="s">
        <v>279</v>
      </c>
      <c r="D193" s="15" t="s">
        <v>281</v>
      </c>
      <c r="E193" s="21">
        <v>191.18700000000001</v>
      </c>
      <c r="F193" s="21">
        <f>63.729+51.394</f>
        <v>115.12299999999999</v>
      </c>
      <c r="G193" s="21">
        <v>21.242999999999999</v>
      </c>
      <c r="H193" s="21">
        <v>191.18700000000001</v>
      </c>
      <c r="I193" s="21">
        <f t="shared" si="32"/>
        <v>518.74</v>
      </c>
      <c r="J193" s="93">
        <f>'2018'!N196</f>
        <v>4923.7</v>
      </c>
      <c r="K193" s="93">
        <f t="shared" si="38"/>
        <v>5120.6480000000001</v>
      </c>
      <c r="L193" s="93">
        <f>'2018'!P196</f>
        <v>1542.102016</v>
      </c>
      <c r="M193" s="93">
        <f t="shared" si="39"/>
        <v>1603.7860966400001</v>
      </c>
      <c r="N193" s="10">
        <f t="shared" si="33"/>
        <v>646517.57376700803</v>
      </c>
      <c r="O193" s="10">
        <f t="shared" si="34"/>
        <v>389299.70471203199</v>
      </c>
      <c r="P193" s="10">
        <f t="shared" si="35"/>
        <v>74708.697413076472</v>
      </c>
      <c r="Q193" s="10">
        <f t="shared" si="36"/>
        <v>672378.27671768831</v>
      </c>
      <c r="R193" s="10">
        <f t="shared" si="37"/>
        <v>1782904.2526098047</v>
      </c>
      <c r="S193" s="10"/>
      <c r="T193" s="11"/>
      <c r="U193" s="10"/>
      <c r="V193" s="10"/>
      <c r="W193" s="42"/>
    </row>
    <row r="194" spans="1:186" ht="26.25" customHeight="1">
      <c r="A194" s="18" t="s">
        <v>49</v>
      </c>
      <c r="B194" s="15" t="s">
        <v>50</v>
      </c>
      <c r="C194" s="15" t="s">
        <v>32</v>
      </c>
      <c r="D194" s="15"/>
      <c r="E194" s="21">
        <v>76.650000000000006</v>
      </c>
      <c r="F194" s="21">
        <f>23.901+16.755</f>
        <v>40.655999999999999</v>
      </c>
      <c r="G194" s="21">
        <v>14.166</v>
      </c>
      <c r="H194" s="21">
        <v>72.103999999999999</v>
      </c>
      <c r="I194" s="21">
        <f t="shared" si="32"/>
        <v>203.57600000000002</v>
      </c>
      <c r="J194" s="93">
        <f>'2018'!N197</f>
        <v>4352.1192000000001</v>
      </c>
      <c r="K194" s="93">
        <f t="shared" si="38"/>
        <v>4526.2039679999998</v>
      </c>
      <c r="L194" s="93">
        <f>'2018'!P197</f>
        <v>1208.6339200000002</v>
      </c>
      <c r="M194" s="93">
        <f t="shared" si="39"/>
        <v>1256.9792768000002</v>
      </c>
      <c r="N194" s="10">
        <f t="shared" si="33"/>
        <v>240948.14671200002</v>
      </c>
      <c r="O194" s="10">
        <f t="shared" si="34"/>
        <v>127801.53754367999</v>
      </c>
      <c r="P194" s="10">
        <f t="shared" si="35"/>
        <v>46311.836975539198</v>
      </c>
      <c r="Q194" s="10">
        <f t="shared" si="36"/>
        <v>235724.17713428478</v>
      </c>
      <c r="R194" s="10">
        <f t="shared" si="37"/>
        <v>650785.69836550404</v>
      </c>
      <c r="S194" s="16"/>
      <c r="T194" s="16"/>
      <c r="U194" s="16"/>
      <c r="V194" s="16"/>
      <c r="W194" s="42"/>
    </row>
    <row r="195" spans="1:186" s="6" customFormat="1" ht="27.75" customHeight="1">
      <c r="A195" s="146" t="s">
        <v>282</v>
      </c>
      <c r="B195" s="147"/>
      <c r="C195" s="148"/>
      <c r="D195" s="56"/>
      <c r="E195" s="43"/>
      <c r="F195" s="43"/>
      <c r="G195" s="57"/>
      <c r="H195" s="44"/>
      <c r="I195" s="21">
        <f t="shared" si="32"/>
        <v>0</v>
      </c>
      <c r="J195" s="93"/>
      <c r="K195" s="93"/>
      <c r="L195" s="82"/>
      <c r="M195" s="82"/>
      <c r="N195" s="10">
        <f t="shared" si="33"/>
        <v>0</v>
      </c>
      <c r="O195" s="10">
        <f t="shared" si="34"/>
        <v>0</v>
      </c>
      <c r="P195" s="10">
        <f t="shared" si="35"/>
        <v>0</v>
      </c>
      <c r="Q195" s="10">
        <f t="shared" si="36"/>
        <v>0</v>
      </c>
      <c r="R195" s="10">
        <f t="shared" si="37"/>
        <v>0</v>
      </c>
      <c r="S195" s="10"/>
      <c r="T195" s="11"/>
      <c r="U195" s="10"/>
      <c r="V195" s="10"/>
      <c r="W195" s="58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</row>
    <row r="196" spans="1:186" s="6" customFormat="1" ht="21" customHeight="1">
      <c r="A196" s="28" t="s">
        <v>283</v>
      </c>
      <c r="B196" s="27" t="s">
        <v>284</v>
      </c>
      <c r="C196" s="27" t="s">
        <v>285</v>
      </c>
      <c r="D196" s="27"/>
      <c r="E196" s="21">
        <f>25396.879-355.314</f>
        <v>25041.565000000002</v>
      </c>
      <c r="F196" s="21">
        <f>7801.828+7606.198+1106.114</f>
        <v>16514.140000000003</v>
      </c>
      <c r="G196" s="21">
        <v>4319.2740000000003</v>
      </c>
      <c r="H196" s="21">
        <f>30267.294-G196</f>
        <v>25948.02</v>
      </c>
      <c r="I196" s="21">
        <f t="shared" si="32"/>
        <v>71822.998999999996</v>
      </c>
      <c r="J196" s="93">
        <f>'2018'!N199</f>
        <v>3378.6687999999999</v>
      </c>
      <c r="K196" s="93">
        <f t="shared" si="38"/>
        <v>3513.815552</v>
      </c>
      <c r="L196" s="83">
        <f>'2018'!P199</f>
        <v>1406.1989759999999</v>
      </c>
      <c r="M196" s="83">
        <f t="shared" si="39"/>
        <v>1462.44693504</v>
      </c>
      <c r="N196" s="10">
        <f t="shared" si="33"/>
        <v>49393731.308234565</v>
      </c>
      <c r="O196" s="10">
        <f t="shared" si="34"/>
        <v>32573642.819311365</v>
      </c>
      <c r="P196" s="10">
        <f t="shared" si="35"/>
        <v>8860423.1316512879</v>
      </c>
      <c r="Q196" s="10">
        <f t="shared" si="36"/>
        <v>53228953.90025042</v>
      </c>
      <c r="R196" s="10">
        <f t="shared" si="37"/>
        <v>144056751.15944761</v>
      </c>
      <c r="S196" s="10"/>
      <c r="T196" s="11"/>
      <c r="U196" s="10"/>
      <c r="V196" s="10"/>
      <c r="W196" s="59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</row>
    <row r="197" spans="1:186" s="6" customFormat="1" ht="21" customHeight="1">
      <c r="A197" s="28" t="s">
        <v>283</v>
      </c>
      <c r="B197" s="27" t="s">
        <v>284</v>
      </c>
      <c r="C197" s="27" t="s">
        <v>286</v>
      </c>
      <c r="D197" s="27"/>
      <c r="E197" s="21">
        <v>1141.4159999999999</v>
      </c>
      <c r="F197" s="21">
        <f>419.971+390.011+2.421</f>
        <v>812.40300000000002</v>
      </c>
      <c r="G197" s="21">
        <v>371.84800000000001</v>
      </c>
      <c r="H197" s="21">
        <f>1501.788-G197</f>
        <v>1129.94</v>
      </c>
      <c r="I197" s="21">
        <f t="shared" si="32"/>
        <v>3455.607</v>
      </c>
      <c r="J197" s="93">
        <f>'2018'!N200</f>
        <v>3378.6687999999999</v>
      </c>
      <c r="K197" s="93">
        <f t="shared" si="38"/>
        <v>3513.815552</v>
      </c>
      <c r="L197" s="83">
        <f>'2018'!P200</f>
        <v>1406.1989759999999</v>
      </c>
      <c r="M197" s="83">
        <f t="shared" si="39"/>
        <v>1462.44693504</v>
      </c>
      <c r="N197" s="10">
        <f t="shared" si="33"/>
        <v>2251408.6166307838</v>
      </c>
      <c r="O197" s="10">
        <f t="shared" si="34"/>
        <v>1602440.4024270719</v>
      </c>
      <c r="P197" s="10">
        <f t="shared" si="35"/>
        <v>762797.31747934211</v>
      </c>
      <c r="Q197" s="10">
        <f t="shared" si="36"/>
        <v>2317923.4550477825</v>
      </c>
      <c r="R197" s="10">
        <f t="shared" si="37"/>
        <v>6934569.7915849807</v>
      </c>
      <c r="S197" s="10"/>
      <c r="T197" s="11"/>
      <c r="U197" s="10"/>
      <c r="V197" s="10"/>
      <c r="W197" s="59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</row>
    <row r="198" spans="1:186" s="6" customFormat="1" ht="21" customHeight="1">
      <c r="A198" s="28" t="s">
        <v>154</v>
      </c>
      <c r="B198" s="27" t="s">
        <v>155</v>
      </c>
      <c r="C198" s="27" t="s">
        <v>287</v>
      </c>
      <c r="D198" s="27"/>
      <c r="E198" s="21">
        <v>415.76100000000002</v>
      </c>
      <c r="F198" s="21">
        <f>138.587+138.587+41.576</f>
        <v>318.75</v>
      </c>
      <c r="G198" s="21">
        <v>73.912999999999997</v>
      </c>
      <c r="H198" s="21">
        <v>415.76100000000002</v>
      </c>
      <c r="I198" s="21">
        <f t="shared" si="32"/>
        <v>1224.1849999999999</v>
      </c>
      <c r="J198" s="93">
        <f>'2018'!N201</f>
        <v>4202.5255999999999</v>
      </c>
      <c r="K198" s="93">
        <f t="shared" si="38"/>
        <v>4370.6266240000004</v>
      </c>
      <c r="L198" s="83">
        <f>'2018'!P201</f>
        <v>1433.241264</v>
      </c>
      <c r="M198" s="83">
        <f t="shared" si="39"/>
        <v>1490.5709145600001</v>
      </c>
      <c r="N198" s="10">
        <f t="shared" si="33"/>
        <v>1151360.424819696</v>
      </c>
      <c r="O198" s="10">
        <f t="shared" si="34"/>
        <v>882709.38209999993</v>
      </c>
      <c r="P198" s="10">
        <f t="shared" si="35"/>
        <v>212873.55765183872</v>
      </c>
      <c r="Q198" s="10">
        <f t="shared" si="36"/>
        <v>1197414.841812484</v>
      </c>
      <c r="R198" s="10">
        <f t="shared" si="37"/>
        <v>3444358.2063840185</v>
      </c>
      <c r="S198" s="10"/>
      <c r="T198" s="11"/>
      <c r="U198" s="10"/>
      <c r="V198" s="10"/>
      <c r="W198" s="59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</row>
    <row r="199" spans="1:186" s="6" customFormat="1" ht="21" customHeight="1">
      <c r="A199" s="28" t="s">
        <v>288</v>
      </c>
      <c r="B199" s="27" t="s">
        <v>289</v>
      </c>
      <c r="C199" s="27" t="s">
        <v>285</v>
      </c>
      <c r="D199" s="27"/>
      <c r="E199" s="21">
        <v>17.07</v>
      </c>
      <c r="F199" s="21">
        <f>5.69+5.69</f>
        <v>11.38</v>
      </c>
      <c r="G199" s="21">
        <v>2.85</v>
      </c>
      <c r="H199" s="21">
        <v>17.079999999999998</v>
      </c>
      <c r="I199" s="21">
        <f t="shared" si="32"/>
        <v>48.38</v>
      </c>
      <c r="J199" s="93">
        <f>'2018'!N202</f>
        <v>4124.4840000000004</v>
      </c>
      <c r="K199" s="93">
        <f t="shared" si="38"/>
        <v>4289.4633600000006</v>
      </c>
      <c r="L199" s="83">
        <f>'2018'!P202</f>
        <v>1691.2249120000001</v>
      </c>
      <c r="M199" s="83">
        <f t="shared" si="39"/>
        <v>1758.8739084800002</v>
      </c>
      <c r="N199" s="10">
        <f t="shared" si="33"/>
        <v>41535.732632160005</v>
      </c>
      <c r="O199" s="10">
        <f t="shared" si="34"/>
        <v>27690.488421440004</v>
      </c>
      <c r="P199" s="10">
        <f t="shared" si="35"/>
        <v>7212.1799368320026</v>
      </c>
      <c r="Q199" s="10">
        <f t="shared" si="36"/>
        <v>43222.467831961607</v>
      </c>
      <c r="R199" s="10">
        <f t="shared" si="37"/>
        <v>119660.86882239362</v>
      </c>
      <c r="S199" s="10"/>
      <c r="T199" s="11"/>
      <c r="U199" s="10"/>
      <c r="V199" s="10"/>
      <c r="W199" s="59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</row>
    <row r="200" spans="1:186" s="6" customFormat="1" ht="21" customHeight="1">
      <c r="A200" s="28" t="s">
        <v>290</v>
      </c>
      <c r="B200" s="27" t="s">
        <v>291</v>
      </c>
      <c r="C200" s="27" t="s">
        <v>286</v>
      </c>
      <c r="D200" s="27"/>
      <c r="E200" s="21">
        <v>546.048</v>
      </c>
      <c r="F200" s="21">
        <f>182.016+182.016+36.055</f>
        <v>400.08699999999999</v>
      </c>
      <c r="G200" s="21">
        <v>97.075000000000003</v>
      </c>
      <c r="H200" s="21">
        <v>668.14400000000001</v>
      </c>
      <c r="I200" s="21">
        <f t="shared" si="32"/>
        <v>1711.354</v>
      </c>
      <c r="J200" s="93">
        <f>'2018'!N203</f>
        <v>5464.03</v>
      </c>
      <c r="K200" s="93">
        <f t="shared" si="38"/>
        <v>5682.5911999999998</v>
      </c>
      <c r="L200" s="83">
        <f>'2018'!P203</f>
        <v>1659.315008</v>
      </c>
      <c r="M200" s="83">
        <f t="shared" si="39"/>
        <v>1725.68760832</v>
      </c>
      <c r="N200" s="10">
        <f t="shared" si="33"/>
        <v>2077557.0119516158</v>
      </c>
      <c r="O200" s="10">
        <f t="shared" si="34"/>
        <v>1522217.0070043039</v>
      </c>
      <c r="P200" s="10">
        <f t="shared" si="35"/>
        <v>384116.41616233601</v>
      </c>
      <c r="Q200" s="10">
        <f t="shared" si="36"/>
        <v>2643781.3933594418</v>
      </c>
      <c r="R200" s="10">
        <f t="shared" si="37"/>
        <v>6627671.8284776974</v>
      </c>
      <c r="S200" s="10"/>
      <c r="T200" s="11"/>
      <c r="U200" s="10"/>
      <c r="V200" s="10"/>
      <c r="W200" s="59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</row>
    <row r="201" spans="1:186" s="6" customFormat="1" ht="21" customHeight="1">
      <c r="A201" s="28" t="s">
        <v>292</v>
      </c>
      <c r="B201" s="27" t="s">
        <v>293</v>
      </c>
      <c r="C201" s="27" t="s">
        <v>285</v>
      </c>
      <c r="D201" s="27"/>
      <c r="E201" s="21">
        <v>2633.4659999999999</v>
      </c>
      <c r="F201" s="21">
        <f>756.668+791.47+92.895</f>
        <v>1641.0329999999999</v>
      </c>
      <c r="G201" s="21">
        <v>620.47199999999998</v>
      </c>
      <c r="H201" s="21">
        <v>2474.4319999999998</v>
      </c>
      <c r="I201" s="21">
        <f t="shared" si="32"/>
        <v>7369.4029999999993</v>
      </c>
      <c r="J201" s="93">
        <f>'2018'!N204</f>
        <v>2753.0255999999999</v>
      </c>
      <c r="K201" s="93">
        <f t="shared" si="38"/>
        <v>2863.146624</v>
      </c>
      <c r="L201" s="81">
        <f>'2018'!P204</f>
        <v>1406.19</v>
      </c>
      <c r="M201" s="81">
        <f t="shared" si="39"/>
        <v>1462.4376000000002</v>
      </c>
      <c r="N201" s="10">
        <f t="shared" si="33"/>
        <v>3546845.7601895994</v>
      </c>
      <c r="O201" s="10">
        <f t="shared" si="34"/>
        <v>2210201.6651747995</v>
      </c>
      <c r="P201" s="10">
        <f t="shared" si="35"/>
        <v>869100.72953932779</v>
      </c>
      <c r="Q201" s="10">
        <f t="shared" si="36"/>
        <v>3465959.2316743671</v>
      </c>
      <c r="R201" s="10">
        <f t="shared" si="37"/>
        <v>10092107.386578094</v>
      </c>
      <c r="S201" s="10"/>
      <c r="T201" s="11"/>
      <c r="U201" s="10"/>
      <c r="V201" s="10"/>
      <c r="W201" s="59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</row>
    <row r="202" spans="1:186" s="14" customFormat="1" ht="21.75" customHeight="1">
      <c r="A202" s="149" t="s">
        <v>295</v>
      </c>
      <c r="B202" s="149"/>
      <c r="C202" s="149"/>
      <c r="D202" s="149"/>
      <c r="E202" s="43"/>
      <c r="F202" s="43"/>
      <c r="G202" s="57"/>
      <c r="H202" s="44"/>
      <c r="I202" s="21">
        <f t="shared" ref="I202:I227" si="42">SUM(E202:H202)</f>
        <v>0</v>
      </c>
      <c r="J202" s="95"/>
      <c r="K202" s="95"/>
      <c r="L202" s="82"/>
      <c r="M202" s="82"/>
      <c r="N202" s="10">
        <f t="shared" ref="N202:N227" si="43">(J202-L202)*E202</f>
        <v>0</v>
      </c>
      <c r="O202" s="10">
        <f t="shared" ref="O202:O227" si="44">(J202-L202)*F202</f>
        <v>0</v>
      </c>
      <c r="P202" s="10">
        <f t="shared" ref="P202:P227" si="45">(K202-M202)*G202</f>
        <v>0</v>
      </c>
      <c r="Q202" s="10">
        <f t="shared" ref="Q202:Q227" si="46">(K202-M202)*H202</f>
        <v>0</v>
      </c>
      <c r="R202" s="10">
        <f t="shared" ref="R202:R227" si="47">SUM(N202:Q202)</f>
        <v>0</v>
      </c>
      <c r="S202" s="10"/>
      <c r="T202" s="11"/>
      <c r="U202" s="10"/>
      <c r="V202" s="10"/>
      <c r="W202" s="60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</row>
    <row r="203" spans="1:186" s="6" customFormat="1" ht="21.75" customHeight="1">
      <c r="A203" s="28" t="s">
        <v>49</v>
      </c>
      <c r="B203" s="27" t="s">
        <v>296</v>
      </c>
      <c r="C203" s="27" t="s">
        <v>297</v>
      </c>
      <c r="D203" s="27"/>
      <c r="E203" s="21">
        <v>379.90899999999999</v>
      </c>
      <c r="F203" s="21">
        <f>127.77+78.309</f>
        <v>206.07900000000001</v>
      </c>
      <c r="G203" s="21">
        <v>99.385000000000005</v>
      </c>
      <c r="H203" s="21">
        <v>393.79199999999997</v>
      </c>
      <c r="I203" s="21">
        <f t="shared" si="42"/>
        <v>1079.165</v>
      </c>
      <c r="J203" s="93">
        <f>'2018'!N206</f>
        <v>3415.5368000000003</v>
      </c>
      <c r="K203" s="93">
        <f t="shared" si="38"/>
        <v>3552.1582720000006</v>
      </c>
      <c r="L203" s="83">
        <f>'2018'!P206</f>
        <v>1603.804592</v>
      </c>
      <c r="M203" s="83">
        <f t="shared" si="39"/>
        <v>1667.95677568</v>
      </c>
      <c r="N203" s="10">
        <f t="shared" si="43"/>
        <v>688293.37140907208</v>
      </c>
      <c r="O203" s="10">
        <f t="shared" si="44"/>
        <v>373359.96169243212</v>
      </c>
      <c r="P203" s="10">
        <f t="shared" si="45"/>
        <v>187261.36571176327</v>
      </c>
      <c r="Q203" s="10">
        <f t="shared" si="46"/>
        <v>741983.47563884559</v>
      </c>
      <c r="R203" s="10">
        <f t="shared" si="47"/>
        <v>1990898.174452113</v>
      </c>
      <c r="S203" s="10"/>
      <c r="T203" s="11"/>
      <c r="U203" s="10"/>
      <c r="V203" s="10"/>
      <c r="W203" s="59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</row>
    <row r="204" spans="1:186" s="6" customFormat="1" ht="21.75" customHeight="1">
      <c r="A204" s="28" t="s">
        <v>49</v>
      </c>
      <c r="B204" s="27" t="s">
        <v>296</v>
      </c>
      <c r="C204" s="27" t="s">
        <v>298</v>
      </c>
      <c r="D204" s="27"/>
      <c r="E204" s="21">
        <v>1069.2629999999999</v>
      </c>
      <c r="F204" s="21">
        <f>491.89+332.013-4.733</f>
        <v>819.17000000000007</v>
      </c>
      <c r="G204" s="21">
        <v>504.17399999999998</v>
      </c>
      <c r="H204" s="21">
        <v>1325.124</v>
      </c>
      <c r="I204" s="21">
        <f t="shared" si="42"/>
        <v>3717.7309999999998</v>
      </c>
      <c r="J204" s="93">
        <f>'2018'!N207</f>
        <v>3415.5368000000003</v>
      </c>
      <c r="K204" s="93">
        <f t="shared" si="38"/>
        <v>3552.1582720000006</v>
      </c>
      <c r="L204" s="83">
        <f>'2018'!P207</f>
        <v>1574.9988800000001</v>
      </c>
      <c r="M204" s="83">
        <f t="shared" si="39"/>
        <v>1637.9988352000003</v>
      </c>
      <c r="N204" s="10">
        <f t="shared" si="43"/>
        <v>1968019.0979529601</v>
      </c>
      <c r="O204" s="10">
        <f t="shared" si="44"/>
        <v>1507713.4479264002</v>
      </c>
      <c r="P204" s="10">
        <f t="shared" si="45"/>
        <v>965069.41988920327</v>
      </c>
      <c r="Q204" s="10">
        <f t="shared" si="46"/>
        <v>2536498.6095301635</v>
      </c>
      <c r="R204" s="10">
        <f t="shared" si="47"/>
        <v>6977300.5752987266</v>
      </c>
      <c r="S204" s="10"/>
      <c r="T204" s="11"/>
      <c r="U204" s="10"/>
      <c r="V204" s="10"/>
      <c r="W204" s="59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</row>
    <row r="205" spans="1:186" s="6" customFormat="1" ht="21.75" customHeight="1">
      <c r="A205" s="28" t="s">
        <v>299</v>
      </c>
      <c r="B205" s="27" t="s">
        <v>300</v>
      </c>
      <c r="C205" s="27" t="s">
        <v>301</v>
      </c>
      <c r="D205" s="27"/>
      <c r="E205" s="21">
        <v>80.22</v>
      </c>
      <c r="F205" s="21">
        <f>27.03+16.57</f>
        <v>43.6</v>
      </c>
      <c r="G205" s="21">
        <v>14.42</v>
      </c>
      <c r="H205" s="21">
        <v>80.22</v>
      </c>
      <c r="I205" s="21">
        <f t="shared" si="42"/>
        <v>218.45999999999998</v>
      </c>
      <c r="J205" s="93">
        <f>'2018'!N208</f>
        <v>1960.5919999999999</v>
      </c>
      <c r="K205" s="93">
        <f t="shared" si="38"/>
        <v>2039.01568</v>
      </c>
      <c r="L205" s="83">
        <f>'2018'!P208</f>
        <v>1601.6000000000001</v>
      </c>
      <c r="M205" s="83">
        <f t="shared" si="39"/>
        <v>1665.6640000000002</v>
      </c>
      <c r="N205" s="10">
        <f t="shared" si="43"/>
        <v>28798.338239999979</v>
      </c>
      <c r="O205" s="10">
        <f t="shared" si="44"/>
        <v>15652.051199999989</v>
      </c>
      <c r="P205" s="10">
        <f t="shared" si="45"/>
        <v>5383.7312255999968</v>
      </c>
      <c r="Q205" s="10">
        <f t="shared" si="46"/>
        <v>29950.271769599982</v>
      </c>
      <c r="R205" s="10">
        <f t="shared" si="47"/>
        <v>79784.392435199959</v>
      </c>
      <c r="S205" s="10"/>
      <c r="T205" s="11"/>
      <c r="U205" s="10"/>
      <c r="V205" s="10"/>
      <c r="W205" s="59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</row>
    <row r="206" spans="1:186" s="6" customFormat="1" ht="21.75" customHeight="1">
      <c r="A206" s="28" t="s">
        <v>343</v>
      </c>
      <c r="B206" s="27" t="s">
        <v>344</v>
      </c>
      <c r="C206" s="27" t="s">
        <v>302</v>
      </c>
      <c r="D206" s="27"/>
      <c r="E206" s="21">
        <v>68.397999999999996</v>
      </c>
      <c r="F206" s="21">
        <f>22.798+13.97</f>
        <v>36.768000000000001</v>
      </c>
      <c r="G206" s="21">
        <v>8.11</v>
      </c>
      <c r="H206" s="21">
        <v>62.96</v>
      </c>
      <c r="I206" s="21">
        <f t="shared" si="42"/>
        <v>176.23599999999999</v>
      </c>
      <c r="J206" s="93">
        <f>'2018'!N209</f>
        <v>4171.232</v>
      </c>
      <c r="K206" s="93">
        <f t="shared" si="38"/>
        <v>4338.0812800000003</v>
      </c>
      <c r="L206" s="83">
        <f>'2018'!P209</f>
        <v>1424.6645920000001</v>
      </c>
      <c r="M206" s="83">
        <f t="shared" si="39"/>
        <v>1481.6511756800001</v>
      </c>
      <c r="N206" s="10">
        <f t="shared" si="43"/>
        <v>187859.71757238399</v>
      </c>
      <c r="O206" s="10">
        <f t="shared" si="44"/>
        <v>100985.790457344</v>
      </c>
      <c r="P206" s="10">
        <f t="shared" si="45"/>
        <v>23165.648146035201</v>
      </c>
      <c r="Q206" s="10">
        <f t="shared" si="46"/>
        <v>179840.83936798721</v>
      </c>
      <c r="R206" s="10">
        <f t="shared" si="47"/>
        <v>491851.99554375035</v>
      </c>
      <c r="S206" s="10"/>
      <c r="T206" s="11"/>
      <c r="U206" s="10"/>
      <c r="V206" s="10"/>
      <c r="W206" s="59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</row>
    <row r="207" spans="1:186" s="6" customFormat="1" ht="21.75" customHeight="1">
      <c r="A207" s="28" t="s">
        <v>303</v>
      </c>
      <c r="B207" s="27" t="s">
        <v>296</v>
      </c>
      <c r="C207" s="27" t="s">
        <v>304</v>
      </c>
      <c r="D207" s="27"/>
      <c r="E207" s="21">
        <v>105.28</v>
      </c>
      <c r="F207" s="21">
        <f>38.01+23.29</f>
        <v>61.3</v>
      </c>
      <c r="G207" s="21">
        <v>20.045000000000002</v>
      </c>
      <c r="H207" s="21">
        <v>120.208</v>
      </c>
      <c r="I207" s="21">
        <f t="shared" si="42"/>
        <v>306.83299999999997</v>
      </c>
      <c r="J207" s="93">
        <f>'2018'!N210</f>
        <v>3415.5368000000003</v>
      </c>
      <c r="K207" s="93">
        <f t="shared" si="38"/>
        <v>3552.1582720000006</v>
      </c>
      <c r="L207" s="83">
        <f>'2018'!P210</f>
        <v>1762.24152</v>
      </c>
      <c r="M207" s="83">
        <f t="shared" si="39"/>
        <v>1832.7311808000002</v>
      </c>
      <c r="N207" s="10">
        <f t="shared" si="43"/>
        <v>174058.92707840004</v>
      </c>
      <c r="O207" s="10">
        <f t="shared" si="44"/>
        <v>101347.00066400001</v>
      </c>
      <c r="P207" s="10">
        <f t="shared" si="45"/>
        <v>34465.916043104015</v>
      </c>
      <c r="Q207" s="10">
        <f t="shared" si="46"/>
        <v>206688.89177896964</v>
      </c>
      <c r="R207" s="10">
        <f t="shared" si="47"/>
        <v>516560.73556447367</v>
      </c>
      <c r="S207" s="10"/>
      <c r="T207" s="11"/>
      <c r="U207" s="10"/>
      <c r="V207" s="10"/>
      <c r="W207" s="59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</row>
    <row r="208" spans="1:186" s="6" customFormat="1" ht="21.75" customHeight="1">
      <c r="A208" s="28" t="s">
        <v>305</v>
      </c>
      <c r="B208" s="27" t="s">
        <v>296</v>
      </c>
      <c r="C208" s="27" t="s">
        <v>306</v>
      </c>
      <c r="D208" s="27"/>
      <c r="E208" s="21">
        <v>184.047</v>
      </c>
      <c r="F208" s="21">
        <f>63.78+39.09</f>
        <v>102.87</v>
      </c>
      <c r="G208" s="21">
        <v>23.332999999999998</v>
      </c>
      <c r="H208" s="21">
        <v>178.84399999999999</v>
      </c>
      <c r="I208" s="21">
        <f t="shared" si="42"/>
        <v>489.09399999999999</v>
      </c>
      <c r="J208" s="93">
        <f>'2018'!N211</f>
        <v>3415.5368000000003</v>
      </c>
      <c r="K208" s="93">
        <f t="shared" si="38"/>
        <v>3552.1582720000006</v>
      </c>
      <c r="L208" s="83">
        <f>'2018'!P211</f>
        <v>1241.2583040000002</v>
      </c>
      <c r="M208" s="83">
        <f t="shared" si="39"/>
        <v>1290.9086361600002</v>
      </c>
      <c r="N208" s="10">
        <f t="shared" si="43"/>
        <v>400169.43435331195</v>
      </c>
      <c r="O208" s="10">
        <f t="shared" si="44"/>
        <v>223668.02888351999</v>
      </c>
      <c r="P208" s="10">
        <f t="shared" si="45"/>
        <v>52761.737753054724</v>
      </c>
      <c r="Q208" s="10">
        <f t="shared" si="46"/>
        <v>404410.92987216898</v>
      </c>
      <c r="R208" s="10">
        <f t="shared" si="47"/>
        <v>1081010.1308620556</v>
      </c>
      <c r="S208" s="10"/>
      <c r="T208" s="11"/>
      <c r="U208" s="10"/>
      <c r="V208" s="10"/>
      <c r="W208" s="59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</row>
    <row r="209" spans="1:186" s="6" customFormat="1" ht="21.75" customHeight="1">
      <c r="A209" s="28" t="s">
        <v>343</v>
      </c>
      <c r="B209" s="27" t="s">
        <v>344</v>
      </c>
      <c r="C209" s="27" t="s">
        <v>307</v>
      </c>
      <c r="D209" s="27"/>
      <c r="E209" s="21">
        <v>236.39500000000001</v>
      </c>
      <c r="F209" s="21">
        <f>105.915+40.67</f>
        <v>146.58500000000001</v>
      </c>
      <c r="G209" s="21">
        <v>28.76</v>
      </c>
      <c r="H209" s="21">
        <v>247.74</v>
      </c>
      <c r="I209" s="21">
        <f t="shared" si="42"/>
        <v>659.48</v>
      </c>
      <c r="J209" s="93">
        <f>'2018'!N212</f>
        <v>3340.48</v>
      </c>
      <c r="K209" s="93">
        <f t="shared" si="38"/>
        <v>3474.0992000000001</v>
      </c>
      <c r="L209" s="83">
        <f>'2018'!P212</f>
        <v>1677.8528000000001</v>
      </c>
      <c r="M209" s="83">
        <f t="shared" si="39"/>
        <v>1744.9669120000001</v>
      </c>
      <c r="N209" s="10">
        <f t="shared" si="43"/>
        <v>393036.75694400002</v>
      </c>
      <c r="O209" s="10">
        <f t="shared" si="44"/>
        <v>243716.20811199999</v>
      </c>
      <c r="P209" s="10">
        <f t="shared" si="45"/>
        <v>49729.844602880003</v>
      </c>
      <c r="Q209" s="10">
        <f t="shared" si="46"/>
        <v>428375.23302912002</v>
      </c>
      <c r="R209" s="10">
        <f t="shared" si="47"/>
        <v>1114858.042688</v>
      </c>
      <c r="S209" s="10"/>
      <c r="T209" s="11"/>
      <c r="U209" s="10"/>
      <c r="V209" s="10"/>
      <c r="W209" s="59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</row>
    <row r="210" spans="1:186" s="6" customFormat="1" ht="21.75" customHeight="1">
      <c r="A210" s="28" t="s">
        <v>308</v>
      </c>
      <c r="B210" s="27" t="s">
        <v>309</v>
      </c>
      <c r="C210" s="27" t="s">
        <v>310</v>
      </c>
      <c r="D210" s="27"/>
      <c r="E210" s="21">
        <v>433.024</v>
      </c>
      <c r="F210" s="21">
        <f>142.27+84.682</f>
        <v>226.952</v>
      </c>
      <c r="G210" s="21">
        <v>72.02</v>
      </c>
      <c r="H210" s="21">
        <v>405.19</v>
      </c>
      <c r="I210" s="21">
        <f t="shared" si="42"/>
        <v>1137.1859999999999</v>
      </c>
      <c r="J210" s="93">
        <f>'2018'!N213</f>
        <v>2380.2687999999998</v>
      </c>
      <c r="K210" s="93">
        <f t="shared" si="38"/>
        <v>2475.4795519999998</v>
      </c>
      <c r="L210" s="83">
        <f>'2018'!P213</f>
        <v>1183.1400000000001</v>
      </c>
      <c r="M210" s="83">
        <f t="shared" si="39"/>
        <v>1230.4656000000002</v>
      </c>
      <c r="N210" s="10">
        <f t="shared" si="43"/>
        <v>518385.50149119989</v>
      </c>
      <c r="O210" s="10">
        <f t="shared" si="44"/>
        <v>271690.77541759994</v>
      </c>
      <c r="P210" s="10">
        <f t="shared" si="45"/>
        <v>89665.904823039964</v>
      </c>
      <c r="Q210" s="10">
        <f t="shared" si="46"/>
        <v>504467.20321087982</v>
      </c>
      <c r="R210" s="10">
        <f t="shared" si="47"/>
        <v>1384209.3849427197</v>
      </c>
      <c r="S210" s="10"/>
      <c r="T210" s="11"/>
      <c r="U210" s="10"/>
      <c r="V210" s="10"/>
      <c r="W210" s="59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</row>
    <row r="211" spans="1:186" s="6" customFormat="1" ht="21.75" customHeight="1">
      <c r="A211" s="28">
        <v>2907014810</v>
      </c>
      <c r="B211" s="27" t="s">
        <v>296</v>
      </c>
      <c r="C211" s="27" t="s">
        <v>311</v>
      </c>
      <c r="D211" s="27"/>
      <c r="E211" s="21">
        <v>811.29899999999998</v>
      </c>
      <c r="F211" s="21">
        <f>273.311+161.633-0.86</f>
        <v>434.08399999999995</v>
      </c>
      <c r="G211" s="21">
        <v>145.24799999999999</v>
      </c>
      <c r="H211" s="21">
        <v>821.07899999999995</v>
      </c>
      <c r="I211" s="21">
        <f t="shared" si="42"/>
        <v>2211.71</v>
      </c>
      <c r="J211" s="93">
        <f>'2018'!N214</f>
        <v>3415.5368000000003</v>
      </c>
      <c r="K211" s="93">
        <f t="shared" si="38"/>
        <v>3552.1582720000006</v>
      </c>
      <c r="L211" s="83">
        <f>'2018'!P214</f>
        <v>1710.8</v>
      </c>
      <c r="M211" s="83">
        <f t="shared" si="39"/>
        <v>1779.232</v>
      </c>
      <c r="N211" s="10">
        <f t="shared" si="43"/>
        <v>1383051.2611032003</v>
      </c>
      <c r="O211" s="10">
        <f t="shared" si="44"/>
        <v>739998.96909120004</v>
      </c>
      <c r="P211" s="10">
        <f t="shared" si="45"/>
        <v>257513.99515545607</v>
      </c>
      <c r="Q211" s="10">
        <f t="shared" si="46"/>
        <v>1455712.5304874885</v>
      </c>
      <c r="R211" s="10">
        <f t="shared" si="47"/>
        <v>3836276.7558373446</v>
      </c>
      <c r="S211" s="10"/>
      <c r="T211" s="11"/>
      <c r="U211" s="10"/>
      <c r="V211" s="10"/>
      <c r="W211" s="59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</row>
    <row r="212" spans="1:186" s="6" customFormat="1" ht="21.75" customHeight="1">
      <c r="A212" s="28" t="s">
        <v>312</v>
      </c>
      <c r="B212" s="27" t="s">
        <v>313</v>
      </c>
      <c r="C212" s="27" t="s">
        <v>314</v>
      </c>
      <c r="D212" s="27"/>
      <c r="E212" s="21">
        <v>248.429</v>
      </c>
      <c r="F212" s="21">
        <f>83.547+53.901</f>
        <v>137.44800000000001</v>
      </c>
      <c r="G212" s="21">
        <v>50.128999999999998</v>
      </c>
      <c r="H212" s="21">
        <v>248.93899999999999</v>
      </c>
      <c r="I212" s="21">
        <f t="shared" si="42"/>
        <v>684.94500000000005</v>
      </c>
      <c r="J212" s="93">
        <f>'2018'!N215</f>
        <v>2048.6799999999998</v>
      </c>
      <c r="K212" s="93">
        <f t="shared" si="38"/>
        <v>2130.6271999999999</v>
      </c>
      <c r="L212" s="83">
        <f>'2018'!P215</f>
        <v>1246.2231864406781</v>
      </c>
      <c r="M212" s="83">
        <f t="shared" si="39"/>
        <v>1296.0721138983054</v>
      </c>
      <c r="N212" s="10">
        <f t="shared" si="43"/>
        <v>199353.54373572874</v>
      </c>
      <c r="O212" s="10">
        <f t="shared" si="44"/>
        <v>110296.08411010166</v>
      </c>
      <c r="P212" s="10">
        <f t="shared" si="45"/>
        <v>41835.411911191841</v>
      </c>
      <c r="Q212" s="10">
        <f t="shared" si="46"/>
        <v>207753.30857906974</v>
      </c>
      <c r="R212" s="10">
        <f t="shared" si="47"/>
        <v>559238.34833609196</v>
      </c>
      <c r="S212" s="10"/>
      <c r="T212" s="11"/>
      <c r="U212" s="10"/>
      <c r="V212" s="10"/>
      <c r="W212" s="59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</row>
    <row r="213" spans="1:186" s="6" customFormat="1" ht="21.75" customHeight="1">
      <c r="A213" s="28" t="s">
        <v>315</v>
      </c>
      <c r="B213" s="27" t="s">
        <v>296</v>
      </c>
      <c r="C213" s="27" t="s">
        <v>316</v>
      </c>
      <c r="D213" s="27"/>
      <c r="E213" s="21">
        <v>555.35400000000004</v>
      </c>
      <c r="F213" s="21">
        <f>186.72+114.44+30.4</f>
        <v>331.55999999999995</v>
      </c>
      <c r="G213" s="21">
        <v>97.997</v>
      </c>
      <c r="H213" s="21">
        <v>559.03200000000004</v>
      </c>
      <c r="I213" s="21">
        <f t="shared" si="42"/>
        <v>1543.943</v>
      </c>
      <c r="J213" s="93">
        <f>'2018'!N216</f>
        <v>3415.5368000000003</v>
      </c>
      <c r="K213" s="93">
        <f t="shared" ref="K213:K227" si="48">J213*1.04</f>
        <v>3552.1582720000006</v>
      </c>
      <c r="L213" s="83">
        <f>'2018'!P216</f>
        <v>1624.2210400000001</v>
      </c>
      <c r="M213" s="83">
        <f t="shared" ref="M213:M227" si="49">L213*1.04</f>
        <v>1689.1898816000003</v>
      </c>
      <c r="N213" s="10">
        <f t="shared" si="43"/>
        <v>994814.37257904012</v>
      </c>
      <c r="O213" s="10">
        <f t="shared" si="44"/>
        <v>593928.65338559996</v>
      </c>
      <c r="P213" s="10">
        <f t="shared" si="45"/>
        <v>182565.31335402883</v>
      </c>
      <c r="Q213" s="10">
        <f t="shared" si="46"/>
        <v>1041458.945222093</v>
      </c>
      <c r="R213" s="10">
        <f t="shared" si="47"/>
        <v>2812767.2845407622</v>
      </c>
      <c r="S213" s="10"/>
      <c r="T213" s="11"/>
      <c r="U213" s="10"/>
      <c r="V213" s="10"/>
      <c r="W213" s="59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</row>
    <row r="214" spans="1:186" s="6" customFormat="1" ht="21.75" customHeight="1">
      <c r="A214" s="28" t="s">
        <v>317</v>
      </c>
      <c r="B214" s="27" t="s">
        <v>318</v>
      </c>
      <c r="C214" s="27" t="s">
        <v>319</v>
      </c>
      <c r="D214" s="27"/>
      <c r="E214" s="21">
        <v>131.03</v>
      </c>
      <c r="F214" s="21">
        <f>43.92+29.29</f>
        <v>73.210000000000008</v>
      </c>
      <c r="G214" s="21">
        <v>21.59</v>
      </c>
      <c r="H214" s="21">
        <v>129.54</v>
      </c>
      <c r="I214" s="21">
        <f t="shared" si="42"/>
        <v>355.37</v>
      </c>
      <c r="J214" s="93">
        <f>'2018'!N217</f>
        <v>2440.7656000000002</v>
      </c>
      <c r="K214" s="93">
        <f t="shared" si="48"/>
        <v>2538.3962240000001</v>
      </c>
      <c r="L214" s="83">
        <f>'2018'!P217</f>
        <v>1893.9232000000002</v>
      </c>
      <c r="M214" s="83">
        <f t="shared" si="49"/>
        <v>1969.6801280000002</v>
      </c>
      <c r="N214" s="10">
        <f t="shared" si="43"/>
        <v>71652.759672</v>
      </c>
      <c r="O214" s="10">
        <f t="shared" si="44"/>
        <v>40034.332104000001</v>
      </c>
      <c r="P214" s="10">
        <f t="shared" si="45"/>
        <v>12278.580512639997</v>
      </c>
      <c r="Q214" s="10">
        <f t="shared" si="46"/>
        <v>73671.483075839977</v>
      </c>
      <c r="R214" s="10">
        <f t="shared" si="47"/>
        <v>197637.15536447999</v>
      </c>
      <c r="S214" s="10"/>
      <c r="T214" s="11"/>
      <c r="U214" s="10"/>
      <c r="V214" s="10"/>
      <c r="W214" s="59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</row>
    <row r="215" spans="1:186" s="6" customFormat="1" ht="21.75" customHeight="1">
      <c r="A215" s="28" t="s">
        <v>343</v>
      </c>
      <c r="B215" s="27" t="s">
        <v>344</v>
      </c>
      <c r="C215" s="27" t="s">
        <v>320</v>
      </c>
      <c r="D215" s="27"/>
      <c r="E215" s="21">
        <v>656.30799999999999</v>
      </c>
      <c r="F215" s="21">
        <f>218.317+133.81</f>
        <v>352.12700000000001</v>
      </c>
      <c r="G215" s="21">
        <v>88.58</v>
      </c>
      <c r="H215" s="21">
        <v>668.38</v>
      </c>
      <c r="I215" s="21">
        <f t="shared" si="42"/>
        <v>1765.395</v>
      </c>
      <c r="J215" s="93">
        <f>'2018'!N218</f>
        <v>2247.8768</v>
      </c>
      <c r="K215" s="93">
        <f t="shared" si="48"/>
        <v>2337.7918720000002</v>
      </c>
      <c r="L215" s="83">
        <f>'2018'!P218</f>
        <v>1497.0592000000001</v>
      </c>
      <c r="M215" s="83">
        <f t="shared" si="49"/>
        <v>1556.9415680000002</v>
      </c>
      <c r="N215" s="10">
        <f t="shared" si="43"/>
        <v>492767.5974207999</v>
      </c>
      <c r="O215" s="10">
        <f t="shared" si="44"/>
        <v>264383.14903519995</v>
      </c>
      <c r="P215" s="10">
        <f t="shared" si="45"/>
        <v>69167.719928320003</v>
      </c>
      <c r="Q215" s="10">
        <f t="shared" si="46"/>
        <v>521904.72618752002</v>
      </c>
      <c r="R215" s="10">
        <f t="shared" si="47"/>
        <v>1348223.1925718398</v>
      </c>
      <c r="S215" s="10"/>
      <c r="T215" s="11"/>
      <c r="U215" s="10"/>
      <c r="V215" s="10"/>
      <c r="W215" s="59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</row>
    <row r="216" spans="1:186" s="6" customFormat="1" ht="21.75" customHeight="1">
      <c r="A216" s="18" t="s">
        <v>22</v>
      </c>
      <c r="B216" s="27" t="s">
        <v>23</v>
      </c>
      <c r="C216" s="27" t="s">
        <v>321</v>
      </c>
      <c r="D216" s="27"/>
      <c r="E216" s="21">
        <v>2436.5509999999999</v>
      </c>
      <c r="F216" s="21">
        <f>714.173+413.357</f>
        <v>1127.53</v>
      </c>
      <c r="G216" s="21">
        <v>351.32299999999998</v>
      </c>
      <c r="H216" s="21">
        <v>1756.614</v>
      </c>
      <c r="I216" s="21">
        <f t="shared" si="42"/>
        <v>5672.018</v>
      </c>
      <c r="J216" s="93">
        <f>'2018'!N219</f>
        <v>3334.33</v>
      </c>
      <c r="K216" s="93">
        <f t="shared" si="48"/>
        <v>3467.7031999999999</v>
      </c>
      <c r="L216" s="83">
        <f>'2018'!P219</f>
        <v>1401.2752000000003</v>
      </c>
      <c r="M216" s="83">
        <f t="shared" si="49"/>
        <v>1457.3262080000004</v>
      </c>
      <c r="N216" s="10">
        <f t="shared" si="43"/>
        <v>4709986.6059947992</v>
      </c>
      <c r="O216" s="10">
        <f t="shared" si="44"/>
        <v>2179577.2786439997</v>
      </c>
      <c r="P216" s="10">
        <f t="shared" si="45"/>
        <v>706291.67596041574</v>
      </c>
      <c r="Q216" s="10">
        <f t="shared" si="46"/>
        <v>3531456.3694250872</v>
      </c>
      <c r="R216" s="10">
        <f t="shared" si="47"/>
        <v>11127311.930024303</v>
      </c>
      <c r="S216" s="16"/>
      <c r="T216" s="16"/>
      <c r="U216" s="16"/>
      <c r="V216" s="16"/>
      <c r="W216" s="59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</row>
    <row r="217" spans="1:186" s="6" customFormat="1" ht="21.75" customHeight="1">
      <c r="A217" s="28" t="s">
        <v>322</v>
      </c>
      <c r="B217" s="27" t="s">
        <v>323</v>
      </c>
      <c r="C217" s="27" t="s">
        <v>324</v>
      </c>
      <c r="D217" s="27"/>
      <c r="E217" s="21">
        <v>5785.7790000000005</v>
      </c>
      <c r="F217" s="21">
        <f>1654.262+1448.295</f>
        <v>3102.5569999999998</v>
      </c>
      <c r="G217" s="21">
        <v>734.15099999999995</v>
      </c>
      <c r="H217" s="21">
        <v>4927.1509999999998</v>
      </c>
      <c r="I217" s="21">
        <f t="shared" si="42"/>
        <v>14549.637999999999</v>
      </c>
      <c r="J217" s="93">
        <f>'2018'!N220</f>
        <v>3258.8087999999998</v>
      </c>
      <c r="K217" s="93">
        <f t="shared" si="48"/>
        <v>3389.1611519999997</v>
      </c>
      <c r="L217" s="83">
        <f>'2018'!P220</f>
        <v>1758.0001920000002</v>
      </c>
      <c r="M217" s="83">
        <f t="shared" si="49"/>
        <v>1828.3201996800003</v>
      </c>
      <c r="N217" s="10">
        <f t="shared" si="43"/>
        <v>8683346.9271856304</v>
      </c>
      <c r="O217" s="10">
        <f t="shared" si="44"/>
        <v>4656344.252410654</v>
      </c>
      <c r="P217" s="10">
        <f t="shared" si="45"/>
        <v>1145892.9459866798</v>
      </c>
      <c r="Q217" s="10">
        <f t="shared" si="46"/>
        <v>7690499.0590644367</v>
      </c>
      <c r="R217" s="10">
        <f t="shared" si="47"/>
        <v>22176083.1846474</v>
      </c>
      <c r="S217" s="10"/>
      <c r="T217" s="11"/>
      <c r="U217" s="10"/>
      <c r="V217" s="10"/>
      <c r="W217" s="59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</row>
    <row r="218" spans="1:186" s="6" customFormat="1" ht="21.75" customHeight="1">
      <c r="A218" s="28" t="s">
        <v>326</v>
      </c>
      <c r="B218" s="27" t="s">
        <v>327</v>
      </c>
      <c r="C218" s="27" t="s">
        <v>325</v>
      </c>
      <c r="D218" s="27"/>
      <c r="E218" s="21">
        <v>104.06</v>
      </c>
      <c r="F218" s="21">
        <f>42.49+45.14+31.37</f>
        <v>119</v>
      </c>
      <c r="G218" s="21">
        <v>14.86</v>
      </c>
      <c r="H218" s="21">
        <v>135.69</v>
      </c>
      <c r="I218" s="21">
        <f t="shared" si="42"/>
        <v>373.61</v>
      </c>
      <c r="J218" s="93">
        <f>'2018'!N221</f>
        <v>2064.3168000000001</v>
      </c>
      <c r="K218" s="93">
        <f t="shared" si="48"/>
        <v>2146.8894720000003</v>
      </c>
      <c r="L218" s="83">
        <f>'2018'!P221</f>
        <v>1624.5944</v>
      </c>
      <c r="M218" s="83">
        <f t="shared" si="49"/>
        <v>1689.578176</v>
      </c>
      <c r="N218" s="10">
        <f t="shared" si="43"/>
        <v>45757.512944000009</v>
      </c>
      <c r="O218" s="10">
        <f t="shared" si="44"/>
        <v>52326.96560000001</v>
      </c>
      <c r="P218" s="10">
        <f t="shared" si="45"/>
        <v>6795.6458585600039</v>
      </c>
      <c r="Q218" s="10">
        <f t="shared" si="46"/>
        <v>62052.569754240038</v>
      </c>
      <c r="R218" s="10">
        <f t="shared" si="47"/>
        <v>166932.69415680005</v>
      </c>
      <c r="S218" s="10"/>
      <c r="T218" s="11"/>
      <c r="U218" s="10"/>
      <c r="V218" s="10"/>
      <c r="W218" s="59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</row>
    <row r="219" spans="1:186" s="6" customFormat="1" ht="21.75" customHeight="1">
      <c r="A219" s="28" t="s">
        <v>328</v>
      </c>
      <c r="B219" s="27" t="s">
        <v>329</v>
      </c>
      <c r="C219" s="27" t="s">
        <v>325</v>
      </c>
      <c r="D219" s="27"/>
      <c r="E219" s="21">
        <v>25486.58</v>
      </c>
      <c r="F219" s="21">
        <f>7457.03+5848.75</f>
        <v>13305.779999999999</v>
      </c>
      <c r="G219" s="21">
        <v>2548.21</v>
      </c>
      <c r="H219" s="21">
        <v>22890.98</v>
      </c>
      <c r="I219" s="21">
        <f t="shared" si="42"/>
        <v>64231.55</v>
      </c>
      <c r="J219" s="93">
        <f>'2018'!N222</f>
        <v>2679.8304000000003</v>
      </c>
      <c r="K219" s="93">
        <f t="shared" si="48"/>
        <v>2787.0236160000004</v>
      </c>
      <c r="L219" s="83">
        <f>'2018'!P222</f>
        <v>1376.7794560000002</v>
      </c>
      <c r="M219" s="83">
        <f t="shared" si="49"/>
        <v>1431.8506342400003</v>
      </c>
      <c r="N219" s="10">
        <f t="shared" si="43"/>
        <v>33210312.128331523</v>
      </c>
      <c r="O219" s="10">
        <f t="shared" si="44"/>
        <v>17338109.189656321</v>
      </c>
      <c r="P219" s="10">
        <f t="shared" si="45"/>
        <v>3453265.3438506499</v>
      </c>
      <c r="Q219" s="10">
        <f t="shared" si="46"/>
        <v>31021237.622008525</v>
      </c>
      <c r="R219" s="10">
        <f t="shared" si="47"/>
        <v>85022924.283847019</v>
      </c>
      <c r="S219" s="10"/>
      <c r="T219" s="11"/>
      <c r="U219" s="10"/>
      <c r="V219" s="10"/>
      <c r="W219" s="59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</row>
    <row r="220" spans="1:186" s="6" customFormat="1" ht="21.75" customHeight="1">
      <c r="A220" s="28" t="s">
        <v>330</v>
      </c>
      <c r="B220" s="27" t="s">
        <v>296</v>
      </c>
      <c r="C220" s="27" t="s">
        <v>331</v>
      </c>
      <c r="D220" s="27"/>
      <c r="E220" s="21">
        <v>294.63200000000001</v>
      </c>
      <c r="F220" s="21">
        <f>194.92+47.82-4.026</f>
        <v>238.71399999999997</v>
      </c>
      <c r="G220" s="21">
        <v>30.675999999999998</v>
      </c>
      <c r="H220" s="21">
        <v>233.62299999999999</v>
      </c>
      <c r="I220" s="21">
        <f t="shared" si="42"/>
        <v>797.64499999999998</v>
      </c>
      <c r="J220" s="93">
        <f>'2018'!N223</f>
        <v>3415.5368000000003</v>
      </c>
      <c r="K220" s="93">
        <f t="shared" si="48"/>
        <v>3552.1582720000006</v>
      </c>
      <c r="L220" s="83">
        <f>'2018'!P223</f>
        <v>1655.9150399999999</v>
      </c>
      <c r="M220" s="83">
        <f t="shared" si="49"/>
        <v>1722.1516415999999</v>
      </c>
      <c r="N220" s="10">
        <f t="shared" si="43"/>
        <v>518440.87839232013</v>
      </c>
      <c r="O220" s="10">
        <f t="shared" si="44"/>
        <v>420046.34881664003</v>
      </c>
      <c r="P220" s="10">
        <f t="shared" si="45"/>
        <v>56137.283394150414</v>
      </c>
      <c r="Q220" s="10">
        <f t="shared" si="46"/>
        <v>427531.6390139393</v>
      </c>
      <c r="R220" s="10">
        <f t="shared" si="47"/>
        <v>1422156.1496170498</v>
      </c>
      <c r="S220" s="16"/>
      <c r="T220" s="16"/>
      <c r="U220" s="16"/>
      <c r="V220" s="16"/>
      <c r="W220" s="59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</row>
    <row r="221" spans="1:186" s="6" customFormat="1" ht="21.75" customHeight="1">
      <c r="A221" s="28" t="s">
        <v>330</v>
      </c>
      <c r="B221" s="27" t="s">
        <v>296</v>
      </c>
      <c r="C221" s="27" t="s">
        <v>332</v>
      </c>
      <c r="D221" s="27"/>
      <c r="E221" s="21">
        <v>173.44499999999999</v>
      </c>
      <c r="F221" s="21">
        <f>57.81+24.959</f>
        <v>82.769000000000005</v>
      </c>
      <c r="G221" s="21">
        <v>30.567</v>
      </c>
      <c r="H221" s="21">
        <v>168.43799999999999</v>
      </c>
      <c r="I221" s="21">
        <f t="shared" si="42"/>
        <v>455.21899999999999</v>
      </c>
      <c r="J221" s="93">
        <f>'2018'!N224</f>
        <v>3415.5368000000003</v>
      </c>
      <c r="K221" s="93">
        <f t="shared" si="48"/>
        <v>3552.1582720000006</v>
      </c>
      <c r="L221" s="83">
        <f>'2018'!P224</f>
        <v>1301.3832000000002</v>
      </c>
      <c r="M221" s="83">
        <f t="shared" si="49"/>
        <v>1353.4385280000004</v>
      </c>
      <c r="N221" s="10">
        <f t="shared" si="43"/>
        <v>366689.37115199998</v>
      </c>
      <c r="O221" s="10">
        <f t="shared" si="44"/>
        <v>174986.37931840002</v>
      </c>
      <c r="P221" s="10">
        <f t="shared" si="45"/>
        <v>67208.266414847996</v>
      </c>
      <c r="Q221" s="10">
        <f t="shared" si="46"/>
        <v>370347.95623987197</v>
      </c>
      <c r="R221" s="10">
        <f t="shared" si="47"/>
        <v>979231.97312511993</v>
      </c>
      <c r="S221" s="10"/>
      <c r="T221" s="11"/>
      <c r="U221" s="10"/>
      <c r="V221" s="10"/>
      <c r="W221" s="59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</row>
    <row r="222" spans="1:186" s="6" customFormat="1" ht="21.75" customHeight="1">
      <c r="A222" s="28" t="s">
        <v>346</v>
      </c>
      <c r="B222" s="27" t="s">
        <v>345</v>
      </c>
      <c r="C222" s="27" t="s">
        <v>325</v>
      </c>
      <c r="D222" s="27"/>
      <c r="E222" s="21">
        <v>23.126000000000001</v>
      </c>
      <c r="F222" s="21">
        <f>11.563+11.563+8.579</f>
        <v>31.705000000000002</v>
      </c>
      <c r="G222" s="21">
        <v>3.36</v>
      </c>
      <c r="H222" s="21">
        <v>34.69</v>
      </c>
      <c r="I222" s="21">
        <f t="shared" si="42"/>
        <v>92.881</v>
      </c>
      <c r="J222" s="93">
        <f>'2018'!N225</f>
        <v>2771.53</v>
      </c>
      <c r="K222" s="93">
        <f t="shared" si="48"/>
        <v>2882.3912000000005</v>
      </c>
      <c r="L222" s="83">
        <f>'2018'!P225</f>
        <v>1637.0952000000002</v>
      </c>
      <c r="M222" s="83">
        <f t="shared" si="49"/>
        <v>1702.5790080000002</v>
      </c>
      <c r="N222" s="10">
        <f t="shared" si="43"/>
        <v>26234.939184800001</v>
      </c>
      <c r="O222" s="10">
        <f t="shared" si="44"/>
        <v>35967.255334000001</v>
      </c>
      <c r="P222" s="10">
        <f t="shared" si="45"/>
        <v>3964.1689651200008</v>
      </c>
      <c r="Q222" s="10">
        <f t="shared" si="46"/>
        <v>40927.684940480009</v>
      </c>
      <c r="R222" s="10">
        <f t="shared" si="47"/>
        <v>107094.04842440001</v>
      </c>
      <c r="S222" s="10"/>
      <c r="T222" s="11"/>
      <c r="U222" s="10"/>
      <c r="V222" s="10"/>
      <c r="W222" s="59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</row>
    <row r="223" spans="1:186" s="6" customFormat="1" ht="21.75" customHeight="1">
      <c r="A223" s="28" t="s">
        <v>333</v>
      </c>
      <c r="B223" s="27" t="s">
        <v>334</v>
      </c>
      <c r="C223" s="27" t="s">
        <v>324</v>
      </c>
      <c r="D223" s="27"/>
      <c r="E223" s="21">
        <v>870.17</v>
      </c>
      <c r="F223" s="21">
        <f>272.104+224.231+26.136</f>
        <v>522.471</v>
      </c>
      <c r="G223" s="21">
        <v>211.803</v>
      </c>
      <c r="H223" s="21">
        <v>903.93399999999997</v>
      </c>
      <c r="I223" s="21">
        <f t="shared" si="42"/>
        <v>2508.3779999999997</v>
      </c>
      <c r="J223" s="93">
        <f>'2018'!N226</f>
        <v>4665.7520000000004</v>
      </c>
      <c r="K223" s="93">
        <f t="shared" si="48"/>
        <v>4852.3820800000003</v>
      </c>
      <c r="L223" s="83">
        <f>'2018'!P226</f>
        <v>2050.6595200000002</v>
      </c>
      <c r="M223" s="83">
        <f t="shared" si="49"/>
        <v>2132.6859008000001</v>
      </c>
      <c r="N223" s="10">
        <f t="shared" si="43"/>
        <v>2275575.0233216002</v>
      </c>
      <c r="O223" s="10">
        <f t="shared" si="44"/>
        <v>1366309.9831180801</v>
      </c>
      <c r="P223" s="10">
        <f t="shared" si="45"/>
        <v>576039.80984309758</v>
      </c>
      <c r="Q223" s="10">
        <f t="shared" si="46"/>
        <v>2458425.846048973</v>
      </c>
      <c r="R223" s="10">
        <f t="shared" si="47"/>
        <v>6676350.6623317506</v>
      </c>
      <c r="S223" s="10"/>
      <c r="T223" s="11"/>
      <c r="U223" s="10"/>
      <c r="V223" s="10"/>
      <c r="W223" s="59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</row>
    <row r="224" spans="1:186" s="6" customFormat="1" ht="21.75" customHeight="1">
      <c r="A224" s="73" t="s">
        <v>451</v>
      </c>
      <c r="B224" s="75" t="s">
        <v>452</v>
      </c>
      <c r="C224" s="22" t="s">
        <v>325</v>
      </c>
      <c r="D224" s="27"/>
      <c r="E224" s="21">
        <v>41.305259999999997</v>
      </c>
      <c r="F224" s="21">
        <v>27.536840000000005</v>
      </c>
      <c r="G224" s="21">
        <v>8.0515799999999995</v>
      </c>
      <c r="H224" s="21">
        <v>32.206319999999991</v>
      </c>
      <c r="I224" s="21">
        <f t="shared" si="42"/>
        <v>109.1</v>
      </c>
      <c r="J224" s="93">
        <f>'2018'!N227</f>
        <v>2114.4656</v>
      </c>
      <c r="K224" s="93">
        <f t="shared" ref="K224:K225" si="50">J224*1.04</f>
        <v>2199.0442240000002</v>
      </c>
      <c r="L224" s="83">
        <f>'2018'!P227</f>
        <v>1655.8378720000001</v>
      </c>
      <c r="M224" s="83">
        <f t="shared" ref="M224:M225" si="51">L224*1.04</f>
        <v>1722.0713868800001</v>
      </c>
      <c r="N224" s="10">
        <f t="shared" si="43"/>
        <v>18943.737548249275</v>
      </c>
      <c r="O224" s="10">
        <f t="shared" si="44"/>
        <v>12629.158365499521</v>
      </c>
      <c r="P224" s="10">
        <f t="shared" si="45"/>
        <v>3840.3849558986503</v>
      </c>
      <c r="Q224" s="10">
        <f t="shared" si="46"/>
        <v>15361.539823594598</v>
      </c>
      <c r="R224" s="10">
        <f t="shared" si="47"/>
        <v>50774.820693242043</v>
      </c>
      <c r="S224" s="10"/>
      <c r="T224" s="11"/>
      <c r="U224" s="10"/>
      <c r="V224" s="10"/>
      <c r="W224" s="59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</row>
    <row r="225" spans="1:191" s="6" customFormat="1" ht="21.75" customHeight="1">
      <c r="A225" s="73" t="s">
        <v>453</v>
      </c>
      <c r="B225" s="74" t="s">
        <v>454</v>
      </c>
      <c r="C225" s="74" t="s">
        <v>455</v>
      </c>
      <c r="D225" s="27"/>
      <c r="E225" s="21">
        <v>29.018087999999999</v>
      </c>
      <c r="F225" s="21">
        <v>19.345392000000004</v>
      </c>
      <c r="G225" s="21">
        <v>8.5433039999999991</v>
      </c>
      <c r="H225" s="21">
        <v>34.173215999999996</v>
      </c>
      <c r="I225" s="21">
        <f t="shared" si="42"/>
        <v>91.08</v>
      </c>
      <c r="J225" s="93">
        <f>'2018'!N228</f>
        <v>2881.88</v>
      </c>
      <c r="K225" s="93">
        <f t="shared" si="50"/>
        <v>2997.1552000000001</v>
      </c>
      <c r="L225" s="83">
        <f>'2018'!P228</f>
        <v>1672.5282080000002</v>
      </c>
      <c r="M225" s="83">
        <f t="shared" si="51"/>
        <v>1739.4293363200002</v>
      </c>
      <c r="N225" s="10">
        <f t="shared" si="43"/>
        <v>35093.076723213693</v>
      </c>
      <c r="O225" s="10">
        <f t="shared" si="44"/>
        <v>23395.384482142468</v>
      </c>
      <c r="P225" s="10">
        <f t="shared" si="45"/>
        <v>10745.134402080797</v>
      </c>
      <c r="Q225" s="10">
        <f t="shared" si="46"/>
        <v>42980.537608323189</v>
      </c>
      <c r="R225" s="10">
        <f t="shared" si="47"/>
        <v>112214.13321576014</v>
      </c>
      <c r="S225" s="10"/>
      <c r="T225" s="11"/>
      <c r="U225" s="10"/>
      <c r="V225" s="10"/>
      <c r="W225" s="59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</row>
    <row r="226" spans="1:191" s="14" customFormat="1" ht="21" customHeight="1" outlineLevel="1">
      <c r="A226" s="150" t="s">
        <v>335</v>
      </c>
      <c r="B226" s="150"/>
      <c r="C226" s="150"/>
      <c r="D226" s="150"/>
      <c r="E226" s="43"/>
      <c r="F226" s="43"/>
      <c r="G226" s="57"/>
      <c r="H226" s="44"/>
      <c r="I226" s="21">
        <f t="shared" si="42"/>
        <v>0</v>
      </c>
      <c r="J226" s="85"/>
      <c r="K226" s="85"/>
      <c r="L226" s="82"/>
      <c r="M226" s="82"/>
      <c r="N226" s="10">
        <f t="shared" si="43"/>
        <v>0</v>
      </c>
      <c r="O226" s="10">
        <f t="shared" si="44"/>
        <v>0</v>
      </c>
      <c r="P226" s="10">
        <f t="shared" si="45"/>
        <v>0</v>
      </c>
      <c r="Q226" s="10">
        <f t="shared" si="46"/>
        <v>0</v>
      </c>
      <c r="R226" s="10">
        <f t="shared" si="47"/>
        <v>0</v>
      </c>
      <c r="S226" s="10"/>
      <c r="T226" s="11"/>
      <c r="U226" s="10"/>
      <c r="V226" s="10"/>
    </row>
    <row r="227" spans="1:191" s="6" customFormat="1" ht="20.25" customHeight="1" outlineLevel="1">
      <c r="A227" s="28" t="s">
        <v>415</v>
      </c>
      <c r="B227" s="27" t="s">
        <v>414</v>
      </c>
      <c r="C227" s="15" t="s">
        <v>336</v>
      </c>
      <c r="D227" s="15"/>
      <c r="E227" s="21">
        <v>297.15499999999997</v>
      </c>
      <c r="F227" s="21">
        <v>157.42500000000001</v>
      </c>
      <c r="G227" s="21">
        <v>74.844999999999999</v>
      </c>
      <c r="H227" s="21">
        <v>297.15499999999997</v>
      </c>
      <c r="I227" s="21">
        <f t="shared" si="42"/>
        <v>826.57999999999993</v>
      </c>
      <c r="J227" s="83">
        <f>'2018'!N230</f>
        <v>4124.43</v>
      </c>
      <c r="K227" s="83">
        <f t="shared" si="48"/>
        <v>4289.4072000000006</v>
      </c>
      <c r="L227" s="83">
        <f>'2018'!P230</f>
        <v>1499.14</v>
      </c>
      <c r="M227" s="83">
        <f t="shared" si="49"/>
        <v>1559.1056000000001</v>
      </c>
      <c r="N227" s="10">
        <f t="shared" si="43"/>
        <v>780118.0499499999</v>
      </c>
      <c r="O227" s="10">
        <f t="shared" si="44"/>
        <v>413286.27825000003</v>
      </c>
      <c r="P227" s="10">
        <f t="shared" si="45"/>
        <v>204349.42325200004</v>
      </c>
      <c r="Q227" s="10">
        <f t="shared" si="46"/>
        <v>811322.77194800018</v>
      </c>
      <c r="R227" s="10">
        <f t="shared" si="47"/>
        <v>2209076.5234000003</v>
      </c>
      <c r="S227" s="10"/>
      <c r="T227" s="11"/>
      <c r="U227" s="10"/>
      <c r="V227" s="10"/>
      <c r="W227" s="42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</row>
    <row r="228" spans="1:191" ht="33.75" customHeight="1">
      <c r="A228" s="24" t="s">
        <v>294</v>
      </c>
      <c r="B228" s="24"/>
      <c r="C228" s="24"/>
      <c r="D228" s="24"/>
      <c r="E228" s="25">
        <f>SUM(E9:E227)</f>
        <v>406210.07537737995</v>
      </c>
      <c r="F228" s="25">
        <f t="shared" ref="F228:H228" si="52">SUM(F9:F227)</f>
        <v>255741.38958491993</v>
      </c>
      <c r="G228" s="25">
        <f t="shared" si="52"/>
        <v>92321.885004740005</v>
      </c>
      <c r="H228" s="25">
        <f t="shared" si="52"/>
        <v>383786.64401896024</v>
      </c>
      <c r="I228" s="25">
        <f>SUM(I9:I227)</f>
        <v>1138059.9939860001</v>
      </c>
      <c r="J228" s="80"/>
      <c r="K228" s="80"/>
      <c r="L228" s="80"/>
      <c r="M228" s="80"/>
      <c r="N228" s="26">
        <f>SUM(N9:N227)</f>
        <v>688519009.77614474</v>
      </c>
      <c r="O228" s="26">
        <f>SUM(O9:O227)</f>
        <v>431000015.26369292</v>
      </c>
      <c r="P228" s="26">
        <f>SUM(P9:P227)</f>
        <v>153958467.60624215</v>
      </c>
      <c r="Q228" s="26">
        <f>SUM(Q9:Q227)</f>
        <v>677463998.23402512</v>
      </c>
      <c r="R228" s="26">
        <f>SUM(R9:R227)</f>
        <v>1950941490.8801048</v>
      </c>
      <c r="S228" s="16">
        <f>'2018'!X231</f>
        <v>234506768.6194703</v>
      </c>
      <c r="T228" s="17">
        <f>R228+S228</f>
        <v>2185448259.4995751</v>
      </c>
      <c r="U228" s="16">
        <f>Q228*0.36</f>
        <v>243887039.36424902</v>
      </c>
      <c r="V228" s="16">
        <f>T228-U228</f>
        <v>1941561220.1353261</v>
      </c>
      <c r="W228" s="61"/>
    </row>
    <row r="229" spans="1:191" s="6" customFormat="1" ht="45.75" customHeight="1">
      <c r="A229"/>
      <c r="F229"/>
      <c r="J229" s="100"/>
      <c r="K229" s="100"/>
      <c r="L229" s="100"/>
      <c r="M229" s="100"/>
      <c r="N229"/>
      <c r="O229"/>
      <c r="P229"/>
      <c r="Q229"/>
      <c r="R229"/>
      <c r="S229"/>
      <c r="T229"/>
      <c r="U229"/>
      <c r="V229"/>
      <c r="W229"/>
    </row>
    <row r="230" spans="1:191" s="6" customFormat="1" ht="32.25" customHeight="1">
      <c r="A230"/>
      <c r="F230"/>
      <c r="J230" s="100"/>
      <c r="K230" s="100"/>
      <c r="L230" s="100"/>
      <c r="M230" s="100"/>
      <c r="N230"/>
      <c r="O230"/>
      <c r="P230"/>
      <c r="Q230"/>
      <c r="R230"/>
      <c r="S230"/>
      <c r="T230"/>
      <c r="U230"/>
      <c r="V230"/>
      <c r="W230"/>
    </row>
    <row r="231" spans="1:191">
      <c r="H231" s="91"/>
      <c r="I231" s="91"/>
      <c r="N231" s="91"/>
      <c r="O231" s="91"/>
      <c r="P231" s="91"/>
      <c r="Q231" s="91"/>
      <c r="R231"/>
      <c r="S231"/>
      <c r="U231"/>
      <c r="V231"/>
    </row>
    <row r="232" spans="1:191">
      <c r="H232" s="91"/>
      <c r="I232" s="91"/>
      <c r="N232" s="91"/>
      <c r="O232" s="91"/>
      <c r="P232" s="91"/>
      <c r="Q232" s="91"/>
      <c r="R232"/>
      <c r="S232"/>
      <c r="U232"/>
      <c r="V232"/>
    </row>
    <row r="233" spans="1:191">
      <c r="N233"/>
      <c r="O233"/>
      <c r="P233"/>
      <c r="Q233"/>
      <c r="R233"/>
      <c r="S233"/>
      <c r="U233"/>
      <c r="V233"/>
    </row>
    <row r="234" spans="1:191">
      <c r="N234"/>
      <c r="O234"/>
      <c r="P234"/>
      <c r="Q234"/>
      <c r="R234"/>
      <c r="S234"/>
      <c r="U234"/>
      <c r="V234"/>
    </row>
    <row r="235" spans="1:191">
      <c r="N235"/>
      <c r="O235"/>
      <c r="P235"/>
      <c r="Q235"/>
      <c r="R235"/>
      <c r="S235"/>
      <c r="U235"/>
      <c r="V235"/>
    </row>
    <row r="236" spans="1:191">
      <c r="N236"/>
      <c r="O236"/>
      <c r="P236"/>
      <c r="Q236"/>
      <c r="R236"/>
      <c r="S236"/>
      <c r="U236"/>
      <c r="V236"/>
    </row>
    <row r="237" spans="1:191">
      <c r="N237"/>
      <c r="O237"/>
      <c r="P237"/>
      <c r="Q237"/>
      <c r="R237"/>
      <c r="S237"/>
      <c r="U237"/>
      <c r="V237"/>
    </row>
    <row r="238" spans="1:191">
      <c r="N238"/>
      <c r="O238"/>
      <c r="P238"/>
      <c r="Q238"/>
      <c r="R238"/>
      <c r="S238"/>
      <c r="U238"/>
      <c r="V238"/>
    </row>
    <row r="239" spans="1:191">
      <c r="N239"/>
      <c r="O239"/>
      <c r="P239"/>
      <c r="Q239"/>
      <c r="R239"/>
      <c r="S239"/>
      <c r="U239"/>
      <c r="V239"/>
    </row>
    <row r="240" spans="1:191">
      <c r="N240"/>
      <c r="O240"/>
      <c r="P240"/>
      <c r="Q240"/>
      <c r="R240"/>
      <c r="S240"/>
      <c r="U240"/>
      <c r="V240"/>
    </row>
    <row r="241" spans="14:22">
      <c r="N241"/>
      <c r="O241"/>
      <c r="P241"/>
      <c r="Q241"/>
      <c r="R241"/>
      <c r="S241"/>
      <c r="U241"/>
      <c r="V241"/>
    </row>
    <row r="242" spans="14:22">
      <c r="N242"/>
      <c r="O242"/>
      <c r="P242"/>
      <c r="Q242"/>
      <c r="R242"/>
      <c r="S242"/>
      <c r="U242"/>
      <c r="V242"/>
    </row>
    <row r="243" spans="14:22">
      <c r="N243"/>
      <c r="O243"/>
      <c r="P243"/>
      <c r="Q243"/>
      <c r="R243"/>
      <c r="S243"/>
      <c r="U243"/>
      <c r="V243"/>
    </row>
    <row r="244" spans="14:22">
      <c r="N244"/>
      <c r="O244"/>
      <c r="P244"/>
      <c r="Q244"/>
      <c r="R244"/>
      <c r="S244"/>
      <c r="U244"/>
      <c r="V244"/>
    </row>
    <row r="245" spans="14:22">
      <c r="N245"/>
      <c r="O245"/>
      <c r="P245"/>
      <c r="Q245"/>
      <c r="R245"/>
      <c r="S245"/>
      <c r="U245"/>
      <c r="V245"/>
    </row>
    <row r="246" spans="14:22">
      <c r="R246"/>
      <c r="V246"/>
    </row>
  </sheetData>
  <mergeCells count="37">
    <mergeCell ref="A155:D155"/>
    <mergeCell ref="A169:D169"/>
    <mergeCell ref="A187:D187"/>
    <mergeCell ref="A24:D24"/>
    <mergeCell ref="A32:D32"/>
    <mergeCell ref="A81:D81"/>
    <mergeCell ref="A127:D127"/>
    <mergeCell ref="A150:D150"/>
    <mergeCell ref="A8:D8"/>
    <mergeCell ref="A14:D14"/>
    <mergeCell ref="A109:D109"/>
    <mergeCell ref="A41:D41"/>
    <mergeCell ref="A52:C52"/>
    <mergeCell ref="A55:D55"/>
    <mergeCell ref="A69:D69"/>
    <mergeCell ref="A73:D73"/>
    <mergeCell ref="A83:D83"/>
    <mergeCell ref="A86:D86"/>
    <mergeCell ref="A89:C89"/>
    <mergeCell ref="A91:D91"/>
    <mergeCell ref="A97:D97"/>
    <mergeCell ref="A4:W4"/>
    <mergeCell ref="A6:A7"/>
    <mergeCell ref="B6:B7"/>
    <mergeCell ref="C6:C7"/>
    <mergeCell ref="D6:D7"/>
    <mergeCell ref="S6:S7"/>
    <mergeCell ref="T6:T7"/>
    <mergeCell ref="U6:U7"/>
    <mergeCell ref="V6:V7"/>
    <mergeCell ref="N6:R6"/>
    <mergeCell ref="J6:K6"/>
    <mergeCell ref="L6:M6"/>
    <mergeCell ref="E6:I6"/>
    <mergeCell ref="A195:C195"/>
    <mergeCell ref="A202:D202"/>
    <mergeCell ref="A226:D226"/>
  </mergeCells>
  <pageMargins left="0.39370078740157483" right="0.39370078740157483" top="0.78740157480314965" bottom="0.78740157480314965" header="0.31496062992125984" footer="0.31496062992125984"/>
  <pageSetup paperSize="9" scale="41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N247"/>
  <sheetViews>
    <sheetView zoomScaleNormal="100" workbookViewId="0">
      <pane xSplit="4" ySplit="7" topLeftCell="E200" activePane="bottomRight" state="frozen"/>
      <selection pane="topRight" activeCell="E1" sqref="E1"/>
      <selection pane="bottomLeft" activeCell="A5" sqref="A5"/>
      <selection pane="bottomRight" activeCell="B6" sqref="B6:B7"/>
    </sheetView>
  </sheetViews>
  <sheetFormatPr defaultRowHeight="12.75" outlineLevelRow="1" outlineLevelCol="1"/>
  <cols>
    <col min="1" max="1" width="12.85546875" customWidth="1"/>
    <col min="2" max="2" width="40.28515625" customWidth="1"/>
    <col min="3" max="3" width="21.42578125" customWidth="1"/>
    <col min="4" max="4" width="21.140625" customWidth="1" outlineLevel="1"/>
    <col min="5" max="5" width="12.42578125" customWidth="1"/>
    <col min="6" max="6" width="13" customWidth="1"/>
    <col min="7" max="7" width="14.28515625" customWidth="1"/>
    <col min="8" max="8" width="14.140625" customWidth="1"/>
    <col min="9" max="9" width="14.85546875" customWidth="1"/>
    <col min="10" max="13" width="11.85546875" style="100" customWidth="1"/>
    <col min="14" max="14" width="18.28515625" style="6" customWidth="1"/>
    <col min="15" max="15" width="16.140625" style="6" customWidth="1"/>
    <col min="16" max="16" width="17.28515625" style="6" customWidth="1"/>
    <col min="17" max="17" width="15.5703125" style="6" customWidth="1"/>
    <col min="18" max="18" width="17.42578125" style="6" customWidth="1"/>
    <col min="19" max="19" width="17" style="6" customWidth="1"/>
    <col min="20" max="20" width="18.5703125" customWidth="1"/>
    <col min="21" max="21" width="17.5703125" style="6" customWidth="1"/>
    <col min="22" max="22" width="19.5703125" style="6" customWidth="1"/>
  </cols>
  <sheetData>
    <row r="1" spans="1:23" s="128" customFormat="1">
      <c r="C1" s="92"/>
      <c r="J1" s="127"/>
      <c r="K1" s="127"/>
      <c r="L1" s="127"/>
      <c r="M1" s="127"/>
      <c r="N1" s="92"/>
      <c r="O1" s="92"/>
      <c r="P1" s="92"/>
      <c r="Q1" s="92"/>
      <c r="R1" s="92"/>
      <c r="S1" s="92"/>
      <c r="U1" s="92" t="s">
        <v>470</v>
      </c>
      <c r="V1" s="92"/>
    </row>
    <row r="2" spans="1:23" s="128" customFormat="1">
      <c r="C2" s="92"/>
      <c r="J2" s="127"/>
      <c r="K2" s="127"/>
      <c r="L2" s="127"/>
      <c r="M2" s="127"/>
      <c r="N2" s="92"/>
      <c r="O2" s="92"/>
      <c r="P2" s="92"/>
      <c r="Q2" s="92"/>
      <c r="R2" s="92"/>
      <c r="S2" s="92"/>
      <c r="U2" s="92" t="s">
        <v>469</v>
      </c>
      <c r="V2" s="92"/>
    </row>
    <row r="3" spans="1:23" s="128" customFormat="1">
      <c r="J3" s="127"/>
      <c r="K3" s="127"/>
      <c r="L3" s="127"/>
      <c r="M3" s="127"/>
      <c r="N3" s="92"/>
      <c r="O3" s="92"/>
      <c r="P3" s="92"/>
      <c r="Q3" s="92"/>
      <c r="R3" s="92"/>
      <c r="S3" s="92"/>
      <c r="U3" s="92"/>
      <c r="V3" s="92"/>
    </row>
    <row r="4" spans="1:23" s="6" customFormat="1" ht="50.25" customHeight="1">
      <c r="A4" s="151" t="s">
        <v>408</v>
      </c>
      <c r="B4" s="151"/>
      <c r="C4" s="151"/>
      <c r="D4" s="151"/>
      <c r="E4" s="151"/>
      <c r="F4" s="152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spans="1:23" s="6" customFormat="1" ht="21" customHeight="1">
      <c r="A5" s="32"/>
      <c r="E5" s="33"/>
      <c r="F5" s="34"/>
      <c r="G5" s="33"/>
      <c r="H5" s="33"/>
      <c r="I5" s="33"/>
      <c r="J5" s="92"/>
      <c r="K5" s="92"/>
      <c r="L5" s="92"/>
      <c r="M5" s="92"/>
      <c r="N5" s="35"/>
      <c r="O5" s="35"/>
      <c r="P5" s="35"/>
      <c r="Q5" s="35"/>
      <c r="R5" s="35"/>
      <c r="S5" s="35"/>
      <c r="T5" s="35"/>
      <c r="U5" s="62"/>
      <c r="V5" s="35"/>
    </row>
    <row r="6" spans="1:23" ht="84" customHeight="1">
      <c r="A6" s="143" t="s">
        <v>7</v>
      </c>
      <c r="B6" s="134" t="s">
        <v>8</v>
      </c>
      <c r="C6" s="134" t="s">
        <v>0</v>
      </c>
      <c r="D6" s="134" t="s">
        <v>1</v>
      </c>
      <c r="E6" s="134" t="s">
        <v>409</v>
      </c>
      <c r="F6" s="134"/>
      <c r="G6" s="134"/>
      <c r="H6" s="134"/>
      <c r="I6" s="134"/>
      <c r="J6" s="134" t="s">
        <v>375</v>
      </c>
      <c r="K6" s="134"/>
      <c r="L6" s="134" t="s">
        <v>376</v>
      </c>
      <c r="M6" s="134"/>
      <c r="N6" s="139" t="s">
        <v>377</v>
      </c>
      <c r="O6" s="139"/>
      <c r="P6" s="139"/>
      <c r="Q6" s="139"/>
      <c r="R6" s="139"/>
      <c r="S6" s="153" t="s">
        <v>410</v>
      </c>
      <c r="T6" s="155" t="s">
        <v>411</v>
      </c>
      <c r="U6" s="157" t="s">
        <v>412</v>
      </c>
      <c r="V6" s="155" t="s">
        <v>464</v>
      </c>
      <c r="W6" s="38"/>
    </row>
    <row r="7" spans="1:23" ht="32.25" customHeight="1">
      <c r="A7" s="143"/>
      <c r="B7" s="134"/>
      <c r="C7" s="134"/>
      <c r="D7" s="134"/>
      <c r="E7" s="30" t="s">
        <v>396</v>
      </c>
      <c r="F7" s="30" t="s">
        <v>397</v>
      </c>
      <c r="G7" s="30" t="s">
        <v>4</v>
      </c>
      <c r="H7" s="30" t="s">
        <v>398</v>
      </c>
      <c r="I7" s="30" t="s">
        <v>6</v>
      </c>
      <c r="J7" s="98" t="s">
        <v>338</v>
      </c>
      <c r="K7" s="98" t="s">
        <v>339</v>
      </c>
      <c r="L7" s="98" t="s">
        <v>338</v>
      </c>
      <c r="M7" s="98" t="s">
        <v>339</v>
      </c>
      <c r="N7" s="37" t="s">
        <v>2</v>
      </c>
      <c r="O7" s="37" t="s">
        <v>3</v>
      </c>
      <c r="P7" s="37" t="s">
        <v>4</v>
      </c>
      <c r="Q7" s="37" t="s">
        <v>5</v>
      </c>
      <c r="R7" s="37" t="s">
        <v>337</v>
      </c>
      <c r="S7" s="154"/>
      <c r="T7" s="156"/>
      <c r="U7" s="158"/>
      <c r="V7" s="156"/>
      <c r="W7" s="38"/>
    </row>
    <row r="8" spans="1:23" ht="29.25" customHeight="1">
      <c r="A8" s="133" t="s">
        <v>11</v>
      </c>
      <c r="B8" s="133"/>
      <c r="C8" s="133"/>
      <c r="D8" s="133"/>
      <c r="E8" s="39"/>
      <c r="F8" s="40"/>
      <c r="G8" s="39"/>
      <c r="H8" s="39"/>
      <c r="I8" s="39"/>
      <c r="J8" s="99"/>
      <c r="K8" s="99"/>
      <c r="L8" s="99"/>
      <c r="M8" s="99"/>
      <c r="N8" s="16"/>
      <c r="O8" s="16"/>
      <c r="P8" s="16"/>
      <c r="Q8" s="16"/>
      <c r="R8" s="16"/>
      <c r="S8" s="16"/>
      <c r="T8" s="16">
        <f>SUM(T9:T33)</f>
        <v>0</v>
      </c>
      <c r="U8" s="16">
        <f>SUM(U9:U33)</f>
        <v>0</v>
      </c>
      <c r="V8" s="16">
        <f>SUM(V9:V33)</f>
        <v>0</v>
      </c>
      <c r="W8" s="41"/>
    </row>
    <row r="9" spans="1:23" ht="26.25" customHeight="1">
      <c r="A9" s="18" t="s">
        <v>9</v>
      </c>
      <c r="B9" s="15" t="s">
        <v>10</v>
      </c>
      <c r="C9" s="15" t="s">
        <v>12</v>
      </c>
      <c r="D9" s="15"/>
      <c r="E9" s="63">
        <f>149.715</f>
        <v>149.715</v>
      </c>
      <c r="F9" s="63">
        <f>52.526+0</f>
        <v>52.526000000000003</v>
      </c>
      <c r="G9" s="63">
        <v>49.384999999999998</v>
      </c>
      <c r="H9" s="63">
        <v>168.33199999999999</v>
      </c>
      <c r="I9" s="63">
        <f>SUM(E9:H9)</f>
        <v>419.95799999999997</v>
      </c>
      <c r="J9" s="93">
        <f>'2019'!K9</f>
        <v>3981.3904000000002</v>
      </c>
      <c r="K9" s="93">
        <f>J9*1.04</f>
        <v>4140.6460160000006</v>
      </c>
      <c r="L9" s="93">
        <f>'2019'!M9</f>
        <v>1433.1200000000001</v>
      </c>
      <c r="M9" s="93">
        <f>L9*1.04</f>
        <v>1490.4448000000002</v>
      </c>
      <c r="N9" s="10">
        <f>(J9-L9)*E9</f>
        <v>381514.30293600005</v>
      </c>
      <c r="O9" s="10">
        <f>(J9-L9)*F9</f>
        <v>133850.45103040003</v>
      </c>
      <c r="P9" s="10">
        <f>(K9-M9)*G9</f>
        <v>130880.18705216001</v>
      </c>
      <c r="Q9" s="10">
        <f>(K9-M9)*H9</f>
        <v>446113.67109171202</v>
      </c>
      <c r="R9" s="10">
        <f>SUM(N9:Q9)</f>
        <v>1092358.612110272</v>
      </c>
      <c r="S9" s="10"/>
      <c r="T9" s="11"/>
      <c r="U9" s="10"/>
      <c r="V9" s="10"/>
      <c r="W9" s="42"/>
    </row>
    <row r="10" spans="1:23" ht="26.25" customHeight="1">
      <c r="A10" s="18" t="s">
        <v>13</v>
      </c>
      <c r="B10" s="15" t="s">
        <v>14</v>
      </c>
      <c r="C10" s="15" t="s">
        <v>15</v>
      </c>
      <c r="D10" s="15"/>
      <c r="E10" s="63">
        <v>1520.76</v>
      </c>
      <c r="F10" s="63">
        <f>496.82+496.42+7.2</f>
        <v>1000.44</v>
      </c>
      <c r="G10" s="63">
        <v>249.96</v>
      </c>
      <c r="H10" s="63">
        <v>1527.91</v>
      </c>
      <c r="I10" s="63">
        <f t="shared" ref="I10:I97" si="0">SUM(E10:H10)</f>
        <v>4299.07</v>
      </c>
      <c r="J10" s="93">
        <f>'2019'!K10</f>
        <v>4045.3087999999998</v>
      </c>
      <c r="K10" s="93">
        <f t="shared" ref="K10:K77" si="1">J10*1.04</f>
        <v>4207.1211519999997</v>
      </c>
      <c r="L10" s="93">
        <f>'2019'!M10</f>
        <v>1419.43776</v>
      </c>
      <c r="M10" s="93">
        <f t="shared" ref="M10:M77" si="2">L10*1.04</f>
        <v>1476.2152704</v>
      </c>
      <c r="N10" s="10">
        <f t="shared" ref="N10:N73" si="3">(J10-L10)*E10</f>
        <v>3993319.6427904</v>
      </c>
      <c r="O10" s="10">
        <f t="shared" ref="O10:O73" si="4">(J10-L10)*F10</f>
        <v>2627026.4232576001</v>
      </c>
      <c r="P10" s="10">
        <f t="shared" ref="P10:P73" si="5">(K10-M10)*G10</f>
        <v>682617.234164736</v>
      </c>
      <c r="Q10" s="10">
        <f t="shared" ref="Q10:Q73" si="6">(K10-M10)*H10</f>
        <v>4172578.4055554559</v>
      </c>
      <c r="R10" s="10">
        <f t="shared" ref="R10:R73" si="7">SUM(N10:Q10)</f>
        <v>11475541.705768192</v>
      </c>
      <c r="S10" s="10"/>
      <c r="T10" s="11"/>
      <c r="U10" s="10"/>
      <c r="V10" s="10"/>
      <c r="W10" s="42"/>
    </row>
    <row r="11" spans="1:23" ht="26.25" customHeight="1">
      <c r="A11" s="18" t="s">
        <v>16</v>
      </c>
      <c r="B11" s="15" t="s">
        <v>17</v>
      </c>
      <c r="C11" s="15" t="s">
        <v>18</v>
      </c>
      <c r="D11" s="15"/>
      <c r="E11" s="63">
        <v>419.7</v>
      </c>
      <c r="F11" s="63">
        <f>139.9+139.9</f>
        <v>279.8</v>
      </c>
      <c r="G11" s="63">
        <v>74.566999999999993</v>
      </c>
      <c r="H11" s="63">
        <v>419.7</v>
      </c>
      <c r="I11" s="63">
        <f t="shared" si="0"/>
        <v>1193.7670000000001</v>
      </c>
      <c r="J11" s="93">
        <f>'2019'!K11</f>
        <v>3420.9032000000002</v>
      </c>
      <c r="K11" s="93">
        <f t="shared" si="1"/>
        <v>3557.7393280000001</v>
      </c>
      <c r="L11" s="93">
        <f>'2019'!M11</f>
        <v>1419.43776</v>
      </c>
      <c r="M11" s="93">
        <f t="shared" si="2"/>
        <v>1476.2152704</v>
      </c>
      <c r="N11" s="10">
        <f t="shared" si="3"/>
        <v>840015.04516800004</v>
      </c>
      <c r="O11" s="10">
        <f t="shared" si="4"/>
        <v>560010.03011200007</v>
      </c>
      <c r="P11" s="10">
        <f t="shared" si="5"/>
        <v>155213.0044030592</v>
      </c>
      <c r="Q11" s="10">
        <f t="shared" si="6"/>
        <v>873615.64697472006</v>
      </c>
      <c r="R11" s="10">
        <f t="shared" si="7"/>
        <v>2428853.726657779</v>
      </c>
      <c r="S11" s="10"/>
      <c r="T11" s="11"/>
      <c r="U11" s="10"/>
      <c r="V11" s="10"/>
      <c r="W11" s="42"/>
    </row>
    <row r="12" spans="1:23" ht="26.25" customHeight="1">
      <c r="A12" s="18" t="s">
        <v>19</v>
      </c>
      <c r="B12" s="15" t="s">
        <v>20</v>
      </c>
      <c r="C12" s="15" t="s">
        <v>21</v>
      </c>
      <c r="D12" s="15"/>
      <c r="E12" s="63">
        <v>166.71</v>
      </c>
      <c r="F12" s="63">
        <f>54.75+54.75+16.43</f>
        <v>125.93</v>
      </c>
      <c r="G12" s="63">
        <v>35.524999999999999</v>
      </c>
      <c r="H12" s="63">
        <v>176.11</v>
      </c>
      <c r="I12" s="63">
        <f t="shared" si="0"/>
        <v>504.27499999999998</v>
      </c>
      <c r="J12" s="93">
        <f>'2019'!K12</f>
        <v>3698.3336000000004</v>
      </c>
      <c r="K12" s="93">
        <f t="shared" si="1"/>
        <v>3846.2669440000004</v>
      </c>
      <c r="L12" s="93">
        <f>'2019'!M12</f>
        <v>1335.9706880000001</v>
      </c>
      <c r="M12" s="93">
        <f t="shared" si="2"/>
        <v>1389.4095155200002</v>
      </c>
      <c r="N12" s="10">
        <f t="shared" si="3"/>
        <v>393829.52105952008</v>
      </c>
      <c r="O12" s="10">
        <f t="shared" si="4"/>
        <v>297492.36150816007</v>
      </c>
      <c r="P12" s="10">
        <f t="shared" si="5"/>
        <v>87279.860146752006</v>
      </c>
      <c r="Q12" s="10">
        <f t="shared" si="6"/>
        <v>432677.16172961285</v>
      </c>
      <c r="R12" s="10">
        <f t="shared" si="7"/>
        <v>1211278.9044440449</v>
      </c>
      <c r="S12" s="10"/>
      <c r="T12" s="11"/>
      <c r="U12" s="10"/>
      <c r="V12" s="10"/>
      <c r="W12" s="42"/>
    </row>
    <row r="13" spans="1:23" ht="26.25" customHeight="1">
      <c r="A13" s="18" t="s">
        <v>22</v>
      </c>
      <c r="B13" s="15" t="s">
        <v>23</v>
      </c>
      <c r="C13" s="15" t="s">
        <v>21</v>
      </c>
      <c r="D13" s="15"/>
      <c r="E13" s="63">
        <v>2956.6579999999999</v>
      </c>
      <c r="F13" s="63">
        <f>887.291+788.884+70.697</f>
        <v>1746.8720000000003</v>
      </c>
      <c r="G13" s="63">
        <v>287.20100000000002</v>
      </c>
      <c r="H13" s="63">
        <v>2469.3589999999999</v>
      </c>
      <c r="I13" s="63">
        <f t="shared" si="0"/>
        <v>7460.09</v>
      </c>
      <c r="J13" s="93">
        <f>'2019'!K13</f>
        <v>3894.28</v>
      </c>
      <c r="K13" s="93">
        <f t="shared" si="1"/>
        <v>4050.0512000000003</v>
      </c>
      <c r="L13" s="93">
        <f>'2019'!M13</f>
        <v>1645.6111360000002</v>
      </c>
      <c r="M13" s="93">
        <f t="shared" si="2"/>
        <v>1711.4355814400003</v>
      </c>
      <c r="N13" s="10">
        <f t="shared" si="3"/>
        <v>6648544.7860965123</v>
      </c>
      <c r="O13" s="10">
        <f t="shared" si="4"/>
        <v>3928136.6757934089</v>
      </c>
      <c r="P13" s="10">
        <f t="shared" si="5"/>
        <v>671652.74426605063</v>
      </c>
      <c r="Q13" s="10">
        <f t="shared" si="6"/>
        <v>5774881.5252317032</v>
      </c>
      <c r="R13" s="10">
        <f t="shared" si="7"/>
        <v>17023215.731387675</v>
      </c>
      <c r="S13" s="10"/>
      <c r="T13" s="11"/>
      <c r="U13" s="10"/>
      <c r="V13" s="10"/>
      <c r="W13" s="42"/>
    </row>
    <row r="14" spans="1:23" ht="30.75" customHeight="1">
      <c r="A14" s="133" t="s">
        <v>26</v>
      </c>
      <c r="B14" s="133"/>
      <c r="C14" s="133"/>
      <c r="D14" s="133"/>
      <c r="E14" s="64"/>
      <c r="F14" s="64"/>
      <c r="G14" s="65"/>
      <c r="H14" s="65"/>
      <c r="I14" s="63"/>
      <c r="J14" s="85"/>
      <c r="K14" s="85"/>
      <c r="L14" s="85"/>
      <c r="M14" s="85"/>
      <c r="N14" s="10">
        <f t="shared" si="3"/>
        <v>0</v>
      </c>
      <c r="O14" s="10">
        <f t="shared" si="4"/>
        <v>0</v>
      </c>
      <c r="P14" s="10">
        <f t="shared" si="5"/>
        <v>0</v>
      </c>
      <c r="Q14" s="10">
        <f t="shared" si="6"/>
        <v>0</v>
      </c>
      <c r="R14" s="10">
        <f t="shared" si="7"/>
        <v>0</v>
      </c>
      <c r="S14" s="10"/>
      <c r="T14" s="11"/>
      <c r="U14" s="10"/>
      <c r="V14" s="10"/>
      <c r="W14" s="45"/>
    </row>
    <row r="15" spans="1:23" ht="21">
      <c r="A15" s="18" t="s">
        <v>24</v>
      </c>
      <c r="B15" s="15" t="s">
        <v>25</v>
      </c>
      <c r="C15" s="15" t="s">
        <v>27</v>
      </c>
      <c r="D15" s="15" t="s">
        <v>28</v>
      </c>
      <c r="E15" s="63">
        <v>540.08699999999999</v>
      </c>
      <c r="F15" s="63">
        <f>140.104+94.782</f>
        <v>234.88600000000002</v>
      </c>
      <c r="G15" s="63">
        <v>59.7</v>
      </c>
      <c r="H15" s="63">
        <v>496.04700000000003</v>
      </c>
      <c r="I15" s="63">
        <f t="shared" si="0"/>
        <v>1330.72</v>
      </c>
      <c r="J15" s="93">
        <f>'2019'!K15</f>
        <v>4030.5095999999999</v>
      </c>
      <c r="K15" s="93">
        <f t="shared" si="1"/>
        <v>4191.7299839999996</v>
      </c>
      <c r="L15" s="93">
        <f>'2019'!M15</f>
        <v>1900.2305920000001</v>
      </c>
      <c r="M15" s="93">
        <f t="shared" si="2"/>
        <v>1976.2398156800002</v>
      </c>
      <c r="N15" s="10">
        <f t="shared" si="3"/>
        <v>1150535.9985936957</v>
      </c>
      <c r="O15" s="10">
        <f t="shared" si="4"/>
        <v>500372.71507308795</v>
      </c>
      <c r="P15" s="10">
        <f t="shared" si="5"/>
        <v>132264.76304870399</v>
      </c>
      <c r="Q15" s="10">
        <f t="shared" si="6"/>
        <v>1098987.2515246309</v>
      </c>
      <c r="R15" s="10">
        <f t="shared" si="7"/>
        <v>2882160.7282401184</v>
      </c>
      <c r="S15" s="10"/>
      <c r="T15" s="11"/>
      <c r="U15" s="10"/>
      <c r="V15" s="10"/>
      <c r="W15" s="42"/>
    </row>
    <row r="16" spans="1:23" ht="31.5">
      <c r="A16" s="18" t="s">
        <v>24</v>
      </c>
      <c r="B16" s="15" t="s">
        <v>25</v>
      </c>
      <c r="C16" s="15" t="s">
        <v>27</v>
      </c>
      <c r="D16" s="15" t="s">
        <v>29</v>
      </c>
      <c r="E16" s="63">
        <v>109.57899999999999</v>
      </c>
      <c r="F16" s="63">
        <f>36.303+17.82</f>
        <v>54.122999999999998</v>
      </c>
      <c r="G16" s="63">
        <v>22.87</v>
      </c>
      <c r="H16" s="63">
        <v>109.239</v>
      </c>
      <c r="I16" s="63">
        <f t="shared" si="0"/>
        <v>295.81100000000004</v>
      </c>
      <c r="J16" s="93">
        <f>'2019'!K16</f>
        <v>4030.5095999999999</v>
      </c>
      <c r="K16" s="93">
        <f t="shared" si="1"/>
        <v>4191.7299839999996</v>
      </c>
      <c r="L16" s="93">
        <f>'2019'!M16</f>
        <v>1411.3690240000001</v>
      </c>
      <c r="M16" s="93">
        <f t="shared" si="2"/>
        <v>1467.8237849600002</v>
      </c>
      <c r="N16" s="10">
        <f t="shared" si="3"/>
        <v>287002.80517750396</v>
      </c>
      <c r="O16" s="10">
        <f t="shared" si="4"/>
        <v>141755.745394848</v>
      </c>
      <c r="P16" s="10">
        <f t="shared" si="5"/>
        <v>62295.734772044794</v>
      </c>
      <c r="Q16" s="10">
        <f t="shared" si="6"/>
        <v>297556.7892769305</v>
      </c>
      <c r="R16" s="10">
        <f t="shared" si="7"/>
        <v>788611.07462132722</v>
      </c>
      <c r="S16" s="10"/>
      <c r="T16" s="11"/>
      <c r="U16" s="10"/>
      <c r="V16" s="10"/>
      <c r="W16" s="42"/>
    </row>
    <row r="17" spans="1:23" ht="23.25" customHeight="1">
      <c r="A17" s="18" t="s">
        <v>385</v>
      </c>
      <c r="B17" s="15" t="s">
        <v>25</v>
      </c>
      <c r="C17" s="15" t="s">
        <v>27</v>
      </c>
      <c r="D17" s="15" t="s">
        <v>386</v>
      </c>
      <c r="E17" s="63">
        <v>20.265000000000001</v>
      </c>
      <c r="F17" s="63">
        <f>13.51+6.54</f>
        <v>20.05</v>
      </c>
      <c r="G17" s="63">
        <v>6.7549999999999999</v>
      </c>
      <c r="H17" s="63">
        <v>36.475000000000001</v>
      </c>
      <c r="I17" s="63">
        <f t="shared" si="0"/>
        <v>83.545000000000002</v>
      </c>
      <c r="J17" s="93">
        <f>'2019'!K17</f>
        <v>10364.120000000001</v>
      </c>
      <c r="K17" s="93">
        <f t="shared" si="1"/>
        <v>10778.684800000001</v>
      </c>
      <c r="L17" s="93">
        <f>'2019'!M17</f>
        <v>1649.44</v>
      </c>
      <c r="M17" s="93">
        <f t="shared" si="2"/>
        <v>1715.4176000000002</v>
      </c>
      <c r="N17" s="10">
        <f t="shared" si="3"/>
        <v>176602.9902</v>
      </c>
      <c r="O17" s="10">
        <f t="shared" si="4"/>
        <v>174729.334</v>
      </c>
      <c r="P17" s="10">
        <f t="shared" si="5"/>
        <v>61222.369936000003</v>
      </c>
      <c r="Q17" s="10">
        <f t="shared" si="6"/>
        <v>330582.67112000001</v>
      </c>
      <c r="R17" s="10">
        <f t="shared" si="7"/>
        <v>743137.36525600008</v>
      </c>
      <c r="S17" s="10"/>
      <c r="T17" s="11"/>
      <c r="U17" s="10"/>
      <c r="V17" s="10"/>
      <c r="W17" s="42"/>
    </row>
    <row r="18" spans="1:23" ht="21.75" customHeight="1">
      <c r="A18" s="18" t="s">
        <v>30</v>
      </c>
      <c r="B18" s="15" t="s">
        <v>31</v>
      </c>
      <c r="C18" s="15" t="s">
        <v>32</v>
      </c>
      <c r="D18" s="15"/>
      <c r="E18" s="63">
        <v>567.24</v>
      </c>
      <c r="F18" s="63">
        <f>189.082+121.591+1.136</f>
        <v>311.80900000000003</v>
      </c>
      <c r="G18" s="63">
        <v>85.826999999999998</v>
      </c>
      <c r="H18" s="63">
        <v>568.48900000000003</v>
      </c>
      <c r="I18" s="63">
        <f t="shared" si="0"/>
        <v>1533.365</v>
      </c>
      <c r="J18" s="93">
        <f>'2019'!K18</f>
        <v>3322.2592</v>
      </c>
      <c r="K18" s="93">
        <f t="shared" si="1"/>
        <v>3455.1495680000003</v>
      </c>
      <c r="L18" s="93">
        <f>'2019'!M18</f>
        <v>1582.1212160000002</v>
      </c>
      <c r="M18" s="93">
        <f t="shared" si="2"/>
        <v>1645.4060646400003</v>
      </c>
      <c r="N18" s="10">
        <f t="shared" si="3"/>
        <v>987075.87004415982</v>
      </c>
      <c r="O18" s="10">
        <f t="shared" si="4"/>
        <v>542590.68465305597</v>
      </c>
      <c r="P18" s="10">
        <f t="shared" si="5"/>
        <v>155324.85566287872</v>
      </c>
      <c r="Q18" s="10">
        <f t="shared" si="6"/>
        <v>1028819.2744816231</v>
      </c>
      <c r="R18" s="10">
        <f t="shared" si="7"/>
        <v>2713810.6848417176</v>
      </c>
      <c r="S18" s="10"/>
      <c r="T18" s="11"/>
      <c r="U18" s="10"/>
      <c r="V18" s="10"/>
      <c r="W18" s="42"/>
    </row>
    <row r="19" spans="1:23" ht="23.25" customHeight="1">
      <c r="A19" s="18" t="s">
        <v>33</v>
      </c>
      <c r="B19" s="15" t="s">
        <v>34</v>
      </c>
      <c r="C19" s="15" t="s">
        <v>35</v>
      </c>
      <c r="D19" s="15"/>
      <c r="E19" s="63">
        <v>94.2</v>
      </c>
      <c r="F19" s="63">
        <f>31.4+23.09</f>
        <v>54.489999999999995</v>
      </c>
      <c r="G19" s="63">
        <v>6.27</v>
      </c>
      <c r="H19" s="63">
        <v>94.2</v>
      </c>
      <c r="I19" s="63">
        <f t="shared" si="0"/>
        <v>249.16000000000003</v>
      </c>
      <c r="J19" s="93">
        <f>'2019'!K19</f>
        <v>5712.4808000000003</v>
      </c>
      <c r="K19" s="93">
        <f t="shared" si="1"/>
        <v>5940.9800320000004</v>
      </c>
      <c r="L19" s="93">
        <f>'2019'!M19</f>
        <v>1952.9910400000003</v>
      </c>
      <c r="M19" s="93">
        <f t="shared" si="2"/>
        <v>2031.1106816000004</v>
      </c>
      <c r="N19" s="10">
        <f t="shared" si="3"/>
        <v>354143.93539200001</v>
      </c>
      <c r="O19" s="10">
        <f t="shared" si="4"/>
        <v>204854.59702239998</v>
      </c>
      <c r="P19" s="10">
        <f t="shared" si="5"/>
        <v>24514.880827008001</v>
      </c>
      <c r="Q19" s="10">
        <f t="shared" si="6"/>
        <v>368309.69280768005</v>
      </c>
      <c r="R19" s="10">
        <f t="shared" si="7"/>
        <v>951823.10604908806</v>
      </c>
      <c r="S19" s="10"/>
      <c r="T19" s="11"/>
      <c r="U19" s="10"/>
      <c r="V19" s="10"/>
      <c r="W19" s="42"/>
    </row>
    <row r="20" spans="1:23" ht="23.25" customHeight="1">
      <c r="A20" s="18" t="s">
        <v>36</v>
      </c>
      <c r="B20" s="15" t="s">
        <v>37</v>
      </c>
      <c r="C20" s="15" t="s">
        <v>27</v>
      </c>
      <c r="D20" s="15"/>
      <c r="E20" s="63">
        <v>162.94999999999999</v>
      </c>
      <c r="F20" s="63">
        <f>51.05+32.808</f>
        <v>83.858000000000004</v>
      </c>
      <c r="G20" s="63">
        <v>21.524999999999999</v>
      </c>
      <c r="H20" s="63">
        <v>160.35</v>
      </c>
      <c r="I20" s="63">
        <f t="shared" si="0"/>
        <v>428.68299999999999</v>
      </c>
      <c r="J20" s="93">
        <f>'2019'!K20</f>
        <v>5030.121408</v>
      </c>
      <c r="K20" s="93">
        <f t="shared" si="1"/>
        <v>5231.3262643200005</v>
      </c>
      <c r="L20" s="93">
        <f>'2019'!M20</f>
        <v>1442.172992</v>
      </c>
      <c r="M20" s="93">
        <f t="shared" si="2"/>
        <v>1499.8599116800001</v>
      </c>
      <c r="N20" s="10">
        <f t="shared" si="3"/>
        <v>584656.19438719994</v>
      </c>
      <c r="O20" s="10">
        <f t="shared" si="4"/>
        <v>300878.17826892802</v>
      </c>
      <c r="P20" s="10">
        <f t="shared" si="5"/>
        <v>80319.813240575997</v>
      </c>
      <c r="Q20" s="10">
        <f t="shared" si="6"/>
        <v>598340.62964582408</v>
      </c>
      <c r="R20" s="10">
        <f t="shared" si="7"/>
        <v>1564194.8155425279</v>
      </c>
      <c r="S20" s="10"/>
      <c r="T20" s="11"/>
      <c r="U20" s="10"/>
      <c r="V20" s="10"/>
      <c r="W20" s="42"/>
    </row>
    <row r="21" spans="1:23" ht="23.25" customHeight="1">
      <c r="A21" s="18" t="s">
        <v>38</v>
      </c>
      <c r="B21" s="15" t="s">
        <v>39</v>
      </c>
      <c r="C21" s="15" t="s">
        <v>40</v>
      </c>
      <c r="D21" s="15"/>
      <c r="E21" s="63">
        <v>296.10000000000002</v>
      </c>
      <c r="F21" s="63">
        <f>98.7+66.8+26.31</f>
        <v>191.81</v>
      </c>
      <c r="G21" s="63">
        <v>59.22</v>
      </c>
      <c r="H21" s="63">
        <v>282.37</v>
      </c>
      <c r="I21" s="63">
        <f t="shared" si="0"/>
        <v>829.5</v>
      </c>
      <c r="J21" s="93">
        <f>'2019'!K21</f>
        <v>3071.58176</v>
      </c>
      <c r="K21" s="93">
        <f t="shared" si="1"/>
        <v>3194.4450304000002</v>
      </c>
      <c r="L21" s="93">
        <f>'2019'!M21</f>
        <v>1844.084736</v>
      </c>
      <c r="M21" s="93">
        <f t="shared" si="2"/>
        <v>1917.8481254400001</v>
      </c>
      <c r="N21" s="10">
        <f t="shared" si="3"/>
        <v>363461.86880640005</v>
      </c>
      <c r="O21" s="10">
        <f t="shared" si="4"/>
        <v>235446.20417344</v>
      </c>
      <c r="P21" s="10">
        <f t="shared" si="5"/>
        <v>75600.068711731205</v>
      </c>
      <c r="Q21" s="10">
        <f t="shared" si="6"/>
        <v>360472.66805355524</v>
      </c>
      <c r="R21" s="10">
        <f t="shared" si="7"/>
        <v>1034980.8097451264</v>
      </c>
      <c r="S21" s="10"/>
      <c r="T21" s="11"/>
      <c r="U21" s="10"/>
      <c r="V21" s="10"/>
      <c r="W21" s="42"/>
    </row>
    <row r="22" spans="1:23" ht="23.25" customHeight="1">
      <c r="A22" s="18" t="s">
        <v>41</v>
      </c>
      <c r="B22" s="15" t="s">
        <v>42</v>
      </c>
      <c r="C22" s="15" t="s">
        <v>43</v>
      </c>
      <c r="D22" s="15"/>
      <c r="E22" s="63">
        <v>411.36</v>
      </c>
      <c r="F22" s="63">
        <f>137.12+68.56</f>
        <v>205.68</v>
      </c>
      <c r="G22" s="63">
        <v>68.56</v>
      </c>
      <c r="H22" s="63">
        <v>411.36</v>
      </c>
      <c r="I22" s="63">
        <f t="shared" si="0"/>
        <v>1096.96</v>
      </c>
      <c r="J22" s="93">
        <f>'2019'!K22</f>
        <v>2732.8912000000005</v>
      </c>
      <c r="K22" s="93">
        <f t="shared" si="1"/>
        <v>2842.2068480000007</v>
      </c>
      <c r="L22" s="93">
        <f>'2019'!M22</f>
        <v>1825.6542720000002</v>
      </c>
      <c r="M22" s="93">
        <f t="shared" si="2"/>
        <v>1898.6804428800003</v>
      </c>
      <c r="N22" s="10">
        <f t="shared" si="3"/>
        <v>373200.9827020801</v>
      </c>
      <c r="O22" s="10">
        <f t="shared" si="4"/>
        <v>186600.49135104005</v>
      </c>
      <c r="P22" s="10">
        <f t="shared" si="5"/>
        <v>64688.170335027229</v>
      </c>
      <c r="Q22" s="10">
        <f t="shared" si="6"/>
        <v>388129.02201016335</v>
      </c>
      <c r="R22" s="10">
        <f t="shared" si="7"/>
        <v>1012618.6663983108</v>
      </c>
      <c r="S22" s="10"/>
      <c r="T22" s="11"/>
      <c r="U22" s="10"/>
      <c r="V22" s="10"/>
      <c r="W22" s="42"/>
    </row>
    <row r="23" spans="1:23" ht="23.25" customHeight="1">
      <c r="A23" s="18" t="s">
        <v>22</v>
      </c>
      <c r="B23" s="15" t="s">
        <v>23</v>
      </c>
      <c r="C23" s="15" t="s">
        <v>27</v>
      </c>
      <c r="D23" s="15"/>
      <c r="E23" s="63">
        <v>4941.0860000000002</v>
      </c>
      <c r="F23" s="63">
        <f>1375.899+767.172</f>
        <v>2143.0709999999999</v>
      </c>
      <c r="G23" s="63">
        <v>599.72199999999998</v>
      </c>
      <c r="H23" s="63">
        <v>4598.973</v>
      </c>
      <c r="I23" s="63">
        <f t="shared" si="0"/>
        <v>12282.851999999999</v>
      </c>
      <c r="J23" s="93">
        <f>'2019'!K23</f>
        <v>3575.8944000000001</v>
      </c>
      <c r="K23" s="93">
        <f t="shared" si="1"/>
        <v>3718.9301760000003</v>
      </c>
      <c r="L23" s="93">
        <f>'2019'!M23</f>
        <v>1641.338816</v>
      </c>
      <c r="M23" s="93">
        <f t="shared" si="2"/>
        <v>1706.99236864</v>
      </c>
      <c r="N23" s="10">
        <f t="shared" si="3"/>
        <v>9558805.5123242252</v>
      </c>
      <c r="O23" s="10">
        <f t="shared" si="4"/>
        <v>4145889.9699584641</v>
      </c>
      <c r="P23" s="10">
        <f t="shared" si="5"/>
        <v>1206603.3657055541</v>
      </c>
      <c r="Q23" s="10">
        <f t="shared" si="6"/>
        <v>9252847.6537278425</v>
      </c>
      <c r="R23" s="10">
        <f t="shared" si="7"/>
        <v>24164146.501716085</v>
      </c>
      <c r="S23" s="10"/>
      <c r="T23" s="11"/>
      <c r="U23" s="10"/>
      <c r="V23" s="10"/>
      <c r="W23" s="42"/>
    </row>
    <row r="24" spans="1:23" ht="28.5" customHeight="1">
      <c r="A24" s="133" t="s">
        <v>44</v>
      </c>
      <c r="B24" s="133"/>
      <c r="C24" s="133"/>
      <c r="D24" s="133"/>
      <c r="E24" s="64"/>
      <c r="F24" s="64"/>
      <c r="G24" s="65"/>
      <c r="H24" s="65"/>
      <c r="I24" s="63"/>
      <c r="J24" s="85"/>
      <c r="K24" s="85"/>
      <c r="L24" s="85"/>
      <c r="M24" s="85"/>
      <c r="N24" s="10">
        <f t="shared" si="3"/>
        <v>0</v>
      </c>
      <c r="O24" s="10">
        <f t="shared" si="4"/>
        <v>0</v>
      </c>
      <c r="P24" s="10">
        <f t="shared" si="5"/>
        <v>0</v>
      </c>
      <c r="Q24" s="10">
        <f t="shared" si="6"/>
        <v>0</v>
      </c>
      <c r="R24" s="10">
        <f t="shared" si="7"/>
        <v>0</v>
      </c>
      <c r="S24" s="10"/>
      <c r="T24" s="11"/>
      <c r="U24" s="10"/>
      <c r="V24" s="10"/>
      <c r="W24" s="45"/>
    </row>
    <row r="25" spans="1:23" ht="24.75" customHeight="1">
      <c r="A25" s="18" t="s">
        <v>9</v>
      </c>
      <c r="B25" s="15" t="s">
        <v>10</v>
      </c>
      <c r="C25" s="15" t="s">
        <v>45</v>
      </c>
      <c r="D25" s="15"/>
      <c r="E25" s="63">
        <f>106.935-9.71-11.426</f>
        <v>85.798999999999992</v>
      </c>
      <c r="F25" s="63">
        <f>37.47+37.47</f>
        <v>74.94</v>
      </c>
      <c r="G25" s="63">
        <v>94.938000000000002</v>
      </c>
      <c r="H25" s="63">
        <v>124.664</v>
      </c>
      <c r="I25" s="63">
        <f t="shared" si="0"/>
        <v>380.34099999999995</v>
      </c>
      <c r="J25" s="93">
        <f>'2019'!K25</f>
        <v>3956.8064640000002</v>
      </c>
      <c r="K25" s="93">
        <f t="shared" si="1"/>
        <v>4115.0787225600006</v>
      </c>
      <c r="L25" s="93">
        <f>'2019'!M25</f>
        <v>1574.6893260800002</v>
      </c>
      <c r="M25" s="93">
        <f t="shared" si="2"/>
        <v>1637.6768991232002</v>
      </c>
      <c r="N25" s="10">
        <f t="shared" si="3"/>
        <v>204383.26831639805</v>
      </c>
      <c r="O25" s="10">
        <f t="shared" si="4"/>
        <v>178515.85831572479</v>
      </c>
      <c r="P25" s="10">
        <f t="shared" si="5"/>
        <v>235199.57431344298</v>
      </c>
      <c r="Q25" s="10">
        <f t="shared" si="6"/>
        <v>308842.82091692527</v>
      </c>
      <c r="R25" s="10">
        <f t="shared" si="7"/>
        <v>926941.52186249103</v>
      </c>
      <c r="S25" s="10"/>
      <c r="T25" s="11"/>
      <c r="U25" s="10"/>
      <c r="V25" s="10"/>
      <c r="W25" s="42"/>
    </row>
    <row r="26" spans="1:23" ht="24.75" customHeight="1">
      <c r="A26" s="18" t="s">
        <v>9</v>
      </c>
      <c r="B26" s="15" t="s">
        <v>10</v>
      </c>
      <c r="C26" s="15" t="s">
        <v>46</v>
      </c>
      <c r="D26" s="15"/>
      <c r="E26" s="63">
        <f>416.733-11.7-14.368</f>
        <v>390.66500000000002</v>
      </c>
      <c r="F26" s="63">
        <f>141.394+141.394</f>
        <v>282.78800000000001</v>
      </c>
      <c r="G26" s="63">
        <v>92.283000000000001</v>
      </c>
      <c r="H26" s="63">
        <v>416.07799999999997</v>
      </c>
      <c r="I26" s="63">
        <f t="shared" si="0"/>
        <v>1181.8139999999999</v>
      </c>
      <c r="J26" s="93">
        <f>'2019'!K26</f>
        <v>3956.8064640000002</v>
      </c>
      <c r="K26" s="93">
        <f t="shared" si="1"/>
        <v>4115.0787225600006</v>
      </c>
      <c r="L26" s="93">
        <f>'2019'!M26</f>
        <v>1574.6893260800002</v>
      </c>
      <c r="M26" s="93">
        <f t="shared" si="2"/>
        <v>1637.6768991232002</v>
      </c>
      <c r="N26" s="10">
        <f t="shared" si="3"/>
        <v>930609.79168551683</v>
      </c>
      <c r="O26" s="10">
        <f t="shared" si="4"/>
        <v>673634.14119812101</v>
      </c>
      <c r="P26" s="10">
        <f t="shared" si="5"/>
        <v>228622.07247221825</v>
      </c>
      <c r="Q26" s="10">
        <f t="shared" si="6"/>
        <v>1030792.395891937</v>
      </c>
      <c r="R26" s="10">
        <f t="shared" si="7"/>
        <v>2863658.4012477929</v>
      </c>
      <c r="S26" s="10"/>
      <c r="T26" s="11"/>
      <c r="U26" s="10"/>
      <c r="V26" s="10"/>
      <c r="W26" s="42"/>
    </row>
    <row r="27" spans="1:23" ht="24.75" customHeight="1">
      <c r="A27" s="18" t="s">
        <v>47</v>
      </c>
      <c r="B27" s="15" t="s">
        <v>48</v>
      </c>
      <c r="C27" s="15" t="s">
        <v>46</v>
      </c>
      <c r="D27" s="15"/>
      <c r="E27" s="63">
        <v>48.66</v>
      </c>
      <c r="F27" s="63">
        <f>16.22+16.22</f>
        <v>32.44</v>
      </c>
      <c r="G27" s="63">
        <v>4.9000000000000004</v>
      </c>
      <c r="H27" s="63">
        <v>41.73</v>
      </c>
      <c r="I27" s="63">
        <f t="shared" si="0"/>
        <v>127.72999999999999</v>
      </c>
      <c r="J27" s="93">
        <f>'2019'!K27</f>
        <v>3125.1271999999999</v>
      </c>
      <c r="K27" s="93">
        <f t="shared" si="1"/>
        <v>3250.1322879999998</v>
      </c>
      <c r="L27" s="93">
        <f>'2019'!M27</f>
        <v>1544.9824000000001</v>
      </c>
      <c r="M27" s="93">
        <f t="shared" si="2"/>
        <v>1606.7816960000002</v>
      </c>
      <c r="N27" s="10">
        <f t="shared" si="3"/>
        <v>76889.84596799998</v>
      </c>
      <c r="O27" s="10">
        <f t="shared" si="4"/>
        <v>51259.897311999994</v>
      </c>
      <c r="P27" s="10">
        <f t="shared" si="5"/>
        <v>8052.4179007999983</v>
      </c>
      <c r="Q27" s="10">
        <f t="shared" si="6"/>
        <v>68577.02020415997</v>
      </c>
      <c r="R27" s="10">
        <f t="shared" si="7"/>
        <v>204779.18138495996</v>
      </c>
      <c r="S27" s="10"/>
      <c r="T27" s="11"/>
      <c r="U27" s="10"/>
      <c r="V27" s="10"/>
      <c r="W27" s="42"/>
    </row>
    <row r="28" spans="1:23" ht="24.75" customHeight="1">
      <c r="A28" s="18" t="s">
        <v>49</v>
      </c>
      <c r="B28" s="15" t="s">
        <v>50</v>
      </c>
      <c r="C28" s="15" t="s">
        <v>51</v>
      </c>
      <c r="D28" s="15"/>
      <c r="E28" s="63">
        <v>2125.4499999999998</v>
      </c>
      <c r="F28" s="63">
        <f>672.71+539.889+130.614</f>
        <v>1343.2130000000002</v>
      </c>
      <c r="G28" s="63">
        <v>65.394999999999996</v>
      </c>
      <c r="H28" s="63">
        <v>1884.0360000000001</v>
      </c>
      <c r="I28" s="63">
        <f t="shared" si="0"/>
        <v>5418.0940000000001</v>
      </c>
      <c r="J28" s="93">
        <f>'2019'!K28</f>
        <v>4085.6504000000004</v>
      </c>
      <c r="K28" s="93">
        <f t="shared" si="1"/>
        <v>4249.0764160000008</v>
      </c>
      <c r="L28" s="93">
        <f>'2019'!M28</f>
        <v>1745.9126630400001</v>
      </c>
      <c r="M28" s="93">
        <f t="shared" si="2"/>
        <v>1815.7491695616002</v>
      </c>
      <c r="N28" s="10">
        <f t="shared" si="3"/>
        <v>4972995.5730216326</v>
      </c>
      <c r="O28" s="10">
        <f t="shared" si="4"/>
        <v>3142766.1448752536</v>
      </c>
      <c r="P28" s="10">
        <f t="shared" si="5"/>
        <v>159127.43528083921</v>
      </c>
      <c r="Q28" s="10">
        <f t="shared" si="6"/>
        <v>4584476.1320708189</v>
      </c>
      <c r="R28" s="10">
        <f t="shared" si="7"/>
        <v>12859365.285248544</v>
      </c>
      <c r="S28" s="10"/>
      <c r="T28" s="11"/>
      <c r="U28" s="10"/>
      <c r="V28" s="10"/>
      <c r="W28" s="42"/>
    </row>
    <row r="29" spans="1:23" ht="24.75" customHeight="1">
      <c r="A29" s="18" t="s">
        <v>49</v>
      </c>
      <c r="B29" s="15" t="s">
        <v>50</v>
      </c>
      <c r="C29" s="15" t="s">
        <v>52</v>
      </c>
      <c r="D29" s="15"/>
      <c r="E29" s="63">
        <v>3467.5810000000001</v>
      </c>
      <c r="F29" s="63">
        <f>1142.51+1066.81+259.99</f>
        <v>2469.3099999999995</v>
      </c>
      <c r="G29" s="63">
        <v>651.16200000000003</v>
      </c>
      <c r="H29" s="63">
        <v>3235.7510000000002</v>
      </c>
      <c r="I29" s="63">
        <f t="shared" si="0"/>
        <v>9823.8040000000001</v>
      </c>
      <c r="J29" s="93">
        <f>'2019'!K29</f>
        <v>3400.2939360000009</v>
      </c>
      <c r="K29" s="93">
        <f t="shared" si="1"/>
        <v>3536.3056934400011</v>
      </c>
      <c r="L29" s="93">
        <f>'2019'!M29</f>
        <v>1357.992064</v>
      </c>
      <c r="M29" s="93">
        <f t="shared" si="2"/>
        <v>1412.3117465600001</v>
      </c>
      <c r="N29" s="10">
        <f t="shared" si="3"/>
        <v>7081847.1676116353</v>
      </c>
      <c r="O29" s="10">
        <f t="shared" si="4"/>
        <v>5043076.4355483213</v>
      </c>
      <c r="P29" s="10">
        <f t="shared" si="5"/>
        <v>1383064.1464382755</v>
      </c>
      <c r="Q29" s="10">
        <f t="shared" si="6"/>
        <v>6872715.5376109108</v>
      </c>
      <c r="R29" s="10">
        <f t="shared" si="7"/>
        <v>20380703.287209142</v>
      </c>
      <c r="S29" s="10"/>
      <c r="T29" s="11"/>
      <c r="U29" s="10"/>
      <c r="V29" s="10"/>
      <c r="W29" s="42"/>
    </row>
    <row r="30" spans="1:23" ht="24.75" customHeight="1">
      <c r="A30" s="18" t="s">
        <v>53</v>
      </c>
      <c r="B30" s="15" t="s">
        <v>54</v>
      </c>
      <c r="C30" s="15" t="s">
        <v>46</v>
      </c>
      <c r="D30" s="15"/>
      <c r="E30" s="63">
        <v>6689.7150000000001</v>
      </c>
      <c r="F30" s="63">
        <f>2222.016+2216+506.931</f>
        <v>4944.9469999999992</v>
      </c>
      <c r="G30" s="63">
        <v>1276.451</v>
      </c>
      <c r="H30" s="63">
        <v>6615.1980000000003</v>
      </c>
      <c r="I30" s="63">
        <f t="shared" si="0"/>
        <v>19526.311000000002</v>
      </c>
      <c r="J30" s="93">
        <f>'2019'!K30</f>
        <v>3158.1205760000003</v>
      </c>
      <c r="K30" s="93">
        <f t="shared" si="1"/>
        <v>3284.4453990400002</v>
      </c>
      <c r="L30" s="93">
        <f>'2019'!M30</f>
        <v>1544.9790720000001</v>
      </c>
      <c r="M30" s="93">
        <f t="shared" si="2"/>
        <v>1606.7782348800001</v>
      </c>
      <c r="N30" s="10">
        <f t="shared" si="3"/>
        <v>10791456.916431362</v>
      </c>
      <c r="O30" s="10">
        <f t="shared" si="4"/>
        <v>7976899.2407802874</v>
      </c>
      <c r="P30" s="10">
        <f t="shared" si="5"/>
        <v>2141459.9293591962</v>
      </c>
      <c r="Q30" s="10">
        <f t="shared" si="6"/>
        <v>11098100.469016904</v>
      </c>
      <c r="R30" s="10">
        <f t="shared" si="7"/>
        <v>32007916.555587754</v>
      </c>
      <c r="S30" s="10"/>
      <c r="T30" s="11"/>
      <c r="U30" s="10"/>
      <c r="V30" s="10"/>
      <c r="W30" s="42"/>
    </row>
    <row r="31" spans="1:23" ht="24.75" customHeight="1">
      <c r="A31" s="18" t="s">
        <v>55</v>
      </c>
      <c r="B31" s="15" t="s">
        <v>56</v>
      </c>
      <c r="C31" s="15" t="s">
        <v>57</v>
      </c>
      <c r="D31" s="15"/>
      <c r="E31" s="63">
        <v>526.75199999999995</v>
      </c>
      <c r="F31" s="63">
        <f>175.584+175.584</f>
        <v>351.16800000000001</v>
      </c>
      <c r="G31" s="63">
        <v>270.73399999999998</v>
      </c>
      <c r="H31" s="63">
        <v>498.99200000000002</v>
      </c>
      <c r="I31" s="63">
        <f t="shared" si="0"/>
        <v>1647.646</v>
      </c>
      <c r="J31" s="93">
        <f>'2019'!K31</f>
        <v>5853.7440000000006</v>
      </c>
      <c r="K31" s="93">
        <f t="shared" si="1"/>
        <v>6087.8937600000008</v>
      </c>
      <c r="L31" s="93">
        <f>'2019'!M31</f>
        <v>1745.9208000000001</v>
      </c>
      <c r="M31" s="93">
        <f t="shared" si="2"/>
        <v>1815.7576320000001</v>
      </c>
      <c r="N31" s="10">
        <f t="shared" si="3"/>
        <v>2163804.0862464001</v>
      </c>
      <c r="O31" s="10">
        <f t="shared" si="4"/>
        <v>1442536.0574976003</v>
      </c>
      <c r="P31" s="10">
        <f t="shared" si="5"/>
        <v>1156612.5024779523</v>
      </c>
      <c r="Q31" s="10">
        <f t="shared" si="6"/>
        <v>2131761.7507829764</v>
      </c>
      <c r="R31" s="10">
        <f t="shared" si="7"/>
        <v>6894714.3970049284</v>
      </c>
      <c r="S31" s="10"/>
      <c r="T31" s="11"/>
      <c r="U31" s="10"/>
      <c r="V31" s="10"/>
      <c r="W31" s="42"/>
    </row>
    <row r="32" spans="1:23" ht="32.25" customHeight="1">
      <c r="A32" s="133" t="s">
        <v>60</v>
      </c>
      <c r="B32" s="133"/>
      <c r="C32" s="133"/>
      <c r="D32" s="133"/>
      <c r="E32" s="64"/>
      <c r="F32" s="64"/>
      <c r="G32" s="65"/>
      <c r="H32" s="65"/>
      <c r="I32" s="63"/>
      <c r="J32" s="85"/>
      <c r="K32" s="85"/>
      <c r="L32" s="85"/>
      <c r="M32" s="85"/>
      <c r="N32" s="10">
        <f t="shared" si="3"/>
        <v>0</v>
      </c>
      <c r="O32" s="10">
        <f t="shared" si="4"/>
        <v>0</v>
      </c>
      <c r="P32" s="10">
        <f t="shared" si="5"/>
        <v>0</v>
      </c>
      <c r="Q32" s="10">
        <f t="shared" si="6"/>
        <v>0</v>
      </c>
      <c r="R32" s="10">
        <f t="shared" si="7"/>
        <v>0</v>
      </c>
      <c r="S32" s="10"/>
      <c r="T32" s="11"/>
      <c r="U32" s="10"/>
      <c r="V32" s="10"/>
      <c r="W32" s="45"/>
    </row>
    <row r="33" spans="1:23" ht="32.25" customHeight="1">
      <c r="A33" s="18" t="s">
        <v>58</v>
      </c>
      <c r="B33" s="15" t="s">
        <v>59</v>
      </c>
      <c r="C33" s="15" t="s">
        <v>61</v>
      </c>
      <c r="D33" s="15"/>
      <c r="E33" s="63">
        <v>179.01</v>
      </c>
      <c r="F33" s="63">
        <f>55.97+38.42</f>
        <v>94.39</v>
      </c>
      <c r="G33" s="63">
        <v>24.55</v>
      </c>
      <c r="H33" s="63">
        <v>172.88</v>
      </c>
      <c r="I33" s="63">
        <f t="shared" si="0"/>
        <v>470.83</v>
      </c>
      <c r="J33" s="93">
        <f>'2019'!K33</f>
        <v>3256.4760080026831</v>
      </c>
      <c r="K33" s="93">
        <f t="shared" ref="K33:K40" si="8">J33*1.04</f>
        <v>3386.7350483227906</v>
      </c>
      <c r="L33" s="93">
        <f>'2019'!M33</f>
        <v>1409.72</v>
      </c>
      <c r="M33" s="93">
        <f t="shared" ref="M33:M40" si="9">L33*1.04</f>
        <v>1466.1088</v>
      </c>
      <c r="N33" s="10">
        <f t="shared" si="3"/>
        <v>330587.79299256031</v>
      </c>
      <c r="O33" s="10">
        <f t="shared" si="4"/>
        <v>174315.29959537325</v>
      </c>
      <c r="P33" s="10">
        <f t="shared" si="5"/>
        <v>47151.374396324514</v>
      </c>
      <c r="Q33" s="10">
        <f t="shared" si="6"/>
        <v>332037.86581004405</v>
      </c>
      <c r="R33" s="10">
        <f t="shared" si="7"/>
        <v>884092.33279430214</v>
      </c>
      <c r="S33" s="10"/>
      <c r="T33" s="11"/>
      <c r="U33" s="10"/>
      <c r="V33" s="10"/>
      <c r="W33" s="42"/>
    </row>
    <row r="34" spans="1:23" ht="32.25" customHeight="1">
      <c r="A34" s="18" t="s">
        <v>62</v>
      </c>
      <c r="B34" s="15" t="s">
        <v>63</v>
      </c>
      <c r="C34" s="15" t="s">
        <v>64</v>
      </c>
      <c r="D34" s="15"/>
      <c r="E34" s="63">
        <v>136.76400000000001</v>
      </c>
      <c r="F34" s="63">
        <f>45.588+32.352</f>
        <v>77.94</v>
      </c>
      <c r="G34" s="63">
        <v>27.353000000000002</v>
      </c>
      <c r="H34" s="63">
        <v>136.76300000000001</v>
      </c>
      <c r="I34" s="63">
        <f t="shared" si="0"/>
        <v>378.82000000000005</v>
      </c>
      <c r="J34" s="93">
        <f>'2019'!K34</f>
        <v>3150.7430554239772</v>
      </c>
      <c r="K34" s="93">
        <f t="shared" si="8"/>
        <v>3276.7727776409365</v>
      </c>
      <c r="L34" s="93">
        <f>'2019'!M34</f>
        <v>1621.9839999999999</v>
      </c>
      <c r="M34" s="93">
        <f t="shared" si="9"/>
        <v>1686.8633600000001</v>
      </c>
      <c r="N34" s="10">
        <f t="shared" si="3"/>
        <v>209079.20345600485</v>
      </c>
      <c r="O34" s="10">
        <f t="shared" si="4"/>
        <v>119151.48077974479</v>
      </c>
      <c r="P34" s="10">
        <f t="shared" si="5"/>
        <v>43488.792300732537</v>
      </c>
      <c r="Q34" s="10">
        <f t="shared" si="6"/>
        <v>217440.78168482741</v>
      </c>
      <c r="R34" s="10">
        <f t="shared" si="7"/>
        <v>589160.25822130963</v>
      </c>
      <c r="S34" s="46"/>
      <c r="T34" s="46"/>
      <c r="U34" s="46"/>
      <c r="V34" s="46"/>
      <c r="W34" s="42"/>
    </row>
    <row r="35" spans="1:23" ht="32.25" customHeight="1">
      <c r="A35" s="18" t="s">
        <v>65</v>
      </c>
      <c r="B35" s="15" t="s">
        <v>66</v>
      </c>
      <c r="C35" s="15" t="s">
        <v>67</v>
      </c>
      <c r="D35" s="15"/>
      <c r="E35" s="21">
        <v>5074.0869999999995</v>
      </c>
      <c r="F35" s="21">
        <v>2655.0630000000001</v>
      </c>
      <c r="G35" s="21">
        <v>565.73699999999997</v>
      </c>
      <c r="H35" s="21">
        <v>4755.4549999999999</v>
      </c>
      <c r="I35" s="63">
        <f t="shared" si="0"/>
        <v>13050.341999999999</v>
      </c>
      <c r="J35" s="93">
        <f>'2019'!K35</f>
        <v>2822.0133760000003</v>
      </c>
      <c r="K35" s="93">
        <f t="shared" si="8"/>
        <v>2934.8939110400006</v>
      </c>
      <c r="L35" s="93">
        <f>'2019'!M35</f>
        <v>1510.704</v>
      </c>
      <c r="M35" s="93">
        <f t="shared" si="9"/>
        <v>1571.1321600000001</v>
      </c>
      <c r="N35" s="10">
        <f t="shared" si="3"/>
        <v>6653697.857739713</v>
      </c>
      <c r="O35" s="10">
        <f t="shared" si="4"/>
        <v>3481609.0057706893</v>
      </c>
      <c r="P35" s="10">
        <f t="shared" si="5"/>
        <v>771530.48174811667</v>
      </c>
      <c r="Q35" s="10">
        <f t="shared" si="6"/>
        <v>6485307.6377919251</v>
      </c>
      <c r="R35" s="10">
        <f t="shared" si="7"/>
        <v>17392144.983050443</v>
      </c>
      <c r="S35" s="10"/>
      <c r="T35" s="11"/>
      <c r="U35" s="10"/>
      <c r="V35" s="10"/>
      <c r="W35" s="42"/>
    </row>
    <row r="36" spans="1:23" ht="32.25" customHeight="1">
      <c r="A36" s="18" t="s">
        <v>68</v>
      </c>
      <c r="B36" s="15" t="s">
        <v>69</v>
      </c>
      <c r="C36" s="15" t="s">
        <v>64</v>
      </c>
      <c r="D36" s="15"/>
      <c r="E36" s="63">
        <v>126.447</v>
      </c>
      <c r="F36" s="63">
        <f>28.553+42.149</f>
        <v>70.701999999999998</v>
      </c>
      <c r="G36" s="63">
        <v>25.373999999999999</v>
      </c>
      <c r="H36" s="63">
        <v>126.87</v>
      </c>
      <c r="I36" s="63">
        <f t="shared" si="0"/>
        <v>349.39300000000003</v>
      </c>
      <c r="J36" s="93">
        <f>'2019'!K36</f>
        <v>4148.1501550261828</v>
      </c>
      <c r="K36" s="93">
        <f t="shared" si="8"/>
        <v>4314.0761612272299</v>
      </c>
      <c r="L36" s="93">
        <f>'2019'!M36</f>
        <v>1599.5096000000001</v>
      </c>
      <c r="M36" s="93">
        <f t="shared" si="9"/>
        <v>1663.489984</v>
      </c>
      <c r="N36" s="10">
        <f t="shared" si="3"/>
        <v>322267.95226139569</v>
      </c>
      <c r="O36" s="10">
        <f t="shared" si="4"/>
        <v>180193.98452146116</v>
      </c>
      <c r="P36" s="10">
        <f t="shared" si="5"/>
        <v>67255.973660963733</v>
      </c>
      <c r="Q36" s="10">
        <f t="shared" si="6"/>
        <v>336279.86830481869</v>
      </c>
      <c r="R36" s="10">
        <f t="shared" si="7"/>
        <v>905997.77874863916</v>
      </c>
      <c r="S36" s="10"/>
      <c r="T36" s="11"/>
      <c r="U36" s="10"/>
      <c r="V36" s="10"/>
      <c r="W36" s="42"/>
    </row>
    <row r="37" spans="1:23" ht="32.25" customHeight="1">
      <c r="A37" s="18" t="s">
        <v>70</v>
      </c>
      <c r="B37" s="15" t="s">
        <v>71</v>
      </c>
      <c r="C37" s="15" t="s">
        <v>72</v>
      </c>
      <c r="D37" s="15"/>
      <c r="E37" s="63">
        <v>155.55000000000001</v>
      </c>
      <c r="F37" s="63">
        <f>51.85+36.78</f>
        <v>88.63</v>
      </c>
      <c r="G37" s="63">
        <v>31.1</v>
      </c>
      <c r="H37" s="63">
        <v>155.55000000000001</v>
      </c>
      <c r="I37" s="63">
        <f t="shared" si="0"/>
        <v>430.83000000000004</v>
      </c>
      <c r="J37" s="93">
        <f>'2019'!K37</f>
        <v>4206.6019839999999</v>
      </c>
      <c r="K37" s="93">
        <f t="shared" si="8"/>
        <v>4374.8660633600002</v>
      </c>
      <c r="L37" s="93">
        <f>'2019'!M37</f>
        <v>1522.5392000000002</v>
      </c>
      <c r="M37" s="93">
        <f t="shared" si="9"/>
        <v>1583.4407680000002</v>
      </c>
      <c r="N37" s="10">
        <f t="shared" si="3"/>
        <v>417505.9660512</v>
      </c>
      <c r="O37" s="10">
        <f t="shared" si="4"/>
        <v>237888.48454591996</v>
      </c>
      <c r="P37" s="10">
        <f t="shared" si="5"/>
        <v>86813.326685695996</v>
      </c>
      <c r="Q37" s="10">
        <f t="shared" si="6"/>
        <v>434206.20469324803</v>
      </c>
      <c r="R37" s="10">
        <f t="shared" si="7"/>
        <v>1176413.9819760639</v>
      </c>
      <c r="S37" s="10"/>
      <c r="T37" s="11"/>
      <c r="U37" s="10"/>
      <c r="V37" s="10"/>
      <c r="W37" s="42"/>
    </row>
    <row r="38" spans="1:23" ht="32.25" customHeight="1">
      <c r="A38" s="18" t="s">
        <v>73</v>
      </c>
      <c r="B38" s="15" t="s">
        <v>74</v>
      </c>
      <c r="C38" s="15" t="s">
        <v>43</v>
      </c>
      <c r="D38" s="15"/>
      <c r="E38" s="63">
        <v>249.66300000000001</v>
      </c>
      <c r="F38" s="63">
        <f>83.221+83.221</f>
        <v>166.44200000000001</v>
      </c>
      <c r="G38" s="63">
        <v>49.932000000000002</v>
      </c>
      <c r="H38" s="63">
        <v>244.11500000000001</v>
      </c>
      <c r="I38" s="63">
        <f t="shared" si="0"/>
        <v>710.15200000000004</v>
      </c>
      <c r="J38" s="93">
        <f>'2019'!K38</f>
        <v>3522.945986067763</v>
      </c>
      <c r="K38" s="93">
        <f t="shared" si="8"/>
        <v>3663.8638255104738</v>
      </c>
      <c r="L38" s="93">
        <f>'2019'!M38</f>
        <v>1467.2112</v>
      </c>
      <c r="M38" s="93">
        <f t="shared" si="9"/>
        <v>1525.8996480000001</v>
      </c>
      <c r="N38" s="10">
        <f t="shared" si="3"/>
        <v>513240.91389403591</v>
      </c>
      <c r="O38" s="10">
        <f t="shared" si="4"/>
        <v>342160.60926269059</v>
      </c>
      <c r="P38" s="10">
        <f t="shared" si="5"/>
        <v>106752.82731145297</v>
      </c>
      <c r="Q38" s="10">
        <f t="shared" si="6"/>
        <v>521909.12519296934</v>
      </c>
      <c r="R38" s="10">
        <f t="shared" si="7"/>
        <v>1484063.4756611488</v>
      </c>
      <c r="S38" s="10"/>
      <c r="T38" s="11"/>
      <c r="U38" s="10"/>
      <c r="V38" s="10"/>
      <c r="W38" s="42"/>
    </row>
    <row r="39" spans="1:23" ht="32.25" customHeight="1">
      <c r="A39" s="18" t="s">
        <v>75</v>
      </c>
      <c r="B39" s="15" t="s">
        <v>76</v>
      </c>
      <c r="C39" s="15" t="s">
        <v>77</v>
      </c>
      <c r="D39" s="15"/>
      <c r="E39" s="63">
        <v>134.90600000000001</v>
      </c>
      <c r="F39" s="63">
        <f>46.55+46.55</f>
        <v>93.1</v>
      </c>
      <c r="G39" s="63">
        <v>48.536999999999999</v>
      </c>
      <c r="H39" s="63">
        <v>143.624</v>
      </c>
      <c r="I39" s="63">
        <f t="shared" si="0"/>
        <v>420.16700000000003</v>
      </c>
      <c r="J39" s="93">
        <f>'2019'!K39</f>
        <v>3943.2384317890524</v>
      </c>
      <c r="K39" s="93">
        <f t="shared" si="8"/>
        <v>4100.9679690606145</v>
      </c>
      <c r="L39" s="93">
        <f>'2019'!M39</f>
        <v>1438.944</v>
      </c>
      <c r="M39" s="93">
        <f t="shared" si="9"/>
        <v>1496.5017600000001</v>
      </c>
      <c r="N39" s="10">
        <f t="shared" si="3"/>
        <v>337844.34461493394</v>
      </c>
      <c r="O39" s="10">
        <f t="shared" si="4"/>
        <v>233149.81159956075</v>
      </c>
      <c r="P39" s="10">
        <f t="shared" si="5"/>
        <v>126412.97638917503</v>
      </c>
      <c r="Q39" s="10">
        <f t="shared" si="6"/>
        <v>374063.85481012164</v>
      </c>
      <c r="R39" s="10">
        <f t="shared" si="7"/>
        <v>1071470.9874137915</v>
      </c>
      <c r="S39" s="16"/>
      <c r="T39" s="16"/>
      <c r="U39" s="16"/>
      <c r="V39" s="16"/>
      <c r="W39" s="42"/>
    </row>
    <row r="40" spans="1:23" s="29" customFormat="1" ht="32.25" customHeight="1">
      <c r="A40" s="28" t="s">
        <v>428</v>
      </c>
      <c r="B40" s="27" t="s">
        <v>429</v>
      </c>
      <c r="C40" s="27" t="s">
        <v>430</v>
      </c>
      <c r="D40" s="15"/>
      <c r="E40" s="21">
        <v>196.97039999999998</v>
      </c>
      <c r="F40" s="21">
        <v>131.31360000000001</v>
      </c>
      <c r="G40" s="21">
        <v>51.587600000000002</v>
      </c>
      <c r="H40" s="21">
        <v>206.35039999999998</v>
      </c>
      <c r="I40" s="63">
        <f t="shared" si="0"/>
        <v>586.22199999999998</v>
      </c>
      <c r="J40" s="93">
        <f>'2019'!K40</f>
        <v>2285.8642559999998</v>
      </c>
      <c r="K40" s="93">
        <f t="shared" si="8"/>
        <v>2377.2988262399999</v>
      </c>
      <c r="L40" s="93">
        <f>'2019'!M40</f>
        <v>1510.704</v>
      </c>
      <c r="M40" s="93">
        <f t="shared" si="9"/>
        <v>1571.1321600000001</v>
      </c>
      <c r="N40" s="10">
        <f t="shared" si="3"/>
        <v>152683.62568842235</v>
      </c>
      <c r="O40" s="10">
        <f t="shared" si="4"/>
        <v>101789.0837922816</v>
      </c>
      <c r="P40" s="10">
        <f t="shared" si="5"/>
        <v>41588.203511322616</v>
      </c>
      <c r="Q40" s="10">
        <f t="shared" si="6"/>
        <v>166352.81404529043</v>
      </c>
      <c r="R40" s="10">
        <f t="shared" si="7"/>
        <v>462413.727037317</v>
      </c>
      <c r="S40" s="16"/>
      <c r="T40" s="16"/>
      <c r="U40" s="16"/>
      <c r="V40" s="16"/>
      <c r="W40" s="42"/>
    </row>
    <row r="41" spans="1:23" ht="26.25" customHeight="1">
      <c r="A41" s="133" t="s">
        <v>80</v>
      </c>
      <c r="B41" s="133"/>
      <c r="C41" s="133"/>
      <c r="D41" s="133"/>
      <c r="E41" s="64"/>
      <c r="F41" s="64"/>
      <c r="G41" s="65"/>
      <c r="H41" s="65"/>
      <c r="I41" s="63"/>
      <c r="J41" s="85"/>
      <c r="K41" s="85"/>
      <c r="L41" s="85"/>
      <c r="M41" s="85"/>
      <c r="N41" s="10">
        <f t="shared" si="3"/>
        <v>0</v>
      </c>
      <c r="O41" s="10">
        <f t="shared" si="4"/>
        <v>0</v>
      </c>
      <c r="P41" s="10">
        <f t="shared" si="5"/>
        <v>0</v>
      </c>
      <c r="Q41" s="10">
        <f t="shared" si="6"/>
        <v>0</v>
      </c>
      <c r="R41" s="10">
        <f t="shared" si="7"/>
        <v>0</v>
      </c>
      <c r="S41" s="10"/>
      <c r="T41" s="11"/>
      <c r="U41" s="10"/>
      <c r="V41" s="10"/>
      <c r="W41" s="45"/>
    </row>
    <row r="42" spans="1:23" s="6" customFormat="1" ht="27" customHeight="1">
      <c r="A42" s="47">
        <v>2912006719</v>
      </c>
      <c r="B42" s="47" t="s">
        <v>378</v>
      </c>
      <c r="C42" s="47" t="s">
        <v>379</v>
      </c>
      <c r="D42" s="47"/>
      <c r="E42" s="21">
        <v>77.459214000000003</v>
      </c>
      <c r="F42" s="21">
        <v>51.639476000000002</v>
      </c>
      <c r="G42" s="21">
        <v>20.744261999999999</v>
      </c>
      <c r="H42" s="21">
        <v>82.977047999999996</v>
      </c>
      <c r="I42" s="63">
        <f t="shared" si="0"/>
        <v>232.82</v>
      </c>
      <c r="J42" s="84">
        <f>'2019'!K42</f>
        <v>3294.7512000000002</v>
      </c>
      <c r="K42" s="84">
        <f t="shared" si="1"/>
        <v>3426.5412480000005</v>
      </c>
      <c r="L42" s="84">
        <f>'2019'!M42</f>
        <v>1668.1631449600002</v>
      </c>
      <c r="M42" s="84">
        <f t="shared" si="2"/>
        <v>1734.8896707584001</v>
      </c>
      <c r="N42" s="10">
        <f t="shared" si="3"/>
        <v>125994.23224518714</v>
      </c>
      <c r="O42" s="10">
        <f t="shared" si="4"/>
        <v>83996.154830124768</v>
      </c>
      <c r="P42" s="10">
        <f t="shared" si="5"/>
        <v>35092.063531012995</v>
      </c>
      <c r="Q42" s="10">
        <f t="shared" si="6"/>
        <v>140368.25412405198</v>
      </c>
      <c r="R42" s="10">
        <f t="shared" si="7"/>
        <v>385450.70473037689</v>
      </c>
      <c r="S42" s="10"/>
      <c r="T42" s="11"/>
      <c r="U42" s="10"/>
      <c r="V42" s="10"/>
    </row>
    <row r="43" spans="1:23" ht="27" customHeight="1">
      <c r="A43" s="18" t="s">
        <v>78</v>
      </c>
      <c r="B43" s="15" t="s">
        <v>79</v>
      </c>
      <c r="C43" s="15" t="s">
        <v>81</v>
      </c>
      <c r="D43" s="15"/>
      <c r="E43" s="63">
        <v>3326.36</v>
      </c>
      <c r="F43" s="63">
        <f>1108.88+1091.38</f>
        <v>2200.2600000000002</v>
      </c>
      <c r="G43" s="63">
        <v>551.75</v>
      </c>
      <c r="H43" s="63">
        <v>3342.14</v>
      </c>
      <c r="I43" s="63">
        <f t="shared" si="0"/>
        <v>9420.51</v>
      </c>
      <c r="J43" s="93">
        <f>'2019'!K43</f>
        <v>3503.0320000000002</v>
      </c>
      <c r="K43" s="93">
        <f t="shared" si="1"/>
        <v>3643.1532800000004</v>
      </c>
      <c r="L43" s="93">
        <f>'2019'!M43</f>
        <v>1589.0778508800001</v>
      </c>
      <c r="M43" s="93">
        <f t="shared" si="2"/>
        <v>1652.6409649152001</v>
      </c>
      <c r="N43" s="10">
        <f t="shared" si="3"/>
        <v>6366500.5234668031</v>
      </c>
      <c r="O43" s="10">
        <f t="shared" si="4"/>
        <v>4211196.7561427718</v>
      </c>
      <c r="P43" s="10">
        <f t="shared" si="5"/>
        <v>1098265.1698480386</v>
      </c>
      <c r="Q43" s="10">
        <f t="shared" si="6"/>
        <v>6652570.8287375141</v>
      </c>
      <c r="R43" s="10">
        <f t="shared" si="7"/>
        <v>18328533.278195128</v>
      </c>
      <c r="S43" s="10"/>
      <c r="T43" s="11"/>
      <c r="U43" s="10"/>
      <c r="V43" s="10"/>
      <c r="W43" s="42"/>
    </row>
    <row r="44" spans="1:23" ht="27" customHeight="1">
      <c r="A44" s="18" t="s">
        <v>82</v>
      </c>
      <c r="B44" s="15" t="s">
        <v>83</v>
      </c>
      <c r="C44" s="15" t="s">
        <v>84</v>
      </c>
      <c r="D44" s="15"/>
      <c r="E44" s="63">
        <v>220.274</v>
      </c>
      <c r="F44" s="63">
        <f>60.696+61.478</f>
        <v>122.17400000000001</v>
      </c>
      <c r="G44" s="63">
        <v>13.88</v>
      </c>
      <c r="H44" s="63">
        <v>192.24600000000001</v>
      </c>
      <c r="I44" s="63">
        <f t="shared" si="0"/>
        <v>548.57399999999996</v>
      </c>
      <c r="J44" s="93">
        <f>'2019'!K44</f>
        <v>2847.5499520000003</v>
      </c>
      <c r="K44" s="93">
        <f t="shared" si="1"/>
        <v>2961.4519500800006</v>
      </c>
      <c r="L44" s="93">
        <f>'2019'!M44</f>
        <v>2126.7615449600003</v>
      </c>
      <c r="M44" s="93">
        <f t="shared" si="2"/>
        <v>2211.8320067584004</v>
      </c>
      <c r="N44" s="10">
        <f t="shared" si="3"/>
        <v>158770.94557232896</v>
      </c>
      <c r="O44" s="10">
        <f t="shared" si="4"/>
        <v>88061.602841704967</v>
      </c>
      <c r="P44" s="10">
        <f t="shared" si="5"/>
        <v>10404.724813303812</v>
      </c>
      <c r="Q44" s="10">
        <f t="shared" si="6"/>
        <v>144111.43562380437</v>
      </c>
      <c r="R44" s="10">
        <f t="shared" si="7"/>
        <v>401348.70885114209</v>
      </c>
      <c r="S44" s="10"/>
      <c r="T44" s="11"/>
      <c r="U44" s="10"/>
      <c r="V44" s="10"/>
      <c r="W44" s="42"/>
    </row>
    <row r="45" spans="1:23" ht="27" customHeight="1">
      <c r="A45" s="18" t="s">
        <v>85</v>
      </c>
      <c r="B45" s="15" t="s">
        <v>86</v>
      </c>
      <c r="C45" s="15" t="s">
        <v>84</v>
      </c>
      <c r="D45" s="15"/>
      <c r="E45" s="63">
        <v>10521.2</v>
      </c>
      <c r="F45" s="63">
        <f>3183.29+3170.81</f>
        <v>6354.1</v>
      </c>
      <c r="G45" s="63">
        <v>607.32000000000005</v>
      </c>
      <c r="H45" s="63">
        <v>10103.18</v>
      </c>
      <c r="I45" s="63">
        <f t="shared" si="0"/>
        <v>27585.800000000003</v>
      </c>
      <c r="J45" s="93">
        <f>'2019'!K45</f>
        <v>3401.3304000000003</v>
      </c>
      <c r="K45" s="93">
        <f t="shared" si="1"/>
        <v>3537.3836160000005</v>
      </c>
      <c r="L45" s="93">
        <f>'2019'!M45</f>
        <v>1476.4597120000001</v>
      </c>
      <c r="M45" s="93">
        <f t="shared" si="2"/>
        <v>1535.5181004800002</v>
      </c>
      <c r="N45" s="10">
        <f t="shared" si="3"/>
        <v>20251949.482585605</v>
      </c>
      <c r="O45" s="10">
        <f t="shared" si="4"/>
        <v>12230820.838620802</v>
      </c>
      <c r="P45" s="10">
        <f t="shared" si="5"/>
        <v>1215772.9648856067</v>
      </c>
      <c r="Q45" s="10">
        <f t="shared" si="6"/>
        <v>20225207.639091358</v>
      </c>
      <c r="R45" s="10">
        <f t="shared" si="7"/>
        <v>53923750.925183371</v>
      </c>
      <c r="S45" s="10"/>
      <c r="T45" s="11"/>
      <c r="U45" s="10"/>
      <c r="V45" s="10"/>
      <c r="W45" s="42"/>
    </row>
    <row r="46" spans="1:23" ht="27" customHeight="1">
      <c r="A46" s="18" t="s">
        <v>87</v>
      </c>
      <c r="B46" s="15" t="s">
        <v>88</v>
      </c>
      <c r="C46" s="15" t="s">
        <v>89</v>
      </c>
      <c r="D46" s="15"/>
      <c r="E46" s="63">
        <v>116.61</v>
      </c>
      <c r="F46" s="63">
        <f>31.33+38.87</f>
        <v>70.199999999999989</v>
      </c>
      <c r="G46" s="63">
        <v>20.73</v>
      </c>
      <c r="H46" s="63">
        <v>116.61</v>
      </c>
      <c r="I46" s="63">
        <f t="shared" si="0"/>
        <v>324.14999999999998</v>
      </c>
      <c r="J46" s="93">
        <f>'2019'!K46</f>
        <v>3554.2312000000002</v>
      </c>
      <c r="K46" s="93">
        <f t="shared" si="1"/>
        <v>3696.4004480000003</v>
      </c>
      <c r="L46" s="93">
        <f>'2019'!M46</f>
        <v>1571.0882903040001</v>
      </c>
      <c r="M46" s="93">
        <f t="shared" si="2"/>
        <v>1633.9318219161601</v>
      </c>
      <c r="N46" s="10">
        <f t="shared" si="3"/>
        <v>231254.29469965058</v>
      </c>
      <c r="O46" s="10">
        <f t="shared" si="4"/>
        <v>139216.63226065919</v>
      </c>
      <c r="P46" s="10">
        <f t="shared" si="5"/>
        <v>42754.974618718006</v>
      </c>
      <c r="Q46" s="10">
        <f t="shared" si="6"/>
        <v>240504.46648763662</v>
      </c>
      <c r="R46" s="10">
        <f t="shared" si="7"/>
        <v>653730.36806666432</v>
      </c>
      <c r="S46" s="10"/>
      <c r="T46" s="11"/>
      <c r="U46" s="10"/>
      <c r="V46" s="10"/>
      <c r="W46" s="42"/>
    </row>
    <row r="47" spans="1:23" ht="27" customHeight="1">
      <c r="A47" s="18" t="s">
        <v>90</v>
      </c>
      <c r="B47" s="15" t="s">
        <v>91</v>
      </c>
      <c r="C47" s="15" t="s">
        <v>84</v>
      </c>
      <c r="D47" s="15"/>
      <c r="E47" s="63">
        <v>744.37</v>
      </c>
      <c r="F47" s="63">
        <f>221.143+222.938</f>
        <v>444.08100000000002</v>
      </c>
      <c r="G47" s="63">
        <v>157.68</v>
      </c>
      <c r="H47" s="63">
        <v>726.13199999999995</v>
      </c>
      <c r="I47" s="63">
        <f t="shared" si="0"/>
        <v>2072.2629999999999</v>
      </c>
      <c r="J47" s="93">
        <f>'2019'!K47</f>
        <v>3463.6076800000005</v>
      </c>
      <c r="K47" s="93">
        <f t="shared" si="1"/>
        <v>3602.1519872000008</v>
      </c>
      <c r="L47" s="93">
        <f>'2019'!M47</f>
        <v>1513.1584</v>
      </c>
      <c r="M47" s="93">
        <f t="shared" si="2"/>
        <v>1573.6847360000002</v>
      </c>
      <c r="N47" s="10">
        <f t="shared" si="3"/>
        <v>1451855.9305536004</v>
      </c>
      <c r="O47" s="10">
        <f t="shared" si="4"/>
        <v>866157.46671168029</v>
      </c>
      <c r="P47" s="10">
        <f t="shared" si="5"/>
        <v>319848.71616921609</v>
      </c>
      <c r="Q47" s="10">
        <f t="shared" si="6"/>
        <v>1472934.9820483588</v>
      </c>
      <c r="R47" s="10">
        <f t="shared" si="7"/>
        <v>4110797.0954828556</v>
      </c>
      <c r="S47" s="10"/>
      <c r="T47" s="11"/>
      <c r="U47" s="10"/>
      <c r="V47" s="10"/>
      <c r="W47" s="42"/>
    </row>
    <row r="48" spans="1:23" ht="27" customHeight="1">
      <c r="A48" s="18" t="s">
        <v>92</v>
      </c>
      <c r="B48" s="15" t="s">
        <v>93</v>
      </c>
      <c r="C48" s="15" t="s">
        <v>94</v>
      </c>
      <c r="D48" s="15"/>
      <c r="E48" s="63">
        <v>34.56</v>
      </c>
      <c r="F48" s="63">
        <f>11.52+8.917</f>
        <v>20.436999999999998</v>
      </c>
      <c r="G48" s="63">
        <v>5.7590000000000003</v>
      </c>
      <c r="H48" s="63">
        <v>34.554000000000002</v>
      </c>
      <c r="I48" s="63">
        <f t="shared" si="0"/>
        <v>95.31</v>
      </c>
      <c r="J48" s="93">
        <f>'2019'!K48</f>
        <v>5563.5527999999995</v>
      </c>
      <c r="K48" s="93">
        <f t="shared" si="1"/>
        <v>5786.0949119999996</v>
      </c>
      <c r="L48" s="93">
        <f>'2019'!M48</f>
        <v>1589.0759040000003</v>
      </c>
      <c r="M48" s="93">
        <f t="shared" si="2"/>
        <v>1652.6389401600004</v>
      </c>
      <c r="N48" s="10">
        <f t="shared" si="3"/>
        <v>137357.92152575997</v>
      </c>
      <c r="O48" s="10">
        <f t="shared" si="4"/>
        <v>81226.384323551974</v>
      </c>
      <c r="P48" s="10">
        <f t="shared" si="5"/>
        <v>23804.572941826558</v>
      </c>
      <c r="Q48" s="10">
        <f t="shared" si="6"/>
        <v>142827.43765095936</v>
      </c>
      <c r="R48" s="10">
        <f t="shared" si="7"/>
        <v>385216.31644209789</v>
      </c>
      <c r="S48" s="10"/>
      <c r="T48" s="11"/>
      <c r="U48" s="10"/>
      <c r="V48" s="10"/>
      <c r="W48" s="42"/>
    </row>
    <row r="49" spans="1:196" s="6" customFormat="1" ht="27" customHeight="1" outlineLevel="1">
      <c r="A49" s="18" t="s">
        <v>340</v>
      </c>
      <c r="B49" s="15" t="s">
        <v>341</v>
      </c>
      <c r="C49" s="15" t="s">
        <v>342</v>
      </c>
      <c r="D49" s="48"/>
      <c r="E49" s="63">
        <v>71.13</v>
      </c>
      <c r="F49" s="63">
        <f>23.71+11.86</f>
        <v>35.57</v>
      </c>
      <c r="G49" s="63">
        <v>11.86</v>
      </c>
      <c r="H49" s="63">
        <v>71.12</v>
      </c>
      <c r="I49" s="63">
        <f t="shared" si="0"/>
        <v>189.68</v>
      </c>
      <c r="J49" s="93">
        <f>'2019'!K49</f>
        <v>5270.6368000000002</v>
      </c>
      <c r="K49" s="93">
        <f t="shared" si="1"/>
        <v>5481.4622720000007</v>
      </c>
      <c r="L49" s="93">
        <f>'2019'!M49</f>
        <v>1589.0778508800001</v>
      </c>
      <c r="M49" s="93">
        <f t="shared" si="2"/>
        <v>1652.6409649152001</v>
      </c>
      <c r="N49" s="10">
        <f t="shared" si="3"/>
        <v>261869.28805090557</v>
      </c>
      <c r="O49" s="10">
        <f t="shared" si="4"/>
        <v>130953.05182019839</v>
      </c>
      <c r="P49" s="10">
        <f t="shared" si="5"/>
        <v>45409.820702025732</v>
      </c>
      <c r="Q49" s="10">
        <f t="shared" si="6"/>
        <v>272305.77135987103</v>
      </c>
      <c r="R49" s="10">
        <f t="shared" si="7"/>
        <v>710537.93193300068</v>
      </c>
      <c r="S49" s="10"/>
      <c r="T49" s="11"/>
      <c r="U49" s="9"/>
      <c r="V49" s="9"/>
      <c r="W49" s="42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</row>
    <row r="50" spans="1:196" s="6" customFormat="1" ht="27" customHeight="1" outlineLevel="1">
      <c r="A50" s="28" t="s">
        <v>415</v>
      </c>
      <c r="B50" s="27" t="s">
        <v>414</v>
      </c>
      <c r="C50" s="15" t="s">
        <v>348</v>
      </c>
      <c r="D50" s="48"/>
      <c r="E50" s="63">
        <v>278.625</v>
      </c>
      <c r="F50" s="63">
        <v>146.37100000000001</v>
      </c>
      <c r="G50" s="63">
        <v>69.099000000000004</v>
      </c>
      <c r="H50" s="63">
        <v>278.625</v>
      </c>
      <c r="I50" s="63">
        <f t="shared" si="0"/>
        <v>772.72</v>
      </c>
      <c r="J50" s="93">
        <f>'2019'!K50</f>
        <v>2995.7304000000004</v>
      </c>
      <c r="K50" s="93">
        <f t="shared" si="1"/>
        <v>3115.5596160000005</v>
      </c>
      <c r="L50" s="79">
        <f>'2019'!M50</f>
        <v>1645.4880000000001</v>
      </c>
      <c r="M50" s="79">
        <f t="shared" si="2"/>
        <v>1711.3075200000001</v>
      </c>
      <c r="N50" s="10">
        <f t="shared" si="3"/>
        <v>376211.28870000009</v>
      </c>
      <c r="O50" s="10">
        <f t="shared" si="4"/>
        <v>197636.33033040006</v>
      </c>
      <c r="P50" s="10">
        <f t="shared" si="5"/>
        <v>97032.415581504029</v>
      </c>
      <c r="Q50" s="10">
        <f t="shared" si="6"/>
        <v>391259.74024800013</v>
      </c>
      <c r="R50" s="10">
        <f t="shared" si="7"/>
        <v>1062139.7748599043</v>
      </c>
      <c r="S50" s="10"/>
      <c r="T50" s="11"/>
      <c r="U50" s="9"/>
      <c r="V50" s="9"/>
      <c r="W50" s="42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</row>
    <row r="51" spans="1:196" s="6" customFormat="1" ht="27" customHeight="1" outlineLevel="1">
      <c r="A51" s="18" t="s">
        <v>292</v>
      </c>
      <c r="B51" s="15" t="s">
        <v>293</v>
      </c>
      <c r="C51" s="15" t="s">
        <v>84</v>
      </c>
      <c r="D51" s="50"/>
      <c r="E51" s="63">
        <v>158.64099999999999</v>
      </c>
      <c r="F51" s="63">
        <f>49.192-0.897+47.769-0.149+5.945-0.149</f>
        <v>101.71099999999998</v>
      </c>
      <c r="G51" s="63">
        <v>33.323999999999998</v>
      </c>
      <c r="H51" s="63">
        <v>155.22</v>
      </c>
      <c r="I51" s="63">
        <f t="shared" si="0"/>
        <v>448.89599999999996</v>
      </c>
      <c r="J51" s="93">
        <f>'2019'!K51</f>
        <v>3347.8224</v>
      </c>
      <c r="K51" s="93">
        <f t="shared" si="1"/>
        <v>3481.7352960000003</v>
      </c>
      <c r="L51" s="93">
        <f>'2019'!M51</f>
        <v>1667.5672000000002</v>
      </c>
      <c r="M51" s="93">
        <f t="shared" si="2"/>
        <v>1734.2698880000003</v>
      </c>
      <c r="N51" s="10">
        <f t="shared" si="3"/>
        <v>266557.36518319993</v>
      </c>
      <c r="O51" s="10">
        <f t="shared" si="4"/>
        <v>170900.43664719997</v>
      </c>
      <c r="P51" s="10">
        <f t="shared" si="5"/>
        <v>58232.537256191994</v>
      </c>
      <c r="Q51" s="10">
        <f t="shared" si="6"/>
        <v>271241.58062975999</v>
      </c>
      <c r="R51" s="10">
        <f t="shared" si="7"/>
        <v>766931.9197163519</v>
      </c>
      <c r="S51" s="10"/>
      <c r="T51" s="11"/>
      <c r="U51" s="9"/>
      <c r="V51" s="9"/>
      <c r="W51" s="42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</row>
    <row r="52" spans="1:196" s="14" customFormat="1" ht="25.5" customHeight="1" outlineLevel="1">
      <c r="A52" s="159" t="s">
        <v>349</v>
      </c>
      <c r="B52" s="160"/>
      <c r="C52" s="161"/>
      <c r="D52" s="2"/>
      <c r="E52" s="64"/>
      <c r="F52" s="64"/>
      <c r="G52" s="65"/>
      <c r="H52" s="66"/>
      <c r="I52" s="63"/>
      <c r="J52" s="85"/>
      <c r="K52" s="85"/>
      <c r="L52" s="85"/>
      <c r="M52" s="85"/>
      <c r="N52" s="10">
        <f t="shared" si="3"/>
        <v>0</v>
      </c>
      <c r="O52" s="10">
        <f t="shared" si="4"/>
        <v>0</v>
      </c>
      <c r="P52" s="10">
        <f t="shared" si="5"/>
        <v>0</v>
      </c>
      <c r="Q52" s="10">
        <f t="shared" si="6"/>
        <v>0</v>
      </c>
      <c r="R52" s="10">
        <f t="shared" si="7"/>
        <v>0</v>
      </c>
      <c r="S52" s="4">
        <f>SUM(S53:S54)</f>
        <v>0</v>
      </c>
      <c r="T52" s="4">
        <f>SUM(T53:T54)</f>
        <v>0</v>
      </c>
      <c r="U52" s="4">
        <f>SUM(U53:U54)</f>
        <v>0</v>
      </c>
      <c r="V52" s="4">
        <f>SUM(V53:V54)</f>
        <v>0</v>
      </c>
    </row>
    <row r="53" spans="1:196" s="6" customFormat="1" ht="21" customHeight="1" outlineLevel="1">
      <c r="A53" s="28" t="s">
        <v>415</v>
      </c>
      <c r="B53" s="27" t="s">
        <v>414</v>
      </c>
      <c r="C53" s="15" t="s">
        <v>350</v>
      </c>
      <c r="D53" s="3"/>
      <c r="E53" s="63">
        <v>459.03199999999998</v>
      </c>
      <c r="F53" s="63">
        <v>268.61799999999999</v>
      </c>
      <c r="G53" s="63">
        <v>136.31800000000001</v>
      </c>
      <c r="H53" s="63">
        <v>459.03199999999998</v>
      </c>
      <c r="I53" s="63">
        <f t="shared" si="0"/>
        <v>1323</v>
      </c>
      <c r="J53" s="93">
        <f>'2019'!K53</f>
        <v>5729.9736000000003</v>
      </c>
      <c r="K53" s="93">
        <f t="shared" si="1"/>
        <v>5959.1725440000009</v>
      </c>
      <c r="L53" s="93">
        <f>'2019'!M53</f>
        <v>2026.96</v>
      </c>
      <c r="M53" s="93">
        <f t="shared" si="2"/>
        <v>2108.0383999999999</v>
      </c>
      <c r="N53" s="10">
        <f t="shared" si="3"/>
        <v>1699801.7388352</v>
      </c>
      <c r="O53" s="10">
        <f t="shared" si="4"/>
        <v>994696.10720480001</v>
      </c>
      <c r="P53" s="10">
        <f t="shared" si="5"/>
        <v>524978.90424179216</v>
      </c>
      <c r="Q53" s="10">
        <f t="shared" si="6"/>
        <v>1767793.8083886085</v>
      </c>
      <c r="R53" s="10">
        <f t="shared" si="7"/>
        <v>4987270.5586704006</v>
      </c>
      <c r="S53" s="10"/>
      <c r="T53" s="11"/>
      <c r="U53" s="9"/>
      <c r="V53" s="9"/>
      <c r="W53" s="42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</row>
    <row r="54" spans="1:196" s="6" customFormat="1" ht="24" customHeight="1" outlineLevel="1">
      <c r="A54" s="18" t="s">
        <v>292</v>
      </c>
      <c r="B54" s="15" t="s">
        <v>351</v>
      </c>
      <c r="C54" s="15"/>
      <c r="D54" s="50"/>
      <c r="E54" s="63">
        <v>2682.2089999999998</v>
      </c>
      <c r="F54" s="63">
        <f>652.423+542.604+192.289-48.186</f>
        <v>1339.13</v>
      </c>
      <c r="G54" s="63">
        <v>436.26499999999999</v>
      </c>
      <c r="H54" s="63">
        <v>1933.26</v>
      </c>
      <c r="I54" s="63">
        <f t="shared" si="0"/>
        <v>6390.8640000000005</v>
      </c>
      <c r="J54" s="93">
        <f>'2019'!K54</f>
        <v>2045.0976000000001</v>
      </c>
      <c r="K54" s="93">
        <f t="shared" si="1"/>
        <v>2126.9015039999999</v>
      </c>
      <c r="L54" s="93">
        <f>'2019'!M54</f>
        <v>1651.8216</v>
      </c>
      <c r="M54" s="93">
        <f t="shared" si="2"/>
        <v>1717.894464</v>
      </c>
      <c r="N54" s="10">
        <f t="shared" si="3"/>
        <v>1054848.4266840001</v>
      </c>
      <c r="O54" s="10">
        <f t="shared" si="4"/>
        <v>526647.68988000008</v>
      </c>
      <c r="P54" s="10">
        <f t="shared" si="5"/>
        <v>178435.45630559998</v>
      </c>
      <c r="Q54" s="10">
        <f t="shared" si="6"/>
        <v>790716.95015039993</v>
      </c>
      <c r="R54" s="10">
        <f t="shared" si="7"/>
        <v>2550648.5230200002</v>
      </c>
      <c r="S54" s="10"/>
      <c r="T54" s="11"/>
      <c r="U54" s="9"/>
      <c r="V54" s="9"/>
      <c r="W54" s="42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</row>
    <row r="55" spans="1:196" ht="22.5" customHeight="1">
      <c r="A55" s="133" t="s">
        <v>97</v>
      </c>
      <c r="B55" s="133"/>
      <c r="C55" s="133"/>
      <c r="D55" s="133"/>
      <c r="E55" s="64"/>
      <c r="F55" s="64"/>
      <c r="G55" s="65"/>
      <c r="H55" s="65"/>
      <c r="I55" s="63"/>
      <c r="J55" s="85"/>
      <c r="K55" s="85"/>
      <c r="L55" s="85"/>
      <c r="M55" s="85"/>
      <c r="N55" s="10">
        <f t="shared" si="3"/>
        <v>0</v>
      </c>
      <c r="O55" s="10">
        <f t="shared" si="4"/>
        <v>0</v>
      </c>
      <c r="P55" s="10">
        <f t="shared" si="5"/>
        <v>0</v>
      </c>
      <c r="Q55" s="10">
        <f t="shared" si="6"/>
        <v>0</v>
      </c>
      <c r="R55" s="10">
        <f t="shared" si="7"/>
        <v>0</v>
      </c>
      <c r="S55" s="10"/>
      <c r="T55" s="11"/>
      <c r="U55" s="10"/>
      <c r="V55" s="10"/>
      <c r="W55" s="45"/>
    </row>
    <row r="56" spans="1:196" ht="30" customHeight="1">
      <c r="A56" s="18" t="s">
        <v>95</v>
      </c>
      <c r="B56" s="15" t="s">
        <v>96</v>
      </c>
      <c r="C56" s="15" t="s">
        <v>98</v>
      </c>
      <c r="D56" s="15"/>
      <c r="E56" s="63">
        <v>206.79599999999999</v>
      </c>
      <c r="F56" s="63">
        <f>68.933+68.933+11.489</f>
        <v>149.35500000000002</v>
      </c>
      <c r="G56" s="63">
        <v>36.764000000000003</v>
      </c>
      <c r="H56" s="63">
        <v>206.79900000000001</v>
      </c>
      <c r="I56" s="63">
        <f t="shared" si="0"/>
        <v>599.71400000000006</v>
      </c>
      <c r="J56" s="93">
        <f>'2019'!K56</f>
        <v>4802.3456000000006</v>
      </c>
      <c r="K56" s="93">
        <f t="shared" si="1"/>
        <v>4994.4394240000011</v>
      </c>
      <c r="L56" s="93">
        <f>'2019'!M56</f>
        <v>1554.864896</v>
      </c>
      <c r="M56" s="93">
        <f t="shared" si="2"/>
        <v>1617.0594918400002</v>
      </c>
      <c r="N56" s="10">
        <f t="shared" si="3"/>
        <v>671566.01966438408</v>
      </c>
      <c r="O56" s="10">
        <f t="shared" si="4"/>
        <v>485027.48054592015</v>
      </c>
      <c r="P56" s="10">
        <f t="shared" si="5"/>
        <v>124165.99582593028</v>
      </c>
      <c r="Q56" s="10">
        <f t="shared" si="6"/>
        <v>698438.79259075609</v>
      </c>
      <c r="R56" s="10">
        <f t="shared" si="7"/>
        <v>1979198.2886269907</v>
      </c>
      <c r="S56" s="10"/>
      <c r="T56" s="11"/>
      <c r="U56" s="10"/>
      <c r="V56" s="10"/>
      <c r="W56" s="42"/>
    </row>
    <row r="57" spans="1:196" ht="30" customHeight="1">
      <c r="A57" s="18" t="s">
        <v>99</v>
      </c>
      <c r="B57" s="15" t="s">
        <v>100</v>
      </c>
      <c r="C57" s="15" t="s">
        <v>101</v>
      </c>
      <c r="D57" s="15"/>
      <c r="E57" s="63">
        <v>243.02099999999999</v>
      </c>
      <c r="F57" s="63">
        <f>58.892+26.666</f>
        <v>85.558000000000007</v>
      </c>
      <c r="G57" s="63">
        <v>46.6</v>
      </c>
      <c r="H57" s="63">
        <v>222.39</v>
      </c>
      <c r="I57" s="63">
        <f t="shared" si="0"/>
        <v>597.56899999999996</v>
      </c>
      <c r="J57" s="93">
        <f>'2019'!K57</f>
        <v>5198.4088000000002</v>
      </c>
      <c r="K57" s="93">
        <f t="shared" si="1"/>
        <v>5406.3451520000008</v>
      </c>
      <c r="L57" s="93">
        <f>'2019'!M57</f>
        <v>1571.056448</v>
      </c>
      <c r="M57" s="93">
        <f t="shared" si="2"/>
        <v>1633.8987059200001</v>
      </c>
      <c r="N57" s="10">
        <f t="shared" si="3"/>
        <v>881522.79593539191</v>
      </c>
      <c r="O57" s="10">
        <f t="shared" si="4"/>
        <v>310349.01253241603</v>
      </c>
      <c r="P57" s="10">
        <f t="shared" si="5"/>
        <v>175796.00438732805</v>
      </c>
      <c r="Q57" s="10">
        <f t="shared" si="6"/>
        <v>838954.36514373135</v>
      </c>
      <c r="R57" s="10">
        <f t="shared" si="7"/>
        <v>2206622.1779988674</v>
      </c>
      <c r="S57" s="16"/>
      <c r="T57" s="16"/>
      <c r="U57" s="16"/>
      <c r="V57" s="16"/>
      <c r="W57" s="42"/>
    </row>
    <row r="58" spans="1:196" s="29" customFormat="1" ht="30" customHeight="1">
      <c r="A58" s="28" t="s">
        <v>431</v>
      </c>
      <c r="B58" s="27" t="s">
        <v>432</v>
      </c>
      <c r="C58" s="27" t="s">
        <v>433</v>
      </c>
      <c r="D58" s="15"/>
      <c r="E58" s="21">
        <v>6550.4831999999997</v>
      </c>
      <c r="F58" s="21">
        <v>4366.9888000000001</v>
      </c>
      <c r="G58" s="21">
        <v>1536.2575999999999</v>
      </c>
      <c r="H58" s="21">
        <v>6145.0303999999996</v>
      </c>
      <c r="I58" s="63">
        <f t="shared" si="0"/>
        <v>18598.759999999998</v>
      </c>
      <c r="J58" s="93">
        <f>'2019'!K58</f>
        <v>1229.0437119999999</v>
      </c>
      <c r="K58" s="93">
        <f t="shared" ref="K58" si="10">J58*1.04</f>
        <v>1278.2054604800001</v>
      </c>
      <c r="L58" s="93">
        <f>'2019'!M58</f>
        <v>1229.0437119999999</v>
      </c>
      <c r="M58" s="93">
        <f t="shared" ref="M58" si="11">L58*1.04</f>
        <v>1278.2054604800001</v>
      </c>
      <c r="N58" s="10">
        <f t="shared" si="3"/>
        <v>0</v>
      </c>
      <c r="O58" s="10">
        <f t="shared" si="4"/>
        <v>0</v>
      </c>
      <c r="P58" s="10">
        <f t="shared" si="5"/>
        <v>0</v>
      </c>
      <c r="Q58" s="10">
        <f t="shared" si="6"/>
        <v>0</v>
      </c>
      <c r="R58" s="10">
        <f t="shared" si="7"/>
        <v>0</v>
      </c>
      <c r="S58" s="16"/>
      <c r="T58" s="16"/>
      <c r="U58" s="16"/>
      <c r="V58" s="16"/>
      <c r="W58" s="42"/>
    </row>
    <row r="59" spans="1:196" ht="30" customHeight="1">
      <c r="A59" s="18" t="s">
        <v>22</v>
      </c>
      <c r="B59" s="15" t="s">
        <v>23</v>
      </c>
      <c r="C59" s="15" t="s">
        <v>98</v>
      </c>
      <c r="D59" s="15" t="s">
        <v>102</v>
      </c>
      <c r="E59" s="63">
        <v>592.47699999999998</v>
      </c>
      <c r="F59" s="63">
        <f>192.254+75.696</f>
        <v>267.95</v>
      </c>
      <c r="G59" s="63">
        <v>117.15600000000001</v>
      </c>
      <c r="H59" s="63">
        <v>587.27700000000004</v>
      </c>
      <c r="I59" s="63">
        <f t="shared" si="0"/>
        <v>1564.86</v>
      </c>
      <c r="J59" s="93">
        <f>'2019'!K59</f>
        <v>2953.4232000000002</v>
      </c>
      <c r="K59" s="93">
        <f t="shared" si="1"/>
        <v>3071.5601280000001</v>
      </c>
      <c r="L59" s="93">
        <f>'2019'!M59</f>
        <v>1508.8320000000001</v>
      </c>
      <c r="M59" s="93">
        <f t="shared" si="2"/>
        <v>1569.1852800000001</v>
      </c>
      <c r="N59" s="10">
        <f t="shared" si="3"/>
        <v>855887.06040239998</v>
      </c>
      <c r="O59" s="10">
        <f t="shared" si="4"/>
        <v>387078.21204000001</v>
      </c>
      <c r="P59" s="10">
        <f t="shared" si="5"/>
        <v>176012.227692288</v>
      </c>
      <c r="Q59" s="10">
        <f t="shared" si="6"/>
        <v>882310.19360889599</v>
      </c>
      <c r="R59" s="10">
        <f t="shared" si="7"/>
        <v>2301287.6937435837</v>
      </c>
      <c r="S59" s="10"/>
      <c r="T59" s="11"/>
      <c r="U59" s="10"/>
      <c r="V59" s="10"/>
      <c r="W59" s="42"/>
    </row>
    <row r="60" spans="1:196" ht="30" customHeight="1">
      <c r="A60" s="18" t="s">
        <v>22</v>
      </c>
      <c r="B60" s="15" t="s">
        <v>23</v>
      </c>
      <c r="C60" s="15" t="s">
        <v>98</v>
      </c>
      <c r="D60" s="15" t="s">
        <v>103</v>
      </c>
      <c r="E60" s="63">
        <v>704.56200000000001</v>
      </c>
      <c r="F60" s="63">
        <f>234.854+91.86</f>
        <v>326.714</v>
      </c>
      <c r="G60" s="63">
        <v>142.988</v>
      </c>
      <c r="H60" s="63">
        <v>704.56200000000001</v>
      </c>
      <c r="I60" s="63">
        <f t="shared" si="0"/>
        <v>1878.826</v>
      </c>
      <c r="J60" s="93">
        <f>'2019'!K60</f>
        <v>2953.4232000000002</v>
      </c>
      <c r="K60" s="93">
        <f t="shared" si="1"/>
        <v>3071.5601280000001</v>
      </c>
      <c r="L60" s="93">
        <f>'2019'!M60</f>
        <v>1397.3190400000003</v>
      </c>
      <c r="M60" s="93">
        <f t="shared" si="2"/>
        <v>1453.2118016000004</v>
      </c>
      <c r="N60" s="10">
        <f t="shared" si="3"/>
        <v>1096371.85917792</v>
      </c>
      <c r="O60" s="10">
        <f t="shared" si="4"/>
        <v>508401.01453023998</v>
      </c>
      <c r="P60" s="10">
        <f t="shared" si="5"/>
        <v>231404.39049528315</v>
      </c>
      <c r="Q60" s="10">
        <f t="shared" si="6"/>
        <v>1140226.7335450365</v>
      </c>
      <c r="R60" s="10">
        <f t="shared" si="7"/>
        <v>2976403.9977484797</v>
      </c>
      <c r="S60" s="10"/>
      <c r="T60" s="11"/>
      <c r="U60" s="10"/>
      <c r="V60" s="10"/>
      <c r="W60" s="42"/>
    </row>
    <row r="61" spans="1:196" ht="30" customHeight="1">
      <c r="A61" s="18" t="s">
        <v>22</v>
      </c>
      <c r="B61" s="15" t="s">
        <v>23</v>
      </c>
      <c r="C61" s="15" t="s">
        <v>104</v>
      </c>
      <c r="D61" s="15"/>
      <c r="E61" s="63">
        <v>4783.4129999999996</v>
      </c>
      <c r="F61" s="63">
        <f>1598.267+694.435+24.423</f>
        <v>2317.125</v>
      </c>
      <c r="G61" s="63">
        <v>958.28200000000004</v>
      </c>
      <c r="H61" s="63">
        <v>4752.0529999999999</v>
      </c>
      <c r="I61" s="63">
        <f t="shared" si="0"/>
        <v>12810.873</v>
      </c>
      <c r="J61" s="93">
        <f>'2019'!K61</f>
        <v>2269.9872</v>
      </c>
      <c r="K61" s="93">
        <f t="shared" si="1"/>
        <v>2360.7866880000001</v>
      </c>
      <c r="L61" s="93">
        <f>'2019'!M61</f>
        <v>1540.4579840000001</v>
      </c>
      <c r="M61" s="93">
        <f t="shared" si="2"/>
        <v>1602.0763033600001</v>
      </c>
      <c r="N61" s="10">
        <f t="shared" si="3"/>
        <v>3489639.5356942071</v>
      </c>
      <c r="O61" s="10">
        <f t="shared" si="4"/>
        <v>1690410.3846239997</v>
      </c>
      <c r="P61" s="10">
        <f t="shared" si="5"/>
        <v>727058.50481358857</v>
      </c>
      <c r="Q61" s="10">
        <f t="shared" si="6"/>
        <v>3605431.9594596662</v>
      </c>
      <c r="R61" s="10">
        <f t="shared" si="7"/>
        <v>9512540.3845914602</v>
      </c>
      <c r="S61" s="10"/>
      <c r="T61" s="11"/>
      <c r="U61" s="10"/>
      <c r="V61" s="10"/>
      <c r="W61" s="42"/>
    </row>
    <row r="62" spans="1:196" s="6" customFormat="1" ht="30" customHeight="1" outlineLevel="1">
      <c r="A62" s="18" t="s">
        <v>355</v>
      </c>
      <c r="B62" s="15" t="s">
        <v>23</v>
      </c>
      <c r="C62" s="15" t="s">
        <v>352</v>
      </c>
      <c r="D62" s="48"/>
      <c r="E62" s="63">
        <v>3292.7489999999998</v>
      </c>
      <c r="F62" s="63">
        <f>1308.559+642.463+57.572-9.12</f>
        <v>1999.4740000000002</v>
      </c>
      <c r="G62" s="63">
        <v>779.89499999999998</v>
      </c>
      <c r="H62" s="63">
        <v>3999.7489999999998</v>
      </c>
      <c r="I62" s="63">
        <f t="shared" si="0"/>
        <v>10071.867</v>
      </c>
      <c r="J62" s="93">
        <f>'2019'!K62</f>
        <v>4281.8464000000004</v>
      </c>
      <c r="K62" s="93">
        <f t="shared" si="1"/>
        <v>4453.1202560000002</v>
      </c>
      <c r="L62" s="93">
        <f>'2019'!M62</f>
        <v>1516.0895360000002</v>
      </c>
      <c r="M62" s="93">
        <f t="shared" si="2"/>
        <v>1576.7331174400003</v>
      </c>
      <c r="N62" s="10">
        <f t="shared" si="3"/>
        <v>9106943.1481791344</v>
      </c>
      <c r="O62" s="10">
        <f t="shared" si="4"/>
        <v>5530058.9398895362</v>
      </c>
      <c r="P62" s="10">
        <f t="shared" si="5"/>
        <v>2243279.9474272509</v>
      </c>
      <c r="Q62" s="10">
        <f t="shared" si="6"/>
        <v>11504826.58106822</v>
      </c>
      <c r="R62" s="10">
        <f t="shared" si="7"/>
        <v>28385108.61656414</v>
      </c>
      <c r="S62" s="10"/>
      <c r="T62" s="11"/>
      <c r="U62" s="9"/>
      <c r="V62" s="9"/>
      <c r="W62" s="4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</row>
    <row r="63" spans="1:196" s="6" customFormat="1" ht="30" customHeight="1" outlineLevel="1">
      <c r="A63" s="18" t="s">
        <v>356</v>
      </c>
      <c r="B63" s="15" t="s">
        <v>23</v>
      </c>
      <c r="C63" s="15" t="s">
        <v>353</v>
      </c>
      <c r="D63" s="48"/>
      <c r="E63" s="63">
        <v>533.86199999999997</v>
      </c>
      <c r="F63" s="63">
        <f>213.615+185.575+30.928</f>
        <v>430.11799999999999</v>
      </c>
      <c r="G63" s="63">
        <v>137.417</v>
      </c>
      <c r="H63" s="63">
        <v>704.75099999999998</v>
      </c>
      <c r="I63" s="63">
        <f t="shared" si="0"/>
        <v>1806.1479999999999</v>
      </c>
      <c r="J63" s="93">
        <f>'2019'!K63</f>
        <v>4281.8464000000004</v>
      </c>
      <c r="K63" s="93">
        <f t="shared" si="1"/>
        <v>4453.1202560000002</v>
      </c>
      <c r="L63" s="93">
        <f>'2019'!M63</f>
        <v>2185.9460480000002</v>
      </c>
      <c r="M63" s="93">
        <f t="shared" si="2"/>
        <v>2273.3838899200005</v>
      </c>
      <c r="N63" s="10">
        <f t="shared" si="3"/>
        <v>1118921.5537194239</v>
      </c>
      <c r="O63" s="10">
        <f t="shared" si="4"/>
        <v>901484.46760153607</v>
      </c>
      <c r="P63" s="10">
        <f t="shared" si="5"/>
        <v>299532.83221761533</v>
      </c>
      <c r="Q63" s="10">
        <f t="shared" si="6"/>
        <v>1536171.3837312458</v>
      </c>
      <c r="R63" s="10">
        <f t="shared" si="7"/>
        <v>3856110.2372698216</v>
      </c>
      <c r="S63" s="10"/>
      <c r="T63" s="11"/>
      <c r="U63" s="9"/>
      <c r="V63" s="9"/>
      <c r="W63" s="42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</row>
    <row r="64" spans="1:196" s="6" customFormat="1" ht="30" customHeight="1" outlineLevel="1">
      <c r="A64" s="18" t="s">
        <v>357</v>
      </c>
      <c r="B64" s="15" t="s">
        <v>23</v>
      </c>
      <c r="C64" s="15" t="s">
        <v>354</v>
      </c>
      <c r="D64" s="48"/>
      <c r="E64" s="63">
        <v>310.834</v>
      </c>
      <c r="F64" s="63">
        <f>161.952+66.574</f>
        <v>228.52600000000001</v>
      </c>
      <c r="G64" s="63">
        <v>86.552999999999997</v>
      </c>
      <c r="H64" s="63">
        <v>443.89299999999997</v>
      </c>
      <c r="I64" s="63">
        <f t="shared" si="0"/>
        <v>1069.806</v>
      </c>
      <c r="J64" s="93">
        <f>'2019'!K64</f>
        <v>4281.8464000000004</v>
      </c>
      <c r="K64" s="93">
        <f t="shared" si="1"/>
        <v>4453.1202560000002</v>
      </c>
      <c r="L64" s="93">
        <f>'2019'!M64</f>
        <v>1423.958848</v>
      </c>
      <c r="M64" s="93">
        <f t="shared" si="2"/>
        <v>1480.91720192</v>
      </c>
      <c r="N64" s="10">
        <f t="shared" si="3"/>
        <v>888328.61933836807</v>
      </c>
      <c r="O64" s="10">
        <f t="shared" si="4"/>
        <v>653101.61070835206</v>
      </c>
      <c r="P64" s="10">
        <f t="shared" si="5"/>
        <v>257253.09093978626</v>
      </c>
      <c r="Q64" s="10">
        <f t="shared" si="6"/>
        <v>1319340.1302847334</v>
      </c>
      <c r="R64" s="10">
        <f t="shared" si="7"/>
        <v>3118023.4512712397</v>
      </c>
      <c r="S64" s="10"/>
      <c r="T64" s="11"/>
      <c r="U64" s="9"/>
      <c r="V64" s="9"/>
      <c r="W64" s="42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</row>
    <row r="65" spans="1:196" ht="30" customHeight="1">
      <c r="A65" s="18" t="s">
        <v>105</v>
      </c>
      <c r="B65" s="15" t="s">
        <v>106</v>
      </c>
      <c r="C65" s="15" t="s">
        <v>101</v>
      </c>
      <c r="D65" s="15"/>
      <c r="E65" s="63">
        <v>249.15700000000001</v>
      </c>
      <c r="F65" s="63">
        <f>66.969+41.839</f>
        <v>108.80799999999999</v>
      </c>
      <c r="G65" s="63">
        <v>37.027000000000001</v>
      </c>
      <c r="H65" s="63">
        <v>251.48699999999999</v>
      </c>
      <c r="I65" s="63">
        <f t="shared" si="0"/>
        <v>646.47900000000004</v>
      </c>
      <c r="J65" s="93">
        <f>'2019'!K65</f>
        <v>5798.5511999999999</v>
      </c>
      <c r="K65" s="93">
        <f t="shared" si="1"/>
        <v>6030.4932479999998</v>
      </c>
      <c r="L65" s="93">
        <f>'2019'!M65</f>
        <v>1571.056448</v>
      </c>
      <c r="M65" s="93">
        <f t="shared" si="2"/>
        <v>1633.8987059200001</v>
      </c>
      <c r="N65" s="10">
        <f t="shared" si="3"/>
        <v>1053309.9099240638</v>
      </c>
      <c r="O65" s="10">
        <f t="shared" si="4"/>
        <v>459985.24897561595</v>
      </c>
      <c r="P65" s="10">
        <f t="shared" si="5"/>
        <v>162792.70610959615</v>
      </c>
      <c r="Q65" s="10">
        <f t="shared" si="6"/>
        <v>1105686.3716040729</v>
      </c>
      <c r="R65" s="10">
        <f t="shared" si="7"/>
        <v>2781774.2366133491</v>
      </c>
      <c r="S65" s="10"/>
      <c r="T65" s="11"/>
      <c r="U65" s="10"/>
      <c r="V65" s="10"/>
      <c r="W65" s="42"/>
    </row>
    <row r="66" spans="1:196" s="6" customFormat="1" ht="28.5" customHeight="1" outlineLevel="1">
      <c r="A66" s="28" t="s">
        <v>415</v>
      </c>
      <c r="B66" s="27" t="s">
        <v>414</v>
      </c>
      <c r="C66" s="15" t="s">
        <v>101</v>
      </c>
      <c r="D66" s="15" t="s">
        <v>358</v>
      </c>
      <c r="E66" s="63">
        <v>3408.4470000000001</v>
      </c>
      <c r="F66" s="63">
        <v>1001</v>
      </c>
      <c r="G66" s="63">
        <v>455.72899999999998</v>
      </c>
      <c r="H66" s="63">
        <v>3152</v>
      </c>
      <c r="I66" s="63">
        <f t="shared" si="0"/>
        <v>8017.1760000000004</v>
      </c>
      <c r="J66" s="93">
        <f>'2019'!K66</f>
        <v>2081.3699920000004</v>
      </c>
      <c r="K66" s="93">
        <f t="shared" si="1"/>
        <v>2164.6247916800003</v>
      </c>
      <c r="L66" s="93">
        <f>'2019'!M66</f>
        <v>1363.043136</v>
      </c>
      <c r="M66" s="93">
        <f t="shared" si="2"/>
        <v>1417.56486144</v>
      </c>
      <c r="N66" s="10">
        <f t="shared" si="3"/>
        <v>2448379.0173526332</v>
      </c>
      <c r="O66" s="10">
        <f t="shared" si="4"/>
        <v>719045.18285600038</v>
      </c>
      <c r="P66" s="10">
        <f t="shared" si="5"/>
        <v>340456.87494834507</v>
      </c>
      <c r="Q66" s="10">
        <f t="shared" si="6"/>
        <v>2354732.9001164809</v>
      </c>
      <c r="R66" s="10">
        <f t="shared" si="7"/>
        <v>5862613.9752734601</v>
      </c>
      <c r="S66" s="10"/>
      <c r="T66" s="11"/>
      <c r="U66" s="9"/>
      <c r="V66" s="9"/>
      <c r="W66" s="42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</row>
    <row r="67" spans="1:196" s="92" customFormat="1" ht="28.5" customHeight="1" outlineLevel="1">
      <c r="A67" s="28" t="s">
        <v>459</v>
      </c>
      <c r="B67" s="27" t="s">
        <v>460</v>
      </c>
      <c r="C67" s="27" t="s">
        <v>104</v>
      </c>
      <c r="D67" s="27"/>
      <c r="E67" s="21">
        <v>45.211920000000006</v>
      </c>
      <c r="F67" s="21">
        <v>30.141280000000009</v>
      </c>
      <c r="G67" s="21">
        <v>11.889360000000002</v>
      </c>
      <c r="H67" s="21">
        <v>47.557440000000007</v>
      </c>
      <c r="I67" s="63">
        <f t="shared" si="0"/>
        <v>134.80000000000001</v>
      </c>
      <c r="J67" s="93">
        <f>'2019'!K67</f>
        <v>1826.7791360000003</v>
      </c>
      <c r="K67" s="93">
        <f t="shared" ref="K67" si="12">J67*1.04</f>
        <v>1899.8503014400005</v>
      </c>
      <c r="L67" s="93">
        <f>'2019'!M67</f>
        <v>1540.4579840000001</v>
      </c>
      <c r="M67" s="93">
        <f t="shared" ref="M67" si="13">L67*1.04</f>
        <v>1602.0763033600001</v>
      </c>
      <c r="N67" s="10">
        <f t="shared" si="3"/>
        <v>12945.129018531852</v>
      </c>
      <c r="O67" s="10">
        <f t="shared" si="4"/>
        <v>8630.0860123545681</v>
      </c>
      <c r="P67" s="10">
        <f t="shared" si="5"/>
        <v>3540.3422618124341</v>
      </c>
      <c r="Q67" s="10">
        <f t="shared" si="6"/>
        <v>14161.369047249736</v>
      </c>
      <c r="R67" s="10">
        <f t="shared" si="7"/>
        <v>39276.926339948594</v>
      </c>
      <c r="S67" s="10"/>
      <c r="T67" s="93"/>
      <c r="U67" s="9"/>
      <c r="V67" s="9"/>
      <c r="W67" s="42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</row>
    <row r="68" spans="1:196" s="6" customFormat="1" ht="28.5" customHeight="1" outlineLevel="1">
      <c r="A68" s="28" t="s">
        <v>434</v>
      </c>
      <c r="B68" s="27" t="s">
        <v>435</v>
      </c>
      <c r="C68" s="27" t="s">
        <v>436</v>
      </c>
      <c r="D68" s="27"/>
      <c r="E68" s="21">
        <v>174.08459999999999</v>
      </c>
      <c r="F68" s="21">
        <v>116.05640000000002</v>
      </c>
      <c r="G68" s="21">
        <v>44.891800000000003</v>
      </c>
      <c r="H68" s="21">
        <v>179.56720000000001</v>
      </c>
      <c r="I68" s="63">
        <f t="shared" si="0"/>
        <v>514.6</v>
      </c>
      <c r="J68" s="93">
        <f>'2019'!K68</f>
        <v>2518.6512000000002</v>
      </c>
      <c r="K68" s="93">
        <f t="shared" ref="K68" si="14">J68*1.04</f>
        <v>2619.3972480000002</v>
      </c>
      <c r="L68" s="93">
        <f>'2019'!M68</f>
        <v>1932.3432960000002</v>
      </c>
      <c r="M68" s="93">
        <f t="shared" ref="M68" si="15">L68*1.04</f>
        <v>2009.6370278400004</v>
      </c>
      <c r="N68" s="10">
        <f t="shared" si="3"/>
        <v>102067.1769446784</v>
      </c>
      <c r="O68" s="10">
        <f t="shared" si="4"/>
        <v>68044.784629785616</v>
      </c>
      <c r="P68" s="10">
        <f t="shared" si="5"/>
        <v>27373.233851378682</v>
      </c>
      <c r="Q68" s="10">
        <f t="shared" si="6"/>
        <v>109492.93540551473</v>
      </c>
      <c r="R68" s="10">
        <f t="shared" si="7"/>
        <v>306978.13083135744</v>
      </c>
      <c r="S68" s="10"/>
      <c r="T68" s="11"/>
      <c r="U68" s="9"/>
      <c r="V68" s="9"/>
      <c r="W68" s="42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</row>
    <row r="69" spans="1:196" ht="18" customHeight="1">
      <c r="A69" s="133" t="s">
        <v>109</v>
      </c>
      <c r="B69" s="133"/>
      <c r="C69" s="133"/>
      <c r="D69" s="133"/>
      <c r="E69" s="64"/>
      <c r="F69" s="64"/>
      <c r="G69" s="65"/>
      <c r="H69" s="65"/>
      <c r="I69" s="63">
        <f t="shared" si="0"/>
        <v>0</v>
      </c>
      <c r="J69" s="85"/>
      <c r="K69" s="85"/>
      <c r="L69" s="85"/>
      <c r="M69" s="85"/>
      <c r="N69" s="10">
        <f t="shared" si="3"/>
        <v>0</v>
      </c>
      <c r="O69" s="10">
        <f t="shared" si="4"/>
        <v>0</v>
      </c>
      <c r="P69" s="10">
        <f t="shared" si="5"/>
        <v>0</v>
      </c>
      <c r="Q69" s="10">
        <f t="shared" si="6"/>
        <v>0</v>
      </c>
      <c r="R69" s="10">
        <f t="shared" si="7"/>
        <v>0</v>
      </c>
      <c r="S69" s="10"/>
      <c r="T69" s="11"/>
      <c r="U69" s="10"/>
      <c r="V69" s="10"/>
      <c r="W69" s="45"/>
    </row>
    <row r="70" spans="1:196" ht="25.5" customHeight="1">
      <c r="A70" s="18" t="s">
        <v>107</v>
      </c>
      <c r="B70" s="15" t="s">
        <v>108</v>
      </c>
      <c r="C70" s="15" t="s">
        <v>110</v>
      </c>
      <c r="D70" s="15"/>
      <c r="E70" s="63">
        <v>302.73500000000001</v>
      </c>
      <c r="F70" s="63">
        <f>99.987+79.98</f>
        <v>179.96699999999998</v>
      </c>
      <c r="G70" s="63">
        <v>61.786000000000001</v>
      </c>
      <c r="H70" s="63">
        <v>301.75400000000002</v>
      </c>
      <c r="I70" s="63">
        <f t="shared" si="0"/>
        <v>846.24200000000008</v>
      </c>
      <c r="J70" s="93">
        <f>'2019'!K70</f>
        <v>4379.1383999999998</v>
      </c>
      <c r="K70" s="93">
        <f t="shared" ref="K70:K72" si="16">J70*1.04</f>
        <v>4554.3039360000002</v>
      </c>
      <c r="L70" s="93">
        <f>'2019'!M70</f>
        <v>1701.5406720000001</v>
      </c>
      <c r="M70" s="93">
        <f t="shared" ref="M70:M72" si="17">L70*1.04</f>
        <v>1769.6022988800003</v>
      </c>
      <c r="N70" s="10">
        <f t="shared" si="3"/>
        <v>810602.54818607995</v>
      </c>
      <c r="O70" s="10">
        <f t="shared" si="4"/>
        <v>481879.2303149759</v>
      </c>
      <c r="P70" s="10">
        <f t="shared" si="5"/>
        <v>172055.57535109631</v>
      </c>
      <c r="Q70" s="10">
        <f t="shared" si="6"/>
        <v>840294.85780750844</v>
      </c>
      <c r="R70" s="10">
        <f t="shared" si="7"/>
        <v>2304832.2116596606</v>
      </c>
      <c r="S70" s="10"/>
      <c r="T70" s="11"/>
      <c r="U70" s="10"/>
      <c r="V70" s="10"/>
      <c r="W70" s="42"/>
    </row>
    <row r="71" spans="1:196" s="29" customFormat="1" ht="25.5" customHeight="1">
      <c r="A71" s="28" t="s">
        <v>437</v>
      </c>
      <c r="B71" s="27" t="s">
        <v>438</v>
      </c>
      <c r="C71" s="27" t="s">
        <v>110</v>
      </c>
      <c r="D71" s="15"/>
      <c r="E71" s="21">
        <v>50.389800000000001</v>
      </c>
      <c r="F71" s="21">
        <v>33.593200000000003</v>
      </c>
      <c r="G71" s="21">
        <v>13.1974</v>
      </c>
      <c r="H71" s="21">
        <v>52.789599999999993</v>
      </c>
      <c r="I71" s="63">
        <f t="shared" si="0"/>
        <v>149.97</v>
      </c>
      <c r="J71" s="93">
        <f>'2019'!K71</f>
        <v>5542.0248000000001</v>
      </c>
      <c r="K71" s="93">
        <f t="shared" si="16"/>
        <v>5763.7057920000007</v>
      </c>
      <c r="L71" s="93">
        <f>'2019'!M71</f>
        <v>1701.5439999999999</v>
      </c>
      <c r="M71" s="93">
        <f t="shared" si="17"/>
        <v>1769.6057599999999</v>
      </c>
      <c r="N71" s="10">
        <f t="shared" si="3"/>
        <v>193521.05941584002</v>
      </c>
      <c r="O71" s="10">
        <f t="shared" si="4"/>
        <v>129014.03961056002</v>
      </c>
      <c r="P71" s="10">
        <f t="shared" si="5"/>
        <v>52711.735762316806</v>
      </c>
      <c r="Q71" s="10">
        <f t="shared" si="6"/>
        <v>210846.94304926723</v>
      </c>
      <c r="R71" s="10">
        <f t="shared" si="7"/>
        <v>586093.77783798403</v>
      </c>
      <c r="S71" s="10"/>
      <c r="T71" s="11"/>
      <c r="U71" s="10"/>
      <c r="V71" s="10"/>
      <c r="W71" s="42"/>
    </row>
    <row r="72" spans="1:196" ht="25.5" customHeight="1">
      <c r="A72" s="18" t="s">
        <v>22</v>
      </c>
      <c r="B72" s="15" t="s">
        <v>23</v>
      </c>
      <c r="C72" s="15" t="s">
        <v>111</v>
      </c>
      <c r="D72" s="15"/>
      <c r="E72" s="63">
        <v>3251.6410000000001</v>
      </c>
      <c r="F72" s="63">
        <f>1003.352+495.869</f>
        <v>1499.221</v>
      </c>
      <c r="G72" s="63">
        <v>462.88900000000001</v>
      </c>
      <c r="H72" s="63">
        <v>3147.85</v>
      </c>
      <c r="I72" s="63">
        <f t="shared" si="0"/>
        <v>8361.6010000000006</v>
      </c>
      <c r="J72" s="93">
        <f>'2019'!K72</f>
        <v>4481.7864</v>
      </c>
      <c r="K72" s="93">
        <f t="shared" si="16"/>
        <v>4661.0578560000004</v>
      </c>
      <c r="L72" s="93">
        <f>'2019'!M72</f>
        <v>1654.6424960000002</v>
      </c>
      <c r="M72" s="93">
        <f t="shared" si="17"/>
        <v>1720.8281958400003</v>
      </c>
      <c r="N72" s="10">
        <f t="shared" si="3"/>
        <v>9192857.031146463</v>
      </c>
      <c r="O72" s="10">
        <f t="shared" si="4"/>
        <v>4238513.5108987838</v>
      </c>
      <c r="P72" s="10">
        <f t="shared" si="5"/>
        <v>1360999.9671618023</v>
      </c>
      <c r="Q72" s="10">
        <f t="shared" si="6"/>
        <v>9255401.9357346557</v>
      </c>
      <c r="R72" s="10">
        <f t="shared" si="7"/>
        <v>24047772.444941707</v>
      </c>
      <c r="S72" s="10"/>
      <c r="T72" s="11"/>
      <c r="U72" s="10"/>
      <c r="V72" s="10"/>
      <c r="W72" s="42"/>
    </row>
    <row r="73" spans="1:196" ht="20.25" customHeight="1">
      <c r="A73" s="133" t="s">
        <v>114</v>
      </c>
      <c r="B73" s="133"/>
      <c r="C73" s="133"/>
      <c r="D73" s="133"/>
      <c r="E73" s="64"/>
      <c r="F73" s="64"/>
      <c r="G73" s="65"/>
      <c r="H73" s="65"/>
      <c r="I73" s="63">
        <f t="shared" si="0"/>
        <v>0</v>
      </c>
      <c r="J73" s="85"/>
      <c r="K73" s="85"/>
      <c r="L73" s="85"/>
      <c r="M73" s="85"/>
      <c r="N73" s="10">
        <f t="shared" si="3"/>
        <v>0</v>
      </c>
      <c r="O73" s="10">
        <f t="shared" si="4"/>
        <v>0</v>
      </c>
      <c r="P73" s="10">
        <f t="shared" si="5"/>
        <v>0</v>
      </c>
      <c r="Q73" s="10">
        <f t="shared" si="6"/>
        <v>0</v>
      </c>
      <c r="R73" s="10">
        <f t="shared" si="7"/>
        <v>0</v>
      </c>
      <c r="S73" s="16"/>
      <c r="T73" s="17"/>
      <c r="U73" s="16"/>
      <c r="V73" s="16"/>
      <c r="W73" s="45"/>
    </row>
    <row r="74" spans="1:196" ht="20.25" customHeight="1">
      <c r="A74" s="18" t="s">
        <v>112</v>
      </c>
      <c r="B74" s="15" t="s">
        <v>113</v>
      </c>
      <c r="C74" s="15" t="s">
        <v>115</v>
      </c>
      <c r="D74" s="15"/>
      <c r="E74" s="63">
        <v>962.60500000000002</v>
      </c>
      <c r="F74" s="63">
        <f>315.053+309.713</f>
        <v>624.76600000000008</v>
      </c>
      <c r="G74" s="63">
        <v>138.83699999999999</v>
      </c>
      <c r="H74" s="63">
        <v>931.46400000000006</v>
      </c>
      <c r="I74" s="63">
        <f t="shared" si="0"/>
        <v>2657.672</v>
      </c>
      <c r="J74" s="93">
        <f>'2019'!K74</f>
        <v>2436.9913523238542</v>
      </c>
      <c r="K74" s="93">
        <f t="shared" si="1"/>
        <v>2534.4710064168085</v>
      </c>
      <c r="L74" s="93">
        <f>'2019'!M74</f>
        <v>1661.3376000000001</v>
      </c>
      <c r="M74" s="93">
        <f t="shared" si="2"/>
        <v>1727.7911040000001</v>
      </c>
      <c r="N74" s="10">
        <f t="shared" ref="N74:N137" si="18">(J74-L74)*E74</f>
        <v>746648.18025570363</v>
      </c>
      <c r="O74" s="10">
        <f t="shared" ref="O74:O137" si="19">(J74-L74)*F74</f>
        <v>484602.09222436516</v>
      </c>
      <c r="P74" s="10">
        <f t="shared" ref="P74:P137" si="20">(K74-M74)*G74</f>
        <v>111997.01761184241</v>
      </c>
      <c r="Q74" s="10">
        <f t="shared" ref="Q74:Q137" si="21">(K74-M74)*H74</f>
        <v>751393.28862477001</v>
      </c>
      <c r="R74" s="10">
        <f t="shared" ref="R74:R137" si="22">SUM(N74:Q74)</f>
        <v>2094640.5787166811</v>
      </c>
      <c r="S74" s="10"/>
      <c r="T74" s="11"/>
      <c r="U74" s="10"/>
      <c r="V74" s="10"/>
      <c r="W74" s="42"/>
    </row>
    <row r="75" spans="1:196" ht="20.25" customHeight="1">
      <c r="A75" s="18" t="s">
        <v>116</v>
      </c>
      <c r="B75" s="15" t="s">
        <v>117</v>
      </c>
      <c r="C75" s="15" t="s">
        <v>118</v>
      </c>
      <c r="D75" s="15"/>
      <c r="E75" s="63">
        <v>466.084</v>
      </c>
      <c r="F75" s="63">
        <f>148.024+140.74+24.22</f>
        <v>312.98400000000004</v>
      </c>
      <c r="G75" s="63">
        <v>72.38</v>
      </c>
      <c r="H75" s="63">
        <v>474.65</v>
      </c>
      <c r="I75" s="63">
        <f t="shared" si="0"/>
        <v>1326.098</v>
      </c>
      <c r="J75" s="93">
        <f>'2019'!K75</f>
        <v>2948.5976000000001</v>
      </c>
      <c r="K75" s="93">
        <f t="shared" si="1"/>
        <v>3066.5415040000003</v>
      </c>
      <c r="L75" s="93">
        <f>'2019'!M75</f>
        <v>1703.812032</v>
      </c>
      <c r="M75" s="93">
        <f t="shared" si="2"/>
        <v>1771.9645132800001</v>
      </c>
      <c r="N75" s="10">
        <f t="shared" si="18"/>
        <v>580174.63667571195</v>
      </c>
      <c r="O75" s="10">
        <f t="shared" si="19"/>
        <v>389597.96621491207</v>
      </c>
      <c r="P75" s="10">
        <f t="shared" si="20"/>
        <v>93701.482588313607</v>
      </c>
      <c r="Q75" s="10">
        <f t="shared" si="21"/>
        <v>614470.96864524798</v>
      </c>
      <c r="R75" s="10">
        <f t="shared" si="22"/>
        <v>1677945.0541241853</v>
      </c>
      <c r="S75" s="16"/>
      <c r="T75" s="16"/>
      <c r="U75" s="16"/>
      <c r="V75" s="16"/>
      <c r="W75" s="42"/>
    </row>
    <row r="76" spans="1:196" ht="20.25" customHeight="1">
      <c r="A76" s="18" t="s">
        <v>119</v>
      </c>
      <c r="B76" s="15" t="s">
        <v>120</v>
      </c>
      <c r="C76" s="15" t="s">
        <v>121</v>
      </c>
      <c r="D76" s="15"/>
      <c r="E76" s="63">
        <v>12.72</v>
      </c>
      <c r="F76" s="63">
        <f>4.38+2.94</f>
        <v>7.32</v>
      </c>
      <c r="G76" s="63">
        <v>2.25</v>
      </c>
      <c r="H76" s="63">
        <v>13.5</v>
      </c>
      <c r="I76" s="63">
        <f t="shared" si="0"/>
        <v>35.79</v>
      </c>
      <c r="J76" s="93">
        <f>'2019'!K76</f>
        <v>4393.4175999999998</v>
      </c>
      <c r="K76" s="93">
        <f t="shared" si="1"/>
        <v>4569.1543039999997</v>
      </c>
      <c r="L76" s="93">
        <f>'2019'!M76</f>
        <v>1364.74</v>
      </c>
      <c r="M76" s="93">
        <f t="shared" si="2"/>
        <v>1419.3296</v>
      </c>
      <c r="N76" s="10">
        <f t="shared" si="18"/>
        <v>38524.779072000005</v>
      </c>
      <c r="O76" s="10">
        <f t="shared" si="19"/>
        <v>22169.920032000002</v>
      </c>
      <c r="P76" s="10">
        <f t="shared" si="20"/>
        <v>7087.105583999999</v>
      </c>
      <c r="Q76" s="10">
        <f t="shared" si="21"/>
        <v>42522.633503999998</v>
      </c>
      <c r="R76" s="10">
        <f t="shared" si="22"/>
        <v>110304.438192</v>
      </c>
      <c r="S76" s="10"/>
      <c r="T76" s="11"/>
      <c r="U76" s="10"/>
      <c r="V76" s="10"/>
      <c r="W76" s="42"/>
    </row>
    <row r="77" spans="1:196" ht="20.25" customHeight="1">
      <c r="A77" s="18" t="s">
        <v>122</v>
      </c>
      <c r="B77" s="15" t="s">
        <v>123</v>
      </c>
      <c r="C77" s="15" t="s">
        <v>124</v>
      </c>
      <c r="D77" s="15"/>
      <c r="E77" s="63">
        <v>2612.7150000000001</v>
      </c>
      <c r="F77" s="63">
        <f>813.756+813.496+32.219</f>
        <v>1659.471</v>
      </c>
      <c r="G77" s="63">
        <v>337</v>
      </c>
      <c r="H77" s="63">
        <v>2159</v>
      </c>
      <c r="I77" s="63">
        <f t="shared" si="0"/>
        <v>6768.1859999999997</v>
      </c>
      <c r="J77" s="93">
        <f>'2019'!K77</f>
        <v>3787.1288</v>
      </c>
      <c r="K77" s="93">
        <f t="shared" si="1"/>
        <v>3938.6139520000002</v>
      </c>
      <c r="L77" s="93">
        <f>'2019'!M77</f>
        <v>1433.2239999999999</v>
      </c>
      <c r="M77" s="93">
        <f t="shared" si="2"/>
        <v>1490.55296</v>
      </c>
      <c r="N77" s="10">
        <f t="shared" si="18"/>
        <v>6150082.379532001</v>
      </c>
      <c r="O77" s="10">
        <f t="shared" si="19"/>
        <v>3906236.7523608003</v>
      </c>
      <c r="P77" s="10">
        <f t="shared" si="20"/>
        <v>824996.55430400011</v>
      </c>
      <c r="Q77" s="10">
        <f t="shared" si="21"/>
        <v>5285363.6817280008</v>
      </c>
      <c r="R77" s="10">
        <f t="shared" si="22"/>
        <v>16166679.367924802</v>
      </c>
      <c r="S77" s="10"/>
      <c r="T77" s="11"/>
      <c r="U77" s="10"/>
      <c r="V77" s="10"/>
      <c r="W77" s="42"/>
    </row>
    <row r="78" spans="1:196" ht="24" customHeight="1">
      <c r="A78" s="18" t="s">
        <v>347</v>
      </c>
      <c r="B78" s="15" t="s">
        <v>359</v>
      </c>
      <c r="C78" s="15" t="s">
        <v>124</v>
      </c>
      <c r="D78" s="15"/>
      <c r="E78" s="63">
        <v>43.944000000000003</v>
      </c>
      <c r="F78" s="63">
        <f>14.648+7.088</f>
        <v>21.736000000000001</v>
      </c>
      <c r="G78" s="63">
        <v>7.3239999999999998</v>
      </c>
      <c r="H78" s="63">
        <v>43.944000000000003</v>
      </c>
      <c r="I78" s="63">
        <f t="shared" si="0"/>
        <v>116.94800000000001</v>
      </c>
      <c r="J78" s="93">
        <f>'2019'!K78</f>
        <v>4230.9379840000001</v>
      </c>
      <c r="K78" s="93">
        <f t="shared" ref="K78:K147" si="23">J78*1.04</f>
        <v>4400.1755033600002</v>
      </c>
      <c r="L78" s="93">
        <f>'2019'!M78</f>
        <v>1422.2936</v>
      </c>
      <c r="M78" s="93">
        <f t="shared" ref="M78:M147" si="24">L78*1.04</f>
        <v>1479.185344</v>
      </c>
      <c r="N78" s="10">
        <f t="shared" si="18"/>
        <v>123423.06881049601</v>
      </c>
      <c r="O78" s="10">
        <f t="shared" si="19"/>
        <v>61048.694330624006</v>
      </c>
      <c r="P78" s="10">
        <f t="shared" si="20"/>
        <v>21393.331927152642</v>
      </c>
      <c r="Q78" s="10">
        <f t="shared" si="21"/>
        <v>128359.99156291586</v>
      </c>
      <c r="R78" s="10">
        <f t="shared" si="22"/>
        <v>334225.08663118852</v>
      </c>
      <c r="S78" s="10"/>
      <c r="T78" s="11"/>
      <c r="U78" s="10"/>
      <c r="V78" s="10"/>
      <c r="W78" s="42"/>
    </row>
    <row r="79" spans="1:196" ht="24" customHeight="1">
      <c r="A79" s="18" t="s">
        <v>360</v>
      </c>
      <c r="B79" s="15" t="s">
        <v>361</v>
      </c>
      <c r="C79" s="15" t="s">
        <v>115</v>
      </c>
      <c r="D79" s="15"/>
      <c r="E79" s="63">
        <v>3756.7640000000001</v>
      </c>
      <c r="F79" s="63">
        <f>1126.023+871.261+180.159</f>
        <v>2177.4429999999998</v>
      </c>
      <c r="G79" s="63">
        <v>644.89200000000005</v>
      </c>
      <c r="H79" s="63">
        <v>3154.4059999999999</v>
      </c>
      <c r="I79" s="63">
        <f t="shared" si="0"/>
        <v>9733.505000000001</v>
      </c>
      <c r="J79" s="93">
        <f>'2019'!K79</f>
        <v>1053.445952</v>
      </c>
      <c r="K79" s="93">
        <f t="shared" si="23"/>
        <v>1095.58379008</v>
      </c>
      <c r="L79" s="93">
        <f>'2019'!M79</f>
        <v>691.50639999999999</v>
      </c>
      <c r="M79" s="93">
        <f t="shared" si="24"/>
        <v>719.16665599999999</v>
      </c>
      <c r="N79" s="10">
        <f t="shared" si="18"/>
        <v>1359721.4791297282</v>
      </c>
      <c r="O79" s="10">
        <f t="shared" si="19"/>
        <v>788102.74392553605</v>
      </c>
      <c r="P79" s="10">
        <f t="shared" si="20"/>
        <v>242748.39843111936</v>
      </c>
      <c r="Q79" s="10">
        <f t="shared" si="21"/>
        <v>1187372.4662447565</v>
      </c>
      <c r="R79" s="10">
        <f t="shared" si="22"/>
        <v>3577945.0877311397</v>
      </c>
      <c r="S79" s="10"/>
      <c r="T79" s="11"/>
      <c r="U79" s="10"/>
      <c r="V79" s="10"/>
      <c r="W79" s="42"/>
    </row>
    <row r="80" spans="1:196" s="108" customFormat="1" ht="24" customHeight="1">
      <c r="A80" s="105" t="s">
        <v>459</v>
      </c>
      <c r="B80" s="106" t="s">
        <v>460</v>
      </c>
      <c r="C80" s="27" t="s">
        <v>124</v>
      </c>
      <c r="D80" s="107"/>
      <c r="E80" s="21">
        <v>8.0546399999999991</v>
      </c>
      <c r="F80" s="21">
        <v>5.3697600000000012</v>
      </c>
      <c r="G80" s="21">
        <v>1.8351200000000003</v>
      </c>
      <c r="H80" s="21">
        <v>7.3404800000000012</v>
      </c>
      <c r="I80" s="63">
        <f t="shared" si="0"/>
        <v>22.6</v>
      </c>
      <c r="J80" s="93">
        <f>'2019'!K80</f>
        <v>1917.9272144428035</v>
      </c>
      <c r="K80" s="93">
        <f t="shared" ref="K80" si="25">J80*1.04</f>
        <v>1994.6443030205157</v>
      </c>
      <c r="L80" s="93">
        <f>'2019'!M80</f>
        <v>1449.6410073600005</v>
      </c>
      <c r="M80" s="93">
        <f t="shared" ref="M80" si="26">L80*1.04</f>
        <v>1507.6266476544006</v>
      </c>
      <c r="N80" s="10">
        <f t="shared" si="18"/>
        <v>3771.8768150174278</v>
      </c>
      <c r="O80" s="10">
        <f t="shared" si="19"/>
        <v>2514.5845433449526</v>
      </c>
      <c r="P80" s="10">
        <f t="shared" si="20"/>
        <v>893.73583971546543</v>
      </c>
      <c r="Q80" s="10">
        <f t="shared" si="21"/>
        <v>3574.9433588618617</v>
      </c>
      <c r="R80" s="10">
        <f t="shared" si="22"/>
        <v>10755.140556939708</v>
      </c>
      <c r="S80" s="10"/>
      <c r="T80" s="93"/>
      <c r="U80" s="10"/>
      <c r="V80" s="10"/>
      <c r="W80" s="42"/>
    </row>
    <row r="81" spans="1:23" ht="21.75" customHeight="1">
      <c r="A81" s="133" t="s">
        <v>125</v>
      </c>
      <c r="B81" s="133"/>
      <c r="C81" s="133"/>
      <c r="D81" s="133"/>
      <c r="E81" s="64"/>
      <c r="F81" s="64"/>
      <c r="G81" s="65"/>
      <c r="H81" s="65"/>
      <c r="I81" s="63">
        <f t="shared" si="0"/>
        <v>0</v>
      </c>
      <c r="J81" s="85"/>
      <c r="K81" s="85"/>
      <c r="L81" s="85"/>
      <c r="M81" s="85"/>
      <c r="N81" s="10">
        <f t="shared" si="18"/>
        <v>0</v>
      </c>
      <c r="O81" s="10">
        <f t="shared" si="19"/>
        <v>0</v>
      </c>
      <c r="P81" s="10">
        <f t="shared" si="20"/>
        <v>0</v>
      </c>
      <c r="Q81" s="10">
        <f t="shared" si="21"/>
        <v>0</v>
      </c>
      <c r="R81" s="10">
        <f t="shared" si="22"/>
        <v>0</v>
      </c>
      <c r="S81" s="10"/>
      <c r="T81" s="11"/>
      <c r="U81" s="10"/>
      <c r="V81" s="10"/>
      <c r="W81" s="45"/>
    </row>
    <row r="82" spans="1:23" ht="27.75" customHeight="1">
      <c r="A82" s="18" t="s">
        <v>22</v>
      </c>
      <c r="B82" s="15" t="s">
        <v>23</v>
      </c>
      <c r="C82" s="15" t="s">
        <v>387</v>
      </c>
      <c r="D82" s="15"/>
      <c r="E82" s="63">
        <v>4419.3710000000001</v>
      </c>
      <c r="F82" s="63">
        <f>1255.741+1168.344+163.019</f>
        <v>2587.1040000000003</v>
      </c>
      <c r="G82" s="63">
        <v>956.33299999999997</v>
      </c>
      <c r="H82" s="63">
        <v>3929.395</v>
      </c>
      <c r="I82" s="63">
        <f t="shared" si="0"/>
        <v>11892.203</v>
      </c>
      <c r="J82" s="93">
        <f>'2019'!K82</f>
        <v>5448.5496000000003</v>
      </c>
      <c r="K82" s="93">
        <f t="shared" si="23"/>
        <v>5666.4915840000003</v>
      </c>
      <c r="L82" s="93">
        <f>'2019'!M82</f>
        <v>1537.8621440000002</v>
      </c>
      <c r="M82" s="93">
        <f t="shared" si="24"/>
        <v>1599.3766297600002</v>
      </c>
      <c r="N82" s="10">
        <f t="shared" si="18"/>
        <v>17282778.733110178</v>
      </c>
      <c r="O82" s="10">
        <f t="shared" si="19"/>
        <v>10117355.160167426</v>
      </c>
      <c r="P82" s="10">
        <f t="shared" si="20"/>
        <v>3889516.2455332018</v>
      </c>
      <c r="Q82" s="10">
        <f t="shared" si="21"/>
        <v>15981301.165615885</v>
      </c>
      <c r="R82" s="10">
        <f t="shared" si="22"/>
        <v>47270951.304426692</v>
      </c>
      <c r="S82" s="10"/>
      <c r="T82" s="11"/>
      <c r="U82" s="10"/>
      <c r="V82" s="10"/>
      <c r="W82" s="42"/>
    </row>
    <row r="83" spans="1:23" ht="23.25" customHeight="1">
      <c r="A83" s="133" t="s">
        <v>126</v>
      </c>
      <c r="B83" s="133"/>
      <c r="C83" s="133"/>
      <c r="D83" s="133"/>
      <c r="E83" s="64"/>
      <c r="F83" s="64"/>
      <c r="G83" s="65"/>
      <c r="H83" s="65"/>
      <c r="I83" s="63">
        <f t="shared" si="0"/>
        <v>0</v>
      </c>
      <c r="J83" s="85"/>
      <c r="K83" s="85"/>
      <c r="L83" s="85"/>
      <c r="M83" s="85"/>
      <c r="N83" s="10">
        <f t="shared" si="18"/>
        <v>0</v>
      </c>
      <c r="O83" s="10">
        <f t="shared" si="19"/>
        <v>0</v>
      </c>
      <c r="P83" s="10">
        <f t="shared" si="20"/>
        <v>0</v>
      </c>
      <c r="Q83" s="10">
        <f t="shared" si="21"/>
        <v>0</v>
      </c>
      <c r="R83" s="10">
        <f t="shared" si="22"/>
        <v>0</v>
      </c>
      <c r="S83" s="10"/>
      <c r="T83" s="11"/>
      <c r="U83" s="10"/>
      <c r="V83" s="10"/>
      <c r="W83" s="45"/>
    </row>
    <row r="84" spans="1:23" ht="24.75" customHeight="1">
      <c r="A84" s="18" t="s">
        <v>22</v>
      </c>
      <c r="B84" s="15" t="s">
        <v>23</v>
      </c>
      <c r="C84" s="15" t="s">
        <v>388</v>
      </c>
      <c r="D84" s="15"/>
      <c r="E84" s="63">
        <v>3504.9989999999998</v>
      </c>
      <c r="F84" s="63">
        <f>1073.489+1049.063+114.402</f>
        <v>2236.9540000000002</v>
      </c>
      <c r="G84" s="63">
        <v>904.39700000000005</v>
      </c>
      <c r="H84" s="63">
        <v>3260.19</v>
      </c>
      <c r="I84" s="63">
        <f t="shared" si="0"/>
        <v>9906.5399999999991</v>
      </c>
      <c r="J84" s="93">
        <f>'2019'!K84</f>
        <v>5662.9247999999998</v>
      </c>
      <c r="K84" s="93">
        <f t="shared" si="23"/>
        <v>5889.4417919999996</v>
      </c>
      <c r="L84" s="93">
        <f>'2019'!M84</f>
        <v>1327.4152320000001</v>
      </c>
      <c r="M84" s="93">
        <f t="shared" si="24"/>
        <v>1380.51184128</v>
      </c>
      <c r="N84" s="10">
        <f t="shared" si="18"/>
        <v>15195956.700330429</v>
      </c>
      <c r="O84" s="10">
        <f t="shared" si="19"/>
        <v>9698335.4701758716</v>
      </c>
      <c r="P84" s="10">
        <f t="shared" si="20"/>
        <v>4077862.7206413154</v>
      </c>
      <c r="Q84" s="10">
        <f t="shared" si="21"/>
        <v>14699968.336037835</v>
      </c>
      <c r="R84" s="10">
        <f t="shared" si="22"/>
        <v>43672123.22718545</v>
      </c>
      <c r="S84" s="10"/>
      <c r="T84" s="11"/>
      <c r="U84" s="10"/>
      <c r="V84" s="10"/>
      <c r="W84" s="42"/>
    </row>
    <row r="85" spans="1:23" ht="24.75" customHeight="1">
      <c r="A85" s="28" t="s">
        <v>415</v>
      </c>
      <c r="B85" s="27" t="s">
        <v>414</v>
      </c>
      <c r="C85" s="15" t="s">
        <v>362</v>
      </c>
      <c r="D85" s="15"/>
      <c r="E85" s="63">
        <v>39.113999999999997</v>
      </c>
      <c r="F85" s="63">
        <v>25.422999999999998</v>
      </c>
      <c r="G85" s="63">
        <v>13.689</v>
      </c>
      <c r="H85" s="63">
        <v>39.113999999999997</v>
      </c>
      <c r="I85" s="63">
        <f t="shared" si="0"/>
        <v>117.34</v>
      </c>
      <c r="J85" s="93">
        <f>'2019'!K85</f>
        <v>7633.1527999999998</v>
      </c>
      <c r="K85" s="93">
        <f t="shared" si="23"/>
        <v>7938.4789120000005</v>
      </c>
      <c r="L85" s="93">
        <f>'2019'!M85</f>
        <v>1302.365376</v>
      </c>
      <c r="M85" s="93">
        <f t="shared" si="24"/>
        <v>1354.45999104</v>
      </c>
      <c r="N85" s="10">
        <f t="shared" si="18"/>
        <v>247622.419302336</v>
      </c>
      <c r="O85" s="10">
        <f t="shared" si="19"/>
        <v>160947.60868035199</v>
      </c>
      <c r="P85" s="10">
        <f t="shared" si="20"/>
        <v>90128.63500902144</v>
      </c>
      <c r="Q85" s="10">
        <f t="shared" si="21"/>
        <v>257527.31607442943</v>
      </c>
      <c r="R85" s="10">
        <f t="shared" si="22"/>
        <v>756225.97906613885</v>
      </c>
      <c r="S85" s="10"/>
      <c r="T85" s="11"/>
      <c r="U85" s="10"/>
      <c r="V85" s="10"/>
      <c r="W85" s="42"/>
    </row>
    <row r="86" spans="1:23" ht="20.25" customHeight="1">
      <c r="A86" s="133" t="s">
        <v>94</v>
      </c>
      <c r="B86" s="133"/>
      <c r="C86" s="133"/>
      <c r="D86" s="133"/>
      <c r="E86" s="64"/>
      <c r="F86" s="64"/>
      <c r="G86" s="65"/>
      <c r="H86" s="65"/>
      <c r="I86" s="63">
        <f t="shared" si="0"/>
        <v>0</v>
      </c>
      <c r="J86" s="93"/>
      <c r="K86" s="93"/>
      <c r="L86" s="85"/>
      <c r="M86" s="85"/>
      <c r="N86" s="10">
        <f t="shared" si="18"/>
        <v>0</v>
      </c>
      <c r="O86" s="10">
        <f t="shared" si="19"/>
        <v>0</v>
      </c>
      <c r="P86" s="10">
        <f t="shared" si="20"/>
        <v>0</v>
      </c>
      <c r="Q86" s="10">
        <f t="shared" si="21"/>
        <v>0</v>
      </c>
      <c r="R86" s="10">
        <f t="shared" si="22"/>
        <v>0</v>
      </c>
      <c r="S86" s="10"/>
      <c r="T86" s="11"/>
      <c r="U86" s="10"/>
      <c r="V86" s="10"/>
      <c r="W86" s="45"/>
    </row>
    <row r="87" spans="1:23" ht="24" customHeight="1">
      <c r="A87" s="18" t="s">
        <v>127</v>
      </c>
      <c r="B87" s="15" t="s">
        <v>128</v>
      </c>
      <c r="C87" s="15"/>
      <c r="D87" s="15"/>
      <c r="E87" s="63">
        <v>44924.853999999999</v>
      </c>
      <c r="F87" s="63">
        <f>14375.289+12376.21+5339.789</f>
        <v>32091.288</v>
      </c>
      <c r="G87" s="67">
        <v>19100.506000000001</v>
      </c>
      <c r="H87" s="63">
        <v>43424.788</v>
      </c>
      <c r="I87" s="63">
        <f t="shared" si="0"/>
        <v>139541.43599999999</v>
      </c>
      <c r="J87" s="93">
        <f>'2019'!K87</f>
        <v>1954.1996965400976</v>
      </c>
      <c r="K87" s="93">
        <f t="shared" si="23"/>
        <v>2032.3676844017016</v>
      </c>
      <c r="L87" s="93">
        <f>'2019'!M87</f>
        <v>1496.6428006400004</v>
      </c>
      <c r="M87" s="93">
        <f t="shared" si="24"/>
        <v>1556.5085126656004</v>
      </c>
      <c r="N87" s="10">
        <f t="shared" si="18"/>
        <v>20555676.745005067</v>
      </c>
      <c r="O87" s="10">
        <f t="shared" si="19"/>
        <v>14683590.122716041</v>
      </c>
      <c r="P87" s="10">
        <f t="shared" si="20"/>
        <v>9089150.9649004322</v>
      </c>
      <c r="Q87" s="10">
        <f t="shared" si="21"/>
        <v>20664083.650495786</v>
      </c>
      <c r="R87" s="10">
        <f t="shared" si="22"/>
        <v>64992501.483117327</v>
      </c>
      <c r="S87" s="10"/>
      <c r="T87" s="11"/>
      <c r="U87" s="10"/>
      <c r="V87" s="10"/>
      <c r="W87" s="42"/>
    </row>
    <row r="88" spans="1:23" ht="24.75" customHeight="1">
      <c r="A88" s="28" t="s">
        <v>415</v>
      </c>
      <c r="B88" s="27" t="s">
        <v>414</v>
      </c>
      <c r="C88" s="15" t="s">
        <v>363</v>
      </c>
      <c r="D88" s="15"/>
      <c r="E88" s="63">
        <v>912.29499999999996</v>
      </c>
      <c r="F88" s="63">
        <v>619.779</v>
      </c>
      <c r="G88" s="63">
        <v>406.17399999999998</v>
      </c>
      <c r="H88" s="63">
        <v>913.00199999999995</v>
      </c>
      <c r="I88" s="63">
        <f t="shared" si="0"/>
        <v>2851.25</v>
      </c>
      <c r="J88" s="93">
        <f>'2019'!K88</f>
        <v>1667.8688000000002</v>
      </c>
      <c r="K88" s="93">
        <f t="shared" si="23"/>
        <v>1734.5835520000003</v>
      </c>
      <c r="L88" s="93">
        <f>'2019'!M88</f>
        <v>1496.6432</v>
      </c>
      <c r="M88" s="93">
        <f t="shared" si="24"/>
        <v>1556.508928</v>
      </c>
      <c r="N88" s="10">
        <f t="shared" si="18"/>
        <v>156208.2587520002</v>
      </c>
      <c r="O88" s="10">
        <f t="shared" si="19"/>
        <v>106122.03114240013</v>
      </c>
      <c r="P88" s="10">
        <f t="shared" si="20"/>
        <v>72329.282328576126</v>
      </c>
      <c r="Q88" s="10">
        <f t="shared" si="21"/>
        <v>162582.48786124829</v>
      </c>
      <c r="R88" s="10">
        <f t="shared" si="22"/>
        <v>497242.06008422479</v>
      </c>
      <c r="S88" s="10"/>
      <c r="T88" s="11"/>
      <c r="U88" s="10"/>
      <c r="V88" s="10"/>
      <c r="W88" s="42"/>
    </row>
    <row r="89" spans="1:23" ht="18.75" customHeight="1">
      <c r="A89" s="159" t="s">
        <v>364</v>
      </c>
      <c r="B89" s="160"/>
      <c r="C89" s="161"/>
      <c r="D89" s="15"/>
      <c r="E89" s="68"/>
      <c r="F89" s="68"/>
      <c r="G89" s="63"/>
      <c r="H89" s="63"/>
      <c r="I89" s="63">
        <f t="shared" si="0"/>
        <v>0</v>
      </c>
      <c r="J89" s="93"/>
      <c r="K89" s="93"/>
      <c r="L89" s="93"/>
      <c r="M89" s="93"/>
      <c r="N89" s="10">
        <f t="shared" si="18"/>
        <v>0</v>
      </c>
      <c r="O89" s="10">
        <f t="shared" si="19"/>
        <v>0</v>
      </c>
      <c r="P89" s="10">
        <f t="shared" si="20"/>
        <v>0</v>
      </c>
      <c r="Q89" s="10">
        <f t="shared" si="21"/>
        <v>0</v>
      </c>
      <c r="R89" s="10">
        <f t="shared" si="22"/>
        <v>0</v>
      </c>
      <c r="S89" s="10"/>
      <c r="T89" s="11"/>
      <c r="U89" s="10"/>
      <c r="V89" s="10"/>
      <c r="W89" s="42"/>
    </row>
    <row r="90" spans="1:23" ht="26.25" customHeight="1">
      <c r="A90" s="28" t="s">
        <v>415</v>
      </c>
      <c r="B90" s="27" t="s">
        <v>414</v>
      </c>
      <c r="C90" s="15" t="s">
        <v>394</v>
      </c>
      <c r="D90" s="15" t="s">
        <v>395</v>
      </c>
      <c r="E90" s="63">
        <v>2982.33</v>
      </c>
      <c r="F90" s="63">
        <v>2982.33</v>
      </c>
      <c r="G90" s="63">
        <v>2440.09</v>
      </c>
      <c r="H90" s="63">
        <v>2440.09</v>
      </c>
      <c r="I90" s="63">
        <f t="shared" si="0"/>
        <v>10844.84</v>
      </c>
      <c r="J90" s="93">
        <f>'2019'!K90</f>
        <v>5415.5920000000006</v>
      </c>
      <c r="K90" s="93">
        <f t="shared" si="23"/>
        <v>5632.2156800000012</v>
      </c>
      <c r="L90" s="93">
        <f>'2019'!M90</f>
        <v>2026.9184</v>
      </c>
      <c r="M90" s="93">
        <f t="shared" si="24"/>
        <v>2107.995136</v>
      </c>
      <c r="N90" s="10">
        <f t="shared" si="18"/>
        <v>10106142.937488001</v>
      </c>
      <c r="O90" s="10">
        <f t="shared" si="19"/>
        <v>10106142.937488001</v>
      </c>
      <c r="P90" s="10">
        <f t="shared" si="20"/>
        <v>8599415.3072089627</v>
      </c>
      <c r="Q90" s="10">
        <f t="shared" si="21"/>
        <v>8599415.3072089627</v>
      </c>
      <c r="R90" s="10">
        <f t="shared" si="22"/>
        <v>37411116.489393927</v>
      </c>
      <c r="S90" s="10"/>
      <c r="T90" s="11"/>
      <c r="U90" s="10"/>
      <c r="V90" s="10"/>
      <c r="W90" s="42"/>
    </row>
    <row r="91" spans="1:23" ht="22.5" customHeight="1">
      <c r="A91" s="133" t="s">
        <v>131</v>
      </c>
      <c r="B91" s="133"/>
      <c r="C91" s="133"/>
      <c r="D91" s="133"/>
      <c r="E91" s="64"/>
      <c r="F91" s="64"/>
      <c r="G91" s="65"/>
      <c r="H91" s="65"/>
      <c r="I91" s="63">
        <f t="shared" si="0"/>
        <v>0</v>
      </c>
      <c r="J91" s="85"/>
      <c r="K91" s="85"/>
      <c r="L91" s="85"/>
      <c r="M91" s="85"/>
      <c r="N91" s="10">
        <f t="shared" si="18"/>
        <v>0</v>
      </c>
      <c r="O91" s="10">
        <f t="shared" si="19"/>
        <v>0</v>
      </c>
      <c r="P91" s="10">
        <f t="shared" si="20"/>
        <v>0</v>
      </c>
      <c r="Q91" s="10">
        <f t="shared" si="21"/>
        <v>0</v>
      </c>
      <c r="R91" s="10">
        <f t="shared" si="22"/>
        <v>0</v>
      </c>
      <c r="S91" s="10"/>
      <c r="T91" s="11"/>
      <c r="U91" s="10"/>
      <c r="V91" s="10"/>
      <c r="W91" s="45"/>
    </row>
    <row r="92" spans="1:23" ht="21.75" customHeight="1">
      <c r="A92" s="18" t="s">
        <v>129</v>
      </c>
      <c r="B92" s="15" t="s">
        <v>130</v>
      </c>
      <c r="C92" s="15" t="s">
        <v>132</v>
      </c>
      <c r="D92" s="15"/>
      <c r="E92" s="63">
        <v>28057.741999999998</v>
      </c>
      <c r="F92" s="63">
        <f>8915.225+8660.405+1018.952</f>
        <v>18594.582000000002</v>
      </c>
      <c r="G92" s="63">
        <v>7784.7730000000001</v>
      </c>
      <c r="H92" s="63">
        <v>28174.696</v>
      </c>
      <c r="I92" s="63">
        <f t="shared" si="0"/>
        <v>82611.793000000005</v>
      </c>
      <c r="J92" s="93">
        <f>'2019'!K92</f>
        <v>1556.8442240000004</v>
      </c>
      <c r="K92" s="93">
        <f t="shared" si="23"/>
        <v>1619.1179929600005</v>
      </c>
      <c r="L92" s="93">
        <f>'2019'!M92</f>
        <v>1266.9321600000001</v>
      </c>
      <c r="M92" s="93">
        <f t="shared" si="24"/>
        <v>1317.6094464</v>
      </c>
      <c r="N92" s="10">
        <f t="shared" si="18"/>
        <v>8134277.8943994967</v>
      </c>
      <c r="O92" s="10">
        <f t="shared" si="19"/>
        <v>5390793.646837255</v>
      </c>
      <c r="P92" s="10">
        <f t="shared" si="20"/>
        <v>2347175.5925295344</v>
      </c>
      <c r="Q92" s="10">
        <f t="shared" si="21"/>
        <v>8494911.6407298595</v>
      </c>
      <c r="R92" s="10">
        <f t="shared" si="22"/>
        <v>24367158.774496146</v>
      </c>
      <c r="S92" s="10"/>
      <c r="T92" s="11"/>
      <c r="U92" s="10"/>
      <c r="V92" s="10"/>
      <c r="W92" s="42"/>
    </row>
    <row r="93" spans="1:23" ht="21.75" customHeight="1">
      <c r="A93" s="18" t="s">
        <v>133</v>
      </c>
      <c r="B93" s="15" t="s">
        <v>134</v>
      </c>
      <c r="C93" s="15" t="s">
        <v>135</v>
      </c>
      <c r="D93" s="15" t="s">
        <v>136</v>
      </c>
      <c r="E93" s="63">
        <v>47.360999999999997</v>
      </c>
      <c r="F93" s="63">
        <f>15.24+12.47</f>
        <v>27.71</v>
      </c>
      <c r="G93" s="63">
        <v>15.787000000000001</v>
      </c>
      <c r="H93" s="63">
        <v>47.362000000000002</v>
      </c>
      <c r="I93" s="63">
        <f t="shared" si="0"/>
        <v>138.22</v>
      </c>
      <c r="J93" s="93">
        <f>'2019'!K93</f>
        <v>4073.4245760000003</v>
      </c>
      <c r="K93" s="93">
        <f t="shared" si="23"/>
        <v>4236.3615590400004</v>
      </c>
      <c r="L93" s="93">
        <f>'2019'!M93</f>
        <v>1310.8667520000001</v>
      </c>
      <c r="M93" s="93">
        <f t="shared" si="24"/>
        <v>1363.3014220800003</v>
      </c>
      <c r="N93" s="10">
        <f t="shared" si="18"/>
        <v>130837.50110246401</v>
      </c>
      <c r="O93" s="10">
        <f t="shared" si="19"/>
        <v>76550.47730304001</v>
      </c>
      <c r="P93" s="10">
        <f t="shared" si="20"/>
        <v>45357.000382187522</v>
      </c>
      <c r="Q93" s="10">
        <f t="shared" si="21"/>
        <v>136073.87420669952</v>
      </c>
      <c r="R93" s="10">
        <f t="shared" si="22"/>
        <v>388818.85299439105</v>
      </c>
      <c r="S93" s="16"/>
      <c r="T93" s="16"/>
      <c r="U93" s="16"/>
      <c r="V93" s="16"/>
      <c r="W93" s="42"/>
    </row>
    <row r="94" spans="1:23" ht="21.75" customHeight="1">
      <c r="A94" s="18" t="s">
        <v>137</v>
      </c>
      <c r="B94" s="15" t="s">
        <v>138</v>
      </c>
      <c r="C94" s="15"/>
      <c r="D94" s="15"/>
      <c r="E94" s="63">
        <v>9110.9639999999999</v>
      </c>
      <c r="F94" s="63">
        <f>3052.213+3016.846+252.969</f>
        <v>6322.0280000000002</v>
      </c>
      <c r="G94" s="63">
        <v>2705.1930000000002</v>
      </c>
      <c r="H94" s="63">
        <v>8843.9989999999998</v>
      </c>
      <c r="I94" s="63">
        <f t="shared" si="0"/>
        <v>26982.184000000001</v>
      </c>
      <c r="J94" s="93">
        <f>'2019'!K94</f>
        <v>3603.1773440000002</v>
      </c>
      <c r="K94" s="93">
        <f t="shared" si="23"/>
        <v>3747.3044377600004</v>
      </c>
      <c r="L94" s="93">
        <f>'2019'!M94</f>
        <v>1266.9321600000001</v>
      </c>
      <c r="M94" s="93">
        <f t="shared" si="24"/>
        <v>1317.6094464</v>
      </c>
      <c r="N94" s="10">
        <f t="shared" si="18"/>
        <v>21285445.766597379</v>
      </c>
      <c r="O94" s="10">
        <f t="shared" si="19"/>
        <v>14769807.468113154</v>
      </c>
      <c r="P94" s="10">
        <f t="shared" si="20"/>
        <v>6572793.8827621331</v>
      </c>
      <c r="Q94" s="10">
        <f t="shared" si="21"/>
        <v>21488220.07389285</v>
      </c>
      <c r="R94" s="10">
        <f t="shared" si="22"/>
        <v>64116267.19136551</v>
      </c>
      <c r="S94" s="10"/>
      <c r="T94" s="11"/>
      <c r="U94" s="10"/>
      <c r="V94" s="10"/>
      <c r="W94" s="42"/>
    </row>
    <row r="95" spans="1:23" ht="21.75" customHeight="1">
      <c r="A95" s="18" t="s">
        <v>292</v>
      </c>
      <c r="B95" s="15" t="s">
        <v>293</v>
      </c>
      <c r="C95" s="15" t="s">
        <v>365</v>
      </c>
      <c r="D95" s="15"/>
      <c r="E95" s="63">
        <v>446.20100000000002</v>
      </c>
      <c r="F95" s="63">
        <f>152.007-0.586+150.202+0.401</f>
        <v>302.024</v>
      </c>
      <c r="G95" s="63">
        <v>9.2240000000000002</v>
      </c>
      <c r="H95" s="63">
        <v>477.77499999999998</v>
      </c>
      <c r="I95" s="63">
        <f>SUM(E95:H95)</f>
        <v>1235.2240000000002</v>
      </c>
      <c r="J95" s="93">
        <f>'2019'!K95</f>
        <v>2954.2864</v>
      </c>
      <c r="K95" s="93">
        <f t="shared" si="23"/>
        <v>3072.457856</v>
      </c>
      <c r="L95" s="93">
        <f>'2019'!M95</f>
        <v>1266.9280000000001</v>
      </c>
      <c r="M95" s="93">
        <f t="shared" si="24"/>
        <v>1317.6051200000002</v>
      </c>
      <c r="N95" s="10">
        <f t="shared" si="18"/>
        <v>752901.00543839997</v>
      </c>
      <c r="O95" s="10">
        <f t="shared" si="19"/>
        <v>509622.73340159998</v>
      </c>
      <c r="P95" s="10">
        <f t="shared" si="20"/>
        <v>16186.761636863999</v>
      </c>
      <c r="Q95" s="10">
        <f t="shared" si="21"/>
        <v>838424.76594239986</v>
      </c>
      <c r="R95" s="10">
        <f t="shared" si="22"/>
        <v>2117135.2664192636</v>
      </c>
      <c r="S95" s="10"/>
      <c r="T95" s="11"/>
      <c r="U95" s="10"/>
      <c r="V95" s="10"/>
      <c r="W95" s="42"/>
    </row>
    <row r="96" spans="1:23" ht="21.75" customHeight="1">
      <c r="A96" s="22" t="s">
        <v>448</v>
      </c>
      <c r="B96" s="22" t="s">
        <v>449</v>
      </c>
      <c r="C96" s="15" t="s">
        <v>135</v>
      </c>
      <c r="D96" s="15" t="s">
        <v>380</v>
      </c>
      <c r="E96" s="21">
        <v>120.02825537999999</v>
      </c>
      <c r="F96" s="21">
        <v>80.018836920000012</v>
      </c>
      <c r="G96" s="21">
        <v>32.734978739999995</v>
      </c>
      <c r="H96" s="21">
        <v>130.93991495999995</v>
      </c>
      <c r="I96" s="63">
        <f t="shared" si="0"/>
        <v>363.72198599999996</v>
      </c>
      <c r="J96" s="93">
        <f>'2019'!K96</f>
        <v>3094.4359680000002</v>
      </c>
      <c r="K96" s="93">
        <f t="shared" si="23"/>
        <v>3218.2134067200004</v>
      </c>
      <c r="L96" s="93">
        <f>'2019'!M96</f>
        <v>1310.8667520000001</v>
      </c>
      <c r="M96" s="93">
        <f t="shared" si="24"/>
        <v>1363.3014220800003</v>
      </c>
      <c r="N96" s="10">
        <f t="shared" si="18"/>
        <v>214078.70134595438</v>
      </c>
      <c r="O96" s="10">
        <f t="shared" si="19"/>
        <v>142719.13423063629</v>
      </c>
      <c r="P96" s="10">
        <f t="shared" si="20"/>
        <v>60720.504381761602</v>
      </c>
      <c r="Q96" s="10">
        <f t="shared" si="21"/>
        <v>242882.01752704635</v>
      </c>
      <c r="R96" s="10">
        <f t="shared" si="22"/>
        <v>660400.35748539865</v>
      </c>
      <c r="S96" s="10"/>
      <c r="T96" s="11"/>
      <c r="U96" s="10"/>
      <c r="V96" s="10"/>
      <c r="W96" s="42"/>
    </row>
    <row r="97" spans="1:23" ht="21" customHeight="1">
      <c r="A97" s="133" t="s">
        <v>141</v>
      </c>
      <c r="B97" s="133"/>
      <c r="C97" s="133"/>
      <c r="D97" s="133"/>
      <c r="E97" s="64"/>
      <c r="F97" s="64"/>
      <c r="G97" s="65"/>
      <c r="H97" s="65"/>
      <c r="I97" s="63">
        <f t="shared" si="0"/>
        <v>0</v>
      </c>
      <c r="J97" s="85"/>
      <c r="K97" s="85"/>
      <c r="L97" s="85"/>
      <c r="M97" s="85"/>
      <c r="N97" s="10">
        <f t="shared" si="18"/>
        <v>0</v>
      </c>
      <c r="O97" s="10">
        <f t="shared" si="19"/>
        <v>0</v>
      </c>
      <c r="P97" s="10">
        <f t="shared" si="20"/>
        <v>0</v>
      </c>
      <c r="Q97" s="10">
        <f t="shared" si="21"/>
        <v>0</v>
      </c>
      <c r="R97" s="10">
        <f t="shared" si="22"/>
        <v>0</v>
      </c>
      <c r="S97" s="10"/>
      <c r="T97" s="11"/>
      <c r="U97" s="10"/>
      <c r="V97" s="10"/>
      <c r="W97" s="45"/>
    </row>
    <row r="98" spans="1:23" ht="27" customHeight="1">
      <c r="A98" s="18" t="s">
        <v>139</v>
      </c>
      <c r="B98" s="15" t="s">
        <v>140</v>
      </c>
      <c r="C98" s="15" t="s">
        <v>142</v>
      </c>
      <c r="D98" s="15"/>
      <c r="E98" s="63">
        <v>3873.15</v>
      </c>
      <c r="F98" s="63">
        <f>1292.61+1288.58+10.26</f>
        <v>2591.4499999999998</v>
      </c>
      <c r="G98" s="63">
        <v>1275.83</v>
      </c>
      <c r="H98" s="63">
        <v>2621.0210000000002</v>
      </c>
      <c r="I98" s="63">
        <f t="shared" ref="I98:I175" si="27">SUM(E98:H98)</f>
        <v>10361.451000000001</v>
      </c>
      <c r="J98" s="93">
        <f>'2019'!K98</f>
        <v>3994.0264000000002</v>
      </c>
      <c r="K98" s="93">
        <f t="shared" si="23"/>
        <v>4153.787456</v>
      </c>
      <c r="L98" s="93">
        <f>'2019'!M98</f>
        <v>1323.132096</v>
      </c>
      <c r="M98" s="93">
        <f t="shared" si="24"/>
        <v>1376.0573798400001</v>
      </c>
      <c r="N98" s="10">
        <f t="shared" si="18"/>
        <v>10344774.273537602</v>
      </c>
      <c r="O98" s="10">
        <f t="shared" si="19"/>
        <v>6921489.0441008005</v>
      </c>
      <c r="P98" s="10">
        <f t="shared" si="20"/>
        <v>3543911.3630672125</v>
      </c>
      <c r="Q98" s="10">
        <f t="shared" si="21"/>
        <v>7280488.86194696</v>
      </c>
      <c r="R98" s="10">
        <f t="shared" si="22"/>
        <v>28090663.542652577</v>
      </c>
      <c r="S98" s="10"/>
      <c r="T98" s="11"/>
      <c r="U98" s="10"/>
      <c r="V98" s="10"/>
      <c r="W98" s="42"/>
    </row>
    <row r="99" spans="1:23" ht="27" customHeight="1">
      <c r="A99" s="18" t="s">
        <v>143</v>
      </c>
      <c r="B99" s="15" t="s">
        <v>144</v>
      </c>
      <c r="C99" s="15" t="s">
        <v>145</v>
      </c>
      <c r="D99" s="15"/>
      <c r="E99" s="63">
        <v>3194.5010000000002</v>
      </c>
      <c r="F99" s="63">
        <f>990.254+954.677+78.181+56.314</f>
        <v>2079.4259999999999</v>
      </c>
      <c r="G99" s="63">
        <v>686.7</v>
      </c>
      <c r="H99" s="63">
        <v>3045.5619999999999</v>
      </c>
      <c r="I99" s="63">
        <f t="shared" si="27"/>
        <v>9006.1889999999985</v>
      </c>
      <c r="J99" s="93">
        <f>'2019'!K99</f>
        <v>4666.9375999999993</v>
      </c>
      <c r="K99" s="93">
        <f t="shared" si="23"/>
        <v>4853.6151039999995</v>
      </c>
      <c r="L99" s="93">
        <f>'2019'!M99</f>
        <v>1348.5929599999999</v>
      </c>
      <c r="M99" s="93">
        <f t="shared" si="24"/>
        <v>1402.5366784</v>
      </c>
      <c r="N99" s="10">
        <f t="shared" si="18"/>
        <v>10600455.270824639</v>
      </c>
      <c r="O99" s="10">
        <f t="shared" si="19"/>
        <v>6900252.1213766383</v>
      </c>
      <c r="P99" s="10">
        <f t="shared" si="20"/>
        <v>2369855.5548595199</v>
      </c>
      <c r="Q99" s="10">
        <f t="shared" si="21"/>
        <v>10510473.312027186</v>
      </c>
      <c r="R99" s="10">
        <f t="shared" si="22"/>
        <v>30381036.259087984</v>
      </c>
      <c r="S99" s="10"/>
      <c r="T99" s="11"/>
      <c r="U99" s="10"/>
      <c r="V99" s="10"/>
      <c r="W99" s="42"/>
    </row>
    <row r="100" spans="1:23" ht="27" customHeight="1">
      <c r="A100" s="18" t="s">
        <v>143</v>
      </c>
      <c r="B100" s="15" t="s">
        <v>144</v>
      </c>
      <c r="C100" s="15" t="s">
        <v>146</v>
      </c>
      <c r="D100" s="15"/>
      <c r="E100" s="63">
        <v>2166.4090000000001</v>
      </c>
      <c r="F100" s="63">
        <f>698.187+725.752+17.05-39.925</f>
        <v>1401.0639999999999</v>
      </c>
      <c r="G100" s="63">
        <v>581.596</v>
      </c>
      <c r="H100" s="63">
        <v>2125.7069999999999</v>
      </c>
      <c r="I100" s="63">
        <f t="shared" si="27"/>
        <v>6274.7759999999998</v>
      </c>
      <c r="J100" s="93">
        <f>'2019'!K100</f>
        <v>4405.9184000000005</v>
      </c>
      <c r="K100" s="93">
        <f t="shared" si="23"/>
        <v>4582.1551360000003</v>
      </c>
      <c r="L100" s="93">
        <f>'2019'!M100</f>
        <v>1348.5929599999999</v>
      </c>
      <c r="M100" s="93">
        <f t="shared" si="24"/>
        <v>1402.5366784</v>
      </c>
      <c r="N100" s="10">
        <f t="shared" si="18"/>
        <v>6623417.3491449617</v>
      </c>
      <c r="O100" s="10">
        <f t="shared" si="19"/>
        <v>4283508.6102681607</v>
      </c>
      <c r="P100" s="10">
        <f t="shared" si="20"/>
        <v>1849253.3764663299</v>
      </c>
      <c r="Q100" s="10">
        <f t="shared" si="21"/>
        <v>6758937.2126495242</v>
      </c>
      <c r="R100" s="10">
        <f t="shared" si="22"/>
        <v>19515116.548528977</v>
      </c>
      <c r="S100" s="10"/>
      <c r="T100" s="11"/>
      <c r="U100" s="10"/>
      <c r="V100" s="10"/>
      <c r="W100" s="42"/>
    </row>
    <row r="101" spans="1:23" ht="27" customHeight="1">
      <c r="A101" s="18" t="s">
        <v>143</v>
      </c>
      <c r="B101" s="15" t="s">
        <v>144</v>
      </c>
      <c r="C101" s="15" t="s">
        <v>147</v>
      </c>
      <c r="D101" s="15"/>
      <c r="E101" s="63">
        <v>4887.424</v>
      </c>
      <c r="F101" s="63">
        <f>1650.93+1658.216+3.3-6.554</f>
        <v>3305.8919999999998</v>
      </c>
      <c r="G101" s="63">
        <v>1550.777</v>
      </c>
      <c r="H101" s="63">
        <v>4929.6049999999996</v>
      </c>
      <c r="I101" s="63">
        <f t="shared" si="27"/>
        <v>14673.697999999999</v>
      </c>
      <c r="J101" s="93">
        <f>'2019'!K101</f>
        <v>4236.4295999999995</v>
      </c>
      <c r="K101" s="93">
        <f t="shared" si="23"/>
        <v>4405.8867839999994</v>
      </c>
      <c r="L101" s="93">
        <f>'2019'!M101</f>
        <v>1348.5929599999999</v>
      </c>
      <c r="M101" s="93">
        <f t="shared" si="24"/>
        <v>1402.5366784</v>
      </c>
      <c r="N101" s="10">
        <f t="shared" si="18"/>
        <v>14114082.102415357</v>
      </c>
      <c r="O101" s="10">
        <f t="shared" si="19"/>
        <v>9546876.0454828776</v>
      </c>
      <c r="P101" s="10">
        <f t="shared" si="20"/>
        <v>4657526.2667120509</v>
      </c>
      <c r="Q101" s="10">
        <f t="shared" si="21"/>
        <v>14805329.697316285</v>
      </c>
      <c r="R101" s="10">
        <f t="shared" si="22"/>
        <v>43123814.111926571</v>
      </c>
      <c r="S101" s="10"/>
      <c r="T101" s="11"/>
      <c r="U101" s="10"/>
      <c r="V101" s="10"/>
      <c r="W101" s="42"/>
    </row>
    <row r="102" spans="1:23" ht="27" customHeight="1">
      <c r="A102" s="18" t="s">
        <v>143</v>
      </c>
      <c r="B102" s="15" t="s">
        <v>144</v>
      </c>
      <c r="C102" s="15" t="s">
        <v>148</v>
      </c>
      <c r="D102" s="15"/>
      <c r="E102" s="63">
        <v>95.927999999999997</v>
      </c>
      <c r="F102" s="63">
        <f>31.976+31.976</f>
        <v>63.951999999999998</v>
      </c>
      <c r="G102" s="63">
        <f>30.5</f>
        <v>30.5</v>
      </c>
      <c r="H102" s="63">
        <v>93.53</v>
      </c>
      <c r="I102" s="63">
        <f t="shared" si="27"/>
        <v>283.90999999999997</v>
      </c>
      <c r="J102" s="93">
        <f>'2019'!K102</f>
        <v>6903.9463999999998</v>
      </c>
      <c r="K102" s="93">
        <f t="shared" si="23"/>
        <v>7180.1042559999996</v>
      </c>
      <c r="L102" s="93">
        <f>'2019'!M102</f>
        <v>1333.3207680000003</v>
      </c>
      <c r="M102" s="93">
        <f t="shared" si="24"/>
        <v>1386.6535987200002</v>
      </c>
      <c r="N102" s="10">
        <f t="shared" si="18"/>
        <v>534378.9756264959</v>
      </c>
      <c r="O102" s="10">
        <f t="shared" si="19"/>
        <v>356252.65041766397</v>
      </c>
      <c r="P102" s="10">
        <f t="shared" si="20"/>
        <v>176700.24504703996</v>
      </c>
      <c r="Q102" s="10">
        <f t="shared" si="21"/>
        <v>541861.43997539836</v>
      </c>
      <c r="R102" s="10">
        <f t="shared" si="22"/>
        <v>1609193.3110665982</v>
      </c>
      <c r="S102" s="10"/>
      <c r="T102" s="11"/>
      <c r="U102" s="10"/>
      <c r="V102" s="10"/>
      <c r="W102" s="42"/>
    </row>
    <row r="103" spans="1:23" ht="27" customHeight="1">
      <c r="A103" s="18" t="s">
        <v>143</v>
      </c>
      <c r="B103" s="15" t="s">
        <v>144</v>
      </c>
      <c r="C103" s="15" t="s">
        <v>149</v>
      </c>
      <c r="D103" s="15"/>
      <c r="E103" s="63">
        <v>164.822</v>
      </c>
      <c r="F103" s="63">
        <f>57.357+60.96-3.603</f>
        <v>114.71400000000001</v>
      </c>
      <c r="G103" s="63">
        <v>63.62</v>
      </c>
      <c r="H103" s="63">
        <v>195.12</v>
      </c>
      <c r="I103" s="63">
        <f t="shared" si="27"/>
        <v>538.27600000000007</v>
      </c>
      <c r="J103" s="93">
        <f>'2019'!K103</f>
        <v>6903.9463999999998</v>
      </c>
      <c r="K103" s="93">
        <f t="shared" si="23"/>
        <v>7180.1042559999996</v>
      </c>
      <c r="L103" s="93">
        <f>'2019'!M103</f>
        <v>1333.3207680000003</v>
      </c>
      <c r="M103" s="93">
        <f t="shared" si="24"/>
        <v>1386.6535987200002</v>
      </c>
      <c r="N103" s="10">
        <f t="shared" si="18"/>
        <v>918161.65791750385</v>
      </c>
      <c r="O103" s="10">
        <f t="shared" si="19"/>
        <v>639028.74874924798</v>
      </c>
      <c r="P103" s="10">
        <f t="shared" si="20"/>
        <v>368579.33081615355</v>
      </c>
      <c r="Q103" s="10">
        <f t="shared" si="21"/>
        <v>1130418.0922484735</v>
      </c>
      <c r="R103" s="10">
        <f t="shared" si="22"/>
        <v>3056187.8297313787</v>
      </c>
      <c r="S103" s="10"/>
      <c r="T103" s="11"/>
      <c r="U103" s="10"/>
      <c r="V103" s="10"/>
      <c r="W103" s="42"/>
    </row>
    <row r="104" spans="1:23" ht="27" customHeight="1">
      <c r="A104" s="18" t="s">
        <v>143</v>
      </c>
      <c r="B104" s="15" t="s">
        <v>144</v>
      </c>
      <c r="C104" s="15" t="s">
        <v>150</v>
      </c>
      <c r="D104" s="15"/>
      <c r="E104" s="63">
        <v>125.622</v>
      </c>
      <c r="F104" s="63">
        <f>41.874+41.874</f>
        <v>83.748000000000005</v>
      </c>
      <c r="G104" s="63">
        <v>39.93</v>
      </c>
      <c r="H104" s="63">
        <v>122.48</v>
      </c>
      <c r="I104" s="63">
        <f t="shared" si="27"/>
        <v>371.78000000000003</v>
      </c>
      <c r="J104" s="93">
        <f>'2019'!K104</f>
        <v>6903.9463999999998</v>
      </c>
      <c r="K104" s="93">
        <f t="shared" si="23"/>
        <v>7180.1042559999996</v>
      </c>
      <c r="L104" s="93">
        <f>'2019'!M104</f>
        <v>1333.3207680000003</v>
      </c>
      <c r="M104" s="93">
        <f t="shared" si="24"/>
        <v>1386.6535987200002</v>
      </c>
      <c r="N104" s="10">
        <f t="shared" si="18"/>
        <v>699793.13314310391</v>
      </c>
      <c r="O104" s="10">
        <f t="shared" si="19"/>
        <v>466528.75542873598</v>
      </c>
      <c r="P104" s="10">
        <f t="shared" si="20"/>
        <v>231332.48474519036</v>
      </c>
      <c r="Q104" s="10">
        <f t="shared" si="21"/>
        <v>709581.83650365437</v>
      </c>
      <c r="R104" s="10">
        <f t="shared" si="22"/>
        <v>2107236.2098206845</v>
      </c>
      <c r="S104" s="16"/>
      <c r="T104" s="16"/>
      <c r="U104" s="16"/>
      <c r="V104" s="16"/>
      <c r="W104" s="42"/>
    </row>
    <row r="105" spans="1:23" s="29" customFormat="1" ht="27" customHeight="1">
      <c r="A105" s="22" t="s">
        <v>420</v>
      </c>
      <c r="B105" s="72" t="s">
        <v>423</v>
      </c>
      <c r="C105" s="72" t="s">
        <v>424</v>
      </c>
      <c r="D105" s="15"/>
      <c r="E105" s="21">
        <v>15.147</v>
      </c>
      <c r="F105" s="21">
        <v>10.098000000000001</v>
      </c>
      <c r="G105" s="21">
        <v>3.8090000000000006</v>
      </c>
      <c r="H105" s="21">
        <v>15.236000000000001</v>
      </c>
      <c r="I105" s="63">
        <f t="shared" si="27"/>
        <v>44.290000000000006</v>
      </c>
      <c r="J105" s="93">
        <f>'2019'!K105</f>
        <v>3866.3738880000001</v>
      </c>
      <c r="K105" s="93">
        <f t="shared" ref="K105:K106" si="28">J105*1.04</f>
        <v>4021.02884352</v>
      </c>
      <c r="L105" s="93">
        <f>'2019'!M105</f>
        <v>1591.3256320000003</v>
      </c>
      <c r="M105" s="93">
        <f t="shared" ref="M105:M106" si="29">L105*1.04</f>
        <v>1654.9786572800003</v>
      </c>
      <c r="N105" s="10">
        <f t="shared" si="18"/>
        <v>34460.155933631999</v>
      </c>
      <c r="O105" s="10">
        <f t="shared" si="19"/>
        <v>22973.437289088</v>
      </c>
      <c r="P105" s="10">
        <f t="shared" si="20"/>
        <v>9012.2851593881605</v>
      </c>
      <c r="Q105" s="10">
        <f t="shared" si="21"/>
        <v>36049.140637552635</v>
      </c>
      <c r="R105" s="10">
        <f t="shared" si="22"/>
        <v>102495.0190196608</v>
      </c>
      <c r="S105" s="16"/>
      <c r="T105" s="16"/>
      <c r="U105" s="16"/>
      <c r="V105" s="16"/>
      <c r="W105" s="42"/>
    </row>
    <row r="106" spans="1:23" s="29" customFormat="1" ht="27" customHeight="1">
      <c r="A106" s="22" t="s">
        <v>421</v>
      </c>
      <c r="B106" s="72" t="s">
        <v>422</v>
      </c>
      <c r="C106" s="72" t="s">
        <v>425</v>
      </c>
      <c r="D106" s="15"/>
      <c r="E106" s="21">
        <v>17.636399999999998</v>
      </c>
      <c r="F106" s="21">
        <v>11.7576</v>
      </c>
      <c r="G106" s="21">
        <v>19.2392</v>
      </c>
      <c r="H106" s="21">
        <v>4.8097999999999992</v>
      </c>
      <c r="I106" s="63">
        <f t="shared" si="27"/>
        <v>53.442999999999998</v>
      </c>
      <c r="J106" s="93">
        <f>'2019'!K106</f>
        <v>3483.4658559999998</v>
      </c>
      <c r="K106" s="93">
        <f t="shared" si="28"/>
        <v>3622.8044902399997</v>
      </c>
      <c r="L106" s="93">
        <f>'2019'!M106</f>
        <v>1591.3256320000003</v>
      </c>
      <c r="M106" s="93">
        <f t="shared" si="29"/>
        <v>1654.9786572800003</v>
      </c>
      <c r="N106" s="10">
        <f t="shared" si="18"/>
        <v>33370.541846553591</v>
      </c>
      <c r="O106" s="10">
        <f t="shared" si="19"/>
        <v>22247.027897702395</v>
      </c>
      <c r="P106" s="10">
        <f t="shared" si="20"/>
        <v>37859.394765484023</v>
      </c>
      <c r="Q106" s="10">
        <f t="shared" si="21"/>
        <v>9464.848691371004</v>
      </c>
      <c r="R106" s="10">
        <f t="shared" si="22"/>
        <v>102941.81320111101</v>
      </c>
      <c r="S106" s="16"/>
      <c r="T106" s="16"/>
      <c r="U106" s="16"/>
      <c r="V106" s="16"/>
      <c r="W106" s="42"/>
    </row>
    <row r="107" spans="1:23" ht="27" customHeight="1">
      <c r="A107" s="18" t="s">
        <v>151</v>
      </c>
      <c r="B107" s="15" t="s">
        <v>152</v>
      </c>
      <c r="C107" s="15" t="s">
        <v>153</v>
      </c>
      <c r="D107" s="15"/>
      <c r="E107" s="63">
        <v>491.12</v>
      </c>
      <c r="F107" s="63">
        <f>157.8+150.89+3.93</f>
        <v>312.62</v>
      </c>
      <c r="G107" s="63">
        <v>136.33000000000001</v>
      </c>
      <c r="H107" s="63">
        <v>473.51</v>
      </c>
      <c r="I107" s="63">
        <f t="shared" si="27"/>
        <v>1413.58</v>
      </c>
      <c r="J107" s="93">
        <f>'2019'!K107</f>
        <v>5743.2752</v>
      </c>
      <c r="K107" s="93">
        <f t="shared" si="23"/>
        <v>5973.0062080000007</v>
      </c>
      <c r="L107" s="93">
        <f>'2019'!M107</f>
        <v>1561.3004160000003</v>
      </c>
      <c r="M107" s="93">
        <f t="shared" si="24"/>
        <v>1623.7524326400003</v>
      </c>
      <c r="N107" s="10">
        <f t="shared" si="18"/>
        <v>2053851.4559180799</v>
      </c>
      <c r="O107" s="10">
        <f t="shared" si="19"/>
        <v>1307368.9569740801</v>
      </c>
      <c r="P107" s="10">
        <f t="shared" si="20"/>
        <v>592933.76719482895</v>
      </c>
      <c r="Q107" s="10">
        <f t="shared" si="21"/>
        <v>2059415.155170714</v>
      </c>
      <c r="R107" s="10">
        <f t="shared" si="22"/>
        <v>6013569.3352577034</v>
      </c>
      <c r="S107" s="10"/>
      <c r="T107" s="11"/>
      <c r="U107" s="10"/>
      <c r="V107" s="10"/>
      <c r="W107" s="42"/>
    </row>
    <row r="108" spans="1:23" ht="27" customHeight="1">
      <c r="A108" s="18" t="s">
        <v>366</v>
      </c>
      <c r="B108" s="15" t="s">
        <v>367</v>
      </c>
      <c r="C108" s="15" t="s">
        <v>153</v>
      </c>
      <c r="D108" s="15"/>
      <c r="E108" s="63">
        <v>4.5119999999999996</v>
      </c>
      <c r="F108" s="63">
        <f>1.504+1.504</f>
        <v>3.008</v>
      </c>
      <c r="G108" s="63">
        <v>1.5</v>
      </c>
      <c r="H108" s="63">
        <v>4.57</v>
      </c>
      <c r="I108" s="63">
        <f t="shared" si="27"/>
        <v>13.59</v>
      </c>
      <c r="J108" s="93">
        <f>'2019'!K108</f>
        <v>2784.34</v>
      </c>
      <c r="K108" s="93">
        <f t="shared" si="23"/>
        <v>2895.7136</v>
      </c>
      <c r="L108" s="93">
        <f>'2019'!M108</f>
        <v>1323.023936</v>
      </c>
      <c r="M108" s="93">
        <f t="shared" si="24"/>
        <v>1375.94489344</v>
      </c>
      <c r="N108" s="10">
        <f t="shared" si="18"/>
        <v>6593.4580807679995</v>
      </c>
      <c r="O108" s="10">
        <f t="shared" si="19"/>
        <v>4395.638720512</v>
      </c>
      <c r="P108" s="10">
        <f t="shared" si="20"/>
        <v>2279.65305984</v>
      </c>
      <c r="Q108" s="10">
        <f t="shared" si="21"/>
        <v>6945.3429889792005</v>
      </c>
      <c r="R108" s="10">
        <f t="shared" si="22"/>
        <v>20214.092850099201</v>
      </c>
      <c r="S108" s="10"/>
      <c r="T108" s="11"/>
      <c r="U108" s="10"/>
      <c r="V108" s="10"/>
      <c r="W108" s="42"/>
    </row>
    <row r="109" spans="1:23" ht="19.5" customHeight="1">
      <c r="A109" s="133" t="s">
        <v>156</v>
      </c>
      <c r="B109" s="133"/>
      <c r="C109" s="133"/>
      <c r="D109" s="133"/>
      <c r="E109" s="64"/>
      <c r="F109" s="64"/>
      <c r="G109" s="65"/>
      <c r="H109" s="65"/>
      <c r="I109" s="63">
        <f t="shared" si="27"/>
        <v>0</v>
      </c>
      <c r="J109" s="85"/>
      <c r="K109" s="85"/>
      <c r="L109" s="85"/>
      <c r="M109" s="85"/>
      <c r="N109" s="10">
        <f t="shared" si="18"/>
        <v>0</v>
      </c>
      <c r="O109" s="10">
        <f t="shared" si="19"/>
        <v>0</v>
      </c>
      <c r="P109" s="10">
        <f t="shared" si="20"/>
        <v>0</v>
      </c>
      <c r="Q109" s="10">
        <f t="shared" si="21"/>
        <v>0</v>
      </c>
      <c r="R109" s="10">
        <f t="shared" si="22"/>
        <v>0</v>
      </c>
      <c r="S109" s="10"/>
      <c r="T109" s="11"/>
      <c r="U109" s="10"/>
      <c r="V109" s="10"/>
      <c r="W109" s="45"/>
    </row>
    <row r="110" spans="1:23" ht="27.75" customHeight="1">
      <c r="A110" s="18" t="s">
        <v>154</v>
      </c>
      <c r="B110" s="15" t="s">
        <v>155</v>
      </c>
      <c r="C110" s="15" t="s">
        <v>157</v>
      </c>
      <c r="D110" s="15"/>
      <c r="E110" s="63">
        <v>422.87200000000001</v>
      </c>
      <c r="F110" s="63">
        <f>126.857+79.768+14.718</f>
        <v>221.34299999999999</v>
      </c>
      <c r="G110" s="63">
        <v>50.143999999999998</v>
      </c>
      <c r="H110" s="63">
        <v>374.87900000000002</v>
      </c>
      <c r="I110" s="63">
        <f t="shared" si="27"/>
        <v>1069.2380000000001</v>
      </c>
      <c r="J110" s="93">
        <f>'2019'!K110</f>
        <v>4032.9186560000003</v>
      </c>
      <c r="K110" s="93">
        <f t="shared" ref="K110:K126" si="30">J110*1.04</f>
        <v>4194.2354022400004</v>
      </c>
      <c r="L110" s="93">
        <f>'2019'!M110</f>
        <v>1919.36041856</v>
      </c>
      <c r="M110" s="93">
        <f t="shared" ref="M110:M126" si="31">L110*1.04</f>
        <v>1996.1348353024</v>
      </c>
      <c r="N110" s="10">
        <f t="shared" si="18"/>
        <v>893764.59898272774</v>
      </c>
      <c r="O110" s="10">
        <f t="shared" si="19"/>
        <v>467821.32094968192</v>
      </c>
      <c r="P110" s="10">
        <f t="shared" si="20"/>
        <v>110221.55482851903</v>
      </c>
      <c r="Q110" s="10">
        <f t="shared" si="21"/>
        <v>824021.74243300071</v>
      </c>
      <c r="R110" s="10">
        <f t="shared" si="22"/>
        <v>2295829.2171939295</v>
      </c>
      <c r="S110" s="16"/>
      <c r="T110" s="11"/>
      <c r="U110" s="16"/>
      <c r="V110" s="16"/>
      <c r="W110" s="42"/>
    </row>
    <row r="111" spans="1:23" ht="27.75" customHeight="1">
      <c r="A111" s="18" t="s">
        <v>154</v>
      </c>
      <c r="B111" s="15" t="s">
        <v>155</v>
      </c>
      <c r="C111" s="15" t="s">
        <v>158</v>
      </c>
      <c r="D111" s="15"/>
      <c r="E111" s="63">
        <v>630.44899999999996</v>
      </c>
      <c r="F111" s="63">
        <f>207.152+141.334</f>
        <v>348.48599999999999</v>
      </c>
      <c r="G111" s="63">
        <v>147.4</v>
      </c>
      <c r="H111" s="63">
        <v>619.48199999999997</v>
      </c>
      <c r="I111" s="63">
        <f t="shared" si="27"/>
        <v>1745.817</v>
      </c>
      <c r="J111" s="93">
        <f>'2019'!K111</f>
        <v>4032.9186560000003</v>
      </c>
      <c r="K111" s="93">
        <f t="shared" si="30"/>
        <v>4194.2354022400004</v>
      </c>
      <c r="L111" s="93">
        <f>'2019'!M111</f>
        <v>1919.36041856</v>
      </c>
      <c r="M111" s="93">
        <f t="shared" si="31"/>
        <v>1996.1348353024</v>
      </c>
      <c r="N111" s="10">
        <f t="shared" si="18"/>
        <v>1332490.6772358106</v>
      </c>
      <c r="O111" s="10">
        <f t="shared" si="19"/>
        <v>736545.45593251591</v>
      </c>
      <c r="P111" s="10">
        <f t="shared" si="20"/>
        <v>324000.02356660232</v>
      </c>
      <c r="Q111" s="10">
        <f t="shared" si="21"/>
        <v>1361683.7354076386</v>
      </c>
      <c r="R111" s="10">
        <f t="shared" si="22"/>
        <v>3754719.8921425678</v>
      </c>
      <c r="S111" s="10"/>
      <c r="T111" s="11"/>
      <c r="U111" s="10"/>
      <c r="V111" s="10"/>
      <c r="W111" s="42"/>
    </row>
    <row r="112" spans="1:23" ht="27.75" customHeight="1">
      <c r="A112" s="18" t="s">
        <v>154</v>
      </c>
      <c r="B112" s="15" t="s">
        <v>155</v>
      </c>
      <c r="C112" s="15" t="s">
        <v>159</v>
      </c>
      <c r="D112" s="15"/>
      <c r="E112" s="63">
        <v>44.151000000000003</v>
      </c>
      <c r="F112" s="63">
        <f>14.717+7.121</f>
        <v>21.838000000000001</v>
      </c>
      <c r="G112" s="63">
        <v>5.23</v>
      </c>
      <c r="H112" s="63">
        <v>44.807000000000002</v>
      </c>
      <c r="I112" s="63">
        <f t="shared" si="27"/>
        <v>116.02600000000001</v>
      </c>
      <c r="J112" s="93">
        <f>'2019'!K112</f>
        <v>4032.9186560000003</v>
      </c>
      <c r="K112" s="93">
        <f t="shared" si="30"/>
        <v>4194.2354022400004</v>
      </c>
      <c r="L112" s="93">
        <f>'2019'!M112</f>
        <v>1919.36041856</v>
      </c>
      <c r="M112" s="93">
        <f t="shared" si="31"/>
        <v>1996.1348353024</v>
      </c>
      <c r="N112" s="10">
        <f t="shared" si="18"/>
        <v>93315.709741213446</v>
      </c>
      <c r="O112" s="10">
        <f t="shared" si="19"/>
        <v>46155.884789214724</v>
      </c>
      <c r="P112" s="10">
        <f t="shared" si="20"/>
        <v>11496.065965083651</v>
      </c>
      <c r="Q112" s="10">
        <f t="shared" si="21"/>
        <v>98490.292102773063</v>
      </c>
      <c r="R112" s="10">
        <f t="shared" si="22"/>
        <v>249457.9525982849</v>
      </c>
      <c r="S112" s="10"/>
      <c r="T112" s="11"/>
      <c r="U112" s="10"/>
      <c r="V112" s="10"/>
      <c r="W112" s="42"/>
    </row>
    <row r="113" spans="1:23" ht="27.75" customHeight="1">
      <c r="A113" s="18" t="s">
        <v>154</v>
      </c>
      <c r="B113" s="15" t="s">
        <v>155</v>
      </c>
      <c r="C113" s="15" t="s">
        <v>392</v>
      </c>
      <c r="D113" s="15"/>
      <c r="E113" s="21">
        <v>134.39759999999998</v>
      </c>
      <c r="F113" s="21">
        <v>89.598399999999998</v>
      </c>
      <c r="G113" s="21">
        <v>32.440800000000003</v>
      </c>
      <c r="H113" s="21">
        <v>129.76320000000001</v>
      </c>
      <c r="I113" s="63">
        <f t="shared" si="27"/>
        <v>386.20000000000005</v>
      </c>
      <c r="J113" s="93">
        <f>'2019'!K113</f>
        <v>6454.6967679999998</v>
      </c>
      <c r="K113" s="93">
        <f t="shared" si="30"/>
        <v>6712.8846387200001</v>
      </c>
      <c r="L113" s="93">
        <f>'2019'!M113</f>
        <v>1919.36041856</v>
      </c>
      <c r="M113" s="93">
        <f t="shared" si="31"/>
        <v>1996.1348353024</v>
      </c>
      <c r="N113" s="10">
        <f t="shared" si="18"/>
        <v>609538.32055749733</v>
      </c>
      <c r="O113" s="10">
        <f t="shared" si="19"/>
        <v>406358.88037166488</v>
      </c>
      <c r="P113" s="10">
        <f t="shared" si="20"/>
        <v>153015.13702270971</v>
      </c>
      <c r="Q113" s="10">
        <f t="shared" si="21"/>
        <v>612060.54809083883</v>
      </c>
      <c r="R113" s="10">
        <f t="shared" si="22"/>
        <v>1780972.8860427109</v>
      </c>
      <c r="S113" s="10"/>
      <c r="T113" s="11"/>
      <c r="U113" s="10"/>
      <c r="V113" s="10"/>
      <c r="W113" s="42"/>
    </row>
    <row r="114" spans="1:23" ht="27.75" customHeight="1">
      <c r="A114" s="18" t="s">
        <v>154</v>
      </c>
      <c r="B114" s="15" t="s">
        <v>155</v>
      </c>
      <c r="C114" s="15" t="s">
        <v>458</v>
      </c>
      <c r="D114" s="15"/>
      <c r="E114" s="21">
        <v>8.2475999999999985</v>
      </c>
      <c r="F114" s="21">
        <v>5.4984000000000002</v>
      </c>
      <c r="G114" s="21">
        <v>1.9908000000000001</v>
      </c>
      <c r="H114" s="21">
        <v>7.9632000000000005</v>
      </c>
      <c r="I114" s="63">
        <f t="shared" si="27"/>
        <v>23.7</v>
      </c>
      <c r="J114" s="93">
        <f>'2019'!K114</f>
        <v>6454.6967679999998</v>
      </c>
      <c r="K114" s="93">
        <f t="shared" si="30"/>
        <v>6712.8846387200001</v>
      </c>
      <c r="L114" s="93">
        <f>'2019'!M114</f>
        <v>1919.36041856</v>
      </c>
      <c r="M114" s="93">
        <f t="shared" si="31"/>
        <v>1996.1348353024</v>
      </c>
      <c r="N114" s="10">
        <f t="shared" si="18"/>
        <v>37405.640075641335</v>
      </c>
      <c r="O114" s="10">
        <f t="shared" si="19"/>
        <v>24937.093383760897</v>
      </c>
      <c r="P114" s="10">
        <f t="shared" si="20"/>
        <v>9390.1055086437591</v>
      </c>
      <c r="Q114" s="10">
        <f t="shared" si="21"/>
        <v>37560.422034575036</v>
      </c>
      <c r="R114" s="10">
        <f t="shared" si="22"/>
        <v>109293.26100262103</v>
      </c>
      <c r="S114" s="10"/>
      <c r="T114" s="11"/>
      <c r="U114" s="10"/>
      <c r="V114" s="10"/>
      <c r="W114" s="42"/>
    </row>
    <row r="115" spans="1:23" ht="27.75" customHeight="1">
      <c r="A115" s="18" t="s">
        <v>154</v>
      </c>
      <c r="B115" s="15" t="s">
        <v>155</v>
      </c>
      <c r="C115" s="15" t="s">
        <v>160</v>
      </c>
      <c r="D115" s="15"/>
      <c r="E115" s="63">
        <v>2651.7310000000002</v>
      </c>
      <c r="F115" s="63">
        <f>850.02+752.448</f>
        <v>1602.4679999999998</v>
      </c>
      <c r="G115" s="63">
        <v>572.58000000000004</v>
      </c>
      <c r="H115" s="63">
        <v>2453.8609999999999</v>
      </c>
      <c r="I115" s="63">
        <f t="shared" si="27"/>
        <v>7280.64</v>
      </c>
      <c r="J115" s="93">
        <f>'2019'!K115</f>
        <v>3916.0193280000003</v>
      </c>
      <c r="K115" s="93">
        <f t="shared" si="30"/>
        <v>4072.6601011200005</v>
      </c>
      <c r="L115" s="93">
        <f>'2019'!M115</f>
        <v>1919.36041856</v>
      </c>
      <c r="M115" s="93">
        <f t="shared" si="31"/>
        <v>1996.1348353024</v>
      </c>
      <c r="N115" s="10">
        <f t="shared" si="18"/>
        <v>5294602.3265882423</v>
      </c>
      <c r="O115" s="10">
        <f t="shared" si="19"/>
        <v>3199582.0092924982</v>
      </c>
      <c r="P115" s="10">
        <f t="shared" si="20"/>
        <v>1188976.8367018418</v>
      </c>
      <c r="Q115" s="10">
        <f t="shared" si="21"/>
        <v>5095504.3653044431</v>
      </c>
      <c r="R115" s="10">
        <f t="shared" si="22"/>
        <v>14778665.537887026</v>
      </c>
      <c r="S115" s="10"/>
      <c r="T115" s="11"/>
      <c r="U115" s="10"/>
      <c r="V115" s="10"/>
      <c r="W115" s="42"/>
    </row>
    <row r="116" spans="1:23" ht="27.75" customHeight="1">
      <c r="A116" s="18" t="s">
        <v>161</v>
      </c>
      <c r="B116" s="15" t="s">
        <v>162</v>
      </c>
      <c r="C116" s="15" t="s">
        <v>163</v>
      </c>
      <c r="D116" s="15"/>
      <c r="E116" s="63">
        <v>13047.43</v>
      </c>
      <c r="F116" s="63">
        <f>3862.167+3516.444+1105.565</f>
        <v>8484.1759999999995</v>
      </c>
      <c r="G116" s="63">
        <v>3157.71</v>
      </c>
      <c r="H116" s="63">
        <v>11341.85</v>
      </c>
      <c r="I116" s="63">
        <f t="shared" si="27"/>
        <v>36031.165999999997</v>
      </c>
      <c r="J116" s="93">
        <f>'2019'!K116</f>
        <v>2580.1671999999999</v>
      </c>
      <c r="K116" s="93">
        <f t="shared" si="30"/>
        <v>2683.3738880000001</v>
      </c>
      <c r="L116" s="93">
        <f>'2019'!M116</f>
        <v>1919.36041856</v>
      </c>
      <c r="M116" s="93">
        <f t="shared" si="31"/>
        <v>1996.1348353024</v>
      </c>
      <c r="N116" s="10">
        <f t="shared" si="18"/>
        <v>8621830.2243636977</v>
      </c>
      <c r="O116" s="10">
        <f t="shared" si="19"/>
        <v>5606401.0357304923</v>
      </c>
      <c r="P116" s="10">
        <f t="shared" si="20"/>
        <v>2170101.6290937387</v>
      </c>
      <c r="Q116" s="10">
        <f t="shared" si="21"/>
        <v>7794562.2498382758</v>
      </c>
      <c r="R116" s="10">
        <f t="shared" si="22"/>
        <v>24192895.139026202</v>
      </c>
      <c r="S116" s="10"/>
      <c r="T116" s="11"/>
      <c r="U116" s="10"/>
      <c r="V116" s="10"/>
      <c r="W116" s="42"/>
    </row>
    <row r="117" spans="1:23" ht="27.75" customHeight="1">
      <c r="A117" s="18" t="s">
        <v>161</v>
      </c>
      <c r="B117" s="15" t="s">
        <v>162</v>
      </c>
      <c r="C117" s="15" t="s">
        <v>157</v>
      </c>
      <c r="D117" s="15"/>
      <c r="E117" s="63">
        <v>12635.251</v>
      </c>
      <c r="F117" s="63">
        <f>3239.019+2998.505+1402.348</f>
        <v>7639.8719999999994</v>
      </c>
      <c r="G117" s="63">
        <v>2339.3679999999999</v>
      </c>
      <c r="H117" s="63">
        <v>10103.151</v>
      </c>
      <c r="I117" s="63">
        <f t="shared" si="27"/>
        <v>32717.642</v>
      </c>
      <c r="J117" s="93">
        <f>'2019'!K117</f>
        <v>2870.3068160000003</v>
      </c>
      <c r="K117" s="93">
        <f t="shared" si="30"/>
        <v>2985.1190886400004</v>
      </c>
      <c r="L117" s="93">
        <f>'2019'!M117</f>
        <v>1919.36041856</v>
      </c>
      <c r="M117" s="93">
        <f t="shared" si="31"/>
        <v>1996.1348353024</v>
      </c>
      <c r="N117" s="10">
        <f t="shared" si="18"/>
        <v>12015446.419200161</v>
      </c>
      <c r="O117" s="10">
        <f t="shared" si="19"/>
        <v>7265108.7553027291</v>
      </c>
      <c r="P117" s="10">
        <f t="shared" si="20"/>
        <v>2313598.1147618755</v>
      </c>
      <c r="Q117" s="10">
        <f t="shared" si="21"/>
        <v>9991857.2480920311</v>
      </c>
      <c r="R117" s="10">
        <f t="shared" si="22"/>
        <v>31586010.537356794</v>
      </c>
      <c r="S117" s="10"/>
      <c r="T117" s="11"/>
      <c r="U117" s="10"/>
      <c r="V117" s="10"/>
      <c r="W117" s="42"/>
    </row>
    <row r="118" spans="1:23" ht="27.75" customHeight="1">
      <c r="A118" s="18" t="s">
        <v>161</v>
      </c>
      <c r="B118" s="15" t="s">
        <v>162</v>
      </c>
      <c r="C118" s="15" t="s">
        <v>164</v>
      </c>
      <c r="D118" s="15"/>
      <c r="E118" s="63">
        <v>503.45100000000002</v>
      </c>
      <c r="F118" s="63">
        <f>167.818+167.818</f>
        <v>335.63600000000002</v>
      </c>
      <c r="G118" s="63">
        <v>221.9</v>
      </c>
      <c r="H118" s="63">
        <v>665.7</v>
      </c>
      <c r="I118" s="63">
        <f t="shared" si="27"/>
        <v>1726.6870000000001</v>
      </c>
      <c r="J118" s="93">
        <f>'2019'!K118</f>
        <v>3659.7496000000001</v>
      </c>
      <c r="K118" s="93">
        <f t="shared" si="30"/>
        <v>3806.139584</v>
      </c>
      <c r="L118" s="93">
        <f>'2019'!M118</f>
        <v>1919.36041856</v>
      </c>
      <c r="M118" s="93">
        <f t="shared" si="31"/>
        <v>1996.1348353024</v>
      </c>
      <c r="N118" s="10">
        <f t="shared" si="18"/>
        <v>876200.67378514959</v>
      </c>
      <c r="O118" s="10">
        <f t="shared" si="19"/>
        <v>584137.26330179593</v>
      </c>
      <c r="P118" s="10">
        <f t="shared" si="20"/>
        <v>401640.05373599747</v>
      </c>
      <c r="Q118" s="10">
        <f t="shared" si="21"/>
        <v>1204920.1612079924</v>
      </c>
      <c r="R118" s="10">
        <f t="shared" si="22"/>
        <v>3066898.1520309355</v>
      </c>
      <c r="S118" s="10"/>
      <c r="T118" s="11"/>
      <c r="U118" s="10"/>
      <c r="V118" s="10"/>
      <c r="W118" s="42"/>
    </row>
    <row r="119" spans="1:23" ht="27.75" customHeight="1">
      <c r="A119" s="18" t="s">
        <v>165</v>
      </c>
      <c r="B119" s="15" t="s">
        <v>166</v>
      </c>
      <c r="C119" s="15" t="s">
        <v>163</v>
      </c>
      <c r="D119" s="15"/>
      <c r="E119" s="63">
        <v>80.738</v>
      </c>
      <c r="F119" s="63">
        <f>26.719+26.409</f>
        <v>53.128</v>
      </c>
      <c r="G119" s="63">
        <v>26.198</v>
      </c>
      <c r="H119" s="63">
        <v>80.150999999999996</v>
      </c>
      <c r="I119" s="63">
        <f t="shared" si="27"/>
        <v>240.21499999999997</v>
      </c>
      <c r="J119" s="93">
        <f>'2019'!K119</f>
        <v>3397.0027519999999</v>
      </c>
      <c r="K119" s="93">
        <f t="shared" si="30"/>
        <v>3532.88286208</v>
      </c>
      <c r="L119" s="93">
        <f>'2019'!M119</f>
        <v>2264.8455232000006</v>
      </c>
      <c r="M119" s="93">
        <f t="shared" si="31"/>
        <v>2355.4393441280008</v>
      </c>
      <c r="N119" s="10">
        <f t="shared" si="18"/>
        <v>91408.110338854342</v>
      </c>
      <c r="O119" s="10">
        <f t="shared" si="19"/>
        <v>60149.249251686364</v>
      </c>
      <c r="P119" s="10">
        <f t="shared" si="20"/>
        <v>30846.665283306476</v>
      </c>
      <c r="Q119" s="10">
        <f t="shared" si="21"/>
        <v>94373.275407370689</v>
      </c>
      <c r="R119" s="10">
        <f t="shared" si="22"/>
        <v>276777.30028121785</v>
      </c>
      <c r="S119" s="10"/>
      <c r="T119" s="11"/>
      <c r="U119" s="10"/>
      <c r="V119" s="10"/>
      <c r="W119" s="42"/>
    </row>
    <row r="120" spans="1:23" ht="27.75" customHeight="1">
      <c r="A120" s="18" t="s">
        <v>22</v>
      </c>
      <c r="B120" s="15" t="s">
        <v>23</v>
      </c>
      <c r="C120" s="15" t="s">
        <v>167</v>
      </c>
      <c r="D120" s="15"/>
      <c r="E120" s="63">
        <f>10571.706-0.958</f>
        <v>10570.748</v>
      </c>
      <c r="F120" s="63">
        <f>3530.082+2319.763-419.122</f>
        <v>5430.722999999999</v>
      </c>
      <c r="G120" s="63">
        <v>1886.11</v>
      </c>
      <c r="H120" s="63">
        <v>9161.09</v>
      </c>
      <c r="I120" s="63">
        <f>SUM(E120:H120)</f>
        <v>27048.670999999998</v>
      </c>
      <c r="J120" s="93">
        <f>'2019'!K120</f>
        <v>5325.9930880000002</v>
      </c>
      <c r="K120" s="93">
        <f t="shared" si="30"/>
        <v>5539.03281152</v>
      </c>
      <c r="L120" s="93">
        <f>'2019'!M120</f>
        <v>1919.36041856</v>
      </c>
      <c r="M120" s="93">
        <f t="shared" si="31"/>
        <v>1996.1348353024</v>
      </c>
      <c r="N120" s="10">
        <f t="shared" si="18"/>
        <v>36010655.477217548</v>
      </c>
      <c r="O120" s="10">
        <f t="shared" si="19"/>
        <v>18500478.390479203</v>
      </c>
      <c r="P120" s="10">
        <f t="shared" si="20"/>
        <v>6682295.301923777</v>
      </c>
      <c r="Q120" s="10">
        <f t="shared" si="21"/>
        <v>32456807.220947295</v>
      </c>
      <c r="R120" s="10">
        <f t="shared" si="22"/>
        <v>93650236.390567809</v>
      </c>
      <c r="S120" s="10"/>
      <c r="T120" s="11"/>
      <c r="U120" s="10"/>
      <c r="V120" s="10"/>
      <c r="W120" s="42"/>
    </row>
    <row r="121" spans="1:23" ht="27.75" customHeight="1">
      <c r="A121" s="18" t="s">
        <v>168</v>
      </c>
      <c r="B121" s="15" t="s">
        <v>169</v>
      </c>
      <c r="C121" s="15" t="s">
        <v>163</v>
      </c>
      <c r="D121" s="15"/>
      <c r="E121" s="63">
        <v>203.26400000000001</v>
      </c>
      <c r="F121" s="63">
        <f>69.152+64.51</f>
        <v>133.66200000000001</v>
      </c>
      <c r="G121" s="63">
        <v>33.290999999999997</v>
      </c>
      <c r="H121" s="63">
        <v>201.07</v>
      </c>
      <c r="I121" s="63">
        <f t="shared" si="27"/>
        <v>571.28700000000003</v>
      </c>
      <c r="J121" s="93">
        <f>'2019'!K121</f>
        <v>5021.8579840000002</v>
      </c>
      <c r="K121" s="93">
        <f t="shared" si="30"/>
        <v>5222.7323033600005</v>
      </c>
      <c r="L121" s="93">
        <f>'2019'!M121</f>
        <v>2264.8455232000006</v>
      </c>
      <c r="M121" s="93">
        <f t="shared" si="31"/>
        <v>2355.4393441280008</v>
      </c>
      <c r="N121" s="10">
        <f t="shared" si="18"/>
        <v>560401.38083205116</v>
      </c>
      <c r="O121" s="10">
        <f t="shared" si="19"/>
        <v>368507.79953544959</v>
      </c>
      <c r="P121" s="10">
        <f t="shared" si="20"/>
        <v>95455.04990579249</v>
      </c>
      <c r="Q121" s="10">
        <f t="shared" si="21"/>
        <v>576526.59531277814</v>
      </c>
      <c r="R121" s="10">
        <f t="shared" si="22"/>
        <v>1600890.8255860712</v>
      </c>
      <c r="S121" s="10"/>
      <c r="T121" s="11"/>
      <c r="U121" s="10"/>
      <c r="V121" s="10"/>
      <c r="W121" s="42"/>
    </row>
    <row r="122" spans="1:23" s="29" customFormat="1" ht="27.75" customHeight="1">
      <c r="A122" s="22" t="s">
        <v>439</v>
      </c>
      <c r="B122" s="72" t="s">
        <v>440</v>
      </c>
      <c r="C122" s="72" t="s">
        <v>163</v>
      </c>
      <c r="D122" s="15"/>
      <c r="E122" s="21">
        <v>36.623399999999997</v>
      </c>
      <c r="F122" s="21">
        <v>24.415600000000005</v>
      </c>
      <c r="G122" s="21">
        <v>9.9882000000000009</v>
      </c>
      <c r="H122" s="21">
        <v>39.952800000000003</v>
      </c>
      <c r="I122" s="63">
        <f t="shared" si="27"/>
        <v>110.98000000000002</v>
      </c>
      <c r="J122" s="93">
        <f>'2019'!K122</f>
        <v>2655.8792000000003</v>
      </c>
      <c r="K122" s="93">
        <f t="shared" si="30"/>
        <v>2762.1143680000005</v>
      </c>
      <c r="L122" s="93">
        <f>'2019'!M122</f>
        <v>2264.8807999999999</v>
      </c>
      <c r="M122" s="93">
        <f t="shared" si="31"/>
        <v>2355.476032</v>
      </c>
      <c r="N122" s="10">
        <f t="shared" si="18"/>
        <v>14319.690802560013</v>
      </c>
      <c r="O122" s="10">
        <f t="shared" si="19"/>
        <v>9546.4605350400125</v>
      </c>
      <c r="P122" s="10">
        <f t="shared" si="20"/>
        <v>4061.5850276352048</v>
      </c>
      <c r="Q122" s="10">
        <f t="shared" si="21"/>
        <v>16246.340110540819</v>
      </c>
      <c r="R122" s="10">
        <f t="shared" si="22"/>
        <v>44174.076475776048</v>
      </c>
      <c r="S122" s="10"/>
      <c r="T122" s="11"/>
      <c r="U122" s="10"/>
      <c r="V122" s="10"/>
      <c r="W122" s="42"/>
    </row>
    <row r="123" spans="1:23" s="29" customFormat="1" ht="27.75" customHeight="1">
      <c r="A123" s="22" t="s">
        <v>441</v>
      </c>
      <c r="B123" s="72" t="s">
        <v>442</v>
      </c>
      <c r="C123" s="72" t="s">
        <v>167</v>
      </c>
      <c r="D123" s="15"/>
      <c r="E123" s="21">
        <v>45.24</v>
      </c>
      <c r="F123" s="21">
        <v>30.160000000000004</v>
      </c>
      <c r="G123" s="21">
        <v>10.920000000000002</v>
      </c>
      <c r="H123" s="21">
        <v>43.68</v>
      </c>
      <c r="I123" s="63">
        <f t="shared" si="27"/>
        <v>130</v>
      </c>
      <c r="J123" s="93">
        <f>'2019'!K123</f>
        <v>1810.0264000000002</v>
      </c>
      <c r="K123" s="93">
        <f t="shared" si="30"/>
        <v>1882.4274560000003</v>
      </c>
      <c r="L123" s="93">
        <f>'2019'!M123</f>
        <v>1810.0264000000002</v>
      </c>
      <c r="M123" s="93">
        <f t="shared" si="31"/>
        <v>1882.4274560000003</v>
      </c>
      <c r="N123" s="10">
        <f t="shared" si="18"/>
        <v>0</v>
      </c>
      <c r="O123" s="10">
        <f t="shared" si="19"/>
        <v>0</v>
      </c>
      <c r="P123" s="10">
        <f t="shared" si="20"/>
        <v>0</v>
      </c>
      <c r="Q123" s="10">
        <f t="shared" si="21"/>
        <v>0</v>
      </c>
      <c r="R123" s="10">
        <f t="shared" si="22"/>
        <v>0</v>
      </c>
      <c r="S123" s="10"/>
      <c r="T123" s="11"/>
      <c r="U123" s="10"/>
      <c r="V123" s="10"/>
      <c r="W123" s="42"/>
    </row>
    <row r="124" spans="1:23" s="29" customFormat="1" ht="27.75" customHeight="1">
      <c r="A124" s="22" t="s">
        <v>443</v>
      </c>
      <c r="B124" s="72" t="s">
        <v>444</v>
      </c>
      <c r="C124" s="72" t="s">
        <v>445</v>
      </c>
      <c r="D124" s="15"/>
      <c r="E124" s="21">
        <v>233.3064</v>
      </c>
      <c r="F124" s="21">
        <v>155.5376</v>
      </c>
      <c r="G124" s="21">
        <v>52.279200000000003</v>
      </c>
      <c r="H124" s="21">
        <v>209.11680000000001</v>
      </c>
      <c r="I124" s="63">
        <f t="shared" si="27"/>
        <v>650.24</v>
      </c>
      <c r="J124" s="93">
        <f>'2019'!K124</f>
        <v>3137.6695999999997</v>
      </c>
      <c r="K124" s="93">
        <f t="shared" si="30"/>
        <v>3263.1763839999999</v>
      </c>
      <c r="L124" s="93">
        <f>'2019'!M124</f>
        <v>2264.8807999999999</v>
      </c>
      <c r="M124" s="93">
        <f t="shared" si="31"/>
        <v>2355.476032</v>
      </c>
      <c r="N124" s="10">
        <f t="shared" si="18"/>
        <v>203627.21288831995</v>
      </c>
      <c r="O124" s="10">
        <f t="shared" si="19"/>
        <v>135751.47525887997</v>
      </c>
      <c r="P124" s="10">
        <f t="shared" si="20"/>
        <v>47453.848242278393</v>
      </c>
      <c r="Q124" s="10">
        <f t="shared" si="21"/>
        <v>189815.39296911357</v>
      </c>
      <c r="R124" s="10">
        <f t="shared" si="22"/>
        <v>576647.92935859191</v>
      </c>
      <c r="S124" s="10"/>
      <c r="T124" s="11"/>
      <c r="U124" s="10"/>
      <c r="V124" s="10"/>
      <c r="W124" s="42"/>
    </row>
    <row r="125" spans="1:23" s="29" customFormat="1" ht="27.75" customHeight="1">
      <c r="A125" s="22" t="s">
        <v>426</v>
      </c>
      <c r="B125" s="22" t="s">
        <v>427</v>
      </c>
      <c r="C125" s="22" t="s">
        <v>164</v>
      </c>
      <c r="D125" s="15"/>
      <c r="E125" s="21">
        <v>155.13959999999997</v>
      </c>
      <c r="F125" s="21">
        <v>103.4264</v>
      </c>
      <c r="G125" s="21">
        <v>45.858800000000002</v>
      </c>
      <c r="H125" s="21">
        <v>183.43520000000001</v>
      </c>
      <c r="I125" s="63">
        <f t="shared" si="27"/>
        <v>487.86</v>
      </c>
      <c r="J125" s="93">
        <f>'2019'!K125</f>
        <v>3039.8800640000004</v>
      </c>
      <c r="K125" s="93">
        <f t="shared" si="30"/>
        <v>3161.4752665600004</v>
      </c>
      <c r="L125" s="93">
        <f>'2019'!M125</f>
        <v>2264.8496</v>
      </c>
      <c r="M125" s="93">
        <f t="shared" si="31"/>
        <v>2355.4435840000001</v>
      </c>
      <c r="N125" s="10">
        <f t="shared" si="18"/>
        <v>120237.91617277444</v>
      </c>
      <c r="O125" s="10">
        <f t="shared" si="19"/>
        <v>80158.610781849638</v>
      </c>
      <c r="P125" s="10">
        <f t="shared" si="20"/>
        <v>36963.645724182541</v>
      </c>
      <c r="Q125" s="10">
        <f t="shared" si="21"/>
        <v>147854.58289673016</v>
      </c>
      <c r="R125" s="10">
        <f t="shared" si="22"/>
        <v>385214.75557553675</v>
      </c>
      <c r="S125" s="10"/>
      <c r="T125" s="11"/>
      <c r="U125" s="10"/>
      <c r="V125" s="10"/>
      <c r="W125" s="42"/>
    </row>
    <row r="126" spans="1:23" ht="21.75" customHeight="1">
      <c r="A126" s="18" t="s">
        <v>292</v>
      </c>
      <c r="B126" s="15" t="s">
        <v>293</v>
      </c>
      <c r="C126" s="15" t="s">
        <v>160</v>
      </c>
      <c r="D126" s="15"/>
      <c r="E126" s="63">
        <v>1200.5719999999999</v>
      </c>
      <c r="F126" s="63">
        <f>387.167-11.549+361.237-5.125+39.424-1.243</f>
        <v>769.91099999999994</v>
      </c>
      <c r="G126" s="63">
        <v>449.762</v>
      </c>
      <c r="H126" s="63">
        <v>1100.971</v>
      </c>
      <c r="I126" s="63">
        <f t="shared" si="27"/>
        <v>3521.2159999999999</v>
      </c>
      <c r="J126" s="93">
        <f>'2019'!K126</f>
        <v>2925.2808</v>
      </c>
      <c r="K126" s="93">
        <f t="shared" si="30"/>
        <v>3042.2920320000003</v>
      </c>
      <c r="L126" s="93">
        <f>'2019'!M126</f>
        <v>1883.1488000000002</v>
      </c>
      <c r="M126" s="93">
        <f t="shared" si="31"/>
        <v>1958.4747520000003</v>
      </c>
      <c r="N126" s="10">
        <f t="shared" si="18"/>
        <v>1251154.4995039997</v>
      </c>
      <c r="O126" s="10">
        <f t="shared" si="19"/>
        <v>802348.89025199984</v>
      </c>
      <c r="P126" s="10">
        <f t="shared" si="20"/>
        <v>487459.82748735999</v>
      </c>
      <c r="Q126" s="10">
        <f t="shared" si="21"/>
        <v>1193251.3945788799</v>
      </c>
      <c r="R126" s="10">
        <f t="shared" si="22"/>
        <v>3734214.6118222391</v>
      </c>
      <c r="S126" s="10"/>
      <c r="T126" s="11"/>
      <c r="U126" s="10"/>
      <c r="V126" s="10"/>
      <c r="W126" s="42"/>
    </row>
    <row r="127" spans="1:23" ht="24" customHeight="1">
      <c r="A127" s="133" t="s">
        <v>172</v>
      </c>
      <c r="B127" s="133"/>
      <c r="C127" s="133"/>
      <c r="D127" s="133"/>
      <c r="E127" s="64"/>
      <c r="F127" s="64"/>
      <c r="G127" s="65"/>
      <c r="H127" s="65"/>
      <c r="I127" s="63"/>
      <c r="J127" s="85"/>
      <c r="K127" s="85"/>
      <c r="L127" s="85"/>
      <c r="M127" s="85"/>
      <c r="N127" s="10">
        <f t="shared" si="18"/>
        <v>0</v>
      </c>
      <c r="O127" s="10">
        <f t="shared" si="19"/>
        <v>0</v>
      </c>
      <c r="P127" s="10">
        <f t="shared" si="20"/>
        <v>0</v>
      </c>
      <c r="Q127" s="10">
        <f t="shared" si="21"/>
        <v>0</v>
      </c>
      <c r="R127" s="10">
        <f t="shared" si="22"/>
        <v>0</v>
      </c>
      <c r="S127" s="16"/>
      <c r="T127" s="16"/>
      <c r="U127" s="16"/>
      <c r="V127" s="16"/>
      <c r="W127" s="45"/>
    </row>
    <row r="128" spans="1:23" ht="24" customHeight="1">
      <c r="A128" s="18" t="s">
        <v>170</v>
      </c>
      <c r="B128" s="15" t="s">
        <v>171</v>
      </c>
      <c r="C128" s="15" t="s">
        <v>173</v>
      </c>
      <c r="D128" s="15"/>
      <c r="E128" s="63">
        <v>1528.4880000000001</v>
      </c>
      <c r="F128" s="63">
        <f>442.814+435.723+64.907</f>
        <v>943.44400000000007</v>
      </c>
      <c r="G128" s="63">
        <v>268.69</v>
      </c>
      <c r="H128" s="63">
        <v>1418.328</v>
      </c>
      <c r="I128" s="63">
        <f t="shared" si="27"/>
        <v>4158.9500000000007</v>
      </c>
      <c r="J128" s="93">
        <f>'2019'!K128</f>
        <v>4904.3488000000007</v>
      </c>
      <c r="K128" s="93">
        <f t="shared" si="23"/>
        <v>5100.5227520000008</v>
      </c>
      <c r="L128" s="93">
        <f>'2019'!M128</f>
        <v>2142.1088000000004</v>
      </c>
      <c r="M128" s="93">
        <f t="shared" si="24"/>
        <v>2227.7931520000006</v>
      </c>
      <c r="N128" s="10">
        <f t="shared" si="18"/>
        <v>4222050.6931200009</v>
      </c>
      <c r="O128" s="10">
        <f t="shared" si="19"/>
        <v>2606018.7545600003</v>
      </c>
      <c r="P128" s="10">
        <f t="shared" si="20"/>
        <v>771873.71622399997</v>
      </c>
      <c r="Q128" s="10">
        <f t="shared" si="21"/>
        <v>4074472.8281088001</v>
      </c>
      <c r="R128" s="10">
        <f t="shared" si="22"/>
        <v>11674415.992012801</v>
      </c>
      <c r="S128" s="10"/>
      <c r="T128" s="11"/>
      <c r="U128" s="10"/>
      <c r="V128" s="10"/>
      <c r="W128" s="42"/>
    </row>
    <row r="129" spans="1:23" ht="24" customHeight="1">
      <c r="A129" s="18" t="s">
        <v>174</v>
      </c>
      <c r="B129" s="15" t="s">
        <v>175</v>
      </c>
      <c r="C129" s="15" t="s">
        <v>176</v>
      </c>
      <c r="D129" s="15"/>
      <c r="E129" s="63">
        <v>6896.8590000000004</v>
      </c>
      <c r="F129" s="63">
        <f>2026.567+1724.714+937.659</f>
        <v>4688.9399999999996</v>
      </c>
      <c r="G129" s="63">
        <v>1198.393</v>
      </c>
      <c r="H129" s="63">
        <v>6198.3180000000002</v>
      </c>
      <c r="I129" s="63">
        <f t="shared" si="27"/>
        <v>18982.509999999998</v>
      </c>
      <c r="J129" s="93">
        <f>'2019'!K129</f>
        <v>2562.1336000000001</v>
      </c>
      <c r="K129" s="93">
        <f t="shared" si="23"/>
        <v>2664.6189440000003</v>
      </c>
      <c r="L129" s="93">
        <f>'2019'!M129</f>
        <v>1781.1031680000001</v>
      </c>
      <c r="M129" s="93">
        <f t="shared" si="24"/>
        <v>1852.3472947200003</v>
      </c>
      <c r="N129" s="10">
        <f t="shared" si="18"/>
        <v>5386656.764213088</v>
      </c>
      <c r="O129" s="10">
        <f t="shared" si="19"/>
        <v>3662204.8338220799</v>
      </c>
      <c r="P129" s="10">
        <f t="shared" si="20"/>
        <v>973420.65859560703</v>
      </c>
      <c r="Q129" s="10">
        <f t="shared" si="21"/>
        <v>5034717.9846219113</v>
      </c>
      <c r="R129" s="10">
        <f t="shared" si="22"/>
        <v>15057000.241252687</v>
      </c>
      <c r="S129" s="10"/>
      <c r="T129" s="11"/>
      <c r="U129" s="10"/>
      <c r="V129" s="10"/>
      <c r="W129" s="42"/>
    </row>
    <row r="130" spans="1:23" ht="24" customHeight="1">
      <c r="A130" s="18" t="s">
        <v>174</v>
      </c>
      <c r="B130" s="15" t="s">
        <v>175</v>
      </c>
      <c r="C130" s="15" t="s">
        <v>177</v>
      </c>
      <c r="D130" s="15"/>
      <c r="E130" s="63">
        <v>3954.1550000000002</v>
      </c>
      <c r="F130" s="63">
        <f>1100.934+931.684+492.764</f>
        <v>2525.3820000000001</v>
      </c>
      <c r="G130" s="63">
        <v>705.19</v>
      </c>
      <c r="H130" s="63">
        <v>3377.828</v>
      </c>
      <c r="I130" s="63">
        <f t="shared" si="27"/>
        <v>10562.555</v>
      </c>
      <c r="J130" s="93">
        <f>'2019'!K130</f>
        <v>3104.2544000000003</v>
      </c>
      <c r="K130" s="93">
        <f t="shared" si="23"/>
        <v>3228.4245760000003</v>
      </c>
      <c r="L130" s="93">
        <f>'2019'!M130</f>
        <v>1781.1031680000001</v>
      </c>
      <c r="M130" s="93">
        <f t="shared" si="24"/>
        <v>1852.3472947200003</v>
      </c>
      <c r="N130" s="10">
        <f t="shared" si="18"/>
        <v>5231945.0597689608</v>
      </c>
      <c r="O130" s="10">
        <f t="shared" si="19"/>
        <v>3341462.3045706246</v>
      </c>
      <c r="P130" s="10">
        <f t="shared" si="20"/>
        <v>970395.93798584328</v>
      </c>
      <c r="Q130" s="10">
        <f t="shared" si="21"/>
        <v>4648152.3708714601</v>
      </c>
      <c r="R130" s="10">
        <f t="shared" si="22"/>
        <v>14191955.673196889</v>
      </c>
      <c r="S130" s="10"/>
      <c r="T130" s="11"/>
      <c r="U130" s="10"/>
      <c r="V130" s="10"/>
      <c r="W130" s="42"/>
    </row>
    <row r="131" spans="1:23" ht="24" customHeight="1">
      <c r="A131" s="18" t="s">
        <v>178</v>
      </c>
      <c r="B131" s="15" t="s">
        <v>179</v>
      </c>
      <c r="C131" s="15" t="s">
        <v>180</v>
      </c>
      <c r="D131" s="15"/>
      <c r="E131" s="63">
        <v>1814.2619999999999</v>
      </c>
      <c r="F131" s="63">
        <f>523.588+627.012+111.116</f>
        <v>1261.7159999999999</v>
      </c>
      <c r="G131" s="63">
        <v>286.56299999999999</v>
      </c>
      <c r="H131" s="63">
        <v>1721.5029999999999</v>
      </c>
      <c r="I131" s="63">
        <f t="shared" si="27"/>
        <v>5084.0439999999999</v>
      </c>
      <c r="J131" s="93">
        <f>'2019'!K131</f>
        <v>4037.8208</v>
      </c>
      <c r="K131" s="93">
        <f t="shared" si="23"/>
        <v>4199.3336319999999</v>
      </c>
      <c r="L131" s="93">
        <f>'2019'!M131</f>
        <v>2142.1088000000004</v>
      </c>
      <c r="M131" s="93">
        <f t="shared" si="24"/>
        <v>2227.7931520000006</v>
      </c>
      <c r="N131" s="10">
        <f t="shared" si="18"/>
        <v>3439318.244543999</v>
      </c>
      <c r="O131" s="10">
        <f t="shared" si="19"/>
        <v>2391850.1617919994</v>
      </c>
      <c r="P131" s="10">
        <f t="shared" si="20"/>
        <v>564970.55457023974</v>
      </c>
      <c r="Q131" s="10">
        <f t="shared" si="21"/>
        <v>3394012.8509414387</v>
      </c>
      <c r="R131" s="10">
        <f t="shared" si="22"/>
        <v>9790151.8118476775</v>
      </c>
      <c r="S131" s="16"/>
      <c r="T131" s="16"/>
      <c r="U131" s="16"/>
      <c r="V131" s="16"/>
      <c r="W131" s="42"/>
    </row>
    <row r="132" spans="1:23" ht="24" customHeight="1">
      <c r="A132" s="18" t="s">
        <v>181</v>
      </c>
      <c r="B132" s="15" t="s">
        <v>182</v>
      </c>
      <c r="C132" s="15" t="s">
        <v>183</v>
      </c>
      <c r="D132" s="15"/>
      <c r="E132" s="63">
        <v>724.77499999999998</v>
      </c>
      <c r="F132" s="63">
        <f>232.091+212.879+12.228</f>
        <v>457.19800000000004</v>
      </c>
      <c r="G132" s="63">
        <v>151.084</v>
      </c>
      <c r="H132" s="63">
        <v>659.10400000000004</v>
      </c>
      <c r="I132" s="63">
        <f t="shared" si="27"/>
        <v>1992.1610000000001</v>
      </c>
      <c r="J132" s="93">
        <f>'2019'!K132</f>
        <v>4952.3447999999999</v>
      </c>
      <c r="K132" s="93">
        <f t="shared" si="23"/>
        <v>5150.4385920000004</v>
      </c>
      <c r="L132" s="93">
        <f>'2019'!M132</f>
        <v>2142.1088000000004</v>
      </c>
      <c r="M132" s="93">
        <f t="shared" si="24"/>
        <v>2227.7931520000006</v>
      </c>
      <c r="N132" s="10">
        <f t="shared" si="18"/>
        <v>2036788.7968999995</v>
      </c>
      <c r="O132" s="10">
        <f t="shared" si="19"/>
        <v>1284834.2787279999</v>
      </c>
      <c r="P132" s="10">
        <f t="shared" si="20"/>
        <v>441564.96365696</v>
      </c>
      <c r="Q132" s="10">
        <f t="shared" si="21"/>
        <v>1926327.30008576</v>
      </c>
      <c r="R132" s="10">
        <f t="shared" si="22"/>
        <v>5689515.3393707192</v>
      </c>
      <c r="S132" s="10"/>
      <c r="T132" s="11"/>
      <c r="U132" s="10"/>
      <c r="V132" s="10"/>
      <c r="W132" s="42"/>
    </row>
    <row r="133" spans="1:23" ht="24" customHeight="1">
      <c r="A133" s="18" t="s">
        <v>184</v>
      </c>
      <c r="B133" s="15" t="s">
        <v>185</v>
      </c>
      <c r="C133" s="15" t="s">
        <v>186</v>
      </c>
      <c r="D133" s="15" t="s">
        <v>187</v>
      </c>
      <c r="E133" s="63">
        <v>889.71799999999996</v>
      </c>
      <c r="F133" s="63">
        <f>292.889+292.889</f>
        <v>585.77800000000002</v>
      </c>
      <c r="G133" s="63">
        <v>423.29599999999999</v>
      </c>
      <c r="H133" s="63">
        <v>881.88</v>
      </c>
      <c r="I133" s="63">
        <f t="shared" si="27"/>
        <v>2780.672</v>
      </c>
      <c r="J133" s="93">
        <f>'2019'!K133</f>
        <v>5319.8288000000002</v>
      </c>
      <c r="K133" s="93">
        <f t="shared" si="23"/>
        <v>5532.6219520000004</v>
      </c>
      <c r="L133" s="93">
        <f>'2019'!M133</f>
        <v>2142.1088000000004</v>
      </c>
      <c r="M133" s="93">
        <f t="shared" si="24"/>
        <v>2227.7931520000006</v>
      </c>
      <c r="N133" s="10">
        <f t="shared" si="18"/>
        <v>2827274.6829599999</v>
      </c>
      <c r="O133" s="10">
        <f t="shared" si="19"/>
        <v>1861438.4661599998</v>
      </c>
      <c r="P133" s="10">
        <f t="shared" si="20"/>
        <v>1398920.8117247999</v>
      </c>
      <c r="Q133" s="10">
        <f t="shared" si="21"/>
        <v>2914462.422144</v>
      </c>
      <c r="R133" s="10">
        <f t="shared" si="22"/>
        <v>9002096.3829887994</v>
      </c>
      <c r="S133" s="10"/>
      <c r="T133" s="11"/>
      <c r="U133" s="10"/>
      <c r="V133" s="10"/>
      <c r="W133" s="42"/>
    </row>
    <row r="134" spans="1:23" ht="24" customHeight="1">
      <c r="A134" s="18" t="s">
        <v>184</v>
      </c>
      <c r="B134" s="15" t="s">
        <v>185</v>
      </c>
      <c r="C134" s="15" t="s">
        <v>186</v>
      </c>
      <c r="D134" s="15" t="s">
        <v>188</v>
      </c>
      <c r="E134" s="63">
        <v>1198.2809999999999</v>
      </c>
      <c r="F134" s="63">
        <f>399.667+399.667</f>
        <v>799.33399999999995</v>
      </c>
      <c r="G134" s="63">
        <v>592.41200000000003</v>
      </c>
      <c r="H134" s="63">
        <v>1198.2809999999999</v>
      </c>
      <c r="I134" s="63">
        <f t="shared" si="27"/>
        <v>3788.308</v>
      </c>
      <c r="J134" s="93">
        <f>'2019'!K134</f>
        <v>3950.2424000000001</v>
      </c>
      <c r="K134" s="93">
        <f t="shared" si="23"/>
        <v>4108.2520960000002</v>
      </c>
      <c r="L134" s="93">
        <f>'2019'!M134</f>
        <v>1643.804864</v>
      </c>
      <c r="M134" s="93">
        <f t="shared" si="24"/>
        <v>1709.5570585600001</v>
      </c>
      <c r="N134" s="10">
        <f t="shared" si="18"/>
        <v>2763760.2770756162</v>
      </c>
      <c r="O134" s="10">
        <f t="shared" si="19"/>
        <v>1843613.9414010241</v>
      </c>
      <c r="P134" s="10">
        <f t="shared" si="20"/>
        <v>1421015.7245199056</v>
      </c>
      <c r="Q134" s="10">
        <f t="shared" si="21"/>
        <v>2874310.6881586411</v>
      </c>
      <c r="R134" s="10">
        <f t="shared" si="22"/>
        <v>8902700.6311551873</v>
      </c>
      <c r="S134" s="10"/>
      <c r="T134" s="11"/>
      <c r="U134" s="10"/>
      <c r="V134" s="10"/>
      <c r="W134" s="42"/>
    </row>
    <row r="135" spans="1:23" ht="24" customHeight="1">
      <c r="A135" s="18" t="s">
        <v>184</v>
      </c>
      <c r="B135" s="15" t="s">
        <v>185</v>
      </c>
      <c r="C135" s="15" t="s">
        <v>186</v>
      </c>
      <c r="D135" s="15" t="s">
        <v>189</v>
      </c>
      <c r="E135" s="63">
        <v>374.33100000000002</v>
      </c>
      <c r="F135" s="63">
        <f>124.777+124.777</f>
        <v>249.554</v>
      </c>
      <c r="G135" s="63">
        <v>185.15700000000001</v>
      </c>
      <c r="H135" s="63">
        <v>374.33100000000002</v>
      </c>
      <c r="I135" s="63">
        <f t="shared" si="27"/>
        <v>1183.373</v>
      </c>
      <c r="J135" s="93">
        <f>'2019'!K135</f>
        <v>6256.3072000000002</v>
      </c>
      <c r="K135" s="93">
        <f t="shared" si="23"/>
        <v>6506.5594880000008</v>
      </c>
      <c r="L135" s="93">
        <f>'2019'!M135</f>
        <v>2142.1088000000004</v>
      </c>
      <c r="M135" s="93">
        <f t="shared" si="24"/>
        <v>2227.7931520000006</v>
      </c>
      <c r="N135" s="10">
        <f t="shared" si="18"/>
        <v>1540072.0012703999</v>
      </c>
      <c r="O135" s="10">
        <f t="shared" si="19"/>
        <v>1026714.6675135999</v>
      </c>
      <c r="P135" s="10">
        <f t="shared" si="20"/>
        <v>792243.5384747521</v>
      </c>
      <c r="Q135" s="10">
        <f t="shared" si="21"/>
        <v>1601674.8813212162</v>
      </c>
      <c r="R135" s="10">
        <f t="shared" si="22"/>
        <v>4960705.0885799685</v>
      </c>
      <c r="S135" s="10"/>
      <c r="T135" s="11"/>
      <c r="U135" s="10"/>
      <c r="V135" s="10"/>
      <c r="W135" s="42"/>
    </row>
    <row r="136" spans="1:23" ht="24" customHeight="1">
      <c r="A136" s="18" t="s">
        <v>190</v>
      </c>
      <c r="B136" s="15" t="s">
        <v>191</v>
      </c>
      <c r="C136" s="15" t="s">
        <v>176</v>
      </c>
      <c r="D136" s="15"/>
      <c r="E136" s="63">
        <v>409.28399999999999</v>
      </c>
      <c r="F136" s="63">
        <f>136.428+136.428</f>
        <v>272.85599999999999</v>
      </c>
      <c r="G136" s="63">
        <v>136.41900000000001</v>
      </c>
      <c r="H136" s="63">
        <v>409.29</v>
      </c>
      <c r="I136" s="63">
        <f t="shared" si="27"/>
        <v>1227.8489999999999</v>
      </c>
      <c r="J136" s="93">
        <f>'2019'!K136</f>
        <v>6161.282400000001</v>
      </c>
      <c r="K136" s="93">
        <f t="shared" si="23"/>
        <v>6407.7336960000011</v>
      </c>
      <c r="L136" s="93">
        <f>'2019'!M136</f>
        <v>2142.1088000000004</v>
      </c>
      <c r="M136" s="93">
        <f t="shared" si="24"/>
        <v>2227.7931520000006</v>
      </c>
      <c r="N136" s="10">
        <f t="shared" si="18"/>
        <v>1644983.4477024002</v>
      </c>
      <c r="O136" s="10">
        <f t="shared" si="19"/>
        <v>1096655.6318016001</v>
      </c>
      <c r="P136" s="10">
        <f t="shared" si="20"/>
        <v>570223.30907193618</v>
      </c>
      <c r="Q136" s="10">
        <f t="shared" si="21"/>
        <v>1710807.8652537605</v>
      </c>
      <c r="R136" s="10">
        <f t="shared" si="22"/>
        <v>5022670.2538296971</v>
      </c>
      <c r="S136" s="10"/>
      <c r="T136" s="11"/>
      <c r="U136" s="10"/>
      <c r="V136" s="10"/>
      <c r="W136" s="42"/>
    </row>
    <row r="137" spans="1:23" ht="24" customHeight="1">
      <c r="A137" s="18" t="s">
        <v>190</v>
      </c>
      <c r="B137" s="15" t="s">
        <v>191</v>
      </c>
      <c r="C137" s="15" t="s">
        <v>173</v>
      </c>
      <c r="D137" s="15"/>
      <c r="E137" s="63">
        <v>232.62100000000001</v>
      </c>
      <c r="F137" s="63">
        <f>58.424+60.029+15.234</f>
        <v>133.68700000000001</v>
      </c>
      <c r="G137" s="63">
        <v>20.219000000000001</v>
      </c>
      <c r="H137" s="63">
        <v>199.77600000000001</v>
      </c>
      <c r="I137" s="63">
        <f t="shared" si="27"/>
        <v>586.303</v>
      </c>
      <c r="J137" s="93">
        <f>'2019'!K137</f>
        <v>7660.9936000000007</v>
      </c>
      <c r="K137" s="93">
        <f t="shared" si="23"/>
        <v>7967.4333440000009</v>
      </c>
      <c r="L137" s="93">
        <f>'2019'!M137</f>
        <v>2142.1088000000004</v>
      </c>
      <c r="M137" s="93">
        <f t="shared" si="24"/>
        <v>2227.7931520000006</v>
      </c>
      <c r="N137" s="10">
        <f t="shared" si="18"/>
        <v>1283808.5010607999</v>
      </c>
      <c r="O137" s="10">
        <f t="shared" si="19"/>
        <v>737803.15225759998</v>
      </c>
      <c r="P137" s="10">
        <f t="shared" si="20"/>
        <v>116049.78504204802</v>
      </c>
      <c r="Q137" s="10">
        <f t="shared" si="21"/>
        <v>1146642.3589969922</v>
      </c>
      <c r="R137" s="10">
        <f t="shared" si="22"/>
        <v>3284303.79735744</v>
      </c>
      <c r="S137" s="10"/>
      <c r="T137" s="11"/>
      <c r="U137" s="10"/>
      <c r="V137" s="10"/>
      <c r="W137" s="42"/>
    </row>
    <row r="138" spans="1:23" ht="24" customHeight="1">
      <c r="A138" s="18" t="s">
        <v>192</v>
      </c>
      <c r="B138" s="15" t="s">
        <v>193</v>
      </c>
      <c r="C138" s="15" t="s">
        <v>183</v>
      </c>
      <c r="D138" s="15"/>
      <c r="E138" s="63">
        <v>82.83</v>
      </c>
      <c r="F138" s="63">
        <f>21.103+19.421+5.505</f>
        <v>46.029000000000003</v>
      </c>
      <c r="G138" s="63">
        <v>14.997999999999999</v>
      </c>
      <c r="H138" s="63">
        <v>74.320999999999998</v>
      </c>
      <c r="I138" s="63">
        <f t="shared" si="27"/>
        <v>218.178</v>
      </c>
      <c r="J138" s="93">
        <f>'2019'!K138</f>
        <v>3143.8784000000001</v>
      </c>
      <c r="K138" s="93">
        <f t="shared" si="23"/>
        <v>3269.6335360000003</v>
      </c>
      <c r="L138" s="93">
        <f>'2019'!M138</f>
        <v>1781.0935999999999</v>
      </c>
      <c r="M138" s="93">
        <f t="shared" si="24"/>
        <v>1852.337344</v>
      </c>
      <c r="N138" s="10">
        <f t="shared" ref="N138:N201" si="32">(J138-L138)*E138</f>
        <v>112879.46498400001</v>
      </c>
      <c r="O138" s="10">
        <f t="shared" ref="O138:O201" si="33">(J138-L138)*F138</f>
        <v>62727.621559200008</v>
      </c>
      <c r="P138" s="10">
        <f t="shared" ref="P138:P201" si="34">(K138-M138)*G138</f>
        <v>21256.608287616004</v>
      </c>
      <c r="Q138" s="10">
        <f t="shared" ref="Q138:Q201" si="35">(K138-M138)*H138</f>
        <v>105334.87028563202</v>
      </c>
      <c r="R138" s="10">
        <f t="shared" ref="R138:R201" si="36">SUM(N138:Q138)</f>
        <v>302198.56511644804</v>
      </c>
      <c r="S138" s="10"/>
      <c r="T138" s="11"/>
      <c r="U138" s="10"/>
      <c r="V138" s="10"/>
      <c r="W138" s="42"/>
    </row>
    <row r="139" spans="1:23" ht="24" customHeight="1">
      <c r="A139" s="18" t="s">
        <v>194</v>
      </c>
      <c r="B139" s="15" t="s">
        <v>195</v>
      </c>
      <c r="C139" s="15" t="s">
        <v>196</v>
      </c>
      <c r="D139" s="15"/>
      <c r="E139" s="63">
        <v>2230.511</v>
      </c>
      <c r="F139" s="63">
        <f>651.109+528.791+256.616</f>
        <v>1436.5160000000001</v>
      </c>
      <c r="G139" s="63">
        <v>467.988</v>
      </c>
      <c r="H139" s="63">
        <v>1905.4880000000001</v>
      </c>
      <c r="I139" s="63">
        <f t="shared" si="27"/>
        <v>6040.5030000000006</v>
      </c>
      <c r="J139" s="93">
        <f>'2019'!K139</f>
        <v>3889.6415999999999</v>
      </c>
      <c r="K139" s="93">
        <f t="shared" si="23"/>
        <v>4045.2272640000001</v>
      </c>
      <c r="L139" s="93">
        <f>'2019'!M139</f>
        <v>2142.1088000000004</v>
      </c>
      <c r="M139" s="93">
        <f t="shared" si="24"/>
        <v>2227.7931520000006</v>
      </c>
      <c r="N139" s="10">
        <f t="shared" si="32"/>
        <v>3897891.1332607986</v>
      </c>
      <c r="O139" s="10">
        <f t="shared" si="33"/>
        <v>2510358.8277247995</v>
      </c>
      <c r="P139" s="10">
        <f t="shared" si="34"/>
        <v>850537.3552066558</v>
      </c>
      <c r="Q139" s="10">
        <f t="shared" si="35"/>
        <v>3463098.8912066552</v>
      </c>
      <c r="R139" s="10">
        <f t="shared" si="36"/>
        <v>10721886.20739891</v>
      </c>
      <c r="S139" s="10"/>
      <c r="T139" s="11"/>
      <c r="U139" s="10"/>
      <c r="V139" s="10"/>
      <c r="W139" s="42"/>
    </row>
    <row r="140" spans="1:23" ht="24" customHeight="1">
      <c r="A140" s="18" t="s">
        <v>197</v>
      </c>
      <c r="B140" s="15" t="s">
        <v>198</v>
      </c>
      <c r="C140" s="15" t="s">
        <v>183</v>
      </c>
      <c r="D140" s="15"/>
      <c r="E140" s="63">
        <v>9017.4869999999992</v>
      </c>
      <c r="F140" s="63">
        <f>2854.796+3173.965+7.804+760.653+0.13</f>
        <v>6797.3480000000009</v>
      </c>
      <c r="G140" s="63">
        <v>1909.126</v>
      </c>
      <c r="H140" s="63">
        <f>10832.528-G140</f>
        <v>8923.402</v>
      </c>
      <c r="I140" s="63">
        <f t="shared" si="27"/>
        <v>26647.362999999998</v>
      </c>
      <c r="J140" s="93">
        <f>'2019'!K140</f>
        <v>4371.9727999999996</v>
      </c>
      <c r="K140" s="93">
        <f t="shared" si="23"/>
        <v>4546.8517119999997</v>
      </c>
      <c r="L140" s="93">
        <f>'2019'!M140</f>
        <v>1815.3466240000002</v>
      </c>
      <c r="M140" s="93">
        <f t="shared" si="24"/>
        <v>1887.9604889600002</v>
      </c>
      <c r="N140" s="10">
        <f t="shared" si="32"/>
        <v>23054343.305939704</v>
      </c>
      <c r="O140" s="10">
        <f t="shared" si="33"/>
        <v>17378277.824181244</v>
      </c>
      <c r="P140" s="10">
        <f t="shared" si="34"/>
        <v>5076158.3650774611</v>
      </c>
      <c r="Q140" s="10">
        <f t="shared" si="35"/>
        <v>23726355.257457577</v>
      </c>
      <c r="R140" s="10">
        <f t="shared" si="36"/>
        <v>69235134.752655983</v>
      </c>
      <c r="S140" s="10"/>
      <c r="T140" s="11"/>
      <c r="U140" s="10"/>
      <c r="V140" s="10"/>
      <c r="W140" s="42"/>
    </row>
    <row r="141" spans="1:23" ht="24" customHeight="1">
      <c r="A141" s="18" t="s">
        <v>197</v>
      </c>
      <c r="B141" s="15" t="s">
        <v>198</v>
      </c>
      <c r="C141" s="15" t="s">
        <v>173</v>
      </c>
      <c r="D141" s="15"/>
      <c r="E141" s="63">
        <v>2002.8969999999999</v>
      </c>
      <c r="F141" s="63">
        <f>542.722+577.281+92.126</f>
        <v>1212.1289999999999</v>
      </c>
      <c r="G141" s="63">
        <f>240.493</f>
        <v>240.49299999999999</v>
      </c>
      <c r="H141" s="63">
        <f>1926.515-G141</f>
        <v>1686.0220000000002</v>
      </c>
      <c r="I141" s="63">
        <f t="shared" si="27"/>
        <v>5141.5410000000002</v>
      </c>
      <c r="J141" s="93">
        <f>'2019'!K141</f>
        <v>5017.7046399999999</v>
      </c>
      <c r="K141" s="93">
        <f t="shared" si="23"/>
        <v>5218.4128256000004</v>
      </c>
      <c r="L141" s="93">
        <f>'2019'!M141</f>
        <v>1815.3466240000002</v>
      </c>
      <c r="M141" s="93">
        <f t="shared" si="24"/>
        <v>1887.9604889600002</v>
      </c>
      <c r="N141" s="10">
        <f t="shared" si="32"/>
        <v>6413993.2631723508</v>
      </c>
      <c r="O141" s="10">
        <f t="shared" si="33"/>
        <v>3881671.0195760634</v>
      </c>
      <c r="P141" s="10">
        <f t="shared" si="34"/>
        <v>800950.47379556345</v>
      </c>
      <c r="Q141" s="10">
        <f t="shared" si="35"/>
        <v>5615215.9095264468</v>
      </c>
      <c r="R141" s="10">
        <f t="shared" si="36"/>
        <v>16711830.666070424</v>
      </c>
      <c r="S141" s="16"/>
      <c r="T141" s="16"/>
      <c r="U141" s="16"/>
      <c r="V141" s="16"/>
      <c r="W141" s="42"/>
    </row>
    <row r="142" spans="1:23" ht="24" customHeight="1">
      <c r="A142" s="18" t="s">
        <v>197</v>
      </c>
      <c r="B142" s="15" t="s">
        <v>198</v>
      </c>
      <c r="C142" s="15" t="s">
        <v>177</v>
      </c>
      <c r="D142" s="15"/>
      <c r="E142" s="63">
        <v>1434.0070000000001</v>
      </c>
      <c r="F142" s="63">
        <f>457.265+421.372+60.725</f>
        <v>939.36199999999997</v>
      </c>
      <c r="G142" s="63">
        <v>327.40600000000001</v>
      </c>
      <c r="H142" s="63">
        <f>1703.299-G142</f>
        <v>1375.893</v>
      </c>
      <c r="I142" s="63">
        <f t="shared" si="27"/>
        <v>4076.6680000000001</v>
      </c>
      <c r="J142" s="93">
        <f>'2019'!K142</f>
        <v>5017.7046399999999</v>
      </c>
      <c r="K142" s="93">
        <f t="shared" si="23"/>
        <v>5218.4128256000004</v>
      </c>
      <c r="L142" s="93">
        <f>'2019'!M142</f>
        <v>1815.3466240000002</v>
      </c>
      <c r="M142" s="93">
        <f t="shared" si="24"/>
        <v>1887.9604889600002</v>
      </c>
      <c r="N142" s="10">
        <f t="shared" si="32"/>
        <v>4592203.8114501117</v>
      </c>
      <c r="O142" s="10">
        <f t="shared" si="33"/>
        <v>3008173.4306257917</v>
      </c>
      <c r="P142" s="10">
        <f t="shared" si="34"/>
        <v>1090410.0777299558</v>
      </c>
      <c r="Q142" s="10">
        <f t="shared" si="35"/>
        <v>4582346.0568166198</v>
      </c>
      <c r="R142" s="10">
        <f t="shared" si="36"/>
        <v>13273133.376622479</v>
      </c>
      <c r="S142" s="10"/>
      <c r="T142" s="11"/>
      <c r="U142" s="10"/>
      <c r="V142" s="10"/>
      <c r="W142" s="42"/>
    </row>
    <row r="143" spans="1:23" ht="24" customHeight="1">
      <c r="A143" s="18" t="s">
        <v>197</v>
      </c>
      <c r="B143" s="15" t="s">
        <v>198</v>
      </c>
      <c r="C143" s="15" t="s">
        <v>180</v>
      </c>
      <c r="D143" s="15"/>
      <c r="E143" s="63">
        <v>790.45299999999997</v>
      </c>
      <c r="F143" s="63">
        <f>266.745+258.631+33.709</f>
        <v>559.08500000000004</v>
      </c>
      <c r="G143" s="63">
        <f>309.232</f>
        <v>309.23200000000003</v>
      </c>
      <c r="H143" s="63">
        <f>1059.836-G143</f>
        <v>750.60400000000004</v>
      </c>
      <c r="I143" s="63">
        <f t="shared" si="27"/>
        <v>2409.3739999999998</v>
      </c>
      <c r="J143" s="93">
        <f>'2019'!K143</f>
        <v>5017.7046399999999</v>
      </c>
      <c r="K143" s="93">
        <f t="shared" si="23"/>
        <v>5218.4128256000004</v>
      </c>
      <c r="L143" s="93">
        <f>'2019'!M143</f>
        <v>1815.3466240000002</v>
      </c>
      <c r="M143" s="93">
        <f t="shared" si="24"/>
        <v>1887.9604889600002</v>
      </c>
      <c r="N143" s="10">
        <f t="shared" si="32"/>
        <v>2531313.5008212477</v>
      </c>
      <c r="O143" s="10">
        <f t="shared" si="33"/>
        <v>1790390.33137536</v>
      </c>
      <c r="P143" s="10">
        <f t="shared" si="34"/>
        <v>1029882.4369638605</v>
      </c>
      <c r="Q143" s="10">
        <f t="shared" si="35"/>
        <v>2499850.8456913307</v>
      </c>
      <c r="R143" s="10">
        <f t="shared" si="36"/>
        <v>7851437.1148517998</v>
      </c>
      <c r="S143" s="16"/>
      <c r="T143" s="16"/>
      <c r="U143" s="16"/>
      <c r="V143" s="16"/>
      <c r="W143" s="42"/>
    </row>
    <row r="144" spans="1:23" ht="24" customHeight="1">
      <c r="A144" s="18" t="s">
        <v>199</v>
      </c>
      <c r="B144" s="15" t="s">
        <v>200</v>
      </c>
      <c r="C144" s="15" t="s">
        <v>173</v>
      </c>
      <c r="D144" s="15"/>
      <c r="E144" s="63">
        <v>62.786000000000001</v>
      </c>
      <c r="F144" s="63">
        <f>20.926+20.926</f>
        <v>41.851999999999997</v>
      </c>
      <c r="G144" s="63">
        <v>33.081000000000003</v>
      </c>
      <c r="H144" s="63">
        <v>62.79</v>
      </c>
      <c r="I144" s="63">
        <f t="shared" si="27"/>
        <v>200.50899999999999</v>
      </c>
      <c r="J144" s="93">
        <f>'2019'!K144</f>
        <v>10390.9936</v>
      </c>
      <c r="K144" s="93">
        <f t="shared" si="23"/>
        <v>10806.633344</v>
      </c>
      <c r="L144" s="93">
        <f>'2019'!M144</f>
        <v>2101.6943999999999</v>
      </c>
      <c r="M144" s="93">
        <f t="shared" si="24"/>
        <v>2185.7621759999997</v>
      </c>
      <c r="N144" s="10">
        <f t="shared" si="32"/>
        <v>520451.9395712</v>
      </c>
      <c r="O144" s="10">
        <f t="shared" si="33"/>
        <v>346923.75011839997</v>
      </c>
      <c r="P144" s="10">
        <f t="shared" si="34"/>
        <v>285187.03910860803</v>
      </c>
      <c r="Q144" s="10">
        <f t="shared" si="35"/>
        <v>541304.50063872</v>
      </c>
      <c r="R144" s="10">
        <f t="shared" si="36"/>
        <v>1693867.2294369279</v>
      </c>
      <c r="S144" s="10"/>
      <c r="T144" s="11"/>
      <c r="U144" s="10"/>
      <c r="V144" s="10"/>
      <c r="W144" s="42"/>
    </row>
    <row r="145" spans="1:23" ht="24" customHeight="1">
      <c r="A145" s="18" t="s">
        <v>201</v>
      </c>
      <c r="B145" s="15" t="s">
        <v>202</v>
      </c>
      <c r="C145" s="15" t="s">
        <v>196</v>
      </c>
      <c r="D145" s="15"/>
      <c r="E145" s="63">
        <v>586.73599999999999</v>
      </c>
      <c r="F145" s="63">
        <f>162.466+134.02+111.4</f>
        <v>407.88599999999997</v>
      </c>
      <c r="G145" s="63">
        <v>74.543000000000006</v>
      </c>
      <c r="H145" s="63">
        <v>506.50200000000001</v>
      </c>
      <c r="I145" s="63">
        <f t="shared" si="27"/>
        <v>1575.6669999999999</v>
      </c>
      <c r="J145" s="93">
        <f>'2019'!K145</f>
        <v>6469.0392000000002</v>
      </c>
      <c r="K145" s="93">
        <f t="shared" si="23"/>
        <v>6727.8007680000001</v>
      </c>
      <c r="L145" s="93">
        <f>'2019'!M145</f>
        <v>2101.6943999999999</v>
      </c>
      <c r="M145" s="93">
        <f t="shared" si="24"/>
        <v>2185.7621759999997</v>
      </c>
      <c r="N145" s="10">
        <f t="shared" si="32"/>
        <v>2562478.4185728002</v>
      </c>
      <c r="O145" s="10">
        <f t="shared" si="33"/>
        <v>1781378.8010928002</v>
      </c>
      <c r="P145" s="10">
        <f t="shared" si="34"/>
        <v>338577.18276345608</v>
      </c>
      <c r="Q145" s="10">
        <f t="shared" si="35"/>
        <v>2300551.6309251846</v>
      </c>
      <c r="R145" s="10">
        <f t="shared" si="36"/>
        <v>6982986.0333542414</v>
      </c>
      <c r="S145" s="10"/>
      <c r="T145" s="11"/>
      <c r="U145" s="10"/>
      <c r="V145" s="10"/>
      <c r="W145" s="42"/>
    </row>
    <row r="146" spans="1:23" ht="24" customHeight="1">
      <c r="A146" s="18" t="s">
        <v>22</v>
      </c>
      <c r="B146" s="15" t="s">
        <v>23</v>
      </c>
      <c r="C146" s="15" t="s">
        <v>196</v>
      </c>
      <c r="D146" s="15"/>
      <c r="E146" s="63">
        <v>733.24599999999998</v>
      </c>
      <c r="F146" s="63">
        <f>196.4+178.07+162.51</f>
        <v>536.98</v>
      </c>
      <c r="G146" s="63">
        <v>154.922</v>
      </c>
      <c r="H146" s="63">
        <v>586.00800000000004</v>
      </c>
      <c r="I146" s="63">
        <f t="shared" si="27"/>
        <v>2011.1560000000002</v>
      </c>
      <c r="J146" s="93">
        <f>'2019'!K146</f>
        <v>2449.1168000000002</v>
      </c>
      <c r="K146" s="93">
        <f t="shared" si="23"/>
        <v>2547.0814720000003</v>
      </c>
      <c r="L146" s="93">
        <f>'2019'!M146</f>
        <v>1689.6322560000001</v>
      </c>
      <c r="M146" s="93">
        <f t="shared" si="24"/>
        <v>1757.2175462400003</v>
      </c>
      <c r="N146" s="10">
        <f t="shared" si="32"/>
        <v>556889.00394982414</v>
      </c>
      <c r="O146" s="10">
        <f t="shared" si="33"/>
        <v>407828.0104371201</v>
      </c>
      <c r="P146" s="10">
        <f t="shared" si="34"/>
        <v>122367.29910659073</v>
      </c>
      <c r="Q146" s="10">
        <f t="shared" si="35"/>
        <v>462866.5794067661</v>
      </c>
      <c r="R146" s="10">
        <f t="shared" si="36"/>
        <v>1549950.8929003011</v>
      </c>
      <c r="S146" s="16"/>
      <c r="T146" s="16"/>
      <c r="U146" s="16"/>
      <c r="V146" s="16"/>
      <c r="W146" s="42"/>
    </row>
    <row r="147" spans="1:23" ht="24" customHeight="1">
      <c r="A147" s="18" t="s">
        <v>22</v>
      </c>
      <c r="B147" s="15" t="s">
        <v>23</v>
      </c>
      <c r="C147" s="15" t="s">
        <v>203</v>
      </c>
      <c r="D147" s="15"/>
      <c r="E147" s="63">
        <v>1008.178</v>
      </c>
      <c r="F147" s="63">
        <f>326.841+335.252+6.187</f>
        <v>668.28000000000009</v>
      </c>
      <c r="G147" s="63">
        <v>325.56</v>
      </c>
      <c r="H147" s="63">
        <v>994.39400000000001</v>
      </c>
      <c r="I147" s="63">
        <f t="shared" si="27"/>
        <v>2996.4120000000003</v>
      </c>
      <c r="J147" s="93">
        <f>'2019'!K147</f>
        <v>8001.4688000000006</v>
      </c>
      <c r="K147" s="93">
        <f t="shared" si="23"/>
        <v>8321.5275520000014</v>
      </c>
      <c r="L147" s="93">
        <f>'2019'!M147</f>
        <v>1209.5100160000002</v>
      </c>
      <c r="M147" s="93">
        <f t="shared" si="24"/>
        <v>1257.8904166400002</v>
      </c>
      <c r="N147" s="10">
        <f t="shared" si="32"/>
        <v>6847503.422935552</v>
      </c>
      <c r="O147" s="10">
        <f t="shared" si="33"/>
        <v>4538930.2161715208</v>
      </c>
      <c r="P147" s="10">
        <f t="shared" si="34"/>
        <v>2299637.7057878016</v>
      </c>
      <c r="Q147" s="10">
        <f t="shared" si="35"/>
        <v>7024038.3855791725</v>
      </c>
      <c r="R147" s="10">
        <f t="shared" si="36"/>
        <v>20710109.730474047</v>
      </c>
      <c r="S147" s="10"/>
      <c r="T147" s="11"/>
      <c r="U147" s="10"/>
      <c r="V147" s="10"/>
      <c r="W147" s="42"/>
    </row>
    <row r="148" spans="1:23" ht="29.25" customHeight="1">
      <c r="A148" s="28" t="s">
        <v>415</v>
      </c>
      <c r="B148" s="27" t="s">
        <v>414</v>
      </c>
      <c r="C148" s="15" t="s">
        <v>173</v>
      </c>
      <c r="D148" s="15" t="s">
        <v>368</v>
      </c>
      <c r="E148" s="63">
        <v>479.58800000000002</v>
      </c>
      <c r="F148" s="63">
        <v>254.04599999999999</v>
      </c>
      <c r="G148" s="63">
        <v>120.658</v>
      </c>
      <c r="H148" s="63">
        <v>479.58800000000002</v>
      </c>
      <c r="I148" s="63">
        <f t="shared" si="27"/>
        <v>1333.88</v>
      </c>
      <c r="J148" s="93">
        <f>'2019'!K148</f>
        <v>4063.1032</v>
      </c>
      <c r="K148" s="93">
        <f t="shared" ref="K148:K212" si="37">J148*1.04</f>
        <v>4225.6273280000005</v>
      </c>
      <c r="L148" s="93">
        <f>'2019'!M148</f>
        <v>1688.063936</v>
      </c>
      <c r="M148" s="93">
        <f t="shared" ref="M148:M212" si="38">L148*1.04</f>
        <v>1755.5864934400001</v>
      </c>
      <c r="N148" s="10">
        <f t="shared" si="32"/>
        <v>1139040.3305432322</v>
      </c>
      <c r="O148" s="10">
        <f t="shared" si="33"/>
        <v>603369.22486214398</v>
      </c>
      <c r="P148" s="10">
        <f t="shared" si="34"/>
        <v>298030.1870163405</v>
      </c>
      <c r="Q148" s="10">
        <f t="shared" si="35"/>
        <v>1184601.9437649616</v>
      </c>
      <c r="R148" s="10">
        <f t="shared" si="36"/>
        <v>3225041.6861866778</v>
      </c>
      <c r="S148" s="10"/>
      <c r="T148" s="11"/>
      <c r="U148" s="10"/>
      <c r="V148" s="10"/>
      <c r="W148" s="42"/>
    </row>
    <row r="149" spans="1:23" ht="40.5" customHeight="1">
      <c r="A149" s="28" t="s">
        <v>415</v>
      </c>
      <c r="B149" s="27" t="s">
        <v>414</v>
      </c>
      <c r="C149" s="15" t="s">
        <v>384</v>
      </c>
      <c r="D149" s="15" t="s">
        <v>369</v>
      </c>
      <c r="E149" s="63">
        <f>91.179+60.927</f>
        <v>152.10599999999999</v>
      </c>
      <c r="F149" s="63">
        <f>54.115+34.066</f>
        <v>88.181000000000012</v>
      </c>
      <c r="G149" s="63">
        <f>36.089+13.539</f>
        <v>49.628</v>
      </c>
      <c r="H149" s="63">
        <f>91.179+60.927</f>
        <v>152.10599999999999</v>
      </c>
      <c r="I149" s="63">
        <f t="shared" si="27"/>
        <v>442.02100000000002</v>
      </c>
      <c r="J149" s="93">
        <f>'2019'!K149</f>
        <v>4063.1032</v>
      </c>
      <c r="K149" s="93">
        <f t="shared" si="37"/>
        <v>4225.6273280000005</v>
      </c>
      <c r="L149" s="93">
        <f>'2019'!M149</f>
        <v>1826.1734400000003</v>
      </c>
      <c r="M149" s="93">
        <f t="shared" si="38"/>
        <v>1899.2203776000003</v>
      </c>
      <c r="N149" s="10">
        <f t="shared" si="32"/>
        <v>340250.43807455996</v>
      </c>
      <c r="O149" s="10">
        <f t="shared" si="33"/>
        <v>197254.70316656004</v>
      </c>
      <c r="P149" s="10">
        <f t="shared" si="34"/>
        <v>115454.9241344512</v>
      </c>
      <c r="Q149" s="10">
        <f t="shared" si="35"/>
        <v>353860.4555975424</v>
      </c>
      <c r="R149" s="10">
        <f t="shared" si="36"/>
        <v>1006820.5209731136</v>
      </c>
      <c r="S149" s="10"/>
      <c r="T149" s="11"/>
      <c r="U149" s="10"/>
      <c r="V149" s="10"/>
      <c r="W149" s="42"/>
    </row>
    <row r="150" spans="1:23" ht="23.25" customHeight="1">
      <c r="A150" s="133" t="s">
        <v>206</v>
      </c>
      <c r="B150" s="133"/>
      <c r="C150" s="133"/>
      <c r="D150" s="133"/>
      <c r="E150" s="64"/>
      <c r="F150" s="64"/>
      <c r="G150" s="65"/>
      <c r="H150" s="65"/>
      <c r="I150" s="63"/>
      <c r="J150" s="85"/>
      <c r="K150" s="85"/>
      <c r="L150" s="85"/>
      <c r="M150" s="85"/>
      <c r="N150" s="10">
        <f t="shared" si="32"/>
        <v>0</v>
      </c>
      <c r="O150" s="10">
        <f t="shared" si="33"/>
        <v>0</v>
      </c>
      <c r="P150" s="10">
        <f t="shared" si="34"/>
        <v>0</v>
      </c>
      <c r="Q150" s="10">
        <f t="shared" si="35"/>
        <v>0</v>
      </c>
      <c r="R150" s="10">
        <f t="shared" si="36"/>
        <v>0</v>
      </c>
      <c r="S150" s="10"/>
      <c r="T150" s="11"/>
      <c r="U150" s="10"/>
      <c r="V150" s="10"/>
      <c r="W150" s="45"/>
    </row>
    <row r="151" spans="1:23" ht="25.5" customHeight="1">
      <c r="A151" s="18" t="s">
        <v>204</v>
      </c>
      <c r="B151" s="15" t="s">
        <v>205</v>
      </c>
      <c r="C151" s="15"/>
      <c r="D151" s="15"/>
      <c r="E151" s="63">
        <v>119.37</v>
      </c>
      <c r="F151" s="63">
        <f>39.79+39.79</f>
        <v>79.58</v>
      </c>
      <c r="G151" s="63">
        <v>39.79</v>
      </c>
      <c r="H151" s="63">
        <v>119.37</v>
      </c>
      <c r="I151" s="63">
        <f t="shared" si="27"/>
        <v>358.11</v>
      </c>
      <c r="J151" s="93">
        <f>'2019'!K151</f>
        <v>5720.9359999999997</v>
      </c>
      <c r="K151" s="93">
        <f t="shared" si="37"/>
        <v>5949.7734399999999</v>
      </c>
      <c r="L151" s="93">
        <f>'2019'!M151</f>
        <v>1117.3724057600002</v>
      </c>
      <c r="M151" s="93">
        <f t="shared" si="38"/>
        <v>1162.0673019904002</v>
      </c>
      <c r="N151" s="10">
        <f t="shared" si="32"/>
        <v>549527.38624442881</v>
      </c>
      <c r="O151" s="10">
        <f t="shared" si="33"/>
        <v>366351.59082961915</v>
      </c>
      <c r="P151" s="10">
        <f t="shared" si="34"/>
        <v>190502.82723140199</v>
      </c>
      <c r="Q151" s="10">
        <f t="shared" si="35"/>
        <v>571508.48169420601</v>
      </c>
      <c r="R151" s="10">
        <f t="shared" si="36"/>
        <v>1677890.2859996562</v>
      </c>
      <c r="S151" s="16"/>
      <c r="T151" s="17"/>
      <c r="U151" s="16"/>
      <c r="V151" s="16"/>
      <c r="W151" s="42"/>
    </row>
    <row r="152" spans="1:23" ht="25.5" customHeight="1">
      <c r="A152" s="18" t="s">
        <v>207</v>
      </c>
      <c r="B152" s="15" t="s">
        <v>208</v>
      </c>
      <c r="C152" s="15" t="s">
        <v>209</v>
      </c>
      <c r="D152" s="15"/>
      <c r="E152" s="63">
        <v>152.47300000000001</v>
      </c>
      <c r="F152" s="63">
        <f>59.033+58.311</f>
        <v>117.34399999999999</v>
      </c>
      <c r="G152" s="63">
        <v>31.73</v>
      </c>
      <c r="H152" s="63">
        <v>172.88</v>
      </c>
      <c r="I152" s="63">
        <f t="shared" si="27"/>
        <v>474.42700000000002</v>
      </c>
      <c r="J152" s="93">
        <f>'2019'!K152</f>
        <v>5592.7589120000002</v>
      </c>
      <c r="K152" s="93">
        <f t="shared" si="37"/>
        <v>5816.4692684800002</v>
      </c>
      <c r="L152" s="93">
        <f>'2019'!M152</f>
        <v>963.72723200000007</v>
      </c>
      <c r="M152" s="93">
        <f t="shared" si="38"/>
        <v>1002.2763212800002</v>
      </c>
      <c r="N152" s="10">
        <f t="shared" si="32"/>
        <v>705802.34734464006</v>
      </c>
      <c r="O152" s="10">
        <f t="shared" si="33"/>
        <v>543189.09345792001</v>
      </c>
      <c r="P152" s="10">
        <f t="shared" si="34"/>
        <v>152754.342214656</v>
      </c>
      <c r="Q152" s="10">
        <f t="shared" si="35"/>
        <v>832277.67671193602</v>
      </c>
      <c r="R152" s="10">
        <f t="shared" si="36"/>
        <v>2234023.4597291523</v>
      </c>
      <c r="S152" s="10"/>
      <c r="T152" s="11"/>
      <c r="U152" s="10"/>
      <c r="V152" s="10"/>
      <c r="W152" s="42"/>
    </row>
    <row r="153" spans="1:23" ht="25.5" customHeight="1">
      <c r="A153" s="18" t="s">
        <v>207</v>
      </c>
      <c r="B153" s="15" t="s">
        <v>208</v>
      </c>
      <c r="C153" s="15" t="s">
        <v>210</v>
      </c>
      <c r="D153" s="15"/>
      <c r="E153" s="63">
        <v>204.762</v>
      </c>
      <c r="F153" s="63">
        <f>68.251+68.251</f>
        <v>136.50200000000001</v>
      </c>
      <c r="G153" s="63">
        <v>47.1</v>
      </c>
      <c r="H153" s="63">
        <v>204.76</v>
      </c>
      <c r="I153" s="63">
        <f t="shared" si="27"/>
        <v>593.12400000000002</v>
      </c>
      <c r="J153" s="93">
        <f>'2019'!K153</f>
        <v>4224.3726720000004</v>
      </c>
      <c r="K153" s="93">
        <f t="shared" si="37"/>
        <v>4393.3475788800006</v>
      </c>
      <c r="L153" s="93">
        <f>'2019'!M153</f>
        <v>963.72723200000007</v>
      </c>
      <c r="M153" s="93">
        <f t="shared" si="38"/>
        <v>1002.2763212800002</v>
      </c>
      <c r="N153" s="10">
        <f t="shared" si="32"/>
        <v>667656.28158528008</v>
      </c>
      <c r="O153" s="10">
        <f t="shared" si="33"/>
        <v>445084.62385088007</v>
      </c>
      <c r="P153" s="10">
        <f t="shared" si="34"/>
        <v>159719.45623296002</v>
      </c>
      <c r="Q153" s="10">
        <f t="shared" si="35"/>
        <v>694355.75070617604</v>
      </c>
      <c r="R153" s="10">
        <f t="shared" si="36"/>
        <v>1966816.1123752962</v>
      </c>
      <c r="S153" s="16"/>
      <c r="T153" s="16"/>
      <c r="U153" s="16"/>
      <c r="V153" s="16"/>
      <c r="W153" s="42"/>
    </row>
    <row r="154" spans="1:23" ht="25.5" customHeight="1">
      <c r="A154" s="28" t="s">
        <v>415</v>
      </c>
      <c r="B154" s="27" t="s">
        <v>414</v>
      </c>
      <c r="C154" s="15" t="s">
        <v>393</v>
      </c>
      <c r="D154" s="15"/>
      <c r="E154" s="63">
        <v>1719.2360000000001</v>
      </c>
      <c r="F154" s="63">
        <v>1079.3620000000001</v>
      </c>
      <c r="G154" s="63">
        <v>570.52599999999995</v>
      </c>
      <c r="H154" s="63">
        <v>1719.2360000000001</v>
      </c>
      <c r="I154" s="63">
        <f t="shared" si="27"/>
        <v>5088.3599999999997</v>
      </c>
      <c r="J154" s="93">
        <f>'2019'!K154</f>
        <v>3155.36</v>
      </c>
      <c r="K154" s="93">
        <f t="shared" si="37"/>
        <v>3281.5744000000004</v>
      </c>
      <c r="L154" s="93">
        <f>'2019'!M154</f>
        <v>1239.2223999999999</v>
      </c>
      <c r="M154" s="93">
        <f t="shared" si="38"/>
        <v>1288.7912959999999</v>
      </c>
      <c r="N154" s="10">
        <f t="shared" si="32"/>
        <v>3294292.7428736007</v>
      </c>
      <c r="O154" s="10">
        <f t="shared" si="33"/>
        <v>2068206.1122112004</v>
      </c>
      <c r="P154" s="10">
        <f t="shared" si="34"/>
        <v>1136934.5731927042</v>
      </c>
      <c r="Q154" s="10">
        <f t="shared" si="35"/>
        <v>3426064.4525885452</v>
      </c>
      <c r="R154" s="10">
        <f t="shared" si="36"/>
        <v>9925497.8808660507</v>
      </c>
      <c r="S154" s="16"/>
      <c r="T154" s="16"/>
      <c r="U154" s="16"/>
      <c r="V154" s="16"/>
      <c r="W154" s="42"/>
    </row>
    <row r="155" spans="1:23" ht="22.5" customHeight="1">
      <c r="A155" s="133" t="s">
        <v>213</v>
      </c>
      <c r="B155" s="133"/>
      <c r="C155" s="133"/>
      <c r="D155" s="133"/>
      <c r="E155" s="64"/>
      <c r="F155" s="64"/>
      <c r="G155" s="65"/>
      <c r="H155" s="65"/>
      <c r="I155" s="63"/>
      <c r="J155" s="85"/>
      <c r="K155" s="85"/>
      <c r="L155" s="85"/>
      <c r="M155" s="85"/>
      <c r="N155" s="10">
        <f t="shared" si="32"/>
        <v>0</v>
      </c>
      <c r="O155" s="10">
        <f t="shared" si="33"/>
        <v>0</v>
      </c>
      <c r="P155" s="10">
        <f t="shared" si="34"/>
        <v>0</v>
      </c>
      <c r="Q155" s="10">
        <f t="shared" si="35"/>
        <v>0</v>
      </c>
      <c r="R155" s="10">
        <f t="shared" si="36"/>
        <v>0</v>
      </c>
      <c r="S155" s="10"/>
      <c r="T155" s="11"/>
      <c r="U155" s="10"/>
      <c r="V155" s="10"/>
      <c r="W155" s="45"/>
    </row>
    <row r="156" spans="1:23" ht="22.5" customHeight="1">
      <c r="A156" s="18" t="s">
        <v>211</v>
      </c>
      <c r="B156" s="15" t="s">
        <v>212</v>
      </c>
      <c r="C156" s="15" t="s">
        <v>214</v>
      </c>
      <c r="D156" s="15"/>
      <c r="E156" s="63">
        <v>16425.016</v>
      </c>
      <c r="F156" s="63">
        <f>5155.886+4133.065+374.725</f>
        <v>9663.6760000000013</v>
      </c>
      <c r="G156" s="63">
        <v>2727.328</v>
      </c>
      <c r="H156" s="63">
        <v>15459.641</v>
      </c>
      <c r="I156" s="63">
        <f t="shared" si="27"/>
        <v>44275.661000000007</v>
      </c>
      <c r="J156" s="93">
        <f>'2019'!K156</f>
        <v>3890.9936000000002</v>
      </c>
      <c r="K156" s="93">
        <f t="shared" si="37"/>
        <v>4046.6333440000003</v>
      </c>
      <c r="L156" s="93">
        <f>'2019'!M156</f>
        <v>1510.2152000000001</v>
      </c>
      <c r="M156" s="93">
        <f t="shared" si="38"/>
        <v>1570.6238080000001</v>
      </c>
      <c r="N156" s="10">
        <f t="shared" si="32"/>
        <v>39104323.312454402</v>
      </c>
      <c r="O156" s="10">
        <f t="shared" si="33"/>
        <v>23007071.085398406</v>
      </c>
      <c r="P156" s="10">
        <f t="shared" si="34"/>
        <v>6752890.1357998094</v>
      </c>
      <c r="Q156" s="10">
        <f t="shared" si="35"/>
        <v>38278218.539136581</v>
      </c>
      <c r="R156" s="10">
        <f t="shared" si="36"/>
        <v>107142503.07278919</v>
      </c>
      <c r="S156" s="10"/>
      <c r="T156" s="11"/>
      <c r="U156" s="10"/>
      <c r="V156" s="10"/>
      <c r="W156" s="42"/>
    </row>
    <row r="157" spans="1:23" ht="22.5" customHeight="1">
      <c r="A157" s="18" t="s">
        <v>215</v>
      </c>
      <c r="B157" s="15" t="s">
        <v>216</v>
      </c>
      <c r="C157" s="15" t="s">
        <v>217</v>
      </c>
      <c r="D157" s="15"/>
      <c r="E157" s="63">
        <v>274.75200000000001</v>
      </c>
      <c r="F157" s="63">
        <f>82.993+66.66</f>
        <v>149.65299999999999</v>
      </c>
      <c r="G157" s="63">
        <v>30.33</v>
      </c>
      <c r="H157" s="63">
        <v>226.97300000000001</v>
      </c>
      <c r="I157" s="63">
        <f t="shared" si="27"/>
        <v>681.70799999999997</v>
      </c>
      <c r="J157" s="93">
        <f>'2019'!K157</f>
        <v>2908.4952000000003</v>
      </c>
      <c r="K157" s="93">
        <f t="shared" si="37"/>
        <v>3024.8350080000005</v>
      </c>
      <c r="L157" s="93">
        <f>'2019'!M157</f>
        <v>1657.2712000000001</v>
      </c>
      <c r="M157" s="93">
        <f t="shared" si="38"/>
        <v>1723.5620480000002</v>
      </c>
      <c r="N157" s="10">
        <f t="shared" si="32"/>
        <v>343776.29644800007</v>
      </c>
      <c r="O157" s="10">
        <f t="shared" si="33"/>
        <v>187249.42527200002</v>
      </c>
      <c r="P157" s="10">
        <f t="shared" si="34"/>
        <v>39467.608876800005</v>
      </c>
      <c r="Q157" s="10">
        <f t="shared" si="35"/>
        <v>295353.82755008008</v>
      </c>
      <c r="R157" s="10">
        <f t="shared" si="36"/>
        <v>865847.1581468801</v>
      </c>
      <c r="S157" s="10"/>
      <c r="T157" s="11"/>
      <c r="U157" s="10"/>
      <c r="V157" s="10"/>
      <c r="W157" s="42"/>
    </row>
    <row r="158" spans="1:23" ht="22.5" customHeight="1">
      <c r="A158" s="18" t="s">
        <v>218</v>
      </c>
      <c r="B158" s="15" t="s">
        <v>219</v>
      </c>
      <c r="C158" s="15" t="s">
        <v>220</v>
      </c>
      <c r="D158" s="15"/>
      <c r="E158" s="63">
        <v>574.80999999999995</v>
      </c>
      <c r="F158" s="63">
        <f>199.3+200.18+99</f>
        <v>498.48</v>
      </c>
      <c r="G158" s="63">
        <v>75.53</v>
      </c>
      <c r="H158" s="63">
        <v>549.63</v>
      </c>
      <c r="I158" s="63">
        <f t="shared" si="27"/>
        <v>1698.4499999999998</v>
      </c>
      <c r="J158" s="93">
        <f>'2019'!K158</f>
        <v>2760.6071999999999</v>
      </c>
      <c r="K158" s="93">
        <f t="shared" si="37"/>
        <v>2871.0314880000001</v>
      </c>
      <c r="L158" s="93">
        <f>'2019'!M158</f>
        <v>1537.4839999999999</v>
      </c>
      <c r="M158" s="93">
        <f t="shared" si="38"/>
        <v>1598.9833599999999</v>
      </c>
      <c r="N158" s="10">
        <f t="shared" si="32"/>
        <v>703063.44659199996</v>
      </c>
      <c r="O158" s="10">
        <f t="shared" si="33"/>
        <v>609702.45273600006</v>
      </c>
      <c r="P158" s="10">
        <f t="shared" si="34"/>
        <v>96077.795107840007</v>
      </c>
      <c r="Q158" s="10">
        <f t="shared" si="35"/>
        <v>699155.81259264005</v>
      </c>
      <c r="R158" s="10">
        <f t="shared" si="36"/>
        <v>2107999.5070284801</v>
      </c>
      <c r="S158" s="10"/>
      <c r="T158" s="11"/>
      <c r="U158" s="10"/>
      <c r="V158" s="10"/>
      <c r="W158" s="42"/>
    </row>
    <row r="159" spans="1:23" ht="22.5" customHeight="1">
      <c r="A159" s="18" t="s">
        <v>221</v>
      </c>
      <c r="B159" s="15" t="s">
        <v>222</v>
      </c>
      <c r="C159" s="15" t="s">
        <v>223</v>
      </c>
      <c r="D159" s="15"/>
      <c r="E159" s="63">
        <v>2054.7660000000001</v>
      </c>
      <c r="F159" s="63">
        <f>607.326+299.807</f>
        <v>907.13300000000004</v>
      </c>
      <c r="G159" s="63">
        <v>496.387</v>
      </c>
      <c r="H159" s="63">
        <v>1947.2249999999999</v>
      </c>
      <c r="I159" s="63">
        <f t="shared" si="27"/>
        <v>5405.5110000000004</v>
      </c>
      <c r="J159" s="93">
        <f>'2019'!K159</f>
        <v>3481.9732480000007</v>
      </c>
      <c r="K159" s="93">
        <f t="shared" si="37"/>
        <v>3621.252177920001</v>
      </c>
      <c r="L159" s="93">
        <f>'2019'!M159</f>
        <v>1370.1376</v>
      </c>
      <c r="M159" s="93">
        <f t="shared" si="38"/>
        <v>1424.9431040000002</v>
      </c>
      <c r="N159" s="10">
        <f t="shared" si="32"/>
        <v>4339328.0870983694</v>
      </c>
      <c r="O159" s="10">
        <f t="shared" si="33"/>
        <v>1915715.8068771847</v>
      </c>
      <c r="P159" s="10">
        <f t="shared" si="34"/>
        <v>1090219.2722759272</v>
      </c>
      <c r="Q159" s="10">
        <f t="shared" si="35"/>
        <v>4276707.9364638729</v>
      </c>
      <c r="R159" s="10">
        <f t="shared" si="36"/>
        <v>11621971.102715354</v>
      </c>
      <c r="S159" s="10"/>
      <c r="T159" s="11"/>
      <c r="U159" s="10"/>
      <c r="V159" s="10"/>
      <c r="W159" s="42"/>
    </row>
    <row r="160" spans="1:23" ht="22.5" customHeight="1">
      <c r="A160" s="18" t="s">
        <v>224</v>
      </c>
      <c r="B160" s="15" t="s">
        <v>225</v>
      </c>
      <c r="C160" s="15" t="s">
        <v>226</v>
      </c>
      <c r="D160" s="15"/>
      <c r="E160" s="63">
        <v>62.524000000000001</v>
      </c>
      <c r="F160" s="63">
        <f>21.078+13.699</f>
        <v>34.777000000000001</v>
      </c>
      <c r="G160" s="63">
        <v>10.538</v>
      </c>
      <c r="H160" s="63">
        <v>61.030999999999999</v>
      </c>
      <c r="I160" s="63">
        <f t="shared" si="27"/>
        <v>168.87</v>
      </c>
      <c r="J160" s="93">
        <f>'2019'!K160</f>
        <v>4924.1088000000009</v>
      </c>
      <c r="K160" s="93">
        <f t="shared" si="37"/>
        <v>5121.0731520000008</v>
      </c>
      <c r="L160" s="93">
        <f>'2019'!M160</f>
        <v>1863.2224000000001</v>
      </c>
      <c r="M160" s="93">
        <f t="shared" si="38"/>
        <v>1937.7512960000001</v>
      </c>
      <c r="N160" s="10">
        <f t="shared" si="32"/>
        <v>191378.86127360005</v>
      </c>
      <c r="O160" s="10">
        <f t="shared" si="33"/>
        <v>106448.44633280003</v>
      </c>
      <c r="P160" s="10">
        <f t="shared" si="34"/>
        <v>33545.845718528006</v>
      </c>
      <c r="Q160" s="10">
        <f t="shared" si="35"/>
        <v>194281.31619353601</v>
      </c>
      <c r="R160" s="10">
        <f t="shared" si="36"/>
        <v>525654.46951846418</v>
      </c>
      <c r="S160" s="10"/>
      <c r="T160" s="11"/>
      <c r="U160" s="10"/>
      <c r="V160" s="10"/>
      <c r="W160" s="42"/>
    </row>
    <row r="161" spans="1:23" ht="22.5" customHeight="1">
      <c r="A161" s="18" t="s">
        <v>227</v>
      </c>
      <c r="B161" s="15" t="s">
        <v>228</v>
      </c>
      <c r="C161" s="15" t="s">
        <v>229</v>
      </c>
      <c r="D161" s="15"/>
      <c r="E161" s="63">
        <v>6.2789999999999999</v>
      </c>
      <c r="F161" s="63">
        <f>1.756+2.093</f>
        <v>3.8490000000000002</v>
      </c>
      <c r="G161" s="63">
        <v>1.117</v>
      </c>
      <c r="H161" s="63">
        <v>6.28</v>
      </c>
      <c r="I161" s="63">
        <f t="shared" si="27"/>
        <v>17.525000000000002</v>
      </c>
      <c r="J161" s="93">
        <f>'2019'!K161</f>
        <v>4088.9263999999998</v>
      </c>
      <c r="K161" s="93">
        <f t="shared" si="37"/>
        <v>4252.4834559999999</v>
      </c>
      <c r="L161" s="93">
        <f>'2019'!M161</f>
        <v>1369.3576</v>
      </c>
      <c r="M161" s="93">
        <f t="shared" si="38"/>
        <v>1424.1319040000001</v>
      </c>
      <c r="N161" s="10">
        <f t="shared" si="32"/>
        <v>17076.1724952</v>
      </c>
      <c r="O161" s="10">
        <f t="shared" si="33"/>
        <v>10467.6203112</v>
      </c>
      <c r="P161" s="10">
        <f t="shared" si="34"/>
        <v>3159.268683584</v>
      </c>
      <c r="Q161" s="10">
        <f t="shared" si="35"/>
        <v>17762.047746560002</v>
      </c>
      <c r="R161" s="10">
        <f t="shared" si="36"/>
        <v>48465.109236543998</v>
      </c>
      <c r="S161" s="16"/>
      <c r="T161" s="16"/>
      <c r="U161" s="16"/>
      <c r="V161" s="16"/>
      <c r="W161" s="42"/>
    </row>
    <row r="162" spans="1:23" ht="22.5" customHeight="1">
      <c r="A162" s="18" t="s">
        <v>227</v>
      </c>
      <c r="B162" s="15" t="s">
        <v>228</v>
      </c>
      <c r="C162" s="15" t="s">
        <v>230</v>
      </c>
      <c r="D162" s="15"/>
      <c r="E162" s="63">
        <v>7.6079999999999997</v>
      </c>
      <c r="F162" s="63">
        <f>2.127+2.536</f>
        <v>4.6630000000000003</v>
      </c>
      <c r="G162" s="63">
        <v>1.353</v>
      </c>
      <c r="H162" s="63">
        <v>7.6070000000000002</v>
      </c>
      <c r="I162" s="63">
        <f t="shared" si="27"/>
        <v>21.231000000000002</v>
      </c>
      <c r="J162" s="93">
        <f>'2019'!K162</f>
        <v>3829.5454080000004</v>
      </c>
      <c r="K162" s="93">
        <f t="shared" si="37"/>
        <v>3982.7272243200005</v>
      </c>
      <c r="L162" s="93">
        <f>'2019'!M162</f>
        <v>1343.5031999999999</v>
      </c>
      <c r="M162" s="93">
        <f t="shared" si="38"/>
        <v>1397.243328</v>
      </c>
      <c r="N162" s="10">
        <f t="shared" si="32"/>
        <v>18913.809118464003</v>
      </c>
      <c r="O162" s="10">
        <f t="shared" si="33"/>
        <v>11592.414815904003</v>
      </c>
      <c r="P162" s="10">
        <f t="shared" si="34"/>
        <v>3498.1597117209603</v>
      </c>
      <c r="Q162" s="10">
        <f t="shared" si="35"/>
        <v>19667.775999306243</v>
      </c>
      <c r="R162" s="10">
        <f t="shared" si="36"/>
        <v>53672.159645395208</v>
      </c>
      <c r="S162" s="10"/>
      <c r="T162" s="11"/>
      <c r="U162" s="10"/>
      <c r="V162" s="10"/>
      <c r="W162" s="42"/>
    </row>
    <row r="163" spans="1:23" ht="22.5" customHeight="1">
      <c r="A163" s="18" t="s">
        <v>227</v>
      </c>
      <c r="B163" s="15" t="s">
        <v>228</v>
      </c>
      <c r="C163" s="15" t="s">
        <v>231</v>
      </c>
      <c r="D163" s="15"/>
      <c r="E163" s="63">
        <v>17.231999999999999</v>
      </c>
      <c r="F163" s="63">
        <f>4.818+5.744</f>
        <v>10.561999999999999</v>
      </c>
      <c r="G163" s="63">
        <v>3.06</v>
      </c>
      <c r="H163" s="63">
        <v>17.45</v>
      </c>
      <c r="I163" s="63">
        <f t="shared" si="27"/>
        <v>48.303999999999995</v>
      </c>
      <c r="J163" s="93">
        <f>'2019'!K163</f>
        <v>4301.0968000000003</v>
      </c>
      <c r="K163" s="93">
        <f t="shared" si="37"/>
        <v>4473.1406720000004</v>
      </c>
      <c r="L163" s="93">
        <f>'2019'!M163</f>
        <v>1757.1943999999999</v>
      </c>
      <c r="M163" s="93">
        <f t="shared" si="38"/>
        <v>1827.482176</v>
      </c>
      <c r="N163" s="10">
        <f t="shared" si="32"/>
        <v>43836.526156800006</v>
      </c>
      <c r="O163" s="10">
        <f t="shared" si="33"/>
        <v>26868.697148800002</v>
      </c>
      <c r="P163" s="10">
        <f t="shared" si="34"/>
        <v>8095.714997760002</v>
      </c>
      <c r="Q163" s="10">
        <f t="shared" si="35"/>
        <v>46166.740755200008</v>
      </c>
      <c r="R163" s="10">
        <f t="shared" si="36"/>
        <v>124967.67905856002</v>
      </c>
      <c r="S163" s="10"/>
      <c r="T163" s="11"/>
      <c r="U163" s="10"/>
      <c r="V163" s="10"/>
      <c r="W163" s="42"/>
    </row>
    <row r="164" spans="1:23" ht="22.5" customHeight="1">
      <c r="A164" s="18" t="s">
        <v>232</v>
      </c>
      <c r="B164" s="15" t="s">
        <v>233</v>
      </c>
      <c r="C164" s="15" t="s">
        <v>234</v>
      </c>
      <c r="D164" s="15"/>
      <c r="E164" s="63">
        <v>16.134</v>
      </c>
      <c r="F164" s="63">
        <f>5.378+3.498</f>
        <v>8.8760000000000012</v>
      </c>
      <c r="G164" s="63">
        <v>2.8679999999999999</v>
      </c>
      <c r="H164" s="63">
        <v>16.134</v>
      </c>
      <c r="I164" s="63">
        <f t="shared" si="27"/>
        <v>44.012</v>
      </c>
      <c r="J164" s="93">
        <f>'2019'!K164</f>
        <v>3313.8247999999999</v>
      </c>
      <c r="K164" s="93">
        <f t="shared" si="37"/>
        <v>3446.3777919999998</v>
      </c>
      <c r="L164" s="93">
        <f>'2019'!M164</f>
        <v>1374.2248</v>
      </c>
      <c r="M164" s="93">
        <f t="shared" si="38"/>
        <v>1429.193792</v>
      </c>
      <c r="N164" s="10">
        <f t="shared" si="32"/>
        <v>31293.506399999998</v>
      </c>
      <c r="O164" s="10">
        <f t="shared" si="33"/>
        <v>17215.889600000002</v>
      </c>
      <c r="P164" s="10">
        <f t="shared" si="34"/>
        <v>5785.2837119999995</v>
      </c>
      <c r="Q164" s="10">
        <f t="shared" si="35"/>
        <v>32545.246655999996</v>
      </c>
      <c r="R164" s="10">
        <f t="shared" si="36"/>
        <v>86839.926367999986</v>
      </c>
      <c r="S164" s="10"/>
      <c r="T164" s="11"/>
      <c r="U164" s="10"/>
      <c r="V164" s="10"/>
      <c r="W164" s="42"/>
    </row>
    <row r="165" spans="1:23" ht="22.5" customHeight="1">
      <c r="A165" s="18" t="s">
        <v>235</v>
      </c>
      <c r="B165" s="15" t="s">
        <v>236</v>
      </c>
      <c r="C165" s="15" t="s">
        <v>237</v>
      </c>
      <c r="D165" s="15"/>
      <c r="E165" s="63">
        <v>2368.7579999999998</v>
      </c>
      <c r="F165" s="63">
        <f>789.586+611.224</f>
        <v>1400.81</v>
      </c>
      <c r="G165" s="63">
        <v>786.96199999999999</v>
      </c>
      <c r="H165" s="63">
        <v>1998.4559999999999</v>
      </c>
      <c r="I165" s="63">
        <f t="shared" si="27"/>
        <v>6554.9859999999999</v>
      </c>
      <c r="J165" s="93">
        <f>'2019'!K165</f>
        <v>3869.4344000000001</v>
      </c>
      <c r="K165" s="93">
        <f t="shared" si="37"/>
        <v>4024.2117760000001</v>
      </c>
      <c r="L165" s="93">
        <f>'2019'!M165</f>
        <v>1445.444</v>
      </c>
      <c r="M165" s="93">
        <f t="shared" si="38"/>
        <v>1503.2617600000001</v>
      </c>
      <c r="N165" s="10">
        <f t="shared" si="32"/>
        <v>5741846.6519232001</v>
      </c>
      <c r="O165" s="10">
        <f t="shared" si="33"/>
        <v>3395549.9922239999</v>
      </c>
      <c r="P165" s="10">
        <f t="shared" si="34"/>
        <v>1983891.8664913918</v>
      </c>
      <c r="Q165" s="10">
        <f t="shared" si="35"/>
        <v>5038007.685175295</v>
      </c>
      <c r="R165" s="10">
        <f t="shared" si="36"/>
        <v>16159296.195813887</v>
      </c>
      <c r="S165" s="10"/>
      <c r="T165" s="11"/>
      <c r="U165" s="10"/>
      <c r="V165" s="10"/>
      <c r="W165" s="42"/>
    </row>
    <row r="166" spans="1:23" ht="22.5" customHeight="1">
      <c r="A166" s="18" t="s">
        <v>370</v>
      </c>
      <c r="B166" s="15" t="s">
        <v>371</v>
      </c>
      <c r="C166" s="15" t="s">
        <v>372</v>
      </c>
      <c r="D166" s="15"/>
      <c r="E166" s="63">
        <v>55</v>
      </c>
      <c r="F166" s="63">
        <f>12.839+10.962</f>
        <v>23.801000000000002</v>
      </c>
      <c r="G166" s="63">
        <v>4</v>
      </c>
      <c r="H166" s="63">
        <v>45</v>
      </c>
      <c r="I166" s="63">
        <f t="shared" si="27"/>
        <v>127.801</v>
      </c>
      <c r="J166" s="93">
        <f>'2019'!K166</f>
        <v>4428.9856000000009</v>
      </c>
      <c r="K166" s="93">
        <f t="shared" si="37"/>
        <v>4606.1450240000013</v>
      </c>
      <c r="L166" s="93">
        <f>'2019'!M166</f>
        <v>1850.9088000000002</v>
      </c>
      <c r="M166" s="93">
        <f t="shared" si="38"/>
        <v>1924.9451520000002</v>
      </c>
      <c r="N166" s="10">
        <f t="shared" si="32"/>
        <v>141794.22400000005</v>
      </c>
      <c r="O166" s="10">
        <f t="shared" si="33"/>
        <v>61360.805916800025</v>
      </c>
      <c r="P166" s="10">
        <f t="shared" si="34"/>
        <v>10724.799488000004</v>
      </c>
      <c r="Q166" s="10">
        <f t="shared" si="35"/>
        <v>120653.99424000004</v>
      </c>
      <c r="R166" s="10">
        <f t="shared" si="36"/>
        <v>334533.82364480011</v>
      </c>
      <c r="S166" s="10"/>
      <c r="T166" s="11"/>
      <c r="U166" s="10"/>
      <c r="V166" s="10"/>
      <c r="W166" s="42"/>
    </row>
    <row r="167" spans="1:23" ht="22.5" customHeight="1">
      <c r="A167" s="18" t="s">
        <v>389</v>
      </c>
      <c r="B167" s="15" t="s">
        <v>390</v>
      </c>
      <c r="C167" s="15" t="s">
        <v>391</v>
      </c>
      <c r="D167" s="15"/>
      <c r="E167" s="63">
        <v>10.332000000000001</v>
      </c>
      <c r="F167" s="63">
        <v>1.25</v>
      </c>
      <c r="G167" s="63">
        <v>0.49</v>
      </c>
      <c r="H167" s="63">
        <v>3.02</v>
      </c>
      <c r="I167" s="63">
        <f t="shared" si="27"/>
        <v>15.092000000000001</v>
      </c>
      <c r="J167" s="93">
        <f>'2019'!K167</f>
        <v>3648.2259840000002</v>
      </c>
      <c r="K167" s="93">
        <f t="shared" si="37"/>
        <v>3794.1550233600001</v>
      </c>
      <c r="L167" s="93">
        <f>'2019'!M167</f>
        <v>1850.7424000000001</v>
      </c>
      <c r="M167" s="93">
        <f t="shared" si="38"/>
        <v>1924.7720960000001</v>
      </c>
      <c r="N167" s="10">
        <f t="shared" si="32"/>
        <v>18571.600389888001</v>
      </c>
      <c r="O167" s="10">
        <f t="shared" si="33"/>
        <v>2246.85448</v>
      </c>
      <c r="P167" s="10">
        <f t="shared" si="34"/>
        <v>915.99763440639992</v>
      </c>
      <c r="Q167" s="10">
        <f t="shared" si="35"/>
        <v>5645.5364406272001</v>
      </c>
      <c r="R167" s="10">
        <f t="shared" si="36"/>
        <v>27379.988944921606</v>
      </c>
      <c r="S167" s="10"/>
      <c r="T167" s="11"/>
      <c r="U167" s="10"/>
      <c r="V167" s="10"/>
      <c r="W167" s="42"/>
    </row>
    <row r="168" spans="1:23" ht="22.5" customHeight="1">
      <c r="A168" s="18" t="s">
        <v>381</v>
      </c>
      <c r="B168" s="15" t="s">
        <v>382</v>
      </c>
      <c r="C168" s="15" t="s">
        <v>383</v>
      </c>
      <c r="D168" s="15"/>
      <c r="E168" s="63">
        <v>50.088000000000001</v>
      </c>
      <c r="F168" s="63">
        <f>78.901-E168</f>
        <v>28.812999999999995</v>
      </c>
      <c r="G168" s="63">
        <v>8.9</v>
      </c>
      <c r="H168" s="63">
        <v>50.1</v>
      </c>
      <c r="I168" s="63">
        <f t="shared" si="27"/>
        <v>137.90100000000001</v>
      </c>
      <c r="J168" s="93">
        <f>'2019'!K168</f>
        <v>3764.2384000000002</v>
      </c>
      <c r="K168" s="93">
        <f t="shared" si="37"/>
        <v>3914.8079360000002</v>
      </c>
      <c r="L168" s="93">
        <f>'2019'!M168</f>
        <v>1640.1112000000001</v>
      </c>
      <c r="M168" s="93">
        <f t="shared" si="38"/>
        <v>1705.7156480000001</v>
      </c>
      <c r="N168" s="10">
        <f t="shared" si="32"/>
        <v>106393.2831936</v>
      </c>
      <c r="O168" s="10">
        <f t="shared" si="33"/>
        <v>61202.477013599986</v>
      </c>
      <c r="P168" s="10">
        <f t="shared" si="34"/>
        <v>19660.921363199999</v>
      </c>
      <c r="Q168" s="10">
        <f t="shared" si="35"/>
        <v>110675.5236288</v>
      </c>
      <c r="R168" s="10">
        <f t="shared" si="36"/>
        <v>297932.20519919996</v>
      </c>
      <c r="S168" s="10"/>
      <c r="T168" s="11"/>
      <c r="U168" s="10"/>
      <c r="V168" s="10"/>
      <c r="W168" s="42"/>
    </row>
    <row r="169" spans="1:23" ht="25.5" customHeight="1">
      <c r="A169" s="133" t="s">
        <v>240</v>
      </c>
      <c r="B169" s="133"/>
      <c r="C169" s="133"/>
      <c r="D169" s="133"/>
      <c r="E169" s="64"/>
      <c r="F169" s="64"/>
      <c r="G169" s="65"/>
      <c r="H169" s="65"/>
      <c r="I169" s="63"/>
      <c r="J169" s="85"/>
      <c r="K169" s="85"/>
      <c r="L169" s="85"/>
      <c r="M169" s="85"/>
      <c r="N169" s="10">
        <f t="shared" si="32"/>
        <v>0</v>
      </c>
      <c r="O169" s="10">
        <f t="shared" si="33"/>
        <v>0</v>
      </c>
      <c r="P169" s="10">
        <f t="shared" si="34"/>
        <v>0</v>
      </c>
      <c r="Q169" s="10">
        <f t="shared" si="35"/>
        <v>0</v>
      </c>
      <c r="R169" s="10">
        <f t="shared" si="36"/>
        <v>0</v>
      </c>
      <c r="S169" s="10"/>
      <c r="T169" s="11"/>
      <c r="U169" s="10"/>
      <c r="V169" s="10"/>
      <c r="W169" s="45"/>
    </row>
    <row r="170" spans="1:23" ht="18" customHeight="1">
      <c r="A170" s="18" t="s">
        <v>238</v>
      </c>
      <c r="B170" s="15" t="s">
        <v>239</v>
      </c>
      <c r="C170" s="15" t="s">
        <v>241</v>
      </c>
      <c r="D170" s="15"/>
      <c r="E170" s="63">
        <v>6664.0249999999996</v>
      </c>
      <c r="F170" s="63">
        <f>2084.866+10.526+2050.69+132.816</f>
        <v>4278.8980000000001</v>
      </c>
      <c r="G170" s="63">
        <v>1739.1679999999999</v>
      </c>
      <c r="H170" s="63">
        <v>6648.7470000000003</v>
      </c>
      <c r="I170" s="63">
        <f t="shared" si="27"/>
        <v>19330.838</v>
      </c>
      <c r="J170" s="93">
        <f>'2019'!K170</f>
        <v>3818.308</v>
      </c>
      <c r="K170" s="93">
        <f t="shared" si="37"/>
        <v>3971.0403200000001</v>
      </c>
      <c r="L170" s="93">
        <f>'2019'!M170</f>
        <v>1207.1280000000002</v>
      </c>
      <c r="M170" s="93">
        <f t="shared" si="38"/>
        <v>1255.4131200000002</v>
      </c>
      <c r="N170" s="10">
        <f t="shared" si="32"/>
        <v>17400968.7995</v>
      </c>
      <c r="O170" s="10">
        <f t="shared" si="33"/>
        <v>11172972.87964</v>
      </c>
      <c r="P170" s="10">
        <f t="shared" si="34"/>
        <v>4722931.9261695994</v>
      </c>
      <c r="Q170" s="10">
        <f t="shared" si="35"/>
        <v>18055518.199118402</v>
      </c>
      <c r="R170" s="10">
        <f t="shared" si="36"/>
        <v>51352391.804428004</v>
      </c>
      <c r="S170" s="10"/>
      <c r="T170" s="11"/>
      <c r="U170" s="10"/>
      <c r="V170" s="10"/>
      <c r="W170" s="42"/>
    </row>
    <row r="171" spans="1:23" ht="19.5" customHeight="1">
      <c r="A171" s="18" t="s">
        <v>242</v>
      </c>
      <c r="B171" s="15" t="s">
        <v>243</v>
      </c>
      <c r="C171" s="15" t="s">
        <v>244</v>
      </c>
      <c r="D171" s="15"/>
      <c r="E171" s="63">
        <v>3564.895</v>
      </c>
      <c r="F171" s="63">
        <f>1101.543+918.387+145.986</f>
        <v>2165.9159999999997</v>
      </c>
      <c r="G171" s="63">
        <v>433.959</v>
      </c>
      <c r="H171" s="63">
        <v>3093.2530000000002</v>
      </c>
      <c r="I171" s="63">
        <f t="shared" si="27"/>
        <v>9258.0229999999992</v>
      </c>
      <c r="J171" s="93">
        <f>'2019'!K171</f>
        <v>5470.5663999999997</v>
      </c>
      <c r="K171" s="93">
        <f t="shared" si="37"/>
        <v>5689.389056</v>
      </c>
      <c r="L171" s="93">
        <f>'2019'!M171</f>
        <v>1424.4152000000001</v>
      </c>
      <c r="M171" s="93">
        <f t="shared" si="38"/>
        <v>1481.3918080000003</v>
      </c>
      <c r="N171" s="10">
        <f t="shared" si="32"/>
        <v>14424104.182123998</v>
      </c>
      <c r="O171" s="10">
        <f t="shared" si="33"/>
        <v>8763623.6224991977</v>
      </c>
      <c r="P171" s="10">
        <f t="shared" si="34"/>
        <v>1826098.277744832</v>
      </c>
      <c r="Q171" s="10">
        <f t="shared" si="35"/>
        <v>13016400.111367743</v>
      </c>
      <c r="R171" s="10">
        <f t="shared" si="36"/>
        <v>38030226.193735771</v>
      </c>
      <c r="S171" s="10"/>
      <c r="T171" s="11"/>
      <c r="U171" s="10"/>
      <c r="V171" s="10"/>
      <c r="W171" s="42"/>
    </row>
    <row r="172" spans="1:23" ht="19.5" customHeight="1">
      <c r="A172" s="18" t="s">
        <v>245</v>
      </c>
      <c r="B172" s="15" t="s">
        <v>246</v>
      </c>
      <c r="C172" s="15" t="s">
        <v>247</v>
      </c>
      <c r="D172" s="15"/>
      <c r="E172" s="63">
        <v>4307.4539999999997</v>
      </c>
      <c r="F172" s="63">
        <f>1230.433+1189.735+208.157-0.157</f>
        <v>2628.1679999999997</v>
      </c>
      <c r="G172" s="63">
        <v>477.37200000000001</v>
      </c>
      <c r="H172" s="63">
        <v>3710.2420000000002</v>
      </c>
      <c r="I172" s="63">
        <f t="shared" si="27"/>
        <v>11123.236000000001</v>
      </c>
      <c r="J172" s="93">
        <f>'2019'!K172</f>
        <v>4161.0608000000002</v>
      </c>
      <c r="K172" s="93">
        <f t="shared" si="37"/>
        <v>4327.503232</v>
      </c>
      <c r="L172" s="93">
        <f>'2019'!M172</f>
        <v>1456.6448</v>
      </c>
      <c r="M172" s="93">
        <f t="shared" si="38"/>
        <v>1514.9105920000002</v>
      </c>
      <c r="N172" s="10">
        <f t="shared" si="32"/>
        <v>11649147.516864</v>
      </c>
      <c r="O172" s="10">
        <f t="shared" si="33"/>
        <v>7107659.5898879999</v>
      </c>
      <c r="P172" s="10">
        <f t="shared" si="34"/>
        <v>1342652.9737420799</v>
      </c>
      <c r="Q172" s="10">
        <f t="shared" si="35"/>
        <v>10435399.34181888</v>
      </c>
      <c r="R172" s="10">
        <f t="shared" si="36"/>
        <v>30534859.42231296</v>
      </c>
      <c r="S172" s="10"/>
      <c r="T172" s="11"/>
      <c r="U172" s="10"/>
      <c r="V172" s="10"/>
      <c r="W172" s="42"/>
    </row>
    <row r="173" spans="1:23" ht="19.5" customHeight="1">
      <c r="A173" s="18" t="s">
        <v>248</v>
      </c>
      <c r="B173" s="15" t="s">
        <v>249</v>
      </c>
      <c r="C173" s="15" t="s">
        <v>250</v>
      </c>
      <c r="D173" s="15" t="s">
        <v>251</v>
      </c>
      <c r="E173" s="63">
        <v>188.685</v>
      </c>
      <c r="F173" s="63">
        <f>63.11+63.11+12.622</f>
        <v>138.84199999999998</v>
      </c>
      <c r="G173" s="63">
        <v>37.737000000000002</v>
      </c>
      <c r="H173" s="63">
        <v>188.685</v>
      </c>
      <c r="I173" s="63">
        <f t="shared" si="27"/>
        <v>553.94900000000007</v>
      </c>
      <c r="J173" s="93">
        <f>'2019'!K173</f>
        <v>4511.3328000000001</v>
      </c>
      <c r="K173" s="93">
        <f t="shared" si="37"/>
        <v>4691.7861120000007</v>
      </c>
      <c r="L173" s="93">
        <f>'2019'!M173</f>
        <v>1484.6549952000003</v>
      </c>
      <c r="M173" s="93">
        <f t="shared" si="38"/>
        <v>1544.0411950080004</v>
      </c>
      <c r="N173" s="10">
        <f t="shared" si="32"/>
        <v>571088.70159868791</v>
      </c>
      <c r="O173" s="10">
        <f t="shared" si="33"/>
        <v>420229.99977404153</v>
      </c>
      <c r="P173" s="10">
        <f t="shared" si="34"/>
        <v>118786.44993252712</v>
      </c>
      <c r="Q173" s="10">
        <f t="shared" si="35"/>
        <v>593932.2496626355</v>
      </c>
      <c r="R173" s="10">
        <f t="shared" si="36"/>
        <v>1704037.4009678918</v>
      </c>
      <c r="S173" s="10"/>
      <c r="T173" s="11"/>
      <c r="U173" s="10"/>
      <c r="V173" s="10"/>
      <c r="W173" s="42"/>
    </row>
    <row r="174" spans="1:23" ht="19.5" customHeight="1">
      <c r="A174" s="18" t="s">
        <v>248</v>
      </c>
      <c r="B174" s="15" t="s">
        <v>249</v>
      </c>
      <c r="C174" s="15" t="s">
        <v>250</v>
      </c>
      <c r="D174" s="15" t="s">
        <v>252</v>
      </c>
      <c r="E174" s="63">
        <v>65.046999999999997</v>
      </c>
      <c r="F174" s="63">
        <f>14.605+19.913+3.983</f>
        <v>38.500999999999998</v>
      </c>
      <c r="G174" s="63">
        <v>13.54</v>
      </c>
      <c r="H174" s="63">
        <v>64.17</v>
      </c>
      <c r="I174" s="63">
        <f t="shared" si="27"/>
        <v>181.25799999999998</v>
      </c>
      <c r="J174" s="93">
        <f>'2019'!K174</f>
        <v>4511.3328000000001</v>
      </c>
      <c r="K174" s="93">
        <f t="shared" si="37"/>
        <v>4691.7861120000007</v>
      </c>
      <c r="L174" s="93">
        <f>'2019'!M174</f>
        <v>1419.2703283200003</v>
      </c>
      <c r="M174" s="93">
        <f t="shared" si="38"/>
        <v>1476.0411414528003</v>
      </c>
      <c r="N174" s="10">
        <f t="shared" si="32"/>
        <v>201129.38759536893</v>
      </c>
      <c r="O174" s="10">
        <f t="shared" si="33"/>
        <v>119047.49722215167</v>
      </c>
      <c r="P174" s="10">
        <f t="shared" si="34"/>
        <v>43541.18690120909</v>
      </c>
      <c r="Q174" s="10">
        <f t="shared" si="35"/>
        <v>206354.35476001387</v>
      </c>
      <c r="R174" s="10">
        <f t="shared" si="36"/>
        <v>570072.42647874355</v>
      </c>
      <c r="S174" s="10"/>
      <c r="T174" s="11"/>
      <c r="U174" s="10"/>
      <c r="V174" s="10"/>
      <c r="W174" s="42"/>
    </row>
    <row r="175" spans="1:23" ht="19.5" customHeight="1">
      <c r="A175" s="18" t="s">
        <v>253</v>
      </c>
      <c r="B175" s="15" t="s">
        <v>254</v>
      </c>
      <c r="C175" s="15" t="s">
        <v>250</v>
      </c>
      <c r="D175" s="15"/>
      <c r="E175" s="63">
        <v>2979.2190000000001</v>
      </c>
      <c r="F175" s="63">
        <f>886.508+829.936+168.749</f>
        <v>1885.193</v>
      </c>
      <c r="G175" s="63">
        <v>383.42</v>
      </c>
      <c r="H175" s="63">
        <v>2734.0749999999998</v>
      </c>
      <c r="I175" s="63">
        <f t="shared" si="27"/>
        <v>7981.9070000000002</v>
      </c>
      <c r="J175" s="93">
        <f>'2019'!K175</f>
        <v>4098.6296000000002</v>
      </c>
      <c r="K175" s="93">
        <f t="shared" si="37"/>
        <v>4262.5747840000004</v>
      </c>
      <c r="L175" s="93">
        <f>'2019'!M175</f>
        <v>1456.6448</v>
      </c>
      <c r="M175" s="93">
        <f t="shared" si="38"/>
        <v>1514.9105920000002</v>
      </c>
      <c r="N175" s="10">
        <f t="shared" si="32"/>
        <v>7871051.3138712011</v>
      </c>
      <c r="O175" s="10">
        <f t="shared" si="33"/>
        <v>4980651.2510664007</v>
      </c>
      <c r="P175" s="10">
        <f t="shared" si="34"/>
        <v>1053509.4044966402</v>
      </c>
      <c r="Q175" s="10">
        <f t="shared" si="35"/>
        <v>7512319.9757423997</v>
      </c>
      <c r="R175" s="10">
        <f t="shared" si="36"/>
        <v>21417531.945176642</v>
      </c>
      <c r="S175" s="16"/>
      <c r="T175" s="16"/>
      <c r="U175" s="16"/>
      <c r="V175" s="16"/>
      <c r="W175" s="42"/>
    </row>
    <row r="176" spans="1:23" ht="19.5" customHeight="1">
      <c r="A176" s="18" t="s">
        <v>253</v>
      </c>
      <c r="B176" s="15" t="s">
        <v>254</v>
      </c>
      <c r="C176" s="15" t="s">
        <v>255</v>
      </c>
      <c r="D176" s="15"/>
      <c r="E176" s="63">
        <v>1404.845</v>
      </c>
      <c r="F176" s="63">
        <f>445.1+410.898+94.287</f>
        <v>950.28500000000008</v>
      </c>
      <c r="G176" s="63">
        <v>221.845</v>
      </c>
      <c r="H176" s="63">
        <v>1348.83</v>
      </c>
      <c r="I176" s="63">
        <f t="shared" ref="I176:I227" si="39">SUM(E176:H176)</f>
        <v>3925.8049999999998</v>
      </c>
      <c r="J176" s="93">
        <f>'2019'!K176</f>
        <v>4337.9960000000001</v>
      </c>
      <c r="K176" s="93">
        <f t="shared" si="37"/>
        <v>4511.51584</v>
      </c>
      <c r="L176" s="93">
        <f>'2019'!M176</f>
        <v>1456.6448</v>
      </c>
      <c r="M176" s="93">
        <f t="shared" si="38"/>
        <v>1514.9105920000002</v>
      </c>
      <c r="N176" s="10">
        <f t="shared" si="32"/>
        <v>4047851.826564</v>
      </c>
      <c r="O176" s="10">
        <f t="shared" si="33"/>
        <v>2738104.8250920004</v>
      </c>
      <c r="P176" s="10">
        <f t="shared" si="34"/>
        <v>664781.89124256</v>
      </c>
      <c r="Q176" s="10">
        <f t="shared" si="35"/>
        <v>4041911.0566598396</v>
      </c>
      <c r="R176" s="10">
        <f t="shared" si="36"/>
        <v>11492649.5995584</v>
      </c>
      <c r="S176" s="10"/>
      <c r="T176" s="11"/>
      <c r="U176" s="10"/>
      <c r="V176" s="10"/>
      <c r="W176" s="42"/>
    </row>
    <row r="177" spans="1:23" ht="19.5" customHeight="1">
      <c r="A177" s="18" t="s">
        <v>253</v>
      </c>
      <c r="B177" s="15" t="s">
        <v>254</v>
      </c>
      <c r="C177" s="15" t="s">
        <v>21</v>
      </c>
      <c r="D177" s="15"/>
      <c r="E177" s="63">
        <v>1538.915</v>
      </c>
      <c r="F177" s="63">
        <f>493.195+478.979+105.46</f>
        <v>1077.634</v>
      </c>
      <c r="G177" s="63">
        <v>278.87400000000002</v>
      </c>
      <c r="H177" s="63">
        <v>1690.2560000000001</v>
      </c>
      <c r="I177" s="63">
        <f t="shared" si="39"/>
        <v>4585.6790000000001</v>
      </c>
      <c r="J177" s="93">
        <f>'2019'!K177</f>
        <v>3612.4295999999999</v>
      </c>
      <c r="K177" s="93">
        <f t="shared" si="37"/>
        <v>3756.9267840000002</v>
      </c>
      <c r="L177" s="93">
        <f>'2019'!M177</f>
        <v>1456.6448</v>
      </c>
      <c r="M177" s="93">
        <f t="shared" si="38"/>
        <v>1514.9105920000002</v>
      </c>
      <c r="N177" s="10">
        <f t="shared" si="32"/>
        <v>3317569.565492</v>
      </c>
      <c r="O177" s="10">
        <f t="shared" si="33"/>
        <v>2323146.9971631998</v>
      </c>
      <c r="P177" s="10">
        <f t="shared" si="34"/>
        <v>625240.02352780802</v>
      </c>
      <c r="Q177" s="10">
        <f t="shared" si="35"/>
        <v>3789581.3206251524</v>
      </c>
      <c r="R177" s="10">
        <f t="shared" si="36"/>
        <v>10055537.90680816</v>
      </c>
      <c r="S177" s="10"/>
      <c r="T177" s="11"/>
      <c r="U177" s="10"/>
      <c r="V177" s="10"/>
      <c r="W177" s="42"/>
    </row>
    <row r="178" spans="1:23" ht="19.5" customHeight="1">
      <c r="A178" s="18" t="s">
        <v>256</v>
      </c>
      <c r="B178" s="15" t="s">
        <v>257</v>
      </c>
      <c r="C178" s="15" t="s">
        <v>247</v>
      </c>
      <c r="D178" s="15" t="s">
        <v>258</v>
      </c>
      <c r="E178" s="63">
        <v>475.00400000000002</v>
      </c>
      <c r="F178" s="63">
        <f>131.371+110.71+49.405</f>
        <v>291.48599999999999</v>
      </c>
      <c r="G178" s="63">
        <v>123.233</v>
      </c>
      <c r="H178" s="63">
        <v>452.09500000000003</v>
      </c>
      <c r="I178" s="63">
        <f t="shared" si="39"/>
        <v>1341.818</v>
      </c>
      <c r="J178" s="93">
        <f>'2019'!K178</f>
        <v>5947.1463999999996</v>
      </c>
      <c r="K178" s="93">
        <f t="shared" si="37"/>
        <v>6185.0322559999995</v>
      </c>
      <c r="L178" s="93">
        <f>'2019'!M178</f>
        <v>1456.6448</v>
      </c>
      <c r="M178" s="93">
        <f t="shared" si="38"/>
        <v>1514.9105920000002</v>
      </c>
      <c r="N178" s="10">
        <f t="shared" si="32"/>
        <v>2133006.2220064001</v>
      </c>
      <c r="O178" s="10">
        <f t="shared" si="33"/>
        <v>1308918.3493775998</v>
      </c>
      <c r="P178" s="10">
        <f t="shared" si="34"/>
        <v>575513.10301971191</v>
      </c>
      <c r="Q178" s="10">
        <f t="shared" si="35"/>
        <v>2111338.6536860797</v>
      </c>
      <c r="R178" s="10">
        <f t="shared" si="36"/>
        <v>6128776.3280897914</v>
      </c>
      <c r="S178" s="10"/>
      <c r="T178" s="11"/>
      <c r="U178" s="10"/>
      <c r="V178" s="10"/>
      <c r="W178" s="42"/>
    </row>
    <row r="179" spans="1:23" ht="19.5" customHeight="1">
      <c r="A179" s="18" t="s">
        <v>256</v>
      </c>
      <c r="B179" s="15" t="s">
        <v>257</v>
      </c>
      <c r="C179" s="15" t="s">
        <v>247</v>
      </c>
      <c r="D179" s="15" t="s">
        <v>259</v>
      </c>
      <c r="E179" s="63">
        <v>384.93599999999998</v>
      </c>
      <c r="F179" s="63">
        <f>128.313+128.313+25.663</f>
        <v>282.28899999999999</v>
      </c>
      <c r="G179" s="63">
        <v>93.045000000000002</v>
      </c>
      <c r="H179" s="63">
        <v>341.74700000000001</v>
      </c>
      <c r="I179" s="63">
        <f t="shared" si="39"/>
        <v>1102.0169999999998</v>
      </c>
      <c r="J179" s="93">
        <f>'2019'!K179</f>
        <v>5947.1463999999996</v>
      </c>
      <c r="K179" s="93">
        <f t="shared" si="37"/>
        <v>6185.0322559999995</v>
      </c>
      <c r="L179" s="93">
        <f>'2019'!M179</f>
        <v>1456.6448</v>
      </c>
      <c r="M179" s="93">
        <f t="shared" si="38"/>
        <v>1514.9105920000002</v>
      </c>
      <c r="N179" s="10">
        <f t="shared" si="32"/>
        <v>1728555.7238975998</v>
      </c>
      <c r="O179" s="10">
        <f t="shared" si="33"/>
        <v>1267619.2061623998</v>
      </c>
      <c r="P179" s="10">
        <f t="shared" si="34"/>
        <v>434531.47022687993</v>
      </c>
      <c r="Q179" s="10">
        <f t="shared" si="35"/>
        <v>1596000.0683070079</v>
      </c>
      <c r="R179" s="10">
        <f t="shared" si="36"/>
        <v>5026706.4685938871</v>
      </c>
      <c r="S179" s="10"/>
      <c r="T179" s="11"/>
      <c r="U179" s="10"/>
      <c r="V179" s="10"/>
      <c r="W179" s="42"/>
    </row>
    <row r="180" spans="1:23" ht="19.5" customHeight="1">
      <c r="A180" s="18" t="s">
        <v>260</v>
      </c>
      <c r="B180" s="15" t="s">
        <v>261</v>
      </c>
      <c r="C180" s="15" t="s">
        <v>262</v>
      </c>
      <c r="D180" s="15"/>
      <c r="E180" s="63">
        <v>2157.5250000000001</v>
      </c>
      <c r="F180" s="63">
        <f>719.175+719.175+143.835</f>
        <v>1582.1849999999999</v>
      </c>
      <c r="G180" s="63">
        <v>430.58</v>
      </c>
      <c r="H180" s="63">
        <v>2154.4670000000001</v>
      </c>
      <c r="I180" s="63">
        <f t="shared" si="39"/>
        <v>6324.7569999999996</v>
      </c>
      <c r="J180" s="93">
        <f>'2019'!K180</f>
        <v>4566.3488000000007</v>
      </c>
      <c r="K180" s="93">
        <f t="shared" si="37"/>
        <v>4749.0027520000012</v>
      </c>
      <c r="L180" s="93">
        <f>'2019'!M180</f>
        <v>1392.4872</v>
      </c>
      <c r="M180" s="93">
        <f t="shared" si="38"/>
        <v>1448.186688</v>
      </c>
      <c r="N180" s="10">
        <f t="shared" si="32"/>
        <v>6847685.7485400019</v>
      </c>
      <c r="O180" s="10">
        <f t="shared" si="33"/>
        <v>5021636.2155960007</v>
      </c>
      <c r="P180" s="10">
        <f t="shared" si="34"/>
        <v>1421265.3808371206</v>
      </c>
      <c r="Q180" s="10">
        <f t="shared" si="35"/>
        <v>7111499.2829578919</v>
      </c>
      <c r="R180" s="10">
        <f t="shared" si="36"/>
        <v>20402086.627931014</v>
      </c>
      <c r="S180" s="10"/>
      <c r="T180" s="11"/>
      <c r="U180" s="10"/>
      <c r="V180" s="10"/>
      <c r="W180" s="42"/>
    </row>
    <row r="181" spans="1:23" ht="19.5" customHeight="1">
      <c r="A181" s="18" t="s">
        <v>263</v>
      </c>
      <c r="B181" s="15" t="s">
        <v>264</v>
      </c>
      <c r="C181" s="15" t="s">
        <v>247</v>
      </c>
      <c r="D181" s="15"/>
      <c r="E181" s="63">
        <v>3389.6669999999999</v>
      </c>
      <c r="F181" s="63">
        <f>1081.701+1053.851+204.643</f>
        <v>2340.1950000000002</v>
      </c>
      <c r="G181" s="63">
        <v>606.77</v>
      </c>
      <c r="H181" s="63">
        <v>3374.7510000000002</v>
      </c>
      <c r="I181" s="63">
        <f t="shared" si="39"/>
        <v>9711.3829999999998</v>
      </c>
      <c r="J181" s="93">
        <f>'2019'!K181</f>
        <v>3301.8336000000004</v>
      </c>
      <c r="K181" s="93">
        <f t="shared" si="37"/>
        <v>3433.9069440000003</v>
      </c>
      <c r="L181" s="93">
        <f>'2019'!M181</f>
        <v>1456.6448</v>
      </c>
      <c r="M181" s="93">
        <f t="shared" si="38"/>
        <v>1514.9105920000002</v>
      </c>
      <c r="N181" s="10">
        <f t="shared" si="32"/>
        <v>6254575.5841296008</v>
      </c>
      <c r="O181" s="10">
        <f t="shared" si="33"/>
        <v>4318101.6038160007</v>
      </c>
      <c r="P181" s="10">
        <f t="shared" si="34"/>
        <v>1164389.4165030401</v>
      </c>
      <c r="Q181" s="10">
        <f t="shared" si="35"/>
        <v>6476134.8579083532</v>
      </c>
      <c r="R181" s="10">
        <f t="shared" si="36"/>
        <v>18213201.462356992</v>
      </c>
      <c r="S181" s="10"/>
      <c r="T181" s="11"/>
      <c r="U181" s="10"/>
      <c r="V181" s="10"/>
      <c r="W181" s="42"/>
    </row>
    <row r="182" spans="1:23" ht="19.5" customHeight="1">
      <c r="A182" s="18" t="s">
        <v>265</v>
      </c>
      <c r="B182" s="15" t="s">
        <v>266</v>
      </c>
      <c r="C182" s="15" t="s">
        <v>247</v>
      </c>
      <c r="D182" s="15"/>
      <c r="E182" s="63">
        <v>1109.24</v>
      </c>
      <c r="F182" s="63">
        <f>346.533+383.71+62.69</f>
        <v>792.93299999999999</v>
      </c>
      <c r="G182" s="63">
        <v>228.94499999999999</v>
      </c>
      <c r="H182" s="63">
        <v>1165.2339999999999</v>
      </c>
      <c r="I182" s="63">
        <f t="shared" si="39"/>
        <v>3296.3519999999999</v>
      </c>
      <c r="J182" s="93">
        <f>'2019'!K182</f>
        <v>4003.2928000000002</v>
      </c>
      <c r="K182" s="93">
        <f t="shared" si="37"/>
        <v>4163.4245120000005</v>
      </c>
      <c r="L182" s="93">
        <f>'2019'!M182</f>
        <v>1467.8456000000001</v>
      </c>
      <c r="M182" s="93">
        <f t="shared" si="38"/>
        <v>1526.5594240000003</v>
      </c>
      <c r="N182" s="10">
        <f t="shared" si="32"/>
        <v>2812419.4521280001</v>
      </c>
      <c r="O182" s="10">
        <f t="shared" si="33"/>
        <v>2010439.7546375999</v>
      </c>
      <c r="P182" s="10">
        <f t="shared" si="34"/>
        <v>603697.07757216005</v>
      </c>
      <c r="Q182" s="10">
        <f t="shared" si="35"/>
        <v>3072564.8539505922</v>
      </c>
      <c r="R182" s="10">
        <f t="shared" si="36"/>
        <v>8499121.1382883526</v>
      </c>
      <c r="S182" s="10"/>
      <c r="T182" s="11"/>
      <c r="U182" s="10"/>
      <c r="V182" s="10"/>
      <c r="W182" s="42"/>
    </row>
    <row r="183" spans="1:23" ht="19.5" customHeight="1">
      <c r="A183" s="18" t="s">
        <v>267</v>
      </c>
      <c r="B183" s="15" t="s">
        <v>268</v>
      </c>
      <c r="C183" s="15" t="s">
        <v>269</v>
      </c>
      <c r="D183" s="15"/>
      <c r="E183" s="63">
        <v>2815.26</v>
      </c>
      <c r="F183" s="63">
        <f>938.42+938.42+187.684</f>
        <v>2064.5239999999999</v>
      </c>
      <c r="G183" s="63">
        <v>563.05200000000002</v>
      </c>
      <c r="H183" s="63">
        <v>2815.26</v>
      </c>
      <c r="I183" s="63">
        <f t="shared" si="39"/>
        <v>8258.0959999999995</v>
      </c>
      <c r="J183" s="93">
        <f>'2019'!K183</f>
        <v>4260.88</v>
      </c>
      <c r="K183" s="93">
        <f t="shared" si="37"/>
        <v>4431.3152</v>
      </c>
      <c r="L183" s="93">
        <f>'2019'!M183</f>
        <v>1392.4872</v>
      </c>
      <c r="M183" s="93">
        <f t="shared" si="38"/>
        <v>1448.186688</v>
      </c>
      <c r="N183" s="10">
        <f t="shared" si="32"/>
        <v>8075271.5141280005</v>
      </c>
      <c r="O183" s="10">
        <f t="shared" si="33"/>
        <v>5921865.7770272</v>
      </c>
      <c r="P183" s="10">
        <f t="shared" si="34"/>
        <v>1679656.4749386243</v>
      </c>
      <c r="Q183" s="10">
        <f t="shared" si="35"/>
        <v>8398282.3746931218</v>
      </c>
      <c r="R183" s="10">
        <f t="shared" si="36"/>
        <v>24075076.140786946</v>
      </c>
      <c r="S183" s="10"/>
      <c r="T183" s="11"/>
      <c r="U183" s="10"/>
      <c r="V183" s="10"/>
      <c r="W183" s="42"/>
    </row>
    <row r="184" spans="1:23" ht="19.5" customHeight="1">
      <c r="A184" s="18" t="s">
        <v>55</v>
      </c>
      <c r="B184" s="15" t="s">
        <v>56</v>
      </c>
      <c r="C184" s="15" t="s">
        <v>270</v>
      </c>
      <c r="D184" s="15"/>
      <c r="E184" s="63">
        <v>2847.0590000000002</v>
      </c>
      <c r="F184" s="63">
        <f>839.562+802.092+40.965</f>
        <v>1682.6189999999999</v>
      </c>
      <c r="G184" s="63">
        <v>970.52300000000002</v>
      </c>
      <c r="H184" s="63">
        <v>2783.665</v>
      </c>
      <c r="I184" s="63">
        <f>SUM(E184:H184)</f>
        <v>8283.866</v>
      </c>
      <c r="J184" s="93">
        <f>'2019'!K184</f>
        <v>5779.2591999999995</v>
      </c>
      <c r="K184" s="93">
        <f t="shared" si="37"/>
        <v>6010.4295679999996</v>
      </c>
      <c r="L184" s="93">
        <f>'2019'!M184</f>
        <v>1392.4872</v>
      </c>
      <c r="M184" s="93">
        <f t="shared" si="38"/>
        <v>1448.186688</v>
      </c>
      <c r="N184" s="10">
        <f t="shared" si="32"/>
        <v>12489398.703547997</v>
      </c>
      <c r="O184" s="10">
        <f t="shared" si="33"/>
        <v>7381265.9158679983</v>
      </c>
      <c r="P184" s="10">
        <f t="shared" si="34"/>
        <v>4427761.6466262396</v>
      </c>
      <c r="Q184" s="10">
        <f t="shared" si="35"/>
        <v>12699755.8265552</v>
      </c>
      <c r="R184" s="10">
        <f t="shared" si="36"/>
        <v>36998182.092597432</v>
      </c>
      <c r="S184" s="10"/>
      <c r="T184" s="11"/>
      <c r="U184" s="10"/>
      <c r="V184" s="10"/>
      <c r="W184" s="42"/>
    </row>
    <row r="185" spans="1:23" s="29" customFormat="1" ht="25.5" customHeight="1">
      <c r="A185" s="22" t="s">
        <v>446</v>
      </c>
      <c r="B185" s="72" t="s">
        <v>447</v>
      </c>
      <c r="C185" s="72" t="s">
        <v>270</v>
      </c>
      <c r="D185" s="15"/>
      <c r="E185" s="21">
        <v>53.567999999999998</v>
      </c>
      <c r="F185" s="21">
        <v>35.712000000000003</v>
      </c>
      <c r="G185" s="21">
        <v>14.144</v>
      </c>
      <c r="H185" s="21">
        <v>56.576000000000001</v>
      </c>
      <c r="I185" s="63">
        <f t="shared" ref="I185:I186" si="40">SUM(E185:H185)</f>
        <v>160</v>
      </c>
      <c r="J185" s="93">
        <f>'2019'!K185</f>
        <v>1777.8384000000001</v>
      </c>
      <c r="K185" s="93">
        <f t="shared" ref="K185" si="41">J185*1.04</f>
        <v>1848.9519360000002</v>
      </c>
      <c r="L185" s="93">
        <f>'2019'!M185</f>
        <v>1111.2608</v>
      </c>
      <c r="M185" s="93">
        <f t="shared" ref="M185" si="42">L185*1.04</f>
        <v>1155.7112320000001</v>
      </c>
      <c r="N185" s="10">
        <f t="shared" si="32"/>
        <v>35707.2288768</v>
      </c>
      <c r="O185" s="10">
        <f t="shared" si="33"/>
        <v>23804.819251200006</v>
      </c>
      <c r="P185" s="10">
        <f t="shared" si="34"/>
        <v>9805.196517376</v>
      </c>
      <c r="Q185" s="10">
        <f t="shared" si="35"/>
        <v>39220.786069504</v>
      </c>
      <c r="R185" s="10">
        <f t="shared" si="36"/>
        <v>108538.03071488001</v>
      </c>
      <c r="S185" s="10"/>
      <c r="T185" s="11"/>
      <c r="U185" s="10"/>
      <c r="V185" s="10"/>
      <c r="W185" s="42"/>
    </row>
    <row r="186" spans="1:23" ht="24.75" customHeight="1">
      <c r="A186" s="28" t="s">
        <v>415</v>
      </c>
      <c r="B186" s="27" t="s">
        <v>414</v>
      </c>
      <c r="C186" s="15" t="s">
        <v>373</v>
      </c>
      <c r="D186" s="15" t="s">
        <v>374</v>
      </c>
      <c r="E186" s="63">
        <v>622.63599999999997</v>
      </c>
      <c r="F186" s="63">
        <v>375.92200000000003</v>
      </c>
      <c r="G186" s="63">
        <v>194.36600000000001</v>
      </c>
      <c r="H186" s="63">
        <v>622.63599999999997</v>
      </c>
      <c r="I186" s="63">
        <f t="shared" si="40"/>
        <v>1815.56</v>
      </c>
      <c r="J186" s="93">
        <f>'2019'!K186</f>
        <v>3330.3816000000002</v>
      </c>
      <c r="K186" s="93">
        <f t="shared" si="37"/>
        <v>3463.5968640000001</v>
      </c>
      <c r="L186" s="93">
        <f>'2019'!M186</f>
        <v>1180.0776000000001</v>
      </c>
      <c r="M186" s="93">
        <f t="shared" si="38"/>
        <v>1227.280704</v>
      </c>
      <c r="N186" s="10">
        <f t="shared" si="32"/>
        <v>1338856.6813439999</v>
      </c>
      <c r="O186" s="10">
        <f t="shared" si="33"/>
        <v>808346.58028800006</v>
      </c>
      <c r="P186" s="10">
        <f t="shared" si="34"/>
        <v>434663.82675456011</v>
      </c>
      <c r="Q186" s="10">
        <f t="shared" si="35"/>
        <v>1392410.9485977602</v>
      </c>
      <c r="R186" s="10">
        <f t="shared" si="36"/>
        <v>3974278.0369843207</v>
      </c>
      <c r="S186" s="10"/>
      <c r="T186" s="11"/>
      <c r="U186" s="10"/>
      <c r="V186" s="10"/>
      <c r="W186" s="42"/>
    </row>
    <row r="187" spans="1:23" ht="26.25" customHeight="1">
      <c r="A187" s="133" t="s">
        <v>273</v>
      </c>
      <c r="B187" s="133"/>
      <c r="C187" s="133"/>
      <c r="D187" s="133"/>
      <c r="E187" s="64"/>
      <c r="F187" s="64"/>
      <c r="G187" s="65"/>
      <c r="H187" s="65"/>
      <c r="I187" s="63"/>
      <c r="J187" s="85"/>
      <c r="K187" s="85"/>
      <c r="L187" s="85"/>
      <c r="M187" s="85"/>
      <c r="N187" s="10">
        <f t="shared" si="32"/>
        <v>0</v>
      </c>
      <c r="O187" s="10">
        <f t="shared" si="33"/>
        <v>0</v>
      </c>
      <c r="P187" s="10">
        <f t="shared" si="34"/>
        <v>0</v>
      </c>
      <c r="Q187" s="10">
        <f t="shared" si="35"/>
        <v>0</v>
      </c>
      <c r="R187" s="10">
        <f t="shared" si="36"/>
        <v>0</v>
      </c>
      <c r="S187" s="10"/>
      <c r="T187" s="11"/>
      <c r="U187" s="10"/>
      <c r="V187" s="10"/>
      <c r="W187" s="45"/>
    </row>
    <row r="188" spans="1:23" ht="26.25" customHeight="1">
      <c r="A188" s="18" t="s">
        <v>271</v>
      </c>
      <c r="B188" s="15" t="s">
        <v>272</v>
      </c>
      <c r="C188" s="15" t="s">
        <v>274</v>
      </c>
      <c r="D188" s="15"/>
      <c r="E188" s="63">
        <v>1844.056</v>
      </c>
      <c r="F188" s="63">
        <f>601.302+405.153</f>
        <v>1006.455</v>
      </c>
      <c r="G188" s="63">
        <v>405.67399999999998</v>
      </c>
      <c r="H188" s="63">
        <v>1818.434</v>
      </c>
      <c r="I188" s="63">
        <f t="shared" si="39"/>
        <v>5074.6189999999997</v>
      </c>
      <c r="J188" s="93">
        <f>'2019'!K188</f>
        <v>4545.2575999999999</v>
      </c>
      <c r="K188" s="93">
        <f t="shared" si="37"/>
        <v>4727.0679040000005</v>
      </c>
      <c r="L188" s="93">
        <f>'2019'!M188</f>
        <v>1977.08346368</v>
      </c>
      <c r="M188" s="93">
        <f t="shared" si="38"/>
        <v>2056.1668022272002</v>
      </c>
      <c r="N188" s="10">
        <f t="shared" si="32"/>
        <v>4735856.9251257135</v>
      </c>
      <c r="O188" s="10">
        <f t="shared" si="33"/>
        <v>2584751.7003699457</v>
      </c>
      <c r="P188" s="10">
        <f t="shared" si="34"/>
        <v>1083515.133560579</v>
      </c>
      <c r="Q188" s="10">
        <f t="shared" si="35"/>
        <v>4856857.37410112</v>
      </c>
      <c r="R188" s="10">
        <f t="shared" si="36"/>
        <v>13260981.133157358</v>
      </c>
      <c r="S188" s="10"/>
      <c r="T188" s="11"/>
      <c r="U188" s="10"/>
      <c r="V188" s="10"/>
      <c r="W188" s="42"/>
    </row>
    <row r="189" spans="1:23" ht="26.25" customHeight="1">
      <c r="A189" s="18" t="s">
        <v>275</v>
      </c>
      <c r="B189" s="15" t="s">
        <v>276</v>
      </c>
      <c r="C189" s="15" t="s">
        <v>274</v>
      </c>
      <c r="D189" s="15"/>
      <c r="E189" s="63">
        <v>2387.1410000000001</v>
      </c>
      <c r="F189" s="63">
        <f>787.394+531.314</f>
        <v>1318.7080000000001</v>
      </c>
      <c r="G189" s="63">
        <v>507.90899999999999</v>
      </c>
      <c r="H189" s="63">
        <f>2869.445-G189</f>
        <v>2361.5360000000001</v>
      </c>
      <c r="I189" s="63">
        <f t="shared" si="39"/>
        <v>6575.2939999999999</v>
      </c>
      <c r="J189" s="93">
        <f>'2019'!K189</f>
        <v>3914.3212160000003</v>
      </c>
      <c r="K189" s="93">
        <f t="shared" si="37"/>
        <v>4070.8940646400006</v>
      </c>
      <c r="L189" s="93">
        <f>'2019'!M189</f>
        <v>1977.08346368</v>
      </c>
      <c r="M189" s="93">
        <f t="shared" si="38"/>
        <v>2056.1668022272002</v>
      </c>
      <c r="N189" s="10">
        <f t="shared" si="32"/>
        <v>4624459.6653109174</v>
      </c>
      <c r="O189" s="10">
        <f t="shared" si="33"/>
        <v>2554650.9218864031</v>
      </c>
      <c r="P189" s="10">
        <f t="shared" si="34"/>
        <v>1023298.109124823</v>
      </c>
      <c r="Q189" s="10">
        <f t="shared" si="35"/>
        <v>4757850.960369275</v>
      </c>
      <c r="R189" s="10">
        <f t="shared" si="36"/>
        <v>12960259.656691417</v>
      </c>
      <c r="S189" s="10"/>
      <c r="T189" s="11"/>
      <c r="U189" s="10"/>
      <c r="V189" s="10"/>
      <c r="W189" s="42"/>
    </row>
    <row r="190" spans="1:23" ht="26.25" customHeight="1">
      <c r="A190" s="18" t="s">
        <v>275</v>
      </c>
      <c r="B190" s="15" t="s">
        <v>276</v>
      </c>
      <c r="C190" s="15" t="s">
        <v>277</v>
      </c>
      <c r="D190" s="15"/>
      <c r="E190" s="63">
        <v>551.23699999999997</v>
      </c>
      <c r="F190" s="63">
        <f>184.474+124.962</f>
        <v>309.43599999999998</v>
      </c>
      <c r="G190" s="63">
        <v>112.536</v>
      </c>
      <c r="H190" s="63">
        <f>664.867-G190</f>
        <v>552.3309999999999</v>
      </c>
      <c r="I190" s="63">
        <f t="shared" si="39"/>
        <v>1525.54</v>
      </c>
      <c r="J190" s="93">
        <f>'2019'!K190</f>
        <v>3914.3212160000003</v>
      </c>
      <c r="K190" s="93">
        <f t="shared" si="37"/>
        <v>4070.8940646400006</v>
      </c>
      <c r="L190" s="93">
        <f>'2019'!M190</f>
        <v>1977.08346368</v>
      </c>
      <c r="M190" s="93">
        <f t="shared" si="38"/>
        <v>2056.1668022272002</v>
      </c>
      <c r="N190" s="10">
        <f t="shared" si="32"/>
        <v>1067877.1268756199</v>
      </c>
      <c r="O190" s="10">
        <f t="shared" si="33"/>
        <v>599451.10112689156</v>
      </c>
      <c r="P190" s="10">
        <f t="shared" si="34"/>
        <v>226729.34720288691</v>
      </c>
      <c r="Q190" s="10">
        <f t="shared" si="35"/>
        <v>1112796.3235757244</v>
      </c>
      <c r="R190" s="10">
        <f t="shared" si="36"/>
        <v>3006853.8987811226</v>
      </c>
      <c r="S190" s="10"/>
      <c r="T190" s="11"/>
      <c r="U190" s="10"/>
      <c r="V190" s="10"/>
      <c r="W190" s="42"/>
    </row>
    <row r="191" spans="1:23" ht="26.25" customHeight="1">
      <c r="A191" s="18" t="s">
        <v>49</v>
      </c>
      <c r="B191" s="15" t="s">
        <v>50</v>
      </c>
      <c r="C191" s="15" t="s">
        <v>278</v>
      </c>
      <c r="D191" s="15"/>
      <c r="E191" s="63">
        <v>102.798</v>
      </c>
      <c r="F191" s="63">
        <f>34.266+23.212</f>
        <v>57.477999999999994</v>
      </c>
      <c r="G191" s="63">
        <v>21.702000000000002</v>
      </c>
      <c r="H191" s="63">
        <v>102.798</v>
      </c>
      <c r="I191" s="63">
        <f t="shared" si="39"/>
        <v>284.77600000000001</v>
      </c>
      <c r="J191" s="93">
        <f>'2019'!K191</f>
        <v>5266.7430399999994</v>
      </c>
      <c r="K191" s="93">
        <f t="shared" si="37"/>
        <v>5477.4127615999996</v>
      </c>
      <c r="L191" s="93">
        <f>'2019'!M191</f>
        <v>1603.7860966400001</v>
      </c>
      <c r="M191" s="93">
        <f t="shared" si="38"/>
        <v>1667.9375405056001</v>
      </c>
      <c r="N191" s="10">
        <f t="shared" si="32"/>
        <v>376544.64786352118</v>
      </c>
      <c r="O191" s="10">
        <f t="shared" si="33"/>
        <v>210539.43919044599</v>
      </c>
      <c r="P191" s="10">
        <f t="shared" si="34"/>
        <v>82673.23124819067</v>
      </c>
      <c r="Q191" s="10">
        <f t="shared" si="35"/>
        <v>391606.43377806211</v>
      </c>
      <c r="R191" s="10">
        <f t="shared" si="36"/>
        <v>1061363.7520802198</v>
      </c>
      <c r="S191" s="10"/>
      <c r="T191" s="11"/>
      <c r="U191" s="10"/>
      <c r="V191" s="10"/>
      <c r="W191" s="42"/>
    </row>
    <row r="192" spans="1:23" ht="26.25" customHeight="1">
      <c r="A192" s="18" t="s">
        <v>49</v>
      </c>
      <c r="B192" s="15" t="s">
        <v>50</v>
      </c>
      <c r="C192" s="15" t="s">
        <v>279</v>
      </c>
      <c r="D192" s="15" t="s">
        <v>280</v>
      </c>
      <c r="E192" s="63">
        <v>67.391999999999996</v>
      </c>
      <c r="F192" s="63">
        <f>22.464+18.116</f>
        <v>40.58</v>
      </c>
      <c r="G192" s="63">
        <v>11.808999999999999</v>
      </c>
      <c r="H192" s="63">
        <v>64.63</v>
      </c>
      <c r="I192" s="63">
        <f t="shared" si="39"/>
        <v>184.411</v>
      </c>
      <c r="J192" s="93">
        <f>'2019'!K192</f>
        <v>5446.0016000000005</v>
      </c>
      <c r="K192" s="93">
        <f t="shared" si="37"/>
        <v>5663.8416640000005</v>
      </c>
      <c r="L192" s="93">
        <f>'2019'!M192</f>
        <v>1603.7860966400001</v>
      </c>
      <c r="M192" s="93">
        <f t="shared" si="38"/>
        <v>1667.9375405056001</v>
      </c>
      <c r="N192" s="10">
        <f t="shared" si="32"/>
        <v>258934.58720243711</v>
      </c>
      <c r="O192" s="10">
        <f t="shared" si="33"/>
        <v>155917.10512634879</v>
      </c>
      <c r="P192" s="10">
        <f t="shared" si="34"/>
        <v>47187.631794345376</v>
      </c>
      <c r="Q192" s="10">
        <f t="shared" si="35"/>
        <v>258255.2835014431</v>
      </c>
      <c r="R192" s="10">
        <f t="shared" si="36"/>
        <v>720294.60762457433</v>
      </c>
      <c r="S192" s="10"/>
      <c r="T192" s="11"/>
      <c r="U192" s="10"/>
      <c r="V192" s="10"/>
      <c r="W192" s="42"/>
    </row>
    <row r="193" spans="1:186" ht="26.25" customHeight="1">
      <c r="A193" s="18" t="s">
        <v>49</v>
      </c>
      <c r="B193" s="15" t="s">
        <v>50</v>
      </c>
      <c r="C193" s="15" t="s">
        <v>279</v>
      </c>
      <c r="D193" s="15" t="s">
        <v>281</v>
      </c>
      <c r="E193" s="63">
        <v>191.18700000000001</v>
      </c>
      <c r="F193" s="63">
        <f>63.729+51.394</f>
        <v>115.12299999999999</v>
      </c>
      <c r="G193" s="63">
        <v>21.242999999999999</v>
      </c>
      <c r="H193" s="63">
        <v>191.18700000000001</v>
      </c>
      <c r="I193" s="63">
        <f t="shared" si="39"/>
        <v>518.74</v>
      </c>
      <c r="J193" s="93">
        <f>'2019'!K193</f>
        <v>5120.6480000000001</v>
      </c>
      <c r="K193" s="93">
        <f t="shared" si="37"/>
        <v>5325.4739200000004</v>
      </c>
      <c r="L193" s="93">
        <f>'2019'!M193</f>
        <v>1603.7860966400001</v>
      </c>
      <c r="M193" s="93">
        <f t="shared" si="38"/>
        <v>1667.9375405056001</v>
      </c>
      <c r="N193" s="10">
        <f t="shared" si="32"/>
        <v>672378.27671768831</v>
      </c>
      <c r="O193" s="10">
        <f t="shared" si="33"/>
        <v>404871.69290051324</v>
      </c>
      <c r="P193" s="10">
        <f t="shared" si="34"/>
        <v>77697.045309599547</v>
      </c>
      <c r="Q193" s="10">
        <f t="shared" si="35"/>
        <v>699273.40778639598</v>
      </c>
      <c r="R193" s="10">
        <f t="shared" si="36"/>
        <v>1854220.4227141971</v>
      </c>
      <c r="S193" s="10"/>
      <c r="T193" s="11"/>
      <c r="U193" s="10"/>
      <c r="V193" s="10"/>
      <c r="W193" s="42"/>
    </row>
    <row r="194" spans="1:186" ht="26.25" customHeight="1">
      <c r="A194" s="18" t="s">
        <v>49</v>
      </c>
      <c r="B194" s="15" t="s">
        <v>50</v>
      </c>
      <c r="C194" s="15" t="s">
        <v>32</v>
      </c>
      <c r="D194" s="15"/>
      <c r="E194" s="63">
        <v>76.650000000000006</v>
      </c>
      <c r="F194" s="63">
        <f>23.901+16.755</f>
        <v>40.655999999999999</v>
      </c>
      <c r="G194" s="63">
        <v>14.166</v>
      </c>
      <c r="H194" s="63">
        <v>72.103999999999999</v>
      </c>
      <c r="I194" s="63">
        <f t="shared" si="39"/>
        <v>203.57600000000002</v>
      </c>
      <c r="J194" s="93">
        <f>'2019'!K194</f>
        <v>4526.2039679999998</v>
      </c>
      <c r="K194" s="93">
        <f t="shared" si="37"/>
        <v>4707.25212672</v>
      </c>
      <c r="L194" s="93">
        <f>'2019'!M194</f>
        <v>1256.9792768000002</v>
      </c>
      <c r="M194" s="93">
        <f t="shared" si="38"/>
        <v>1307.2584478720003</v>
      </c>
      <c r="N194" s="10">
        <f t="shared" si="32"/>
        <v>250586.07258047999</v>
      </c>
      <c r="O194" s="10">
        <f t="shared" si="33"/>
        <v>132913.59904542717</v>
      </c>
      <c r="P194" s="10">
        <f t="shared" si="34"/>
        <v>48164.310454560771</v>
      </c>
      <c r="Q194" s="10">
        <f t="shared" si="35"/>
        <v>245153.14421965618</v>
      </c>
      <c r="R194" s="10">
        <f t="shared" si="36"/>
        <v>676817.12630012422</v>
      </c>
      <c r="S194" s="16"/>
      <c r="T194" s="16"/>
      <c r="U194" s="16"/>
      <c r="V194" s="16"/>
      <c r="W194" s="42"/>
    </row>
    <row r="195" spans="1:186" s="6" customFormat="1" ht="27.75" customHeight="1">
      <c r="A195" s="162" t="s">
        <v>282</v>
      </c>
      <c r="B195" s="163"/>
      <c r="C195" s="164"/>
      <c r="D195" s="1"/>
      <c r="E195" s="64"/>
      <c r="F195" s="64"/>
      <c r="G195" s="69"/>
      <c r="H195" s="65"/>
      <c r="I195" s="63"/>
      <c r="J195" s="93"/>
      <c r="K195" s="93"/>
      <c r="L195" s="78"/>
      <c r="M195" s="78"/>
      <c r="N195" s="10">
        <f t="shared" si="32"/>
        <v>0</v>
      </c>
      <c r="O195" s="10">
        <f t="shared" si="33"/>
        <v>0</v>
      </c>
      <c r="P195" s="10">
        <f t="shared" si="34"/>
        <v>0</v>
      </c>
      <c r="Q195" s="10">
        <f t="shared" si="35"/>
        <v>0</v>
      </c>
      <c r="R195" s="10">
        <f t="shared" si="36"/>
        <v>0</v>
      </c>
      <c r="S195" s="10"/>
      <c r="T195" s="11"/>
      <c r="U195" s="10"/>
      <c r="V195" s="10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</row>
    <row r="196" spans="1:186" s="6" customFormat="1" ht="21" customHeight="1">
      <c r="A196" s="7" t="s">
        <v>283</v>
      </c>
      <c r="B196" s="8" t="s">
        <v>284</v>
      </c>
      <c r="C196" s="8" t="s">
        <v>285</v>
      </c>
      <c r="D196" s="8"/>
      <c r="E196" s="63">
        <f>25396.879-355.314</f>
        <v>25041.565000000002</v>
      </c>
      <c r="F196" s="63">
        <f>7801.828+7606.198+1106.114</f>
        <v>16514.140000000003</v>
      </c>
      <c r="G196" s="63">
        <v>4319.2740000000003</v>
      </c>
      <c r="H196" s="63">
        <f>30267.294-G196</f>
        <v>25948.02</v>
      </c>
      <c r="I196" s="63">
        <f t="shared" si="39"/>
        <v>71822.998999999996</v>
      </c>
      <c r="J196" s="93">
        <f>'2019'!K196</f>
        <v>3513.815552</v>
      </c>
      <c r="K196" s="93">
        <f t="shared" si="37"/>
        <v>3654.3681740800002</v>
      </c>
      <c r="L196" s="79">
        <f>'2019'!M196</f>
        <v>1462.44693504</v>
      </c>
      <c r="M196" s="79">
        <f t="shared" si="38"/>
        <v>1520.9448124416001</v>
      </c>
      <c r="N196" s="10">
        <f t="shared" si="32"/>
        <v>51369480.560563952</v>
      </c>
      <c r="O196" s="10">
        <f t="shared" si="33"/>
        <v>33876588.532083824</v>
      </c>
      <c r="P196" s="10">
        <f t="shared" si="34"/>
        <v>9214840.0569173396</v>
      </c>
      <c r="Q196" s="10">
        <f t="shared" si="35"/>
        <v>55358112.056260437</v>
      </c>
      <c r="R196" s="10">
        <f t="shared" si="36"/>
        <v>149819021.20582557</v>
      </c>
      <c r="S196" s="10"/>
      <c r="T196" s="11"/>
      <c r="U196" s="10"/>
      <c r="V196" s="10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</row>
    <row r="197" spans="1:186" s="6" customFormat="1" ht="21" customHeight="1">
      <c r="A197" s="7" t="s">
        <v>283</v>
      </c>
      <c r="B197" s="8" t="s">
        <v>284</v>
      </c>
      <c r="C197" s="8" t="s">
        <v>286</v>
      </c>
      <c r="D197" s="8"/>
      <c r="E197" s="63">
        <v>1141.4159999999999</v>
      </c>
      <c r="F197" s="63">
        <f>419.971+390.011+2.421</f>
        <v>812.40300000000002</v>
      </c>
      <c r="G197" s="63">
        <v>371.84800000000001</v>
      </c>
      <c r="H197" s="63">
        <f>1501.788-G197</f>
        <v>1129.94</v>
      </c>
      <c r="I197" s="63">
        <f t="shared" si="39"/>
        <v>3455.607</v>
      </c>
      <c r="J197" s="93">
        <f>'2019'!K197</f>
        <v>3513.815552</v>
      </c>
      <c r="K197" s="93">
        <f t="shared" si="37"/>
        <v>3654.3681740800002</v>
      </c>
      <c r="L197" s="79">
        <f>'2019'!M197</f>
        <v>1462.44693504</v>
      </c>
      <c r="M197" s="79">
        <f t="shared" si="38"/>
        <v>1520.9448124416001</v>
      </c>
      <c r="N197" s="10">
        <f t="shared" si="32"/>
        <v>2341464.9612960154</v>
      </c>
      <c r="O197" s="10">
        <f t="shared" si="33"/>
        <v>1666538.018524155</v>
      </c>
      <c r="P197" s="10">
        <f t="shared" si="34"/>
        <v>793309.21017851576</v>
      </c>
      <c r="Q197" s="10">
        <f t="shared" si="35"/>
        <v>2410640.3932496938</v>
      </c>
      <c r="R197" s="10">
        <f t="shared" si="36"/>
        <v>7211952.5832483806</v>
      </c>
      <c r="S197" s="10"/>
      <c r="T197" s="11"/>
      <c r="U197" s="10"/>
      <c r="V197" s="10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</row>
    <row r="198" spans="1:186" s="6" customFormat="1" ht="21" customHeight="1">
      <c r="A198" s="7" t="s">
        <v>154</v>
      </c>
      <c r="B198" s="8" t="s">
        <v>155</v>
      </c>
      <c r="C198" s="8" t="s">
        <v>287</v>
      </c>
      <c r="D198" s="8"/>
      <c r="E198" s="63">
        <v>415.76100000000002</v>
      </c>
      <c r="F198" s="63">
        <f>138.587+138.587+41.576</f>
        <v>318.75</v>
      </c>
      <c r="G198" s="63">
        <v>73.912999999999997</v>
      </c>
      <c r="H198" s="63">
        <v>415.76100000000002</v>
      </c>
      <c r="I198" s="63">
        <f t="shared" si="39"/>
        <v>1224.1849999999999</v>
      </c>
      <c r="J198" s="93">
        <f>'2019'!K198</f>
        <v>4370.6266240000004</v>
      </c>
      <c r="K198" s="93">
        <f t="shared" si="37"/>
        <v>4545.4516889600009</v>
      </c>
      <c r="L198" s="79">
        <f>'2019'!M198</f>
        <v>1490.5709145600001</v>
      </c>
      <c r="M198" s="79">
        <f t="shared" si="38"/>
        <v>1550.1937511424003</v>
      </c>
      <c r="N198" s="10">
        <f t="shared" si="32"/>
        <v>1197414.841812484</v>
      </c>
      <c r="O198" s="10">
        <f t="shared" si="33"/>
        <v>918017.757384</v>
      </c>
      <c r="P198" s="10">
        <f t="shared" si="34"/>
        <v>221388.49995791231</v>
      </c>
      <c r="Q198" s="10">
        <f t="shared" si="35"/>
        <v>1245311.4354849835</v>
      </c>
      <c r="R198" s="10">
        <f t="shared" si="36"/>
        <v>3582132.5346393795</v>
      </c>
      <c r="S198" s="10"/>
      <c r="T198" s="11"/>
      <c r="U198" s="10"/>
      <c r="V198" s="10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</row>
    <row r="199" spans="1:186" s="6" customFormat="1" ht="21" customHeight="1">
      <c r="A199" s="7" t="s">
        <v>288</v>
      </c>
      <c r="B199" s="8" t="s">
        <v>289</v>
      </c>
      <c r="C199" s="8" t="s">
        <v>285</v>
      </c>
      <c r="D199" s="8"/>
      <c r="E199" s="63">
        <v>17.07</v>
      </c>
      <c r="F199" s="63">
        <f>5.69+5.69</f>
        <v>11.38</v>
      </c>
      <c r="G199" s="63">
        <v>2.85</v>
      </c>
      <c r="H199" s="63">
        <v>17.079999999999998</v>
      </c>
      <c r="I199" s="63">
        <f t="shared" si="39"/>
        <v>48.38</v>
      </c>
      <c r="J199" s="93">
        <f>'2019'!K199</f>
        <v>4289.4633600000006</v>
      </c>
      <c r="K199" s="93">
        <f t="shared" si="37"/>
        <v>4461.0418944000012</v>
      </c>
      <c r="L199" s="79">
        <f>'2019'!M199</f>
        <v>1758.8739084800002</v>
      </c>
      <c r="M199" s="79">
        <f t="shared" si="38"/>
        <v>1829.2288648192002</v>
      </c>
      <c r="N199" s="10">
        <f t="shared" si="32"/>
        <v>43197.161937446414</v>
      </c>
      <c r="O199" s="10">
        <f t="shared" si="33"/>
        <v>28798.107958297609</v>
      </c>
      <c r="P199" s="10">
        <f t="shared" si="34"/>
        <v>7500.6671343052831</v>
      </c>
      <c r="Q199" s="10">
        <f t="shared" si="35"/>
        <v>44951.366545240075</v>
      </c>
      <c r="R199" s="10">
        <f t="shared" si="36"/>
        <v>124447.30357528938</v>
      </c>
      <c r="S199" s="10"/>
      <c r="T199" s="11"/>
      <c r="U199" s="10"/>
      <c r="V199" s="10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</row>
    <row r="200" spans="1:186" s="6" customFormat="1" ht="21" customHeight="1">
      <c r="A200" s="7" t="s">
        <v>290</v>
      </c>
      <c r="B200" s="8" t="s">
        <v>291</v>
      </c>
      <c r="C200" s="8" t="s">
        <v>286</v>
      </c>
      <c r="D200" s="8"/>
      <c r="E200" s="63">
        <v>546.048</v>
      </c>
      <c r="F200" s="63">
        <f>182.016+182.016+36.055</f>
        <v>400.08699999999999</v>
      </c>
      <c r="G200" s="63">
        <v>97.075000000000003</v>
      </c>
      <c r="H200" s="63">
        <v>668.14400000000001</v>
      </c>
      <c r="I200" s="63">
        <f t="shared" si="39"/>
        <v>1711.354</v>
      </c>
      <c r="J200" s="93">
        <f>'2019'!K200</f>
        <v>5682.5911999999998</v>
      </c>
      <c r="K200" s="93">
        <f t="shared" si="37"/>
        <v>5909.8948479999999</v>
      </c>
      <c r="L200" s="79">
        <f>'2019'!M200</f>
        <v>1725.68760832</v>
      </c>
      <c r="M200" s="79">
        <f t="shared" si="38"/>
        <v>1794.7151126528001</v>
      </c>
      <c r="N200" s="10">
        <f t="shared" si="32"/>
        <v>2160659.2924296805</v>
      </c>
      <c r="O200" s="10">
        <f t="shared" si="33"/>
        <v>1583105.6872844761</v>
      </c>
      <c r="P200" s="10">
        <f t="shared" si="34"/>
        <v>399481.07280882937</v>
      </c>
      <c r="Q200" s="10">
        <f t="shared" si="35"/>
        <v>2749532.6490938193</v>
      </c>
      <c r="R200" s="10">
        <f t="shared" si="36"/>
        <v>6892778.701616805</v>
      </c>
      <c r="S200" s="10"/>
      <c r="T200" s="11"/>
      <c r="U200" s="10"/>
      <c r="V200" s="10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</row>
    <row r="201" spans="1:186" s="6" customFormat="1" ht="21" customHeight="1">
      <c r="A201" s="7" t="s">
        <v>292</v>
      </c>
      <c r="B201" s="8" t="s">
        <v>293</v>
      </c>
      <c r="C201" s="8" t="s">
        <v>285</v>
      </c>
      <c r="D201" s="8"/>
      <c r="E201" s="63">
        <v>2633.4659999999999</v>
      </c>
      <c r="F201" s="63">
        <f>756.668+791.47+92.895</f>
        <v>1641.0329999999999</v>
      </c>
      <c r="G201" s="63">
        <v>620.47199999999998</v>
      </c>
      <c r="H201" s="63">
        <v>2474.4319999999998</v>
      </c>
      <c r="I201" s="63">
        <f t="shared" si="39"/>
        <v>7369.4029999999993</v>
      </c>
      <c r="J201" s="93">
        <f>'2019'!K201</f>
        <v>2863.146624</v>
      </c>
      <c r="K201" s="93">
        <f t="shared" si="37"/>
        <v>2977.67248896</v>
      </c>
      <c r="L201" s="81">
        <f>'2019'!M201</f>
        <v>1462.4376000000002</v>
      </c>
      <c r="M201" s="81">
        <f t="shared" si="38"/>
        <v>1520.9351040000004</v>
      </c>
      <c r="N201" s="10">
        <f t="shared" si="32"/>
        <v>3688719.5905971834</v>
      </c>
      <c r="O201" s="10">
        <f t="shared" si="33"/>
        <v>2298609.7317817914</v>
      </c>
      <c r="P201" s="10">
        <f t="shared" si="34"/>
        <v>903864.75872090086</v>
      </c>
      <c r="Q201" s="10">
        <f t="shared" si="35"/>
        <v>3604597.6009413414</v>
      </c>
      <c r="R201" s="10">
        <f t="shared" si="36"/>
        <v>10495791.682041217</v>
      </c>
      <c r="S201" s="10"/>
      <c r="T201" s="11"/>
      <c r="U201" s="10"/>
      <c r="V201" s="10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</row>
    <row r="202" spans="1:186" s="14" customFormat="1" ht="21.75" customHeight="1">
      <c r="A202" s="165" t="s">
        <v>295</v>
      </c>
      <c r="B202" s="165"/>
      <c r="C202" s="165"/>
      <c r="D202" s="165"/>
      <c r="E202" s="64"/>
      <c r="F202" s="64"/>
      <c r="G202" s="69"/>
      <c r="H202" s="65"/>
      <c r="I202" s="63"/>
      <c r="J202" s="95"/>
      <c r="K202" s="95"/>
      <c r="L202" s="78"/>
      <c r="M202" s="78"/>
      <c r="N202" s="10">
        <f t="shared" ref="N202:N226" si="43">(J202-L202)*E202</f>
        <v>0</v>
      </c>
      <c r="O202" s="10">
        <f t="shared" ref="O202:O226" si="44">(J202-L202)*F202</f>
        <v>0</v>
      </c>
      <c r="P202" s="10">
        <f t="shared" ref="P202:P226" si="45">(K202-M202)*G202</f>
        <v>0</v>
      </c>
      <c r="Q202" s="10">
        <f t="shared" ref="Q202:Q226" si="46">(K202-M202)*H202</f>
        <v>0</v>
      </c>
      <c r="R202" s="10">
        <f t="shared" ref="R202:R227" si="47">SUM(N202:Q202)</f>
        <v>0</v>
      </c>
      <c r="S202" s="10"/>
      <c r="T202" s="11"/>
      <c r="U202" s="10"/>
      <c r="V202" s="10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</row>
    <row r="203" spans="1:186" s="6" customFormat="1" ht="21.75" customHeight="1">
      <c r="A203" s="7" t="s">
        <v>49</v>
      </c>
      <c r="B203" s="8" t="s">
        <v>296</v>
      </c>
      <c r="C203" s="8" t="s">
        <v>297</v>
      </c>
      <c r="D203" s="8"/>
      <c r="E203" s="63">
        <v>379.90899999999999</v>
      </c>
      <c r="F203" s="63">
        <f>127.77+78.309</f>
        <v>206.07900000000001</v>
      </c>
      <c r="G203" s="63">
        <v>99.385000000000005</v>
      </c>
      <c r="H203" s="63">
        <v>393.79199999999997</v>
      </c>
      <c r="I203" s="63">
        <f t="shared" si="39"/>
        <v>1079.165</v>
      </c>
      <c r="J203" s="93">
        <f>'2019'!K203</f>
        <v>3552.1582720000006</v>
      </c>
      <c r="K203" s="93">
        <f t="shared" si="37"/>
        <v>3694.2446028800009</v>
      </c>
      <c r="L203" s="79">
        <f>'2019'!M203</f>
        <v>1667.95677568</v>
      </c>
      <c r="M203" s="79">
        <f t="shared" si="38"/>
        <v>1734.6750467072</v>
      </c>
      <c r="N203" s="10">
        <f t="shared" si="43"/>
        <v>715825.10626543511</v>
      </c>
      <c r="O203" s="10">
        <f t="shared" si="44"/>
        <v>388294.36016012944</v>
      </c>
      <c r="P203" s="10">
        <f t="shared" si="45"/>
        <v>194751.82034023383</v>
      </c>
      <c r="Q203" s="10">
        <f t="shared" si="46"/>
        <v>771662.8146643996</v>
      </c>
      <c r="R203" s="10">
        <f t="shared" si="47"/>
        <v>2070534.1014301982</v>
      </c>
      <c r="S203" s="10"/>
      <c r="T203" s="11"/>
      <c r="U203" s="10"/>
      <c r="V203" s="10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</row>
    <row r="204" spans="1:186" s="6" customFormat="1" ht="21.75" customHeight="1">
      <c r="A204" s="7" t="s">
        <v>49</v>
      </c>
      <c r="B204" s="8" t="s">
        <v>296</v>
      </c>
      <c r="C204" s="8" t="s">
        <v>298</v>
      </c>
      <c r="D204" s="8"/>
      <c r="E204" s="63">
        <v>1069.2629999999999</v>
      </c>
      <c r="F204" s="63">
        <f>491.89+332.013-4.733</f>
        <v>819.17000000000007</v>
      </c>
      <c r="G204" s="63">
        <v>504.17399999999998</v>
      </c>
      <c r="H204" s="63">
        <v>1325.124</v>
      </c>
      <c r="I204" s="63">
        <f t="shared" si="39"/>
        <v>3717.7309999999998</v>
      </c>
      <c r="J204" s="93">
        <f>'2019'!K204</f>
        <v>3552.1582720000006</v>
      </c>
      <c r="K204" s="93">
        <f t="shared" si="37"/>
        <v>3694.2446028800009</v>
      </c>
      <c r="L204" s="79">
        <f>'2019'!M204</f>
        <v>1637.9988352000003</v>
      </c>
      <c r="M204" s="79">
        <f t="shared" si="38"/>
        <v>1703.5187886080002</v>
      </c>
      <c r="N204" s="10">
        <f t="shared" si="43"/>
        <v>2046739.8618710786</v>
      </c>
      <c r="O204" s="10">
        <f t="shared" si="44"/>
        <v>1568021.9858434564</v>
      </c>
      <c r="P204" s="10">
        <f t="shared" si="45"/>
        <v>1003672.1966847716</v>
      </c>
      <c r="Q204" s="10">
        <f t="shared" si="46"/>
        <v>2637958.5539113707</v>
      </c>
      <c r="R204" s="10">
        <f t="shared" si="47"/>
        <v>7256392.5983106773</v>
      </c>
      <c r="S204" s="10"/>
      <c r="T204" s="11"/>
      <c r="U204" s="10"/>
      <c r="V204" s="10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</row>
    <row r="205" spans="1:186" s="6" customFormat="1" ht="21.75" customHeight="1">
      <c r="A205" s="7" t="s">
        <v>299</v>
      </c>
      <c r="B205" s="8" t="s">
        <v>300</v>
      </c>
      <c r="C205" s="8" t="s">
        <v>301</v>
      </c>
      <c r="D205" s="8"/>
      <c r="E205" s="63">
        <v>80.22</v>
      </c>
      <c r="F205" s="63">
        <f>27.03+16.57</f>
        <v>43.6</v>
      </c>
      <c r="G205" s="63">
        <v>14.42</v>
      </c>
      <c r="H205" s="63">
        <v>80.22</v>
      </c>
      <c r="I205" s="63">
        <f t="shared" si="39"/>
        <v>218.45999999999998</v>
      </c>
      <c r="J205" s="93">
        <f>'2019'!K205</f>
        <v>2039.01568</v>
      </c>
      <c r="K205" s="93">
        <f t="shared" si="37"/>
        <v>2120.5763072</v>
      </c>
      <c r="L205" s="79">
        <f>'2019'!M205</f>
        <v>1665.6640000000002</v>
      </c>
      <c r="M205" s="79">
        <f t="shared" si="38"/>
        <v>1732.2905600000004</v>
      </c>
      <c r="N205" s="10">
        <f t="shared" si="43"/>
        <v>29950.271769599982</v>
      </c>
      <c r="O205" s="10">
        <f t="shared" si="44"/>
        <v>16278.133247999989</v>
      </c>
      <c r="P205" s="10">
        <f t="shared" si="45"/>
        <v>5599.0804746239946</v>
      </c>
      <c r="Q205" s="10">
        <f t="shared" si="46"/>
        <v>31148.282640383968</v>
      </c>
      <c r="R205" s="10">
        <f t="shared" si="47"/>
        <v>82975.768132607933</v>
      </c>
      <c r="S205" s="10"/>
      <c r="T205" s="11"/>
      <c r="U205" s="10"/>
      <c r="V205" s="10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</row>
    <row r="206" spans="1:186" s="6" customFormat="1" ht="21.75" customHeight="1">
      <c r="A206" s="7" t="s">
        <v>343</v>
      </c>
      <c r="B206" s="8" t="s">
        <v>344</v>
      </c>
      <c r="C206" s="8" t="s">
        <v>302</v>
      </c>
      <c r="D206" s="8"/>
      <c r="E206" s="21">
        <v>68.397999999999996</v>
      </c>
      <c r="F206" s="21">
        <f>22.798+13.97</f>
        <v>36.768000000000001</v>
      </c>
      <c r="G206" s="21">
        <v>8.11</v>
      </c>
      <c r="H206" s="21">
        <v>62.96</v>
      </c>
      <c r="I206" s="63">
        <f t="shared" si="39"/>
        <v>176.23599999999999</v>
      </c>
      <c r="J206" s="93">
        <f>'2019'!K206</f>
        <v>4338.0812800000003</v>
      </c>
      <c r="K206" s="93">
        <f t="shared" si="37"/>
        <v>4511.6045312000006</v>
      </c>
      <c r="L206" s="79">
        <f>'2019'!M206</f>
        <v>1481.6511756800001</v>
      </c>
      <c r="M206" s="79">
        <f t="shared" si="38"/>
        <v>1540.9172227072002</v>
      </c>
      <c r="N206" s="10">
        <f t="shared" si="43"/>
        <v>195374.10627527937</v>
      </c>
      <c r="O206" s="10">
        <f t="shared" si="44"/>
        <v>105025.22207563778</v>
      </c>
      <c r="P206" s="10">
        <f t="shared" si="45"/>
        <v>24092.274071876607</v>
      </c>
      <c r="Q206" s="10">
        <f t="shared" si="46"/>
        <v>187034.47294270669</v>
      </c>
      <c r="R206" s="10">
        <f t="shared" si="47"/>
        <v>511526.07536550041</v>
      </c>
      <c r="S206" s="10"/>
      <c r="T206" s="11"/>
      <c r="U206" s="10"/>
      <c r="V206" s="10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</row>
    <row r="207" spans="1:186" s="6" customFormat="1" ht="21.75" customHeight="1">
      <c r="A207" s="7" t="s">
        <v>303</v>
      </c>
      <c r="B207" s="8" t="s">
        <v>296</v>
      </c>
      <c r="C207" s="8" t="s">
        <v>304</v>
      </c>
      <c r="D207" s="8"/>
      <c r="E207" s="63">
        <v>105.28</v>
      </c>
      <c r="F207" s="63">
        <f>38.01+23.29</f>
        <v>61.3</v>
      </c>
      <c r="G207" s="63">
        <v>20.045000000000002</v>
      </c>
      <c r="H207" s="63">
        <v>120.208</v>
      </c>
      <c r="I207" s="63">
        <f t="shared" si="39"/>
        <v>306.83299999999997</v>
      </c>
      <c r="J207" s="93">
        <f>'2019'!K207</f>
        <v>3552.1582720000006</v>
      </c>
      <c r="K207" s="93">
        <f t="shared" si="37"/>
        <v>3694.2446028800009</v>
      </c>
      <c r="L207" s="79">
        <f>'2019'!M207</f>
        <v>1832.7311808000002</v>
      </c>
      <c r="M207" s="79">
        <f t="shared" si="38"/>
        <v>1906.0404280320001</v>
      </c>
      <c r="N207" s="10">
        <f t="shared" si="43"/>
        <v>181021.28416153605</v>
      </c>
      <c r="O207" s="10">
        <f t="shared" si="44"/>
        <v>105400.88069056002</v>
      </c>
      <c r="P207" s="10">
        <f t="shared" si="45"/>
        <v>35844.552684828181</v>
      </c>
      <c r="Q207" s="10">
        <f t="shared" si="46"/>
        <v>214956.44745012847</v>
      </c>
      <c r="R207" s="10">
        <f t="shared" si="47"/>
        <v>537223.16498705267</v>
      </c>
      <c r="S207" s="10"/>
      <c r="T207" s="11"/>
      <c r="U207" s="10"/>
      <c r="V207" s="10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</row>
    <row r="208" spans="1:186" s="6" customFormat="1" ht="21.75" customHeight="1">
      <c r="A208" s="7" t="s">
        <v>305</v>
      </c>
      <c r="B208" s="8" t="s">
        <v>296</v>
      </c>
      <c r="C208" s="8" t="s">
        <v>306</v>
      </c>
      <c r="D208" s="8"/>
      <c r="E208" s="63">
        <v>184.047</v>
      </c>
      <c r="F208" s="63">
        <f>63.78+39.09</f>
        <v>102.87</v>
      </c>
      <c r="G208" s="63">
        <v>23.332999999999998</v>
      </c>
      <c r="H208" s="63">
        <v>178.84399999999999</v>
      </c>
      <c r="I208" s="63">
        <f t="shared" si="39"/>
        <v>489.09399999999999</v>
      </c>
      <c r="J208" s="93">
        <f>'2019'!K208</f>
        <v>3552.1582720000006</v>
      </c>
      <c r="K208" s="93">
        <f t="shared" si="37"/>
        <v>3694.2446028800009</v>
      </c>
      <c r="L208" s="79">
        <f>'2019'!M208</f>
        <v>1290.9086361600002</v>
      </c>
      <c r="M208" s="79">
        <f t="shared" si="38"/>
        <v>1342.5449816064004</v>
      </c>
      <c r="N208" s="10">
        <f t="shared" si="43"/>
        <v>416176.21172744455</v>
      </c>
      <c r="O208" s="10">
        <f t="shared" si="44"/>
        <v>232614.75003886083</v>
      </c>
      <c r="P208" s="10">
        <f t="shared" si="45"/>
        <v>54872.207263176912</v>
      </c>
      <c r="Q208" s="10">
        <f t="shared" si="46"/>
        <v>420587.36706705578</v>
      </c>
      <c r="R208" s="10">
        <f t="shared" si="47"/>
        <v>1124250.536096538</v>
      </c>
      <c r="S208" s="10"/>
      <c r="T208" s="11"/>
      <c r="U208" s="10"/>
      <c r="V208" s="10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</row>
    <row r="209" spans="1:186" s="6" customFormat="1" ht="21.75" customHeight="1">
      <c r="A209" s="7" t="s">
        <v>343</v>
      </c>
      <c r="B209" s="8" t="s">
        <v>344</v>
      </c>
      <c r="C209" s="8" t="s">
        <v>307</v>
      </c>
      <c r="D209" s="8"/>
      <c r="E209" s="63">
        <v>236.39500000000001</v>
      </c>
      <c r="F209" s="63">
        <f>105.915+40.67</f>
        <v>146.58500000000001</v>
      </c>
      <c r="G209" s="63">
        <v>28.76</v>
      </c>
      <c r="H209" s="63">
        <v>247.74</v>
      </c>
      <c r="I209" s="63">
        <f t="shared" si="39"/>
        <v>659.48</v>
      </c>
      <c r="J209" s="93">
        <f>'2019'!K209</f>
        <v>3474.0992000000001</v>
      </c>
      <c r="K209" s="93">
        <f t="shared" si="37"/>
        <v>3613.0631680000001</v>
      </c>
      <c r="L209" s="79">
        <f>'2019'!M209</f>
        <v>1744.9669120000001</v>
      </c>
      <c r="M209" s="79">
        <f t="shared" si="38"/>
        <v>1814.7655884800001</v>
      </c>
      <c r="N209" s="10">
        <f t="shared" si="43"/>
        <v>408758.22722176003</v>
      </c>
      <c r="O209" s="10">
        <f t="shared" si="44"/>
        <v>253464.85643648001</v>
      </c>
      <c r="P209" s="10">
        <f t="shared" si="45"/>
        <v>51719.038386995206</v>
      </c>
      <c r="Q209" s="10">
        <f t="shared" si="46"/>
        <v>445510.24235028483</v>
      </c>
      <c r="R209" s="10">
        <f t="shared" si="47"/>
        <v>1159452.3643955202</v>
      </c>
      <c r="S209" s="10"/>
      <c r="T209" s="11"/>
      <c r="U209" s="10"/>
      <c r="V209" s="10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</row>
    <row r="210" spans="1:186" s="6" customFormat="1" ht="21.75" customHeight="1">
      <c r="A210" s="7" t="s">
        <v>308</v>
      </c>
      <c r="B210" s="8" t="s">
        <v>309</v>
      </c>
      <c r="C210" s="8" t="s">
        <v>310</v>
      </c>
      <c r="D210" s="8"/>
      <c r="E210" s="63">
        <v>433.024</v>
      </c>
      <c r="F210" s="63">
        <f>142.27+84.682</f>
        <v>226.952</v>
      </c>
      <c r="G210" s="63">
        <v>72.02</v>
      </c>
      <c r="H210" s="63">
        <v>405.19</v>
      </c>
      <c r="I210" s="63">
        <f t="shared" si="39"/>
        <v>1137.1859999999999</v>
      </c>
      <c r="J210" s="93">
        <f>'2019'!K210</f>
        <v>2475.4795519999998</v>
      </c>
      <c r="K210" s="93">
        <f t="shared" si="37"/>
        <v>2574.4987340799998</v>
      </c>
      <c r="L210" s="79">
        <f>'2019'!M210</f>
        <v>1230.4656000000002</v>
      </c>
      <c r="M210" s="79">
        <f t="shared" si="38"/>
        <v>1279.6842240000003</v>
      </c>
      <c r="N210" s="10">
        <f t="shared" si="43"/>
        <v>539120.92155084782</v>
      </c>
      <c r="O210" s="10">
        <f t="shared" si="44"/>
        <v>282558.40643430391</v>
      </c>
      <c r="P210" s="10">
        <f t="shared" si="45"/>
        <v>93252.541015961557</v>
      </c>
      <c r="Q210" s="10">
        <f t="shared" si="46"/>
        <v>524645.89133931499</v>
      </c>
      <c r="R210" s="10">
        <f t="shared" si="47"/>
        <v>1439577.7603404282</v>
      </c>
      <c r="S210" s="10"/>
      <c r="T210" s="11"/>
      <c r="U210" s="10"/>
      <c r="V210" s="10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</row>
    <row r="211" spans="1:186" s="6" customFormat="1" ht="21.75" customHeight="1">
      <c r="A211" s="7">
        <v>2907014810</v>
      </c>
      <c r="B211" s="8" t="s">
        <v>296</v>
      </c>
      <c r="C211" s="8" t="s">
        <v>311</v>
      </c>
      <c r="D211" s="8"/>
      <c r="E211" s="63">
        <v>811.29899999999998</v>
      </c>
      <c r="F211" s="63">
        <f>273.311+161.633-0.86</f>
        <v>434.08399999999995</v>
      </c>
      <c r="G211" s="63">
        <v>145.24799999999999</v>
      </c>
      <c r="H211" s="63">
        <v>821.07899999999995</v>
      </c>
      <c r="I211" s="63">
        <f t="shared" si="39"/>
        <v>2211.71</v>
      </c>
      <c r="J211" s="93">
        <f>'2019'!K211</f>
        <v>3552.1582720000006</v>
      </c>
      <c r="K211" s="93">
        <f t="shared" si="37"/>
        <v>3694.2446028800009</v>
      </c>
      <c r="L211" s="79">
        <f>'2019'!M211</f>
        <v>1779.232</v>
      </c>
      <c r="M211" s="79">
        <f t="shared" si="38"/>
        <v>1850.40128</v>
      </c>
      <c r="N211" s="10">
        <f t="shared" si="43"/>
        <v>1438373.3115473285</v>
      </c>
      <c r="O211" s="10">
        <f t="shared" si="44"/>
        <v>769598.92785484821</v>
      </c>
      <c r="P211" s="10">
        <f t="shared" si="45"/>
        <v>267814.55496167432</v>
      </c>
      <c r="Q211" s="10">
        <f t="shared" si="46"/>
        <v>1513941.0317069881</v>
      </c>
      <c r="R211" s="10">
        <f t="shared" si="47"/>
        <v>3989727.8260708395</v>
      </c>
      <c r="S211" s="10"/>
      <c r="T211" s="11"/>
      <c r="U211" s="10"/>
      <c r="V211" s="10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</row>
    <row r="212" spans="1:186" s="6" customFormat="1" ht="21.75" customHeight="1">
      <c r="A212" s="7" t="s">
        <v>312</v>
      </c>
      <c r="B212" s="8" t="s">
        <v>313</v>
      </c>
      <c r="C212" s="8" t="s">
        <v>314</v>
      </c>
      <c r="D212" s="8"/>
      <c r="E212" s="63">
        <v>248.429</v>
      </c>
      <c r="F212" s="63">
        <f>83.547+53.901</f>
        <v>137.44800000000001</v>
      </c>
      <c r="G212" s="63">
        <v>50.128999999999998</v>
      </c>
      <c r="H212" s="63">
        <v>248.93899999999999</v>
      </c>
      <c r="I212" s="63">
        <f t="shared" si="39"/>
        <v>684.94500000000005</v>
      </c>
      <c r="J212" s="93">
        <f>'2019'!K212</f>
        <v>2130.6271999999999</v>
      </c>
      <c r="K212" s="93">
        <f t="shared" si="37"/>
        <v>2215.852288</v>
      </c>
      <c r="L212" s="79">
        <f>'2019'!M212</f>
        <v>1296.0721138983054</v>
      </c>
      <c r="M212" s="79">
        <f t="shared" si="38"/>
        <v>1347.9149984542375</v>
      </c>
      <c r="N212" s="10">
        <f t="shared" si="43"/>
        <v>207327.68548515788</v>
      </c>
      <c r="O212" s="10">
        <f t="shared" si="44"/>
        <v>114707.92747450572</v>
      </c>
      <c r="P212" s="10">
        <f t="shared" si="45"/>
        <v>43508.828387639529</v>
      </c>
      <c r="Q212" s="10">
        <f t="shared" si="46"/>
        <v>216063.44092223258</v>
      </c>
      <c r="R212" s="10">
        <f t="shared" si="47"/>
        <v>581607.88226953568</v>
      </c>
      <c r="S212" s="10"/>
      <c r="T212" s="11"/>
      <c r="U212" s="10"/>
      <c r="V212" s="10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</row>
    <row r="213" spans="1:186" s="6" customFormat="1" ht="21.75" customHeight="1">
      <c r="A213" s="7" t="s">
        <v>315</v>
      </c>
      <c r="B213" s="8" t="s">
        <v>296</v>
      </c>
      <c r="C213" s="8" t="s">
        <v>316</v>
      </c>
      <c r="D213" s="8"/>
      <c r="E213" s="63">
        <v>555.35400000000004</v>
      </c>
      <c r="F213" s="63">
        <f>186.72+114.44+30.4</f>
        <v>331.55999999999995</v>
      </c>
      <c r="G213" s="63">
        <v>97.997</v>
      </c>
      <c r="H213" s="63">
        <v>559.03200000000004</v>
      </c>
      <c r="I213" s="63">
        <f t="shared" si="39"/>
        <v>1543.943</v>
      </c>
      <c r="J213" s="93">
        <f>'2019'!K213</f>
        <v>3552.1582720000006</v>
      </c>
      <c r="K213" s="93">
        <f t="shared" ref="K213:K227" si="48">J213*1.04</f>
        <v>3694.2446028800009</v>
      </c>
      <c r="L213" s="79">
        <f>'2019'!M213</f>
        <v>1689.1898816000003</v>
      </c>
      <c r="M213" s="79">
        <f t="shared" ref="M213:M227" si="49">L213*1.04</f>
        <v>1756.7574768640004</v>
      </c>
      <c r="N213" s="10">
        <f t="shared" si="43"/>
        <v>1034606.9474822019</v>
      </c>
      <c r="O213" s="10">
        <f t="shared" si="44"/>
        <v>617685.79952102399</v>
      </c>
      <c r="P213" s="10">
        <f t="shared" si="45"/>
        <v>189867.92588818999</v>
      </c>
      <c r="Q213" s="10">
        <f t="shared" si="46"/>
        <v>1083117.3030309768</v>
      </c>
      <c r="R213" s="10">
        <f t="shared" si="47"/>
        <v>2925277.9759223927</v>
      </c>
      <c r="S213" s="10"/>
      <c r="T213" s="11"/>
      <c r="U213" s="10"/>
      <c r="V213" s="10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</row>
    <row r="214" spans="1:186" s="6" customFormat="1" ht="21.75" customHeight="1">
      <c r="A214" s="7" t="s">
        <v>317</v>
      </c>
      <c r="B214" s="8" t="s">
        <v>318</v>
      </c>
      <c r="C214" s="8" t="s">
        <v>319</v>
      </c>
      <c r="D214" s="8"/>
      <c r="E214" s="63">
        <v>131.03</v>
      </c>
      <c r="F214" s="63">
        <f>43.92+29.29</f>
        <v>73.210000000000008</v>
      </c>
      <c r="G214" s="63">
        <v>21.59</v>
      </c>
      <c r="H214" s="63">
        <v>129.54</v>
      </c>
      <c r="I214" s="63">
        <f t="shared" si="39"/>
        <v>355.37</v>
      </c>
      <c r="J214" s="93">
        <f>'2019'!K214</f>
        <v>2538.3962240000001</v>
      </c>
      <c r="K214" s="93">
        <f t="shared" si="48"/>
        <v>2639.9320729600004</v>
      </c>
      <c r="L214" s="79">
        <f>'2019'!M214</f>
        <v>1969.6801280000002</v>
      </c>
      <c r="M214" s="79">
        <f t="shared" si="49"/>
        <v>2048.4673331200001</v>
      </c>
      <c r="N214" s="10">
        <f t="shared" si="43"/>
        <v>74518.870058879984</v>
      </c>
      <c r="O214" s="10">
        <f t="shared" si="44"/>
        <v>41635.705388159993</v>
      </c>
      <c r="P214" s="10">
        <f t="shared" si="45"/>
        <v>12769.723733145605</v>
      </c>
      <c r="Q214" s="10">
        <f t="shared" si="46"/>
        <v>76618.342398873618</v>
      </c>
      <c r="R214" s="10">
        <f t="shared" si="47"/>
        <v>205542.64157905919</v>
      </c>
      <c r="S214" s="10"/>
      <c r="T214" s="11"/>
      <c r="U214" s="10"/>
      <c r="V214" s="10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</row>
    <row r="215" spans="1:186" s="6" customFormat="1" ht="21.75" customHeight="1">
      <c r="A215" s="7" t="s">
        <v>343</v>
      </c>
      <c r="B215" s="8" t="s">
        <v>344</v>
      </c>
      <c r="C215" s="8" t="s">
        <v>320</v>
      </c>
      <c r="D215" s="8"/>
      <c r="E215" s="63">
        <v>656.30799999999999</v>
      </c>
      <c r="F215" s="63">
        <f>218.317+133.81</f>
        <v>352.12700000000001</v>
      </c>
      <c r="G215" s="63">
        <v>88.58</v>
      </c>
      <c r="H215" s="63">
        <v>668.38</v>
      </c>
      <c r="I215" s="63">
        <f t="shared" si="39"/>
        <v>1765.395</v>
      </c>
      <c r="J215" s="93">
        <f>'2019'!K215</f>
        <v>2337.7918720000002</v>
      </c>
      <c r="K215" s="93">
        <f t="shared" si="48"/>
        <v>2431.3035468800003</v>
      </c>
      <c r="L215" s="79">
        <f>'2019'!M215</f>
        <v>1556.9415680000002</v>
      </c>
      <c r="M215" s="79">
        <f t="shared" si="49"/>
        <v>1619.2192307200003</v>
      </c>
      <c r="N215" s="10">
        <f t="shared" si="43"/>
        <v>512478.30131763202</v>
      </c>
      <c r="O215" s="10">
        <f t="shared" si="44"/>
        <v>274958.47499660804</v>
      </c>
      <c r="P215" s="10">
        <f t="shared" si="45"/>
        <v>71934.428725452803</v>
      </c>
      <c r="Q215" s="10">
        <f t="shared" si="46"/>
        <v>542780.9152350208</v>
      </c>
      <c r="R215" s="10">
        <f t="shared" si="47"/>
        <v>1402152.1202747137</v>
      </c>
      <c r="S215" s="10"/>
      <c r="T215" s="11"/>
      <c r="U215" s="10"/>
      <c r="V215" s="10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</row>
    <row r="216" spans="1:186" s="6" customFormat="1" ht="21.75" customHeight="1">
      <c r="A216" s="18" t="s">
        <v>22</v>
      </c>
      <c r="B216" s="8" t="s">
        <v>23</v>
      </c>
      <c r="C216" s="8" t="s">
        <v>321</v>
      </c>
      <c r="D216" s="8"/>
      <c r="E216" s="63">
        <v>2436.5509999999999</v>
      </c>
      <c r="F216" s="63">
        <f>714.173+413.357</f>
        <v>1127.53</v>
      </c>
      <c r="G216" s="63">
        <v>351.32299999999998</v>
      </c>
      <c r="H216" s="63">
        <v>1756.614</v>
      </c>
      <c r="I216" s="63">
        <f t="shared" si="39"/>
        <v>5672.018</v>
      </c>
      <c r="J216" s="93">
        <f>'2019'!K216</f>
        <v>3467.7031999999999</v>
      </c>
      <c r="K216" s="93">
        <f t="shared" si="48"/>
        <v>3606.4113280000001</v>
      </c>
      <c r="L216" s="79">
        <f>'2019'!M216</f>
        <v>1457.3262080000004</v>
      </c>
      <c r="M216" s="79">
        <f t="shared" si="49"/>
        <v>1515.6192563200004</v>
      </c>
      <c r="N216" s="10">
        <f t="shared" si="43"/>
        <v>4898386.0702345911</v>
      </c>
      <c r="O216" s="10">
        <f t="shared" si="44"/>
        <v>2266760.3697897596</v>
      </c>
      <c r="P216" s="10">
        <f t="shared" si="45"/>
        <v>734543.34299883258</v>
      </c>
      <c r="Q216" s="10">
        <f t="shared" si="46"/>
        <v>3672714.6242020912</v>
      </c>
      <c r="R216" s="10">
        <f t="shared" si="47"/>
        <v>11572404.407225274</v>
      </c>
      <c r="S216" s="16"/>
      <c r="T216" s="16"/>
      <c r="U216" s="16"/>
      <c r="V216" s="16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</row>
    <row r="217" spans="1:186" s="6" customFormat="1" ht="21.75" customHeight="1">
      <c r="A217" s="7" t="s">
        <v>322</v>
      </c>
      <c r="B217" s="8" t="s">
        <v>323</v>
      </c>
      <c r="C217" s="8" t="s">
        <v>324</v>
      </c>
      <c r="D217" s="8"/>
      <c r="E217" s="63">
        <v>5785.7790000000005</v>
      </c>
      <c r="F217" s="63">
        <f>1654.262+1448.295</f>
        <v>3102.5569999999998</v>
      </c>
      <c r="G217" s="63">
        <v>734.15099999999995</v>
      </c>
      <c r="H217" s="63">
        <v>4927.1509999999998</v>
      </c>
      <c r="I217" s="63">
        <f t="shared" si="39"/>
        <v>14549.637999999999</v>
      </c>
      <c r="J217" s="93">
        <f>'2019'!K217</f>
        <v>3389.1611519999997</v>
      </c>
      <c r="K217" s="93">
        <f t="shared" si="48"/>
        <v>3524.72759808</v>
      </c>
      <c r="L217" s="79">
        <f>'2019'!M217</f>
        <v>1828.3201996800003</v>
      </c>
      <c r="M217" s="79">
        <f t="shared" si="49"/>
        <v>1901.4530076672004</v>
      </c>
      <c r="N217" s="10">
        <f t="shared" si="43"/>
        <v>9030680.804273054</v>
      </c>
      <c r="O217" s="10">
        <f t="shared" si="44"/>
        <v>4842598.0225070799</v>
      </c>
      <c r="P217" s="10">
        <f t="shared" si="45"/>
        <v>1191728.6638261471</v>
      </c>
      <c r="Q217" s="10">
        <f t="shared" si="46"/>
        <v>7998119.0214270158</v>
      </c>
      <c r="R217" s="10">
        <f t="shared" si="47"/>
        <v>23063126.512033295</v>
      </c>
      <c r="S217" s="10"/>
      <c r="T217" s="11"/>
      <c r="U217" s="10"/>
      <c r="V217" s="10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</row>
    <row r="218" spans="1:186" s="6" customFormat="1" ht="21.75" customHeight="1">
      <c r="A218" s="7" t="s">
        <v>326</v>
      </c>
      <c r="B218" s="8" t="s">
        <v>327</v>
      </c>
      <c r="C218" s="8" t="s">
        <v>325</v>
      </c>
      <c r="D218" s="8"/>
      <c r="E218" s="63">
        <v>104.06</v>
      </c>
      <c r="F218" s="63">
        <f>42.49+45.14+31.37</f>
        <v>119</v>
      </c>
      <c r="G218" s="63">
        <v>14.86</v>
      </c>
      <c r="H218" s="63">
        <v>135.69</v>
      </c>
      <c r="I218" s="63">
        <f t="shared" si="39"/>
        <v>373.61</v>
      </c>
      <c r="J218" s="93">
        <f>'2019'!K218</f>
        <v>2146.8894720000003</v>
      </c>
      <c r="K218" s="93">
        <f t="shared" si="48"/>
        <v>2232.7650508800002</v>
      </c>
      <c r="L218" s="79">
        <f>'2019'!M218</f>
        <v>1689.578176</v>
      </c>
      <c r="M218" s="79">
        <f t="shared" si="49"/>
        <v>1757.1613030400001</v>
      </c>
      <c r="N218" s="10">
        <f t="shared" si="43"/>
        <v>47587.81346176003</v>
      </c>
      <c r="O218" s="10">
        <f t="shared" si="44"/>
        <v>54420.044224000034</v>
      </c>
      <c r="P218" s="10">
        <f t="shared" si="45"/>
        <v>7067.4716929024007</v>
      </c>
      <c r="Q218" s="10">
        <f t="shared" si="46"/>
        <v>64534.672544409616</v>
      </c>
      <c r="R218" s="10">
        <f t="shared" si="47"/>
        <v>173610.00192307209</v>
      </c>
      <c r="S218" s="10"/>
      <c r="T218" s="11"/>
      <c r="U218" s="10"/>
      <c r="V218" s="10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</row>
    <row r="219" spans="1:186" s="6" customFormat="1" ht="21.75" customHeight="1">
      <c r="A219" s="7" t="s">
        <v>328</v>
      </c>
      <c r="B219" s="8" t="s">
        <v>329</v>
      </c>
      <c r="C219" s="8" t="s">
        <v>325</v>
      </c>
      <c r="D219" s="8"/>
      <c r="E219" s="63">
        <v>25486.58</v>
      </c>
      <c r="F219" s="63">
        <f>7457.03+5848.75</f>
        <v>13305.779999999999</v>
      </c>
      <c r="G219" s="63">
        <v>2548.21</v>
      </c>
      <c r="H219" s="63">
        <v>22890.98</v>
      </c>
      <c r="I219" s="63">
        <f t="shared" si="39"/>
        <v>64231.55</v>
      </c>
      <c r="J219" s="93">
        <f>'2019'!K219</f>
        <v>2787.0236160000004</v>
      </c>
      <c r="K219" s="93">
        <f t="shared" si="48"/>
        <v>2898.5045606400004</v>
      </c>
      <c r="L219" s="79">
        <f>'2019'!M219</f>
        <v>1431.8506342400003</v>
      </c>
      <c r="M219" s="79">
        <f t="shared" si="49"/>
        <v>1489.1246596096005</v>
      </c>
      <c r="N219" s="10">
        <f t="shared" si="43"/>
        <v>34538724.613464788</v>
      </c>
      <c r="O219" s="10">
        <f t="shared" si="44"/>
        <v>18031633.557242572</v>
      </c>
      <c r="P219" s="10">
        <f t="shared" si="45"/>
        <v>3591395.9576046756</v>
      </c>
      <c r="Q219" s="10">
        <f t="shared" si="46"/>
        <v>32262087.126888864</v>
      </c>
      <c r="R219" s="10">
        <f t="shared" si="47"/>
        <v>88423841.255200893</v>
      </c>
      <c r="S219" s="10"/>
      <c r="T219" s="11"/>
      <c r="U219" s="10"/>
      <c r="V219" s="10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</row>
    <row r="220" spans="1:186" s="6" customFormat="1" ht="21.75" customHeight="1">
      <c r="A220" s="7" t="s">
        <v>330</v>
      </c>
      <c r="B220" s="8" t="s">
        <v>296</v>
      </c>
      <c r="C220" s="8" t="s">
        <v>331</v>
      </c>
      <c r="D220" s="8"/>
      <c r="E220" s="63">
        <v>294.63200000000001</v>
      </c>
      <c r="F220" s="63">
        <f>194.92+47.82-4.026</f>
        <v>238.71399999999997</v>
      </c>
      <c r="G220" s="63">
        <v>30.675999999999998</v>
      </c>
      <c r="H220" s="63">
        <v>233.62299999999999</v>
      </c>
      <c r="I220" s="63">
        <f t="shared" si="39"/>
        <v>797.64499999999998</v>
      </c>
      <c r="J220" s="93">
        <f>'2019'!K220</f>
        <v>3552.1582720000006</v>
      </c>
      <c r="K220" s="93">
        <f t="shared" si="48"/>
        <v>3694.2446028800009</v>
      </c>
      <c r="L220" s="79">
        <f>'2019'!M220</f>
        <v>1722.1516415999999</v>
      </c>
      <c r="M220" s="79">
        <f t="shared" si="49"/>
        <v>1791.0377072640001</v>
      </c>
      <c r="N220" s="10">
        <f t="shared" si="43"/>
        <v>539178.51352801302</v>
      </c>
      <c r="O220" s="10">
        <f t="shared" si="44"/>
        <v>436848.20276930567</v>
      </c>
      <c r="P220" s="10">
        <f t="shared" si="45"/>
        <v>58382.77472991644</v>
      </c>
      <c r="Q220" s="10">
        <f t="shared" si="46"/>
        <v>444632.90457449696</v>
      </c>
      <c r="R220" s="10">
        <f t="shared" si="47"/>
        <v>1479042.3956017322</v>
      </c>
      <c r="S220" s="16"/>
      <c r="T220" s="16"/>
      <c r="U220" s="16"/>
      <c r="V220" s="16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</row>
    <row r="221" spans="1:186" s="6" customFormat="1" ht="21.75" customHeight="1">
      <c r="A221" s="7" t="s">
        <v>330</v>
      </c>
      <c r="B221" s="8" t="s">
        <v>296</v>
      </c>
      <c r="C221" s="8" t="s">
        <v>332</v>
      </c>
      <c r="D221" s="8"/>
      <c r="E221" s="63">
        <v>173.44499999999999</v>
      </c>
      <c r="F221" s="63">
        <f>57.81+24.959</f>
        <v>82.769000000000005</v>
      </c>
      <c r="G221" s="63">
        <v>30.567</v>
      </c>
      <c r="H221" s="63">
        <v>168.43799999999999</v>
      </c>
      <c r="I221" s="63">
        <f t="shared" si="39"/>
        <v>455.21899999999999</v>
      </c>
      <c r="J221" s="93">
        <f>'2019'!K221</f>
        <v>3552.1582720000006</v>
      </c>
      <c r="K221" s="93">
        <f t="shared" si="48"/>
        <v>3694.2446028800009</v>
      </c>
      <c r="L221" s="79">
        <f>'2019'!M221</f>
        <v>1353.4385280000004</v>
      </c>
      <c r="M221" s="79">
        <f t="shared" si="49"/>
        <v>1407.5760691200005</v>
      </c>
      <c r="N221" s="10">
        <f t="shared" si="43"/>
        <v>381356.94599807996</v>
      </c>
      <c r="O221" s="10">
        <f t="shared" si="44"/>
        <v>181985.83449113602</v>
      </c>
      <c r="P221" s="10">
        <f t="shared" si="45"/>
        <v>69896.597071441924</v>
      </c>
      <c r="Q221" s="10">
        <f t="shared" si="46"/>
        <v>385161.87448946689</v>
      </c>
      <c r="R221" s="10">
        <f t="shared" si="47"/>
        <v>1018401.2520501248</v>
      </c>
      <c r="S221" s="10"/>
      <c r="T221" s="11"/>
      <c r="U221" s="10"/>
      <c r="V221" s="10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</row>
    <row r="222" spans="1:186" s="6" customFormat="1" ht="21.75" customHeight="1">
      <c r="A222" s="7" t="s">
        <v>346</v>
      </c>
      <c r="B222" s="8" t="s">
        <v>345</v>
      </c>
      <c r="C222" s="8" t="s">
        <v>325</v>
      </c>
      <c r="D222" s="8"/>
      <c r="E222" s="63">
        <v>23.126000000000001</v>
      </c>
      <c r="F222" s="63">
        <f>11.563+11.563+8.579</f>
        <v>31.705000000000002</v>
      </c>
      <c r="G222" s="63">
        <v>3.36</v>
      </c>
      <c r="H222" s="63">
        <v>34.69</v>
      </c>
      <c r="I222" s="63">
        <f t="shared" si="39"/>
        <v>92.881</v>
      </c>
      <c r="J222" s="93">
        <f>'2019'!K222</f>
        <v>2882.3912000000005</v>
      </c>
      <c r="K222" s="93">
        <f t="shared" si="48"/>
        <v>2997.6868480000007</v>
      </c>
      <c r="L222" s="79">
        <f>'2019'!M222</f>
        <v>1702.5790080000002</v>
      </c>
      <c r="M222" s="79">
        <f t="shared" si="49"/>
        <v>1770.6821683200003</v>
      </c>
      <c r="N222" s="10">
        <f t="shared" si="43"/>
        <v>27284.336752192008</v>
      </c>
      <c r="O222" s="10">
        <f t="shared" si="44"/>
        <v>37405.94554736001</v>
      </c>
      <c r="P222" s="10">
        <f t="shared" si="45"/>
        <v>4122.7357237248016</v>
      </c>
      <c r="Q222" s="10">
        <f t="shared" si="46"/>
        <v>42564.792338099214</v>
      </c>
      <c r="R222" s="10">
        <f t="shared" si="47"/>
        <v>111377.81036137603</v>
      </c>
      <c r="S222" s="10"/>
      <c r="T222" s="11"/>
      <c r="U222" s="10"/>
      <c r="V222" s="10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</row>
    <row r="223" spans="1:186" s="6" customFormat="1" ht="21.75" customHeight="1">
      <c r="A223" s="7" t="s">
        <v>333</v>
      </c>
      <c r="B223" s="8" t="s">
        <v>334</v>
      </c>
      <c r="C223" s="8" t="s">
        <v>324</v>
      </c>
      <c r="D223" s="8"/>
      <c r="E223" s="63">
        <v>870.17</v>
      </c>
      <c r="F223" s="63">
        <f>272.104+224.231+26.136</f>
        <v>522.471</v>
      </c>
      <c r="G223" s="63">
        <v>211.803</v>
      </c>
      <c r="H223" s="63">
        <v>903.93399999999997</v>
      </c>
      <c r="I223" s="63">
        <f t="shared" si="39"/>
        <v>2508.3779999999997</v>
      </c>
      <c r="J223" s="93">
        <f>'2019'!K223</f>
        <v>4852.3820800000003</v>
      </c>
      <c r="K223" s="93">
        <f t="shared" si="48"/>
        <v>5046.4773632000006</v>
      </c>
      <c r="L223" s="79">
        <f>'2019'!M223</f>
        <v>2132.6859008000001</v>
      </c>
      <c r="M223" s="79">
        <f t="shared" si="49"/>
        <v>2217.9933368320003</v>
      </c>
      <c r="N223" s="10">
        <f t="shared" si="43"/>
        <v>2366598.0242544641</v>
      </c>
      <c r="O223" s="10">
        <f t="shared" si="44"/>
        <v>1420962.3824428034</v>
      </c>
      <c r="P223" s="10">
        <f t="shared" si="45"/>
        <v>599081.4022368216</v>
      </c>
      <c r="Q223" s="10">
        <f t="shared" si="46"/>
        <v>2556762.8798909318</v>
      </c>
      <c r="R223" s="10">
        <f t="shared" si="47"/>
        <v>6943404.6888250206</v>
      </c>
      <c r="S223" s="10"/>
      <c r="T223" s="11"/>
      <c r="U223" s="10"/>
      <c r="V223" s="10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</row>
    <row r="224" spans="1:186" s="6" customFormat="1" ht="21.75" customHeight="1">
      <c r="A224" s="73" t="s">
        <v>451</v>
      </c>
      <c r="B224" s="75" t="s">
        <v>452</v>
      </c>
      <c r="C224" s="22" t="s">
        <v>325</v>
      </c>
      <c r="D224" s="8"/>
      <c r="E224" s="21">
        <v>41.305259999999997</v>
      </c>
      <c r="F224" s="21">
        <v>27.536840000000005</v>
      </c>
      <c r="G224" s="21">
        <v>8.0515799999999995</v>
      </c>
      <c r="H224" s="21">
        <v>32.206319999999991</v>
      </c>
      <c r="I224" s="63">
        <f t="shared" si="39"/>
        <v>109.1</v>
      </c>
      <c r="J224" s="93">
        <f>'2019'!K224</f>
        <v>2199.0442240000002</v>
      </c>
      <c r="K224" s="93">
        <f t="shared" ref="K224:K225" si="50">J224*1.04</f>
        <v>2287.0059929600002</v>
      </c>
      <c r="L224" s="79">
        <f>'2019'!M224</f>
        <v>1722.0713868800001</v>
      </c>
      <c r="M224" s="79">
        <f t="shared" ref="M224:M225" si="51">L224*1.04</f>
        <v>1790.9542423552002</v>
      </c>
      <c r="N224" s="10">
        <f t="shared" si="43"/>
        <v>19701.487050179254</v>
      </c>
      <c r="O224" s="10">
        <f t="shared" si="44"/>
        <v>13134.324700119507</v>
      </c>
      <c r="P224" s="10">
        <f t="shared" si="45"/>
        <v>3994.000354134595</v>
      </c>
      <c r="Q224" s="10">
        <f t="shared" si="46"/>
        <v>15976.001416538376</v>
      </c>
      <c r="R224" s="10">
        <f t="shared" si="47"/>
        <v>52805.813520971729</v>
      </c>
      <c r="S224" s="10"/>
      <c r="T224" s="11"/>
      <c r="U224" s="10"/>
      <c r="V224" s="10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</row>
    <row r="225" spans="1:191" s="6" customFormat="1" ht="21.75" customHeight="1">
      <c r="A225" s="73" t="s">
        <v>453</v>
      </c>
      <c r="B225" s="74" t="s">
        <v>454</v>
      </c>
      <c r="C225" s="74" t="s">
        <v>455</v>
      </c>
      <c r="D225" s="8"/>
      <c r="E225" s="21">
        <v>29.018087999999999</v>
      </c>
      <c r="F225" s="21">
        <v>19.345392000000004</v>
      </c>
      <c r="G225" s="21">
        <v>8.5433039999999991</v>
      </c>
      <c r="H225" s="21">
        <v>34.173215999999996</v>
      </c>
      <c r="I225" s="63">
        <f t="shared" si="39"/>
        <v>91.08</v>
      </c>
      <c r="J225" s="93">
        <f>'2019'!K225</f>
        <v>2997.1552000000001</v>
      </c>
      <c r="K225" s="93">
        <f t="shared" si="50"/>
        <v>3117.041408</v>
      </c>
      <c r="L225" s="79">
        <f>'2019'!M225</f>
        <v>1739.4293363200002</v>
      </c>
      <c r="M225" s="79">
        <f t="shared" si="51"/>
        <v>1809.0065097728002</v>
      </c>
      <c r="N225" s="10">
        <f t="shared" si="43"/>
        <v>36496.799792142243</v>
      </c>
      <c r="O225" s="10">
        <f t="shared" si="44"/>
        <v>24331.199861428166</v>
      </c>
      <c r="P225" s="10">
        <f t="shared" si="45"/>
        <v>11174.939778164027</v>
      </c>
      <c r="Q225" s="10">
        <f t="shared" si="46"/>
        <v>44699.759112656109</v>
      </c>
      <c r="R225" s="10">
        <f t="shared" si="47"/>
        <v>116702.69854439056</v>
      </c>
      <c r="S225" s="10"/>
      <c r="T225" s="11"/>
      <c r="U225" s="10"/>
      <c r="V225" s="10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</row>
    <row r="226" spans="1:191" s="14" customFormat="1" ht="27" customHeight="1" outlineLevel="1">
      <c r="A226" s="150" t="s">
        <v>335</v>
      </c>
      <c r="B226" s="150"/>
      <c r="C226" s="150"/>
      <c r="D226" s="150"/>
      <c r="E226" s="64"/>
      <c r="F226" s="64"/>
      <c r="G226" s="69"/>
      <c r="H226" s="65"/>
      <c r="I226" s="63"/>
      <c r="J226" s="85"/>
      <c r="K226" s="85"/>
      <c r="L226" s="78"/>
      <c r="M226" s="78"/>
      <c r="N226" s="10">
        <f t="shared" si="43"/>
        <v>0</v>
      </c>
      <c r="O226" s="10">
        <f t="shared" si="44"/>
        <v>0</v>
      </c>
      <c r="P226" s="10">
        <f t="shared" si="45"/>
        <v>0</v>
      </c>
      <c r="Q226" s="10">
        <f t="shared" si="46"/>
        <v>0</v>
      </c>
      <c r="R226" s="10">
        <f t="shared" si="47"/>
        <v>0</v>
      </c>
      <c r="S226" s="10"/>
      <c r="T226" s="11"/>
      <c r="U226" s="10"/>
      <c r="V226" s="10"/>
    </row>
    <row r="227" spans="1:191" s="6" customFormat="1" ht="20.25" customHeight="1" outlineLevel="1">
      <c r="A227" s="28" t="s">
        <v>415</v>
      </c>
      <c r="B227" s="27" t="s">
        <v>414</v>
      </c>
      <c r="C227" s="15" t="s">
        <v>336</v>
      </c>
      <c r="D227" s="15"/>
      <c r="E227" s="63">
        <v>297.15499999999997</v>
      </c>
      <c r="F227" s="63">
        <v>157.42500000000001</v>
      </c>
      <c r="G227" s="63">
        <v>74.844999999999999</v>
      </c>
      <c r="H227" s="63">
        <v>297.15499999999997</v>
      </c>
      <c r="I227" s="63">
        <f t="shared" si="39"/>
        <v>826.57999999999993</v>
      </c>
      <c r="J227" s="79">
        <f>'2019'!K227</f>
        <v>4289.4072000000006</v>
      </c>
      <c r="K227" s="79">
        <f t="shared" si="48"/>
        <v>4460.9834880000008</v>
      </c>
      <c r="L227" s="79">
        <f>'2019'!M227</f>
        <v>1559.1056000000001</v>
      </c>
      <c r="M227" s="79">
        <f t="shared" si="49"/>
        <v>1621.4698240000002</v>
      </c>
      <c r="N227" s="10">
        <f>(J227-L227)*E227</f>
        <v>811322.77194800018</v>
      </c>
      <c r="O227" s="10">
        <f>(J227-L227)*F227</f>
        <v>429817.72938000015</v>
      </c>
      <c r="P227" s="10">
        <f>(K227-M227)*G227</f>
        <v>212523.40018208005</v>
      </c>
      <c r="Q227" s="10">
        <f>(K227-M227)*H227</f>
        <v>843775.68282592006</v>
      </c>
      <c r="R227" s="10">
        <f t="shared" si="47"/>
        <v>2297439.5843360005</v>
      </c>
      <c r="S227" s="10"/>
      <c r="T227" s="11"/>
      <c r="U227" s="10"/>
      <c r="V227" s="10"/>
      <c r="W227" s="42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</row>
    <row r="228" spans="1:191" ht="33.75" customHeight="1">
      <c r="A228" s="24" t="s">
        <v>294</v>
      </c>
      <c r="B228" s="24"/>
      <c r="C228" s="24"/>
      <c r="D228" s="24"/>
      <c r="E228" s="70">
        <f>SUM(E9:E227)</f>
        <v>406210.07537737995</v>
      </c>
      <c r="F228" s="70">
        <f>SUM(F9:F227)</f>
        <v>255741.38958491993</v>
      </c>
      <c r="G228" s="70">
        <f>SUM(G9:G227)</f>
        <v>92321.885004740005</v>
      </c>
      <c r="H228" s="70">
        <f>SUM(H9:H227)</f>
        <v>383786.64401896024</v>
      </c>
      <c r="I228" s="70">
        <f>SUM(I9:I227)</f>
        <v>1138059.9939860001</v>
      </c>
      <c r="J228" s="77"/>
      <c r="K228" s="77"/>
      <c r="L228" s="77"/>
      <c r="M228" s="77"/>
      <c r="N228" s="71">
        <f>SUM(N9:N227)</f>
        <v>716059770.16718996</v>
      </c>
      <c r="O228" s="71">
        <f t="shared" ref="O228:P228" si="52">SUM(O9:O227)</f>
        <v>448240015.8742407</v>
      </c>
      <c r="P228" s="71">
        <f t="shared" si="52"/>
        <v>160116806.31049186</v>
      </c>
      <c r="Q228" s="71">
        <f>SUM(Q9:Q227)</f>
        <v>704562558.16338646</v>
      </c>
      <c r="R228" s="71">
        <f>SUM(R9:R227)</f>
        <v>2028979150.5153093</v>
      </c>
      <c r="S228" s="16">
        <f>'2019'!U228</f>
        <v>243887039.36424902</v>
      </c>
      <c r="T228" s="17">
        <f>R228+S228</f>
        <v>2272866189.8795586</v>
      </c>
      <c r="U228" s="16">
        <f>Q228*0.36</f>
        <v>253642520.93881911</v>
      </c>
      <c r="V228" s="16">
        <f>T228-U228</f>
        <v>2019223668.9407394</v>
      </c>
      <c r="W228" s="61"/>
    </row>
    <row r="229" spans="1:191" s="6" customFormat="1" ht="16.5" customHeight="1">
      <c r="A229"/>
      <c r="F229"/>
      <c r="J229" s="100"/>
      <c r="K229" s="100"/>
      <c r="L229" s="100"/>
      <c r="M229" s="100"/>
      <c r="N229"/>
      <c r="O229"/>
      <c r="P229"/>
      <c r="Q229"/>
      <c r="R229"/>
      <c r="S229"/>
      <c r="T229"/>
      <c r="U229"/>
      <c r="V229"/>
      <c r="W229"/>
    </row>
    <row r="230" spans="1:191" s="6" customFormat="1" ht="16.5" customHeight="1">
      <c r="A230"/>
      <c r="F230"/>
      <c r="J230" s="100"/>
      <c r="K230" s="100"/>
      <c r="L230" s="100"/>
      <c r="M230" s="100"/>
      <c r="N230"/>
      <c r="O230"/>
      <c r="P230"/>
      <c r="Q230"/>
      <c r="R230"/>
      <c r="S230"/>
      <c r="T230"/>
      <c r="U230"/>
      <c r="V230"/>
      <c r="W230"/>
    </row>
    <row r="231" spans="1:191">
      <c r="N231"/>
      <c r="O231"/>
      <c r="P231"/>
      <c r="Q231"/>
      <c r="R231"/>
      <c r="S231"/>
      <c r="U231"/>
      <c r="V231"/>
    </row>
    <row r="232" spans="1:191">
      <c r="N232"/>
      <c r="O232"/>
      <c r="P232"/>
      <c r="Q232"/>
      <c r="R232"/>
      <c r="S232"/>
      <c r="U232"/>
      <c r="V232"/>
    </row>
    <row r="233" spans="1:191">
      <c r="N233"/>
      <c r="O233"/>
      <c r="P233"/>
      <c r="Q233"/>
      <c r="R233"/>
      <c r="S233"/>
      <c r="U233"/>
      <c r="V233"/>
    </row>
    <row r="234" spans="1:191">
      <c r="N234"/>
      <c r="O234"/>
      <c r="P234"/>
      <c r="Q234"/>
      <c r="R234"/>
      <c r="S234"/>
      <c r="U234"/>
      <c r="V234"/>
    </row>
    <row r="235" spans="1:191">
      <c r="N235"/>
      <c r="O235"/>
      <c r="P235"/>
      <c r="Q235"/>
      <c r="R235"/>
      <c r="S235"/>
      <c r="U235"/>
      <c r="V235"/>
    </row>
    <row r="236" spans="1:191">
      <c r="N236"/>
      <c r="O236"/>
      <c r="P236"/>
      <c r="Q236"/>
      <c r="R236"/>
      <c r="S236"/>
      <c r="U236"/>
      <c r="V236"/>
    </row>
    <row r="237" spans="1:191">
      <c r="N237"/>
      <c r="O237"/>
      <c r="P237"/>
      <c r="Q237"/>
      <c r="R237"/>
      <c r="S237"/>
      <c r="U237"/>
      <c r="V237"/>
    </row>
    <row r="238" spans="1:191">
      <c r="N238"/>
      <c r="O238"/>
      <c r="P238"/>
      <c r="Q238"/>
      <c r="R238"/>
      <c r="S238"/>
      <c r="U238"/>
      <c r="V238"/>
    </row>
    <row r="239" spans="1:191">
      <c r="N239"/>
      <c r="O239"/>
      <c r="P239"/>
      <c r="Q239"/>
      <c r="R239"/>
      <c r="S239"/>
      <c r="U239"/>
      <c r="V239"/>
    </row>
    <row r="240" spans="1:191">
      <c r="N240"/>
      <c r="O240"/>
      <c r="P240"/>
      <c r="Q240"/>
      <c r="R240"/>
      <c r="S240"/>
      <c r="U240"/>
      <c r="V240"/>
    </row>
    <row r="241" spans="14:22">
      <c r="N241"/>
      <c r="O241"/>
      <c r="P241"/>
      <c r="Q241"/>
      <c r="R241"/>
      <c r="S241"/>
      <c r="U241"/>
      <c r="V241"/>
    </row>
    <row r="242" spans="14:22">
      <c r="N242"/>
      <c r="O242"/>
      <c r="P242"/>
      <c r="Q242"/>
      <c r="R242"/>
      <c r="S242"/>
      <c r="U242"/>
      <c r="V242"/>
    </row>
    <row r="243" spans="14:22">
      <c r="N243"/>
      <c r="O243"/>
      <c r="P243"/>
      <c r="Q243"/>
      <c r="R243"/>
      <c r="S243"/>
      <c r="U243"/>
      <c r="V243"/>
    </row>
    <row r="244" spans="14:22">
      <c r="N244"/>
      <c r="O244"/>
      <c r="P244"/>
      <c r="Q244"/>
      <c r="R244"/>
      <c r="S244"/>
      <c r="U244"/>
      <c r="V244"/>
    </row>
    <row r="245" spans="14:22">
      <c r="N245"/>
      <c r="O245"/>
      <c r="P245"/>
      <c r="Q245"/>
      <c r="R245"/>
      <c r="S245"/>
      <c r="U245"/>
      <c r="V245"/>
    </row>
    <row r="246" spans="14:22">
      <c r="N246"/>
      <c r="O246"/>
      <c r="P246"/>
      <c r="Q246"/>
      <c r="R246"/>
      <c r="S246"/>
      <c r="U246"/>
      <c r="V246"/>
    </row>
    <row r="247" spans="14:22">
      <c r="R247"/>
      <c r="V247"/>
    </row>
  </sheetData>
  <mergeCells count="37">
    <mergeCell ref="A4:W4"/>
    <mergeCell ref="A6:A7"/>
    <mergeCell ref="B6:B7"/>
    <mergeCell ref="C6:C7"/>
    <mergeCell ref="D6:D7"/>
    <mergeCell ref="E6:I6"/>
    <mergeCell ref="J6:K6"/>
    <mergeCell ref="L6:M6"/>
    <mergeCell ref="N6:R6"/>
    <mergeCell ref="S6:S7"/>
    <mergeCell ref="A73:D73"/>
    <mergeCell ref="T6:T7"/>
    <mergeCell ref="U6:U7"/>
    <mergeCell ref="V6:V7"/>
    <mergeCell ref="A8:D8"/>
    <mergeCell ref="A14:D14"/>
    <mergeCell ref="A24:D24"/>
    <mergeCell ref="A32:D32"/>
    <mergeCell ref="A41:D41"/>
    <mergeCell ref="A52:C52"/>
    <mergeCell ref="A55:D55"/>
    <mergeCell ref="A69:D69"/>
    <mergeCell ref="A187:D187"/>
    <mergeCell ref="A81:D81"/>
    <mergeCell ref="A83:D83"/>
    <mergeCell ref="A86:D86"/>
    <mergeCell ref="A89:C89"/>
    <mergeCell ref="A91:D91"/>
    <mergeCell ref="A97:D97"/>
    <mergeCell ref="A109:D109"/>
    <mergeCell ref="A127:D127"/>
    <mergeCell ref="A150:D150"/>
    <mergeCell ref="A155:D155"/>
    <mergeCell ref="A169:D169"/>
    <mergeCell ref="A195:C195"/>
    <mergeCell ref="A202:D202"/>
    <mergeCell ref="A226:D226"/>
  </mergeCells>
  <pageMargins left="0.39370078740157483" right="0.39370078740157483" top="0.78740157480314965" bottom="0.78740157480314965" header="0.31496062992125984" footer="0.31496062992125984"/>
  <pageSetup paperSize="9" scale="3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2018</vt:lpstr>
      <vt:lpstr>2019</vt:lpstr>
      <vt:lpstr>2020</vt:lpstr>
      <vt:lpstr>'2018'!Заголовки_для_печати</vt:lpstr>
      <vt:lpstr>'2019'!Заголовки_для_печати</vt:lpstr>
      <vt:lpstr>'2020'!Заголовки_для_печати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proninam</dc:creator>
  <cp:lastModifiedBy>minfin user</cp:lastModifiedBy>
  <cp:lastPrinted>2017-10-07T07:26:17Z</cp:lastPrinted>
  <dcterms:created xsi:type="dcterms:W3CDTF">2017-02-14T11:22:03Z</dcterms:created>
  <dcterms:modified xsi:type="dcterms:W3CDTF">2017-10-07T07:26:23Z</dcterms:modified>
</cp:coreProperties>
</file>