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435" tabRatio="894" firstSheet="3" activeTab="3"/>
  </bookViews>
  <sheets>
    <sheet name="Расчет ЗП ДОП на 2018 год  (с)" sheetId="7" state="hidden" r:id="rId1"/>
    <sheet name="Расчет ЗП ДОШ на 2018 год  (2)" sheetId="6" state="hidden" r:id="rId2"/>
    <sheet name="Расчет ЗП ОО на 2018 год " sheetId="5" state="hidden" r:id="rId3"/>
    <sheet name="указы доп 2018" sheetId="1" r:id="rId4"/>
    <sheet name="ЗП Учителя 2018" sheetId="4" state="hidden" r:id="rId5"/>
    <sheet name="указы доп 2017 (числ ДО ут) (3)" sheetId="3" state="hidden" r:id="rId6"/>
  </sheets>
  <definedNames>
    <definedName name="_xlnm.Print_Area" localSheetId="4">'ЗП Учителя 2018'!$A$1:$Q$71</definedName>
    <definedName name="_xlnm.Print_Area" localSheetId="0">'Расчет ЗП ДОП на 2018 год  (с)'!$A$1:$AA$71</definedName>
    <definedName name="_xlnm.Print_Area" localSheetId="1">'Расчет ЗП ДОШ на 2018 год  (2)'!$A$1:$S$72</definedName>
    <definedName name="_xlnm.Print_Area" localSheetId="2">'Расчет ЗП ОО на 2018 год '!$A$1:$AD$72</definedName>
    <definedName name="_xlnm.Print_Area" localSheetId="5">'указы доп 2017 (числ ДО ут) (3)'!$A$1:$N$70</definedName>
    <definedName name="_xlnm.Print_Area" localSheetId="3">'указы доп 2018'!$A$1:$DS$122</definedName>
  </definedNames>
  <calcPr calcId="125725"/>
</workbook>
</file>

<file path=xl/calcChain.xml><?xml version="1.0" encoding="utf-8"?>
<calcChain xmlns="http://schemas.openxmlformats.org/spreadsheetml/2006/main">
  <c r="AC105" i="1"/>
  <c r="AF97" l="1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96"/>
  <c r="AD95"/>
  <c r="AC95" l="1"/>
  <c r="T58" i="5" l="1"/>
  <c r="R58"/>
  <c r="R33" i="7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32"/>
  <c r="M34"/>
  <c r="V59" i="5"/>
  <c r="Y59"/>
  <c r="Z59"/>
  <c r="AB59"/>
  <c r="AD59"/>
  <c r="AE59"/>
  <c r="AF59"/>
  <c r="H33"/>
  <c r="N33"/>
  <c r="N57" i="7"/>
  <c r="K62" i="5"/>
  <c r="H33" i="4"/>
  <c r="G58" i="7"/>
  <c r="H58"/>
  <c r="I58"/>
  <c r="J58"/>
  <c r="M53"/>
  <c r="D58"/>
  <c r="E58"/>
  <c r="F58"/>
  <c r="O60" i="5"/>
  <c r="Q60" s="1"/>
  <c r="P36" i="6"/>
  <c r="P58"/>
  <c r="K58" i="7"/>
  <c r="L58"/>
  <c r="P60" l="1"/>
  <c r="S58"/>
  <c r="S60" s="1"/>
  <c r="L60"/>
  <c r="K60"/>
  <c r="I60"/>
  <c r="G60"/>
  <c r="E60"/>
  <c r="C58"/>
  <c r="X57"/>
  <c r="T57"/>
  <c r="U57" s="1"/>
  <c r="Q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Y31"/>
  <c r="W31"/>
  <c r="V31"/>
  <c r="K31"/>
  <c r="X30"/>
  <c r="C30"/>
  <c r="M30" s="1"/>
  <c r="T30" s="1"/>
  <c r="U30" s="1"/>
  <c r="X29"/>
  <c r="C29"/>
  <c r="M29" s="1"/>
  <c r="T29" s="1"/>
  <c r="U29" s="1"/>
  <c r="X28"/>
  <c r="C28"/>
  <c r="M28" s="1"/>
  <c r="T28" s="1"/>
  <c r="U28" s="1"/>
  <c r="X27"/>
  <c r="C27"/>
  <c r="M27" s="1"/>
  <c r="T27" s="1"/>
  <c r="U27" s="1"/>
  <c r="Z27" s="1"/>
  <c r="X26"/>
  <c r="C26"/>
  <c r="M26" s="1"/>
  <c r="T26" s="1"/>
  <c r="U26" s="1"/>
  <c r="Z26" s="1"/>
  <c r="X25"/>
  <c r="C25"/>
  <c r="M25" s="1"/>
  <c r="T25" s="1"/>
  <c r="U25" s="1"/>
  <c r="Z25" s="1"/>
  <c r="X24"/>
  <c r="C24"/>
  <c r="M24" s="1"/>
  <c r="T24" s="1"/>
  <c r="U24" s="1"/>
  <c r="Z24" s="1"/>
  <c r="X23"/>
  <c r="C23"/>
  <c r="M23" s="1"/>
  <c r="T23" s="1"/>
  <c r="U23" s="1"/>
  <c r="Z23" s="1"/>
  <c r="X22"/>
  <c r="C22"/>
  <c r="M22" s="1"/>
  <c r="T22" s="1"/>
  <c r="U22" s="1"/>
  <c r="Z22" s="1"/>
  <c r="X21"/>
  <c r="C21"/>
  <c r="M21" s="1"/>
  <c r="T21" s="1"/>
  <c r="U21" s="1"/>
  <c r="X20"/>
  <c r="C20"/>
  <c r="M20" s="1"/>
  <c r="T20" s="1"/>
  <c r="U20" s="1"/>
  <c r="X19"/>
  <c r="X17" s="1"/>
  <c r="C19"/>
  <c r="M19" s="1"/>
  <c r="T19" s="1"/>
  <c r="U19" s="1"/>
  <c r="X18"/>
  <c r="C18"/>
  <c r="M18" s="1"/>
  <c r="T18" s="1"/>
  <c r="U18" s="1"/>
  <c r="Y17"/>
  <c r="W17"/>
  <c r="V17"/>
  <c r="K17"/>
  <c r="X16"/>
  <c r="U16"/>
  <c r="Z16" s="1"/>
  <c r="T16"/>
  <c r="X15"/>
  <c r="X14" s="1"/>
  <c r="T15"/>
  <c r="T14" s="1"/>
  <c r="Y14"/>
  <c r="W14"/>
  <c r="W13" s="1"/>
  <c r="V14"/>
  <c r="V13" s="1"/>
  <c r="K14"/>
  <c r="AB13"/>
  <c r="AC17" s="1"/>
  <c r="Y13"/>
  <c r="S13"/>
  <c r="X12"/>
  <c r="T12"/>
  <c r="U12" s="1"/>
  <c r="V11"/>
  <c r="V10" s="1"/>
  <c r="T11"/>
  <c r="U11" s="1"/>
  <c r="W10"/>
  <c r="K10"/>
  <c r="T10" s="1"/>
  <c r="U10" s="1"/>
  <c r="X9"/>
  <c r="T9"/>
  <c r="U9" s="1"/>
  <c r="M59" i="5"/>
  <c r="M61" s="1"/>
  <c r="N52"/>
  <c r="J52" i="6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3"/>
  <c r="J54"/>
  <c r="J55"/>
  <c r="J56"/>
  <c r="J57"/>
  <c r="J58"/>
  <c r="J33"/>
  <c r="F33"/>
  <c r="E59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C59"/>
  <c r="C60" i="7" l="1"/>
  <c r="M58"/>
  <c r="Z29"/>
  <c r="Z12"/>
  <c r="Z57"/>
  <c r="Z9"/>
  <c r="O57"/>
  <c r="AD57" s="1"/>
  <c r="R58" i="6"/>
  <c r="U15" i="7"/>
  <c r="U14" s="1"/>
  <c r="Z21"/>
  <c r="Z28"/>
  <c r="H60"/>
  <c r="Z10"/>
  <c r="X11"/>
  <c r="X10" s="1"/>
  <c r="Z20"/>
  <c r="U17"/>
  <c r="M46"/>
  <c r="M48"/>
  <c r="M49"/>
  <c r="T17"/>
  <c r="Z18"/>
  <c r="F60"/>
  <c r="Z19"/>
  <c r="Z30"/>
  <c r="X31"/>
  <c r="X13" s="1"/>
  <c r="M41"/>
  <c r="M42"/>
  <c r="M44"/>
  <c r="D60"/>
  <c r="Z11"/>
  <c r="J60"/>
  <c r="M38"/>
  <c r="M40"/>
  <c r="M50"/>
  <c r="M39"/>
  <c r="M47"/>
  <c r="M55"/>
  <c r="Z15" l="1"/>
  <c r="Z14" s="1"/>
  <c r="T36"/>
  <c r="U36" s="1"/>
  <c r="Z36" s="1"/>
  <c r="M17"/>
  <c r="S17" s="1"/>
  <c r="T51"/>
  <c r="U51" s="1"/>
  <c r="Z51" s="1"/>
  <c r="T43"/>
  <c r="U43" s="1"/>
  <c r="Z43" s="1"/>
  <c r="T35"/>
  <c r="U35" s="1"/>
  <c r="Z35" s="1"/>
  <c r="T50"/>
  <c r="U50" s="1"/>
  <c r="Z50" s="1"/>
  <c r="T38"/>
  <c r="U38" s="1"/>
  <c r="Z38" s="1"/>
  <c r="T56"/>
  <c r="U56" s="1"/>
  <c r="Z56" s="1"/>
  <c r="T44"/>
  <c r="U44" s="1"/>
  <c r="Z44" s="1"/>
  <c r="T41"/>
  <c r="U41" s="1"/>
  <c r="Z41" s="1"/>
  <c r="N32"/>
  <c r="T32"/>
  <c r="T49"/>
  <c r="U49" s="1"/>
  <c r="Z49" s="1"/>
  <c r="T46"/>
  <c r="U46" s="1"/>
  <c r="Z46" s="1"/>
  <c r="T45"/>
  <c r="U45" s="1"/>
  <c r="Z45" s="1"/>
  <c r="T34"/>
  <c r="U34" s="1"/>
  <c r="Z34" s="1"/>
  <c r="T55"/>
  <c r="U55" s="1"/>
  <c r="Z55" s="1"/>
  <c r="T47"/>
  <c r="U47" s="1"/>
  <c r="Z47" s="1"/>
  <c r="T39"/>
  <c r="U39" s="1"/>
  <c r="Z39" s="1"/>
  <c r="T54"/>
  <c r="U54" s="1"/>
  <c r="Z54" s="1"/>
  <c r="T40"/>
  <c r="U40" s="1"/>
  <c r="Z40" s="1"/>
  <c r="T37"/>
  <c r="U37" s="1"/>
  <c r="Z37" s="1"/>
  <c r="M60"/>
  <c r="M62" s="1"/>
  <c r="T53"/>
  <c r="U53" s="1"/>
  <c r="Z53" s="1"/>
  <c r="T42"/>
  <c r="U42" s="1"/>
  <c r="Z42" s="1"/>
  <c r="T52"/>
  <c r="U52" s="1"/>
  <c r="Z52" s="1"/>
  <c r="Z17"/>
  <c r="T48"/>
  <c r="U48" s="1"/>
  <c r="Z48" s="1"/>
  <c r="T33"/>
  <c r="U33" s="1"/>
  <c r="Z33" s="1"/>
  <c r="N33"/>
  <c r="Q32" l="1"/>
  <c r="O32"/>
  <c r="AD32" s="1"/>
  <c r="O33"/>
  <c r="AD33" s="1"/>
  <c r="Q33"/>
  <c r="U32"/>
  <c r="T58"/>
  <c r="T60" s="1"/>
  <c r="T31"/>
  <c r="M31" l="1"/>
  <c r="S31" s="1"/>
  <c r="T13"/>
  <c r="Z32"/>
  <c r="Z31" s="1"/>
  <c r="U31"/>
  <c r="U13" s="1"/>
  <c r="Q61" i="6"/>
  <c r="K59"/>
  <c r="K61" s="1"/>
  <c r="I59"/>
  <c r="I61" s="1"/>
  <c r="G59"/>
  <c r="G61" s="1"/>
  <c r="E61"/>
  <c r="D59"/>
  <c r="C61"/>
  <c r="H58"/>
  <c r="H57"/>
  <c r="O57" s="1"/>
  <c r="H56"/>
  <c r="O56" s="1"/>
  <c r="H55"/>
  <c r="O55" s="1"/>
  <c r="H54"/>
  <c r="O54" s="1"/>
  <c r="H53"/>
  <c r="O53" s="1"/>
  <c r="H52"/>
  <c r="O52" s="1"/>
  <c r="H51"/>
  <c r="O51" s="1"/>
  <c r="H50"/>
  <c r="O50" s="1"/>
  <c r="H49"/>
  <c r="O49" s="1"/>
  <c r="H48"/>
  <c r="O48" s="1"/>
  <c r="H47"/>
  <c r="O47" s="1"/>
  <c r="H46"/>
  <c r="O46" s="1"/>
  <c r="H45"/>
  <c r="O45" s="1"/>
  <c r="H44"/>
  <c r="O44" s="1"/>
  <c r="H43"/>
  <c r="O43" s="1"/>
  <c r="H42"/>
  <c r="O42" s="1"/>
  <c r="H41"/>
  <c r="O41" s="1"/>
  <c r="H40"/>
  <c r="O40" s="1"/>
  <c r="H39"/>
  <c r="O39" s="1"/>
  <c r="H38"/>
  <c r="O38" s="1"/>
  <c r="H37"/>
  <c r="O37" s="1"/>
  <c r="H36"/>
  <c r="H35"/>
  <c r="O35" s="1"/>
  <c r="H34"/>
  <c r="O34" s="1"/>
  <c r="H33"/>
  <c r="F59"/>
  <c r="F61" s="1"/>
  <c r="K32"/>
  <c r="C31"/>
  <c r="M31" s="1"/>
  <c r="C30"/>
  <c r="M30" s="1"/>
  <c r="C29"/>
  <c r="M29" s="1"/>
  <c r="C28"/>
  <c r="M28" s="1"/>
  <c r="C27"/>
  <c r="M27" s="1"/>
  <c r="C26"/>
  <c r="M26" s="1"/>
  <c r="C25"/>
  <c r="M25" s="1"/>
  <c r="C24"/>
  <c r="M24" s="1"/>
  <c r="C23"/>
  <c r="M23" s="1"/>
  <c r="C22"/>
  <c r="M22" s="1"/>
  <c r="C21"/>
  <c r="M21" s="1"/>
  <c r="C20"/>
  <c r="M20" s="1"/>
  <c r="C19"/>
  <c r="M19" s="1"/>
  <c r="K18"/>
  <c r="K15"/>
  <c r="K10"/>
  <c r="D59" i="5"/>
  <c r="D61" s="1"/>
  <c r="G59"/>
  <c r="G61" s="1"/>
  <c r="I59"/>
  <c r="I61" s="1"/>
  <c r="V61"/>
  <c r="C59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3"/>
  <c r="N54"/>
  <c r="N55"/>
  <c r="N56"/>
  <c r="N57"/>
  <c r="N58"/>
  <c r="O58" s="1"/>
  <c r="U58" s="1"/>
  <c r="I60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E33"/>
  <c r="E59" s="1"/>
  <c r="E61" s="1"/>
  <c r="AA58"/>
  <c r="W58"/>
  <c r="X58" s="1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B32"/>
  <c r="Z32"/>
  <c r="Y32"/>
  <c r="M32"/>
  <c r="AA31"/>
  <c r="C31"/>
  <c r="Q31" s="1"/>
  <c r="W31" s="1"/>
  <c r="X31" s="1"/>
  <c r="AA30"/>
  <c r="C30"/>
  <c r="Q30" s="1"/>
  <c r="W30" s="1"/>
  <c r="X30" s="1"/>
  <c r="AA29"/>
  <c r="C29"/>
  <c r="Q29" s="1"/>
  <c r="W29" s="1"/>
  <c r="X29" s="1"/>
  <c r="AA28"/>
  <c r="C28"/>
  <c r="Q28" s="1"/>
  <c r="W28" s="1"/>
  <c r="X28" s="1"/>
  <c r="AA27"/>
  <c r="C27"/>
  <c r="Q27" s="1"/>
  <c r="W27" s="1"/>
  <c r="X27" s="1"/>
  <c r="AA26"/>
  <c r="C26"/>
  <c r="Q26" s="1"/>
  <c r="W26" s="1"/>
  <c r="X26" s="1"/>
  <c r="AA25"/>
  <c r="C25"/>
  <c r="Q25" s="1"/>
  <c r="W25" s="1"/>
  <c r="X25" s="1"/>
  <c r="AA24"/>
  <c r="C24"/>
  <c r="Q24" s="1"/>
  <c r="W24" s="1"/>
  <c r="X24" s="1"/>
  <c r="AA23"/>
  <c r="C23"/>
  <c r="Q23" s="1"/>
  <c r="W23" s="1"/>
  <c r="X23" s="1"/>
  <c r="AA22"/>
  <c r="C22"/>
  <c r="Q22" s="1"/>
  <c r="W22" s="1"/>
  <c r="X22" s="1"/>
  <c r="AA21"/>
  <c r="C21"/>
  <c r="Q21" s="1"/>
  <c r="W21" s="1"/>
  <c r="X21" s="1"/>
  <c r="AA20"/>
  <c r="C20"/>
  <c r="Q20" s="1"/>
  <c r="W20" s="1"/>
  <c r="X20" s="1"/>
  <c r="AA19"/>
  <c r="C19"/>
  <c r="Q19" s="1"/>
  <c r="W19" s="1"/>
  <c r="AB18"/>
  <c r="Z18"/>
  <c r="Y18"/>
  <c r="M18"/>
  <c r="AA17"/>
  <c r="W17"/>
  <c r="X17" s="1"/>
  <c r="AA16"/>
  <c r="W16"/>
  <c r="X16" s="1"/>
  <c r="AB15"/>
  <c r="Z15"/>
  <c r="Y15"/>
  <c r="M15"/>
  <c r="AA12"/>
  <c r="W12"/>
  <c r="X12" s="1"/>
  <c r="Y11"/>
  <c r="Y10" s="1"/>
  <c r="W11"/>
  <c r="X11" s="1"/>
  <c r="Z10"/>
  <c r="M10"/>
  <c r="W10" s="1"/>
  <c r="X10" s="1"/>
  <c r="AA9"/>
  <c r="W9"/>
  <c r="X9" s="1"/>
  <c r="E34" i="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33"/>
  <c r="E60" s="1"/>
  <c r="E59"/>
  <c r="D60"/>
  <c r="N63"/>
  <c r="N58"/>
  <c r="J58"/>
  <c r="K58" s="1"/>
  <c r="P58" s="1"/>
  <c r="N57"/>
  <c r="H57"/>
  <c r="J57" s="1"/>
  <c r="K57" s="1"/>
  <c r="P57" s="1"/>
  <c r="N56"/>
  <c r="H56"/>
  <c r="J56" s="1"/>
  <c r="K56" s="1"/>
  <c r="N55"/>
  <c r="H55"/>
  <c r="J55" s="1"/>
  <c r="K55" s="1"/>
  <c r="P55" s="1"/>
  <c r="N54"/>
  <c r="J54"/>
  <c r="K54" s="1"/>
  <c r="P54" s="1"/>
  <c r="H54"/>
  <c r="N53"/>
  <c r="H53"/>
  <c r="J53" s="1"/>
  <c r="K53" s="1"/>
  <c r="N52"/>
  <c r="H52"/>
  <c r="J52" s="1"/>
  <c r="K52" s="1"/>
  <c r="N51"/>
  <c r="H51"/>
  <c r="J51" s="1"/>
  <c r="K51" s="1"/>
  <c r="N50"/>
  <c r="H50"/>
  <c r="J50" s="1"/>
  <c r="K50" s="1"/>
  <c r="N49"/>
  <c r="H49"/>
  <c r="J49" s="1"/>
  <c r="K49" s="1"/>
  <c r="P49" s="1"/>
  <c r="N48"/>
  <c r="H48"/>
  <c r="J48" s="1"/>
  <c r="K48" s="1"/>
  <c r="N47"/>
  <c r="H47"/>
  <c r="J47" s="1"/>
  <c r="K47" s="1"/>
  <c r="P47" s="1"/>
  <c r="N46"/>
  <c r="H46"/>
  <c r="J46" s="1"/>
  <c r="K46" s="1"/>
  <c r="P46" s="1"/>
  <c r="N45"/>
  <c r="H45"/>
  <c r="J45" s="1"/>
  <c r="K45" s="1"/>
  <c r="P45" s="1"/>
  <c r="N44"/>
  <c r="H44"/>
  <c r="J44" s="1"/>
  <c r="K44" s="1"/>
  <c r="P44" s="1"/>
  <c r="N43"/>
  <c r="H43"/>
  <c r="J43" s="1"/>
  <c r="K43" s="1"/>
  <c r="P43" s="1"/>
  <c r="N42"/>
  <c r="H42"/>
  <c r="J42" s="1"/>
  <c r="K42" s="1"/>
  <c r="P42" s="1"/>
  <c r="N41"/>
  <c r="H41"/>
  <c r="J41" s="1"/>
  <c r="K41" s="1"/>
  <c r="P41" s="1"/>
  <c r="N40"/>
  <c r="H40"/>
  <c r="J40" s="1"/>
  <c r="K40" s="1"/>
  <c r="N39"/>
  <c r="H39"/>
  <c r="J39" s="1"/>
  <c r="K39" s="1"/>
  <c r="P39" s="1"/>
  <c r="N38"/>
  <c r="H38"/>
  <c r="J38" s="1"/>
  <c r="K38" s="1"/>
  <c r="P38" s="1"/>
  <c r="N37"/>
  <c r="H37"/>
  <c r="J37" s="1"/>
  <c r="K37" s="1"/>
  <c r="P37" s="1"/>
  <c r="N36"/>
  <c r="H36"/>
  <c r="J36" s="1"/>
  <c r="K36" s="1"/>
  <c r="P36" s="1"/>
  <c r="N35"/>
  <c r="H35"/>
  <c r="J35" s="1"/>
  <c r="K35" s="1"/>
  <c r="P35" s="1"/>
  <c r="N34"/>
  <c r="H34"/>
  <c r="J34" s="1"/>
  <c r="K34" s="1"/>
  <c r="P34" s="1"/>
  <c r="N33"/>
  <c r="N32" s="1"/>
  <c r="J33"/>
  <c r="O32"/>
  <c r="M32"/>
  <c r="L32"/>
  <c r="G32"/>
  <c r="N31"/>
  <c r="C31"/>
  <c r="H31" s="1"/>
  <c r="J31" s="1"/>
  <c r="K31" s="1"/>
  <c r="P31" s="1"/>
  <c r="N30"/>
  <c r="C30"/>
  <c r="H30" s="1"/>
  <c r="J30" s="1"/>
  <c r="K30" s="1"/>
  <c r="P30" s="1"/>
  <c r="N29"/>
  <c r="C29"/>
  <c r="H29" s="1"/>
  <c r="J29" s="1"/>
  <c r="K29" s="1"/>
  <c r="P29" s="1"/>
  <c r="N28"/>
  <c r="C28"/>
  <c r="H28" s="1"/>
  <c r="J28" s="1"/>
  <c r="K28" s="1"/>
  <c r="P28" s="1"/>
  <c r="N27"/>
  <c r="C27"/>
  <c r="H27" s="1"/>
  <c r="J27" s="1"/>
  <c r="K27" s="1"/>
  <c r="P27" s="1"/>
  <c r="N26"/>
  <c r="H26"/>
  <c r="J26" s="1"/>
  <c r="K26" s="1"/>
  <c r="P26" s="1"/>
  <c r="C26"/>
  <c r="N25"/>
  <c r="C25"/>
  <c r="H25" s="1"/>
  <c r="J25" s="1"/>
  <c r="K25" s="1"/>
  <c r="N24"/>
  <c r="C24"/>
  <c r="H24" s="1"/>
  <c r="J24" s="1"/>
  <c r="K24" s="1"/>
  <c r="N23"/>
  <c r="C23"/>
  <c r="H23" s="1"/>
  <c r="J23" s="1"/>
  <c r="K23" s="1"/>
  <c r="N22"/>
  <c r="C22"/>
  <c r="H22" s="1"/>
  <c r="J22" s="1"/>
  <c r="K22" s="1"/>
  <c r="N21"/>
  <c r="C21"/>
  <c r="H21" s="1"/>
  <c r="J21" s="1"/>
  <c r="K21" s="1"/>
  <c r="N20"/>
  <c r="C20"/>
  <c r="H20" s="1"/>
  <c r="J20" s="1"/>
  <c r="K20" s="1"/>
  <c r="N19"/>
  <c r="C19"/>
  <c r="H19" s="1"/>
  <c r="J19" s="1"/>
  <c r="O18"/>
  <c r="M18"/>
  <c r="L18"/>
  <c r="G18"/>
  <c r="N17"/>
  <c r="N15" s="1"/>
  <c r="J17"/>
  <c r="K17" s="1"/>
  <c r="P17" s="1"/>
  <c r="N16"/>
  <c r="K16"/>
  <c r="P16" s="1"/>
  <c r="J16"/>
  <c r="O15"/>
  <c r="M15"/>
  <c r="L15"/>
  <c r="J15"/>
  <c r="G15"/>
  <c r="G14"/>
  <c r="N12"/>
  <c r="J12"/>
  <c r="K12" s="1"/>
  <c r="L11"/>
  <c r="J11"/>
  <c r="K11" s="1"/>
  <c r="M10"/>
  <c r="G10"/>
  <c r="J10" s="1"/>
  <c r="K10" s="1"/>
  <c r="N9"/>
  <c r="J9"/>
  <c r="K9" s="1"/>
  <c r="P9" s="1"/>
  <c r="M33" i="6" l="1"/>
  <c r="N33" s="1"/>
  <c r="P33" s="1"/>
  <c r="O33"/>
  <c r="P21" i="4"/>
  <c r="P23"/>
  <c r="P25"/>
  <c r="AA59" i="5"/>
  <c r="D61" i="6"/>
  <c r="P51" i="4"/>
  <c r="P53"/>
  <c r="K15"/>
  <c r="M14"/>
  <c r="P20"/>
  <c r="P22"/>
  <c r="P24"/>
  <c r="O14"/>
  <c r="J59" i="5"/>
  <c r="J61" s="1"/>
  <c r="P50" i="4"/>
  <c r="P52"/>
  <c r="P40"/>
  <c r="S36" i="6"/>
  <c r="O36"/>
  <c r="S58"/>
  <c r="K58" i="5" s="1"/>
  <c r="O58" i="6"/>
  <c r="M58"/>
  <c r="M36"/>
  <c r="R36"/>
  <c r="Z60" i="7"/>
  <c r="Z13"/>
  <c r="H59" i="5"/>
  <c r="H61" s="1"/>
  <c r="C61"/>
  <c r="Y14"/>
  <c r="AC12"/>
  <c r="AC17"/>
  <c r="AC20"/>
  <c r="AC22"/>
  <c r="AC24"/>
  <c r="AC26"/>
  <c r="AC28"/>
  <c r="AC30"/>
  <c r="N59"/>
  <c r="J59" i="6"/>
  <c r="J61" s="1"/>
  <c r="M34"/>
  <c r="N34" s="1"/>
  <c r="M41"/>
  <c r="N41" s="1"/>
  <c r="M49"/>
  <c r="N49" s="1"/>
  <c r="M52"/>
  <c r="N52" s="1"/>
  <c r="M53"/>
  <c r="N53" s="1"/>
  <c r="M57"/>
  <c r="N57" s="1"/>
  <c r="M40"/>
  <c r="N40" s="1"/>
  <c r="M48"/>
  <c r="N48" s="1"/>
  <c r="M37"/>
  <c r="N37" s="1"/>
  <c r="M38"/>
  <c r="N38" s="1"/>
  <c r="M56"/>
  <c r="N56" s="1"/>
  <c r="M35"/>
  <c r="N35" s="1"/>
  <c r="M44"/>
  <c r="N44" s="1"/>
  <c r="M45"/>
  <c r="N45" s="1"/>
  <c r="H59"/>
  <c r="H61" s="1"/>
  <c r="M42"/>
  <c r="N42" s="1"/>
  <c r="M46"/>
  <c r="N46" s="1"/>
  <c r="M50"/>
  <c r="N50" s="1"/>
  <c r="M54"/>
  <c r="N54" s="1"/>
  <c r="L59"/>
  <c r="L61" s="1"/>
  <c r="M39"/>
  <c r="N39" s="1"/>
  <c r="M43"/>
  <c r="N43" s="1"/>
  <c r="M47"/>
  <c r="N47" s="1"/>
  <c r="M51"/>
  <c r="N51" s="1"/>
  <c r="M55"/>
  <c r="N55" s="1"/>
  <c r="AA18" i="5"/>
  <c r="AC16"/>
  <c r="AC15" s="1"/>
  <c r="AC58"/>
  <c r="Z14"/>
  <c r="AC9"/>
  <c r="AB14"/>
  <c r="X15"/>
  <c r="F33"/>
  <c r="AC21"/>
  <c r="AC23"/>
  <c r="AC25"/>
  <c r="AC27"/>
  <c r="AC29"/>
  <c r="AC31"/>
  <c r="W18"/>
  <c r="AA11"/>
  <c r="X19"/>
  <c r="AA32"/>
  <c r="AA15"/>
  <c r="W15"/>
  <c r="L14" i="4"/>
  <c r="P56"/>
  <c r="P48"/>
  <c r="J18"/>
  <c r="H18" s="1"/>
  <c r="I18" s="1"/>
  <c r="N14"/>
  <c r="N18"/>
  <c r="P12"/>
  <c r="P10"/>
  <c r="L10"/>
  <c r="N11"/>
  <c r="N10" s="1"/>
  <c r="K19"/>
  <c r="P15"/>
  <c r="J32"/>
  <c r="H32" s="1"/>
  <c r="I32" s="1"/>
  <c r="K33"/>
  <c r="E32" i="3"/>
  <c r="G32" s="1"/>
  <c r="M59" i="6" l="1"/>
  <c r="N61" i="5"/>
  <c r="O59" i="6"/>
  <c r="O62" s="1"/>
  <c r="K36" i="5"/>
  <c r="P36" s="1"/>
  <c r="P43" i="6"/>
  <c r="R43"/>
  <c r="P50"/>
  <c r="R50"/>
  <c r="P45"/>
  <c r="R45"/>
  <c r="P38"/>
  <c r="R38"/>
  <c r="R57"/>
  <c r="P57"/>
  <c r="R41"/>
  <c r="P41"/>
  <c r="P55"/>
  <c r="R55"/>
  <c r="R39"/>
  <c r="P39"/>
  <c r="P46"/>
  <c r="R46"/>
  <c r="P44"/>
  <c r="R44"/>
  <c r="P37"/>
  <c r="R37"/>
  <c r="P53"/>
  <c r="R53"/>
  <c r="P34"/>
  <c r="R34"/>
  <c r="P51"/>
  <c r="R51"/>
  <c r="P42"/>
  <c r="R42"/>
  <c r="P35"/>
  <c r="R35"/>
  <c r="P48"/>
  <c r="R48"/>
  <c r="R52"/>
  <c r="P52"/>
  <c r="R33"/>
  <c r="R47"/>
  <c r="P47"/>
  <c r="P54"/>
  <c r="R54"/>
  <c r="R56"/>
  <c r="P56"/>
  <c r="R40"/>
  <c r="P40"/>
  <c r="P49"/>
  <c r="R49"/>
  <c r="F59" i="5"/>
  <c r="F61" s="1"/>
  <c r="M18" i="6"/>
  <c r="M61"/>
  <c r="M63" s="1"/>
  <c r="Q18" i="5"/>
  <c r="V18" s="1"/>
  <c r="AC19"/>
  <c r="AC18" s="1"/>
  <c r="X18"/>
  <c r="AA14"/>
  <c r="AC11"/>
  <c r="AA10"/>
  <c r="AC10" s="1"/>
  <c r="J14" i="4"/>
  <c r="H14" s="1"/>
  <c r="R14" s="1"/>
  <c r="S18" s="1"/>
  <c r="P11"/>
  <c r="P33"/>
  <c r="P32" s="1"/>
  <c r="P60" s="1"/>
  <c r="P63" s="1"/>
  <c r="K32"/>
  <c r="P19"/>
  <c r="P18" s="1"/>
  <c r="K18"/>
  <c r="C18" i="3"/>
  <c r="E18" s="1"/>
  <c r="G18" s="1"/>
  <c r="E21"/>
  <c r="E56"/>
  <c r="E55"/>
  <c r="E54"/>
  <c r="E53"/>
  <c r="G53" s="1"/>
  <c r="H53" s="1"/>
  <c r="E52"/>
  <c r="G52" s="1"/>
  <c r="H52" s="1"/>
  <c r="M52" s="1"/>
  <c r="E51"/>
  <c r="E50"/>
  <c r="G50" s="1"/>
  <c r="H50" s="1"/>
  <c r="M50" s="1"/>
  <c r="E49"/>
  <c r="G49" s="1"/>
  <c r="H49" s="1"/>
  <c r="E48"/>
  <c r="E47"/>
  <c r="E46"/>
  <c r="E45"/>
  <c r="G45" s="1"/>
  <c r="H45" s="1"/>
  <c r="E44"/>
  <c r="G44" s="1"/>
  <c r="H44" s="1"/>
  <c r="M44" s="1"/>
  <c r="E43"/>
  <c r="E42"/>
  <c r="G42" s="1"/>
  <c r="H42" s="1"/>
  <c r="M42" s="1"/>
  <c r="E41"/>
  <c r="G41" s="1"/>
  <c r="H41" s="1"/>
  <c r="E40"/>
  <c r="E39"/>
  <c r="E38"/>
  <c r="E37"/>
  <c r="G37" s="1"/>
  <c r="H37" s="1"/>
  <c r="M37" s="1"/>
  <c r="E36"/>
  <c r="G36" s="1"/>
  <c r="H36" s="1"/>
  <c r="M36" s="1"/>
  <c r="E35"/>
  <c r="E34"/>
  <c r="G34" s="1"/>
  <c r="H34" s="1"/>
  <c r="M34" s="1"/>
  <c r="E33"/>
  <c r="G33" s="1"/>
  <c r="H33" s="1"/>
  <c r="C30"/>
  <c r="E30" s="1"/>
  <c r="G30" s="1"/>
  <c r="H30" s="1"/>
  <c r="M30" s="1"/>
  <c r="C29"/>
  <c r="E29" s="1"/>
  <c r="G29" s="1"/>
  <c r="H29" s="1"/>
  <c r="M29" s="1"/>
  <c r="C28"/>
  <c r="E28" s="1"/>
  <c r="G28" s="1"/>
  <c r="H28" s="1"/>
  <c r="M28" s="1"/>
  <c r="C27"/>
  <c r="E27" s="1"/>
  <c r="G27" s="1"/>
  <c r="H27" s="1"/>
  <c r="M27" s="1"/>
  <c r="C26"/>
  <c r="E26" s="1"/>
  <c r="G26" s="1"/>
  <c r="H26" s="1"/>
  <c r="M26" s="1"/>
  <c r="C25"/>
  <c r="E25" s="1"/>
  <c r="G25" s="1"/>
  <c r="H25" s="1"/>
  <c r="M25" s="1"/>
  <c r="C24"/>
  <c r="E24" s="1"/>
  <c r="G24" s="1"/>
  <c r="H24" s="1"/>
  <c r="M24" s="1"/>
  <c r="C23"/>
  <c r="E23" s="1"/>
  <c r="G23" s="1"/>
  <c r="H23" s="1"/>
  <c r="M23" s="1"/>
  <c r="C22"/>
  <c r="E22" s="1"/>
  <c r="G22" s="1"/>
  <c r="H22" s="1"/>
  <c r="M22" s="1"/>
  <c r="C21"/>
  <c r="C20"/>
  <c r="E20" s="1"/>
  <c r="G20" s="1"/>
  <c r="H20" s="1"/>
  <c r="M20" s="1"/>
  <c r="C19"/>
  <c r="E19" s="1"/>
  <c r="G19" s="1"/>
  <c r="H19" s="1"/>
  <c r="M19" s="1"/>
  <c r="K62"/>
  <c r="K57"/>
  <c r="G57"/>
  <c r="H57" s="1"/>
  <c r="M57" s="1"/>
  <c r="K56"/>
  <c r="G56"/>
  <c r="H56" s="1"/>
  <c r="M56" s="1"/>
  <c r="K55"/>
  <c r="G55"/>
  <c r="H55" s="1"/>
  <c r="M55" s="1"/>
  <c r="K54"/>
  <c r="G54"/>
  <c r="H54" s="1"/>
  <c r="M54" s="1"/>
  <c r="K53"/>
  <c r="K52"/>
  <c r="K51"/>
  <c r="G51"/>
  <c r="H51" s="1"/>
  <c r="K50"/>
  <c r="K49"/>
  <c r="K48"/>
  <c r="G48"/>
  <c r="H48" s="1"/>
  <c r="M48" s="1"/>
  <c r="K47"/>
  <c r="G47"/>
  <c r="H47" s="1"/>
  <c r="M47" s="1"/>
  <c r="K46"/>
  <c r="G46"/>
  <c r="H46" s="1"/>
  <c r="M46" s="1"/>
  <c r="K45"/>
  <c r="K44"/>
  <c r="K43"/>
  <c r="G43"/>
  <c r="H43" s="1"/>
  <c r="K42"/>
  <c r="K41"/>
  <c r="K40"/>
  <c r="G40"/>
  <c r="H40" s="1"/>
  <c r="M40" s="1"/>
  <c r="K39"/>
  <c r="G39"/>
  <c r="H39" s="1"/>
  <c r="M39" s="1"/>
  <c r="K38"/>
  <c r="G38"/>
  <c r="H38" s="1"/>
  <c r="M38" s="1"/>
  <c r="K37"/>
  <c r="K36"/>
  <c r="K35"/>
  <c r="G35"/>
  <c r="H35" s="1"/>
  <c r="K34"/>
  <c r="K33"/>
  <c r="K32"/>
  <c r="H32"/>
  <c r="M32" s="1"/>
  <c r="L31"/>
  <c r="J31"/>
  <c r="I31"/>
  <c r="D31"/>
  <c r="D13" s="1"/>
  <c r="K30"/>
  <c r="K29"/>
  <c r="K28"/>
  <c r="K27"/>
  <c r="K26"/>
  <c r="K25"/>
  <c r="K24"/>
  <c r="K23"/>
  <c r="K22"/>
  <c r="K21"/>
  <c r="G21"/>
  <c r="H21" s="1"/>
  <c r="K20"/>
  <c r="K19"/>
  <c r="K18"/>
  <c r="H18"/>
  <c r="L17"/>
  <c r="K17"/>
  <c r="J17"/>
  <c r="I17"/>
  <c r="D17"/>
  <c r="K16"/>
  <c r="K14" s="1"/>
  <c r="G16"/>
  <c r="H16" s="1"/>
  <c r="M16" s="1"/>
  <c r="K15"/>
  <c r="H15"/>
  <c r="G15"/>
  <c r="L14"/>
  <c r="J14"/>
  <c r="I14"/>
  <c r="G14"/>
  <c r="D14"/>
  <c r="L13"/>
  <c r="K12"/>
  <c r="M12" s="1"/>
  <c r="G12"/>
  <c r="H12" s="1"/>
  <c r="K11"/>
  <c r="K10" s="1"/>
  <c r="I11"/>
  <c r="G11"/>
  <c r="H11" s="1"/>
  <c r="J10"/>
  <c r="I10"/>
  <c r="D10"/>
  <c r="G10" s="1"/>
  <c r="H10" s="1"/>
  <c r="K9"/>
  <c r="G9"/>
  <c r="H9" s="1"/>
  <c r="M9" s="1"/>
  <c r="M10" l="1"/>
  <c r="J13"/>
  <c r="M43"/>
  <c r="M33"/>
  <c r="M41"/>
  <c r="M45"/>
  <c r="M49"/>
  <c r="M53"/>
  <c r="M21"/>
  <c r="I13"/>
  <c r="M35"/>
  <c r="M51"/>
  <c r="Q36" i="5"/>
  <c r="R36" s="1"/>
  <c r="I14" i="4"/>
  <c r="S35" i="6"/>
  <c r="K35" i="5" s="1"/>
  <c r="P35" s="1"/>
  <c r="S49" i="6"/>
  <c r="K49" i="5" s="1"/>
  <c r="P49" s="1"/>
  <c r="S57" i="6"/>
  <c r="K57" i="5" s="1"/>
  <c r="P57" s="1"/>
  <c r="S48" i="6"/>
  <c r="K48" i="5" s="1"/>
  <c r="P48" s="1"/>
  <c r="S34" i="6"/>
  <c r="K34" i="5" s="1"/>
  <c r="P34" s="1"/>
  <c r="S46" i="6"/>
  <c r="K46" i="5" s="1"/>
  <c r="P46" s="1"/>
  <c r="S43" i="6"/>
  <c r="K43" i="5" s="1"/>
  <c r="P43" s="1"/>
  <c r="S56" i="6"/>
  <c r="K56" i="5" s="1"/>
  <c r="P56" s="1"/>
  <c r="S47" i="6"/>
  <c r="K47" i="5" s="1"/>
  <c r="P47" s="1"/>
  <c r="S51" i="6"/>
  <c r="K51" i="5" s="1"/>
  <c r="P51" s="1"/>
  <c r="S53" i="6"/>
  <c r="K53" i="5" s="1"/>
  <c r="P53" s="1"/>
  <c r="S44" i="6"/>
  <c r="K44" i="5" s="1"/>
  <c r="P44" s="1"/>
  <c r="S38" i="6"/>
  <c r="K38" i="5" s="1"/>
  <c r="P38" s="1"/>
  <c r="S50" i="6"/>
  <c r="K50" i="5" s="1"/>
  <c r="P50" s="1"/>
  <c r="S40" i="6"/>
  <c r="K40" i="5" s="1"/>
  <c r="P40" s="1"/>
  <c r="S42" i="6"/>
  <c r="K42" i="5" s="1"/>
  <c r="P42" s="1"/>
  <c r="S37" i="6"/>
  <c r="K37" i="5" s="1"/>
  <c r="P37" s="1"/>
  <c r="S55" i="6"/>
  <c r="K55" i="5" s="1"/>
  <c r="P55" s="1"/>
  <c r="S45" i="6"/>
  <c r="K45" i="5" s="1"/>
  <c r="P45" s="1"/>
  <c r="S54" i="6"/>
  <c r="K54" i="5" s="1"/>
  <c r="P54" s="1"/>
  <c r="S52" i="6"/>
  <c r="K52" i="5" s="1"/>
  <c r="P52" s="1"/>
  <c r="S39" i="6"/>
  <c r="K39" i="5" s="1"/>
  <c r="P39" s="1"/>
  <c r="S41" i="6"/>
  <c r="K41" i="5" s="1"/>
  <c r="P41" s="1"/>
  <c r="P59" i="6"/>
  <c r="S33"/>
  <c r="M32"/>
  <c r="K14" i="4"/>
  <c r="P14"/>
  <c r="G17" i="3"/>
  <c r="E17" s="1"/>
  <c r="F17" s="1"/>
  <c r="M15"/>
  <c r="M14" s="1"/>
  <c r="H14"/>
  <c r="M11"/>
  <c r="H17"/>
  <c r="H31"/>
  <c r="M31"/>
  <c r="M59" s="1"/>
  <c r="M62" s="1"/>
  <c r="M18"/>
  <c r="M17" s="1"/>
  <c r="K31"/>
  <c r="K13" s="1"/>
  <c r="G31"/>
  <c r="E31" s="1"/>
  <c r="F31" s="1"/>
  <c r="O36" i="5" l="1"/>
  <c r="U36" s="1"/>
  <c r="W99" i="1"/>
  <c r="T36" i="5"/>
  <c r="Q39"/>
  <c r="R39" s="1"/>
  <c r="Q55"/>
  <c r="R55" s="1"/>
  <c r="Q50"/>
  <c r="R50" s="1"/>
  <c r="Q51"/>
  <c r="R51" s="1"/>
  <c r="Q46"/>
  <c r="R46" s="1"/>
  <c r="Q49"/>
  <c r="R49" s="1"/>
  <c r="Q52"/>
  <c r="R52" s="1"/>
  <c r="Q37"/>
  <c r="R37" s="1"/>
  <c r="Q38"/>
  <c r="R38" s="1"/>
  <c r="Q47"/>
  <c r="R47" s="1"/>
  <c r="Q34"/>
  <c r="R34" s="1"/>
  <c r="Q35"/>
  <c r="R35" s="1"/>
  <c r="Q54"/>
  <c r="R54" s="1"/>
  <c r="Q42"/>
  <c r="R42" s="1"/>
  <c r="Q44"/>
  <c r="R44" s="1"/>
  <c r="Q56"/>
  <c r="R56" s="1"/>
  <c r="Q48"/>
  <c r="R48" s="1"/>
  <c r="Q41"/>
  <c r="R41" s="1"/>
  <c r="Q45"/>
  <c r="R45" s="1"/>
  <c r="Q40"/>
  <c r="R40" s="1"/>
  <c r="Q53"/>
  <c r="R53" s="1"/>
  <c r="Q43"/>
  <c r="R43" s="1"/>
  <c r="Q57"/>
  <c r="R57" s="1"/>
  <c r="N35" i="7"/>
  <c r="Q35" s="1"/>
  <c r="O35"/>
  <c r="AD35" s="1"/>
  <c r="N54"/>
  <c r="N36"/>
  <c r="AG36" i="5"/>
  <c r="N53" i="7"/>
  <c r="N55"/>
  <c r="W36" i="5"/>
  <c r="X36" s="1"/>
  <c r="AC36" s="1"/>
  <c r="N59" i="6"/>
  <c r="K33" i="5"/>
  <c r="S59" i="6"/>
  <c r="S61" s="1"/>
  <c r="G13" i="3"/>
  <c r="E13" s="1"/>
  <c r="H13"/>
  <c r="M13"/>
  <c r="O13" l="1"/>
  <c r="P17" s="1"/>
  <c r="F13"/>
  <c r="N56" i="7"/>
  <c r="N42"/>
  <c r="O42" s="1"/>
  <c r="AD42" s="1"/>
  <c r="O53" i="5"/>
  <c r="U53" s="1"/>
  <c r="W116" i="1"/>
  <c r="T53" i="5"/>
  <c r="O48"/>
  <c r="U48" s="1"/>
  <c r="W111" i="1"/>
  <c r="T48" i="5"/>
  <c r="O54"/>
  <c r="W117" i="1"/>
  <c r="T54" i="5"/>
  <c r="O38"/>
  <c r="U38" s="1"/>
  <c r="W101" i="1"/>
  <c r="T38" i="5"/>
  <c r="O55"/>
  <c r="W118" i="1"/>
  <c r="Y118" s="1"/>
  <c r="AA118" s="1"/>
  <c r="T55" i="5"/>
  <c r="O43"/>
  <c r="U43" s="1"/>
  <c r="W106" i="1"/>
  <c r="T43" i="5"/>
  <c r="O41"/>
  <c r="U41" s="1"/>
  <c r="W104" i="1"/>
  <c r="T41" i="5"/>
  <c r="O42"/>
  <c r="U42" s="1"/>
  <c r="W105" i="1"/>
  <c r="T42" i="5"/>
  <c r="O47"/>
  <c r="U47" s="1"/>
  <c r="W110" i="1"/>
  <c r="Y110" s="1"/>
  <c r="AA110" s="1"/>
  <c r="T47" i="5"/>
  <c r="O49"/>
  <c r="U49" s="1"/>
  <c r="W112" i="1"/>
  <c r="T49" i="5"/>
  <c r="O50"/>
  <c r="U50" s="1"/>
  <c r="T50"/>
  <c r="W113" i="1"/>
  <c r="O57" i="5"/>
  <c r="U57" s="1"/>
  <c r="W120" i="1"/>
  <c r="T57" i="5"/>
  <c r="O45"/>
  <c r="U45" s="1"/>
  <c r="W108" i="1"/>
  <c r="T45" i="5"/>
  <c r="O44"/>
  <c r="U44" s="1"/>
  <c r="T44"/>
  <c r="W107" i="1"/>
  <c r="O34" i="5"/>
  <c r="W97" i="1"/>
  <c r="Y97" s="1"/>
  <c r="T34" i="5"/>
  <c r="O52"/>
  <c r="AG52" s="1"/>
  <c r="W115" i="1"/>
  <c r="T52" i="5"/>
  <c r="O51"/>
  <c r="W114" i="1"/>
  <c r="Y114" s="1"/>
  <c r="AA114" s="1"/>
  <c r="T51" i="5"/>
  <c r="O40"/>
  <c r="AG40" s="1"/>
  <c r="W103" i="1"/>
  <c r="T40" i="5"/>
  <c r="O56"/>
  <c r="W119" i="1"/>
  <c r="T56" i="5"/>
  <c r="O35"/>
  <c r="U35" s="1"/>
  <c r="W98" i="1"/>
  <c r="T35" i="5"/>
  <c r="O37"/>
  <c r="U37" s="1"/>
  <c r="W100" i="1"/>
  <c r="T37" i="5"/>
  <c r="O46"/>
  <c r="U46" s="1"/>
  <c r="W109" i="1"/>
  <c r="T46" i="5"/>
  <c r="O39"/>
  <c r="U39" s="1"/>
  <c r="W102" i="1"/>
  <c r="T39" i="5"/>
  <c r="W34"/>
  <c r="X34" s="1"/>
  <c r="AC34" s="1"/>
  <c r="N51" i="7"/>
  <c r="O51" s="1"/>
  <c r="AD51" s="1"/>
  <c r="U54" i="5"/>
  <c r="U34"/>
  <c r="U52"/>
  <c r="P33"/>
  <c r="N37" i="7"/>
  <c r="O37" s="1"/>
  <c r="AD37" s="1"/>
  <c r="N45"/>
  <c r="O45" s="1"/>
  <c r="AD45" s="1"/>
  <c r="N43"/>
  <c r="Q43" s="1"/>
  <c r="N50"/>
  <c r="Q50" s="1"/>
  <c r="N52"/>
  <c r="O52" s="1"/>
  <c r="AD52" s="1"/>
  <c r="U56" i="5"/>
  <c r="U51"/>
  <c r="U55"/>
  <c r="AG47"/>
  <c r="W37"/>
  <c r="X37" s="1"/>
  <c r="AC37" s="1"/>
  <c r="AG50"/>
  <c r="AG43"/>
  <c r="AG49"/>
  <c r="W46"/>
  <c r="X46" s="1"/>
  <c r="AC46" s="1"/>
  <c r="AG34"/>
  <c r="AG41"/>
  <c r="W52"/>
  <c r="X52" s="1"/>
  <c r="AC52" s="1"/>
  <c r="W44"/>
  <c r="X44" s="1"/>
  <c r="AC44" s="1"/>
  <c r="W38"/>
  <c r="X38" s="1"/>
  <c r="AC38" s="1"/>
  <c r="W53"/>
  <c r="X53" s="1"/>
  <c r="AC53" s="1"/>
  <c r="W51"/>
  <c r="X51" s="1"/>
  <c r="AC51" s="1"/>
  <c r="AG55"/>
  <c r="W57"/>
  <c r="X57" s="1"/>
  <c r="AC57" s="1"/>
  <c r="W43"/>
  <c r="X43" s="1"/>
  <c r="AC43" s="1"/>
  <c r="Q55" i="7"/>
  <c r="O55"/>
  <c r="AD55" s="1"/>
  <c r="Q53"/>
  <c r="O53"/>
  <c r="AD53" s="1"/>
  <c r="AG48" i="5"/>
  <c r="W56"/>
  <c r="X56" s="1"/>
  <c r="AC56" s="1"/>
  <c r="AG39"/>
  <c r="AG45"/>
  <c r="AG56"/>
  <c r="AG54"/>
  <c r="AG37"/>
  <c r="AG51"/>
  <c r="W55"/>
  <c r="X55" s="1"/>
  <c r="AC55" s="1"/>
  <c r="Q42" i="7"/>
  <c r="AG53" i="5"/>
  <c r="W54"/>
  <c r="X54" s="1"/>
  <c r="AC54" s="1"/>
  <c r="Q36" i="7"/>
  <c r="O36"/>
  <c r="AD36" s="1"/>
  <c r="O50"/>
  <c r="AD50" s="1"/>
  <c r="O54"/>
  <c r="AD54" s="1"/>
  <c r="Q54"/>
  <c r="Q56"/>
  <c r="O56"/>
  <c r="AD56" s="1"/>
  <c r="K59" i="5"/>
  <c r="K61" s="1"/>
  <c r="K63" s="1"/>
  <c r="V14"/>
  <c r="AE14"/>
  <c r="AF18" s="1"/>
  <c r="Y120" i="1"/>
  <c r="AA120" s="1"/>
  <c r="Y119"/>
  <c r="AA119" s="1"/>
  <c r="Y117"/>
  <c r="AA117" s="1"/>
  <c r="Y116"/>
  <c r="AA116" s="1"/>
  <c r="Y115"/>
  <c r="AA115" s="1"/>
  <c r="Y113"/>
  <c r="AA113" s="1"/>
  <c r="Y112"/>
  <c r="AA112" s="1"/>
  <c r="Y111"/>
  <c r="AA111" s="1"/>
  <c r="Y109"/>
  <c r="AA109" s="1"/>
  <c r="Y108"/>
  <c r="AA108" s="1"/>
  <c r="Y107"/>
  <c r="AA107" s="1"/>
  <c r="Y106"/>
  <c r="AA106" s="1"/>
  <c r="Y105"/>
  <c r="AA105" s="1"/>
  <c r="Y104"/>
  <c r="AA104" s="1"/>
  <c r="Y103"/>
  <c r="AA103" s="1"/>
  <c r="Y99"/>
  <c r="AA99" s="1"/>
  <c r="Y102"/>
  <c r="AA102" s="1"/>
  <c r="Y101"/>
  <c r="AA101" s="1"/>
  <c r="Y100"/>
  <c r="AA100" s="1"/>
  <c r="Y98"/>
  <c r="AA98" s="1"/>
  <c r="AA97"/>
  <c r="AG38" i="5" l="1"/>
  <c r="AG46"/>
  <c r="AG42"/>
  <c r="U40"/>
  <c r="AG44"/>
  <c r="AG57"/>
  <c r="AG35"/>
  <c r="AB105" i="1"/>
  <c r="AH105" s="1"/>
  <c r="DR105" s="1"/>
  <c r="O43" i="7"/>
  <c r="AD43" s="1"/>
  <c r="Q51"/>
  <c r="Q52"/>
  <c r="Q37"/>
  <c r="P59" i="5"/>
  <c r="Q33"/>
  <c r="R33" s="1"/>
  <c r="T33" s="1"/>
  <c r="Q45" i="7"/>
  <c r="AG95" i="1"/>
  <c r="AE95"/>
  <c r="AF95" s="1"/>
  <c r="X95"/>
  <c r="AT121"/>
  <c r="AS121"/>
  <c r="AM121"/>
  <c r="AK121"/>
  <c r="AB121"/>
  <c r="AH121" s="1"/>
  <c r="J121"/>
  <c r="F121"/>
  <c r="G121" s="1"/>
  <c r="F72"/>
  <c r="G72" s="1"/>
  <c r="J72"/>
  <c r="AB120"/>
  <c r="AH120" s="1"/>
  <c r="DR120" s="1"/>
  <c r="AB119"/>
  <c r="AH119" s="1"/>
  <c r="DR119" s="1"/>
  <c r="AB118"/>
  <c r="AH118" s="1"/>
  <c r="DR118" s="1"/>
  <c r="AB117"/>
  <c r="AH117" s="1"/>
  <c r="DR117" s="1"/>
  <c r="AB116"/>
  <c r="AH116" s="1"/>
  <c r="DR116" s="1"/>
  <c r="AB115"/>
  <c r="AH115" s="1"/>
  <c r="DR115" s="1"/>
  <c r="AB114"/>
  <c r="AH114" s="1"/>
  <c r="DR114" s="1"/>
  <c r="AB113"/>
  <c r="AH113" s="1"/>
  <c r="DR113" s="1"/>
  <c r="AB112"/>
  <c r="AH112" s="1"/>
  <c r="DR112" s="1"/>
  <c r="AB111"/>
  <c r="AH111" s="1"/>
  <c r="DR111" s="1"/>
  <c r="AB110"/>
  <c r="AH110" s="1"/>
  <c r="DR110" s="1"/>
  <c r="AB109"/>
  <c r="AH109" s="1"/>
  <c r="DR109" s="1"/>
  <c r="AB108"/>
  <c r="AH108" s="1"/>
  <c r="DR108" s="1"/>
  <c r="AB107"/>
  <c r="AH107" s="1"/>
  <c r="DR107" s="1"/>
  <c r="AB106"/>
  <c r="AH106" s="1"/>
  <c r="DR106" s="1"/>
  <c r="AB104"/>
  <c r="AH104" s="1"/>
  <c r="DR104" s="1"/>
  <c r="AB103"/>
  <c r="AH103" s="1"/>
  <c r="DR103" s="1"/>
  <c r="AB102"/>
  <c r="AH102" s="1"/>
  <c r="DR102" s="1"/>
  <c r="AB101"/>
  <c r="AH101" s="1"/>
  <c r="DR101" s="1"/>
  <c r="AB100"/>
  <c r="AH100" s="1"/>
  <c r="DR100" s="1"/>
  <c r="AB99"/>
  <c r="AH99" s="1"/>
  <c r="DR99" s="1"/>
  <c r="AB98"/>
  <c r="AH98" s="1"/>
  <c r="DR98" s="1"/>
  <c r="AI95"/>
  <c r="AJ95"/>
  <c r="AK96"/>
  <c r="AM96"/>
  <c r="AK97"/>
  <c r="AM97"/>
  <c r="AK98"/>
  <c r="AM98"/>
  <c r="AK99"/>
  <c r="AM99"/>
  <c r="AK100"/>
  <c r="AM100"/>
  <c r="AK101"/>
  <c r="AM101"/>
  <c r="AK102"/>
  <c r="AM102"/>
  <c r="AK103"/>
  <c r="AM103"/>
  <c r="AK104"/>
  <c r="AM104"/>
  <c r="AK105"/>
  <c r="AM105"/>
  <c r="AK106"/>
  <c r="AM106"/>
  <c r="AK107"/>
  <c r="AM107"/>
  <c r="AK108"/>
  <c r="AM108"/>
  <c r="AK109"/>
  <c r="AM109"/>
  <c r="AK110"/>
  <c r="AM110"/>
  <c r="AK111"/>
  <c r="AM111"/>
  <c r="AK112"/>
  <c r="AM112"/>
  <c r="AK113"/>
  <c r="AM113"/>
  <c r="AK114"/>
  <c r="AM114"/>
  <c r="AK115"/>
  <c r="AM115"/>
  <c r="AK116"/>
  <c r="AM116"/>
  <c r="AK117"/>
  <c r="AM117"/>
  <c r="AK118"/>
  <c r="AM118"/>
  <c r="AK119"/>
  <c r="AM119"/>
  <c r="AK120"/>
  <c r="AM120"/>
  <c r="DR121" l="1"/>
  <c r="DS121" s="1"/>
  <c r="W33" i="5"/>
  <c r="X33" s="1"/>
  <c r="DS100" i="1"/>
  <c r="DS104"/>
  <c r="DS109"/>
  <c r="DS113"/>
  <c r="DS117"/>
  <c r="AV105"/>
  <c r="DS105"/>
  <c r="DS99"/>
  <c r="DS103"/>
  <c r="DS108"/>
  <c r="DS112"/>
  <c r="DS116"/>
  <c r="DS120"/>
  <c r="DS98"/>
  <c r="DS102"/>
  <c r="DS107"/>
  <c r="DS111"/>
  <c r="DS115"/>
  <c r="DS119"/>
  <c r="DS101"/>
  <c r="DS106"/>
  <c r="DS110"/>
  <c r="DS114"/>
  <c r="DS118"/>
  <c r="W96"/>
  <c r="O33" i="5"/>
  <c r="P61"/>
  <c r="Q59"/>
  <c r="AO107" i="1"/>
  <c r="AB97"/>
  <c r="AH97" s="1"/>
  <c r="DR97" s="1"/>
  <c r="AV119"/>
  <c r="L121"/>
  <c r="AL121" s="1"/>
  <c r="AV98"/>
  <c r="AV100"/>
  <c r="AV102"/>
  <c r="AV104"/>
  <c r="AV106"/>
  <c r="AV108"/>
  <c r="AV110"/>
  <c r="AV112"/>
  <c r="AV114"/>
  <c r="AV116"/>
  <c r="AV118"/>
  <c r="AV120"/>
  <c r="L72"/>
  <c r="AM95"/>
  <c r="AK95"/>
  <c r="AP105" l="1"/>
  <c r="AX105" s="1"/>
  <c r="AR111"/>
  <c r="AX111" s="1"/>
  <c r="AV111"/>
  <c r="AO109"/>
  <c r="AV109"/>
  <c r="AS115"/>
  <c r="AV115"/>
  <c r="AP107"/>
  <c r="AX107" s="1"/>
  <c r="AV107"/>
  <c r="AO99"/>
  <c r="AV99"/>
  <c r="AP103"/>
  <c r="AX103" s="1"/>
  <c r="AV103"/>
  <c r="AQ117"/>
  <c r="AV117"/>
  <c r="AO101"/>
  <c r="AV101"/>
  <c r="AP113"/>
  <c r="AX113" s="1"/>
  <c r="AV113"/>
  <c r="AQ121"/>
  <c r="AV121"/>
  <c r="Y96"/>
  <c r="AA96" s="1"/>
  <c r="AB96" s="1"/>
  <c r="AH96" s="1"/>
  <c r="DR96" s="1"/>
  <c r="AP99"/>
  <c r="AX99" s="1"/>
  <c r="AP109"/>
  <c r="AX109" s="1"/>
  <c r="AO105"/>
  <c r="AR117"/>
  <c r="AX117" s="1"/>
  <c r="AT115"/>
  <c r="AX115" s="1"/>
  <c r="AP101"/>
  <c r="AX101" s="1"/>
  <c r="AG33" i="5"/>
  <c r="AG59" s="1"/>
  <c r="U33"/>
  <c r="U59" s="1"/>
  <c r="U61" s="1"/>
  <c r="O59"/>
  <c r="R59" s="1"/>
  <c r="T59" s="1"/>
  <c r="AC33"/>
  <c r="AQ111" i="1"/>
  <c r="AO113"/>
  <c r="AR121"/>
  <c r="AX121" s="1"/>
  <c r="AO103"/>
  <c r="AO97"/>
  <c r="AR120"/>
  <c r="AQ120"/>
  <c r="AO112"/>
  <c r="AP112"/>
  <c r="AX112" s="1"/>
  <c r="AP104"/>
  <c r="AX104" s="1"/>
  <c r="AO104"/>
  <c r="AR118"/>
  <c r="AX118" s="1"/>
  <c r="AQ118"/>
  <c r="AP110"/>
  <c r="AX110" s="1"/>
  <c r="AO110"/>
  <c r="AP102"/>
  <c r="AX102" s="1"/>
  <c r="AO102"/>
  <c r="AT116"/>
  <c r="AX116" s="1"/>
  <c r="AS116"/>
  <c r="AP108"/>
  <c r="AX108" s="1"/>
  <c r="AO108"/>
  <c r="AP100"/>
  <c r="AX100" s="1"/>
  <c r="AO100"/>
  <c r="AQ119"/>
  <c r="AR119"/>
  <c r="AX119" s="1"/>
  <c r="AO114"/>
  <c r="AP114"/>
  <c r="AX114" s="1"/>
  <c r="AT106"/>
  <c r="AX106" s="1"/>
  <c r="AS106"/>
  <c r="AP98"/>
  <c r="AX98" s="1"/>
  <c r="AO98"/>
  <c r="AT120"/>
  <c r="AS120"/>
  <c r="J120"/>
  <c r="F120"/>
  <c r="G120" s="1"/>
  <c r="L120" s="1"/>
  <c r="AL120" s="1"/>
  <c r="J119"/>
  <c r="F119"/>
  <c r="G119" s="1"/>
  <c r="J118"/>
  <c r="F118"/>
  <c r="G118" s="1"/>
  <c r="L118" s="1"/>
  <c r="AL118" s="1"/>
  <c r="J117"/>
  <c r="F117"/>
  <c r="G117" s="1"/>
  <c r="J116"/>
  <c r="F116"/>
  <c r="G116" s="1"/>
  <c r="J115"/>
  <c r="F115"/>
  <c r="G115" s="1"/>
  <c r="J114"/>
  <c r="F114"/>
  <c r="G114" s="1"/>
  <c r="J113"/>
  <c r="F113"/>
  <c r="G113" s="1"/>
  <c r="J112"/>
  <c r="F112"/>
  <c r="G112" s="1"/>
  <c r="J111"/>
  <c r="F111"/>
  <c r="G111" s="1"/>
  <c r="J110"/>
  <c r="F110"/>
  <c r="G110" s="1"/>
  <c r="J109"/>
  <c r="F109"/>
  <c r="G109" s="1"/>
  <c r="J108"/>
  <c r="F108"/>
  <c r="G108" s="1"/>
  <c r="J107"/>
  <c r="F107"/>
  <c r="G107" s="1"/>
  <c r="J106"/>
  <c r="F106"/>
  <c r="G106" s="1"/>
  <c r="J105"/>
  <c r="F105"/>
  <c r="G105" s="1"/>
  <c r="J104"/>
  <c r="F104"/>
  <c r="G104" s="1"/>
  <c r="J103"/>
  <c r="F103"/>
  <c r="G103" s="1"/>
  <c r="J102"/>
  <c r="F102"/>
  <c r="G102" s="1"/>
  <c r="J101"/>
  <c r="F101"/>
  <c r="G101" s="1"/>
  <c r="J100"/>
  <c r="F100"/>
  <c r="G100" s="1"/>
  <c r="J99"/>
  <c r="F99"/>
  <c r="G99" s="1"/>
  <c r="J98"/>
  <c r="F98"/>
  <c r="G98" s="1"/>
  <c r="J97"/>
  <c r="F97"/>
  <c r="G97" s="1"/>
  <c r="J96"/>
  <c r="F96"/>
  <c r="G96" s="1"/>
  <c r="K95"/>
  <c r="I95"/>
  <c r="H95"/>
  <c r="E95"/>
  <c r="C95"/>
  <c r="AK93"/>
  <c r="J93"/>
  <c r="F93"/>
  <c r="G93" s="1"/>
  <c r="AK92"/>
  <c r="J92"/>
  <c r="F92"/>
  <c r="G92" s="1"/>
  <c r="AK91"/>
  <c r="J91"/>
  <c r="F91"/>
  <c r="G91" s="1"/>
  <c r="AK90"/>
  <c r="J90"/>
  <c r="F90"/>
  <c r="G90" s="1"/>
  <c r="AK89"/>
  <c r="J89"/>
  <c r="F89"/>
  <c r="G89" s="1"/>
  <c r="AO88"/>
  <c r="AK88"/>
  <c r="J88"/>
  <c r="F88"/>
  <c r="G88" s="1"/>
  <c r="AO87"/>
  <c r="AK87"/>
  <c r="J87"/>
  <c r="F87"/>
  <c r="G87" s="1"/>
  <c r="AO86"/>
  <c r="AK86"/>
  <c r="J86"/>
  <c r="F86"/>
  <c r="G86" s="1"/>
  <c r="AO85"/>
  <c r="AK85"/>
  <c r="J85"/>
  <c r="F85"/>
  <c r="G85" s="1"/>
  <c r="AO84"/>
  <c r="AK84"/>
  <c r="J84"/>
  <c r="F84"/>
  <c r="G84" s="1"/>
  <c r="AO83"/>
  <c r="AK83"/>
  <c r="J83"/>
  <c r="F83"/>
  <c r="G83" s="1"/>
  <c r="AO82"/>
  <c r="AK82"/>
  <c r="J82"/>
  <c r="F82"/>
  <c r="G82" s="1"/>
  <c r="AO81"/>
  <c r="AK81"/>
  <c r="J81"/>
  <c r="F81"/>
  <c r="G81" s="1"/>
  <c r="AO80"/>
  <c r="K80"/>
  <c r="I80"/>
  <c r="H80"/>
  <c r="E80"/>
  <c r="C80"/>
  <c r="AK80" s="1"/>
  <c r="AO79"/>
  <c r="AK79"/>
  <c r="J79"/>
  <c r="F79"/>
  <c r="G79" s="1"/>
  <c r="AO78"/>
  <c r="AK78"/>
  <c r="J78"/>
  <c r="F78"/>
  <c r="F77" s="1"/>
  <c r="AO77"/>
  <c r="K77"/>
  <c r="I77"/>
  <c r="H77"/>
  <c r="C77"/>
  <c r="AK77" s="1"/>
  <c r="AP76"/>
  <c r="AO76"/>
  <c r="J75"/>
  <c r="F75"/>
  <c r="G75" s="1"/>
  <c r="H74"/>
  <c r="J74" s="1"/>
  <c r="F74"/>
  <c r="G74" s="1"/>
  <c r="I73"/>
  <c r="C73"/>
  <c r="F73" s="1"/>
  <c r="G73" s="1"/>
  <c r="AW63"/>
  <c r="AS63"/>
  <c r="AW62"/>
  <c r="AS62"/>
  <c r="AW61"/>
  <c r="AS61"/>
  <c r="AW60"/>
  <c r="AS60"/>
  <c r="J60"/>
  <c r="AW59"/>
  <c r="AS59"/>
  <c r="AW58"/>
  <c r="AS58"/>
  <c r="AW57"/>
  <c r="AS57"/>
  <c r="AW56"/>
  <c r="AS56"/>
  <c r="AT55"/>
  <c r="AS55"/>
  <c r="AR55"/>
  <c r="AQ55"/>
  <c r="AP55"/>
  <c r="AO55"/>
  <c r="AM55"/>
  <c r="AK55"/>
  <c r="J55"/>
  <c r="F55"/>
  <c r="G55" s="1"/>
  <c r="AR54"/>
  <c r="AV54" s="1"/>
  <c r="AQ54"/>
  <c r="AU54" s="1"/>
  <c r="AM54"/>
  <c r="AK54"/>
  <c r="J54"/>
  <c r="F54"/>
  <c r="G54" s="1"/>
  <c r="AR53"/>
  <c r="AV53" s="1"/>
  <c r="AQ53"/>
  <c r="AU53" s="1"/>
  <c r="AM53"/>
  <c r="AK53"/>
  <c r="J53"/>
  <c r="F53"/>
  <c r="G53" s="1"/>
  <c r="AR52"/>
  <c r="AV52" s="1"/>
  <c r="AQ52"/>
  <c r="AU52" s="1"/>
  <c r="AM52"/>
  <c r="AK52"/>
  <c r="J52"/>
  <c r="F52"/>
  <c r="G52" s="1"/>
  <c r="AT51"/>
  <c r="AV51" s="1"/>
  <c r="AS51"/>
  <c r="AU51" s="1"/>
  <c r="AM51"/>
  <c r="AK51"/>
  <c r="J51"/>
  <c r="F51"/>
  <c r="G51" s="1"/>
  <c r="AT50"/>
  <c r="AV50" s="1"/>
  <c r="AS50"/>
  <c r="AU50" s="1"/>
  <c r="AM50"/>
  <c r="AK50"/>
  <c r="J50"/>
  <c r="F50"/>
  <c r="G50" s="1"/>
  <c r="AP49"/>
  <c r="AV49" s="1"/>
  <c r="AO49"/>
  <c r="AU49" s="1"/>
  <c r="AM49"/>
  <c r="AK49"/>
  <c r="J49"/>
  <c r="F49"/>
  <c r="G49" s="1"/>
  <c r="AP48"/>
  <c r="AV48" s="1"/>
  <c r="AO48"/>
  <c r="AU48" s="1"/>
  <c r="AM48"/>
  <c r="AK48"/>
  <c r="J48"/>
  <c r="F48"/>
  <c r="G48" s="1"/>
  <c r="AP47"/>
  <c r="AV47" s="1"/>
  <c r="AO47"/>
  <c r="AU47" s="1"/>
  <c r="AM47"/>
  <c r="AK47"/>
  <c r="J47"/>
  <c r="F47"/>
  <c r="G47" s="1"/>
  <c r="AR46"/>
  <c r="AV46" s="1"/>
  <c r="AQ46"/>
  <c r="AU46" s="1"/>
  <c r="AM46"/>
  <c r="AK46"/>
  <c r="J46"/>
  <c r="F46"/>
  <c r="G46" s="1"/>
  <c r="AP45"/>
  <c r="AV45" s="1"/>
  <c r="AO45"/>
  <c r="AU45" s="1"/>
  <c r="AM45"/>
  <c r="AK45"/>
  <c r="J45"/>
  <c r="F45"/>
  <c r="G45" s="1"/>
  <c r="AP44"/>
  <c r="AV44" s="1"/>
  <c r="AO44"/>
  <c r="AU44" s="1"/>
  <c r="AM44"/>
  <c r="AK44"/>
  <c r="J44"/>
  <c r="F44"/>
  <c r="G44" s="1"/>
  <c r="AP43"/>
  <c r="AV43" s="1"/>
  <c r="AO43"/>
  <c r="AU43" s="1"/>
  <c r="AM43"/>
  <c r="AK43"/>
  <c r="J43"/>
  <c r="F43"/>
  <c r="G43" s="1"/>
  <c r="AP42"/>
  <c r="AV42" s="1"/>
  <c r="AO42"/>
  <c r="AU42" s="1"/>
  <c r="AM42"/>
  <c r="AK42"/>
  <c r="J42"/>
  <c r="F42"/>
  <c r="G42" s="1"/>
  <c r="AT41"/>
  <c r="AV41" s="1"/>
  <c r="AS41"/>
  <c r="AU41" s="1"/>
  <c r="AM41"/>
  <c r="AK41"/>
  <c r="J41"/>
  <c r="F41"/>
  <c r="G41" s="1"/>
  <c r="AP40"/>
  <c r="AV40" s="1"/>
  <c r="AO40"/>
  <c r="AU40" s="1"/>
  <c r="AM40"/>
  <c r="AK40"/>
  <c r="J40"/>
  <c r="F40"/>
  <c r="G40" s="1"/>
  <c r="AP39"/>
  <c r="AV39" s="1"/>
  <c r="AO39"/>
  <c r="AU39" s="1"/>
  <c r="AM39"/>
  <c r="AK39"/>
  <c r="J39"/>
  <c r="F39"/>
  <c r="G39" s="1"/>
  <c r="AP38"/>
  <c r="AV38" s="1"/>
  <c r="AO38"/>
  <c r="AU38" s="1"/>
  <c r="AM38"/>
  <c r="AK38"/>
  <c r="J38"/>
  <c r="F38"/>
  <c r="G38" s="1"/>
  <c r="AP37"/>
  <c r="AV37" s="1"/>
  <c r="AO37"/>
  <c r="AU37" s="1"/>
  <c r="AM37"/>
  <c r="AK37"/>
  <c r="J37"/>
  <c r="F37"/>
  <c r="G37" s="1"/>
  <c r="AP36"/>
  <c r="AV36" s="1"/>
  <c r="AO36"/>
  <c r="AU36" s="1"/>
  <c r="AM36"/>
  <c r="AK36"/>
  <c r="J36"/>
  <c r="F36"/>
  <c r="G36" s="1"/>
  <c r="AP35"/>
  <c r="AV35" s="1"/>
  <c r="AO35"/>
  <c r="AU35" s="1"/>
  <c r="AM35"/>
  <c r="AK35"/>
  <c r="J35"/>
  <c r="F35"/>
  <c r="G35" s="1"/>
  <c r="AP34"/>
  <c r="AV34" s="1"/>
  <c r="AO34"/>
  <c r="AU34" s="1"/>
  <c r="AM34"/>
  <c r="AK34"/>
  <c r="J34"/>
  <c r="F34"/>
  <c r="G34" s="1"/>
  <c r="AP33"/>
  <c r="AV33" s="1"/>
  <c r="AO33"/>
  <c r="AU33" s="1"/>
  <c r="AM33"/>
  <c r="AK33"/>
  <c r="J33"/>
  <c r="F33"/>
  <c r="G33" s="1"/>
  <c r="AP32"/>
  <c r="AV32" s="1"/>
  <c r="AO32"/>
  <c r="AU32" s="1"/>
  <c r="AM32"/>
  <c r="AK32"/>
  <c r="J32"/>
  <c r="F32"/>
  <c r="G32" s="1"/>
  <c r="AP31"/>
  <c r="AV31" s="1"/>
  <c r="AO31"/>
  <c r="AU31" s="1"/>
  <c r="AM31"/>
  <c r="AK31"/>
  <c r="J31"/>
  <c r="F31"/>
  <c r="AJ30"/>
  <c r="AI30"/>
  <c r="K30"/>
  <c r="I30"/>
  <c r="H30"/>
  <c r="E30"/>
  <c r="C30"/>
  <c r="AK28"/>
  <c r="J28"/>
  <c r="F28"/>
  <c r="G28" s="1"/>
  <c r="AK27"/>
  <c r="J27"/>
  <c r="F27"/>
  <c r="G27" s="1"/>
  <c r="AK26"/>
  <c r="J26"/>
  <c r="F26"/>
  <c r="G26" s="1"/>
  <c r="AK25"/>
  <c r="J25"/>
  <c r="F25"/>
  <c r="G25" s="1"/>
  <c r="AK24"/>
  <c r="J24"/>
  <c r="F24"/>
  <c r="G24" s="1"/>
  <c r="AO23"/>
  <c r="AK23"/>
  <c r="J23"/>
  <c r="F23"/>
  <c r="G23" s="1"/>
  <c r="AO22"/>
  <c r="AK22"/>
  <c r="J22"/>
  <c r="F22"/>
  <c r="G22" s="1"/>
  <c r="AO21"/>
  <c r="AK21"/>
  <c r="J21"/>
  <c r="F21"/>
  <c r="G21" s="1"/>
  <c r="AO20"/>
  <c r="AK20"/>
  <c r="J20"/>
  <c r="F20"/>
  <c r="G20" s="1"/>
  <c r="AO19"/>
  <c r="AK19"/>
  <c r="J19"/>
  <c r="F19"/>
  <c r="G19" s="1"/>
  <c r="AO18"/>
  <c r="AK18"/>
  <c r="J18"/>
  <c r="F18"/>
  <c r="G18" s="1"/>
  <c r="AO17"/>
  <c r="AK17"/>
  <c r="J17"/>
  <c r="F17"/>
  <c r="G17" s="1"/>
  <c r="AO16"/>
  <c r="AK16"/>
  <c r="J16"/>
  <c r="F16"/>
  <c r="G16" s="1"/>
  <c r="L16" s="1"/>
  <c r="AO15"/>
  <c r="K15"/>
  <c r="I15"/>
  <c r="H15"/>
  <c r="E15"/>
  <c r="C15"/>
  <c r="AK15" s="1"/>
  <c r="AO14"/>
  <c r="AK14"/>
  <c r="J14"/>
  <c r="F14"/>
  <c r="G14" s="1"/>
  <c r="AO13"/>
  <c r="AK13"/>
  <c r="J13"/>
  <c r="F13"/>
  <c r="F12" s="1"/>
  <c r="AO12"/>
  <c r="K12"/>
  <c r="J12"/>
  <c r="I12"/>
  <c r="H12"/>
  <c r="C12"/>
  <c r="AK12" s="1"/>
  <c r="AP11"/>
  <c r="AO11"/>
  <c r="J10"/>
  <c r="F10"/>
  <c r="G10" s="1"/>
  <c r="L10" s="1"/>
  <c r="H9"/>
  <c r="J9" s="1"/>
  <c r="J8" s="1"/>
  <c r="F9"/>
  <c r="G9" s="1"/>
  <c r="I8"/>
  <c r="C8"/>
  <c r="F8" s="1"/>
  <c r="G8" s="1"/>
  <c r="J7"/>
  <c r="F7"/>
  <c r="G7" s="1"/>
  <c r="AX120" l="1"/>
  <c r="L25"/>
  <c r="AL25" s="1"/>
  <c r="AV97"/>
  <c r="AW97" s="1"/>
  <c r="DS97"/>
  <c r="DS96"/>
  <c r="AO96"/>
  <c r="AP96"/>
  <c r="AX96" s="1"/>
  <c r="AP97"/>
  <c r="AX97" s="1"/>
  <c r="AV96"/>
  <c r="AW121"/>
  <c r="AA95"/>
  <c r="Y95" s="1"/>
  <c r="Z95" s="1"/>
  <c r="L114"/>
  <c r="AL114" s="1"/>
  <c r="L115"/>
  <c r="AL115" s="1"/>
  <c r="L116"/>
  <c r="AL116" s="1"/>
  <c r="L119"/>
  <c r="AL119" s="1"/>
  <c r="L79"/>
  <c r="AL79" s="1"/>
  <c r="AQ95"/>
  <c r="AR95"/>
  <c r="AW98"/>
  <c r="AW109"/>
  <c r="L20"/>
  <c r="AL20" s="1"/>
  <c r="L22"/>
  <c r="AL22" s="1"/>
  <c r="L23"/>
  <c r="AL23" s="1"/>
  <c r="L24"/>
  <c r="AL24" s="1"/>
  <c r="L28"/>
  <c r="AL28" s="1"/>
  <c r="L36"/>
  <c r="AL36" s="1"/>
  <c r="AW36"/>
  <c r="L52"/>
  <c r="AL52" s="1"/>
  <c r="AW52"/>
  <c r="L90"/>
  <c r="AL90" s="1"/>
  <c r="L51"/>
  <c r="AL51" s="1"/>
  <c r="AW51"/>
  <c r="L55"/>
  <c r="AL55" s="1"/>
  <c r="H73"/>
  <c r="L75"/>
  <c r="L92"/>
  <c r="AL92" s="1"/>
  <c r="AW117"/>
  <c r="AW115"/>
  <c r="AW99"/>
  <c r="AW107"/>
  <c r="L27"/>
  <c r="AL27" s="1"/>
  <c r="L96"/>
  <c r="AL96" s="1"/>
  <c r="L98"/>
  <c r="AL98" s="1"/>
  <c r="L99"/>
  <c r="AL99" s="1"/>
  <c r="L102"/>
  <c r="AL102" s="1"/>
  <c r="L103"/>
  <c r="AL103" s="1"/>
  <c r="L104"/>
  <c r="AL104" s="1"/>
  <c r="L106"/>
  <c r="AL106" s="1"/>
  <c r="L108"/>
  <c r="AL108" s="1"/>
  <c r="L111"/>
  <c r="AL111" s="1"/>
  <c r="L35"/>
  <c r="AL35" s="1"/>
  <c r="AW35"/>
  <c r="L39"/>
  <c r="AL39" s="1"/>
  <c r="AW39"/>
  <c r="L41"/>
  <c r="AL41" s="1"/>
  <c r="L47"/>
  <c r="AL47" s="1"/>
  <c r="AW47"/>
  <c r="L49"/>
  <c r="AL49" s="1"/>
  <c r="L82"/>
  <c r="AL82" s="1"/>
  <c r="L83"/>
  <c r="AL83" s="1"/>
  <c r="L84"/>
  <c r="AL84" s="1"/>
  <c r="L85"/>
  <c r="AL85" s="1"/>
  <c r="L86"/>
  <c r="AL86" s="1"/>
  <c r="L88"/>
  <c r="AL88" s="1"/>
  <c r="L89"/>
  <c r="AL89" s="1"/>
  <c r="J80"/>
  <c r="L93"/>
  <c r="AL93" s="1"/>
  <c r="L100"/>
  <c r="AL100" s="1"/>
  <c r="L105"/>
  <c r="AL105" s="1"/>
  <c r="L112"/>
  <c r="AL112" s="1"/>
  <c r="L7"/>
  <c r="L14"/>
  <c r="AL14" s="1"/>
  <c r="AW31"/>
  <c r="L33"/>
  <c r="AL33" s="1"/>
  <c r="L44"/>
  <c r="AL44" s="1"/>
  <c r="AW44"/>
  <c r="L91"/>
  <c r="AL91" s="1"/>
  <c r="AW101"/>
  <c r="AW113"/>
  <c r="K11"/>
  <c r="H76"/>
  <c r="AW43"/>
  <c r="J77"/>
  <c r="L97"/>
  <c r="AL97" s="1"/>
  <c r="L117"/>
  <c r="AL117" s="1"/>
  <c r="AW119"/>
  <c r="C76"/>
  <c r="AK76" s="1"/>
  <c r="F80"/>
  <c r="K76"/>
  <c r="I76"/>
  <c r="L109"/>
  <c r="AL109" s="1"/>
  <c r="H8"/>
  <c r="L26"/>
  <c r="AL26" s="1"/>
  <c r="H11"/>
  <c r="J30"/>
  <c r="AM30"/>
  <c r="L43"/>
  <c r="AL43" s="1"/>
  <c r="J73"/>
  <c r="L73" s="1"/>
  <c r="L87"/>
  <c r="AL87" s="1"/>
  <c r="L101"/>
  <c r="AL101" s="1"/>
  <c r="AW103"/>
  <c r="AW105"/>
  <c r="L107"/>
  <c r="AL107" s="1"/>
  <c r="L110"/>
  <c r="AL110" s="1"/>
  <c r="L113"/>
  <c r="AL113" s="1"/>
  <c r="AK30"/>
  <c r="AU55"/>
  <c r="I11"/>
  <c r="AS30"/>
  <c r="L32"/>
  <c r="AL32" s="1"/>
  <c r="AW32"/>
  <c r="L37"/>
  <c r="AL37" s="1"/>
  <c r="L40"/>
  <c r="AL40" s="1"/>
  <c r="AW40"/>
  <c r="L45"/>
  <c r="AL45" s="1"/>
  <c r="L48"/>
  <c r="AL48" s="1"/>
  <c r="AW48"/>
  <c r="L53"/>
  <c r="AL53" s="1"/>
  <c r="AW112"/>
  <c r="AW114"/>
  <c r="AW100"/>
  <c r="AW102"/>
  <c r="AW108"/>
  <c r="AW110"/>
  <c r="AW116"/>
  <c r="AW106"/>
  <c r="AW104"/>
  <c r="L81"/>
  <c r="G80"/>
  <c r="L74"/>
  <c r="G78"/>
  <c r="F95"/>
  <c r="J95"/>
  <c r="G95"/>
  <c r="AS95"/>
  <c r="AW111"/>
  <c r="AT95"/>
  <c r="L17"/>
  <c r="AL17" s="1"/>
  <c r="AO30"/>
  <c r="AT30"/>
  <c r="L9"/>
  <c r="L21"/>
  <c r="AL21" s="1"/>
  <c r="AP30"/>
  <c r="AO29" s="1"/>
  <c r="F30"/>
  <c r="C11"/>
  <c r="AK11" s="1"/>
  <c r="L18"/>
  <c r="AL18" s="1"/>
  <c r="L19"/>
  <c r="AL19" s="1"/>
  <c r="AQ30"/>
  <c r="L34"/>
  <c r="AL34" s="1"/>
  <c r="L38"/>
  <c r="AL38" s="1"/>
  <c r="L42"/>
  <c r="AL42" s="1"/>
  <c r="L46"/>
  <c r="AL46" s="1"/>
  <c r="L50"/>
  <c r="AL50" s="1"/>
  <c r="L54"/>
  <c r="AL54" s="1"/>
  <c r="AV55"/>
  <c r="AV30" s="1"/>
  <c r="AJ66" s="1"/>
  <c r="AM66" s="1"/>
  <c r="AL16"/>
  <c r="AW33"/>
  <c r="AW37"/>
  <c r="AW41"/>
  <c r="AW45"/>
  <c r="AW49"/>
  <c r="AW53"/>
  <c r="L8"/>
  <c r="AW34"/>
  <c r="AW38"/>
  <c r="AW42"/>
  <c r="AW46"/>
  <c r="AW50"/>
  <c r="AW54"/>
  <c r="G13"/>
  <c r="G15"/>
  <c r="AR30"/>
  <c r="F15"/>
  <c r="J15"/>
  <c r="G31"/>
  <c r="DR95" l="1"/>
  <c r="AV95"/>
  <c r="DS95"/>
  <c r="AX95"/>
  <c r="AH95"/>
  <c r="AW118"/>
  <c r="AW120"/>
  <c r="AB95"/>
  <c r="DQ95" s="1"/>
  <c r="F76"/>
  <c r="F11"/>
  <c r="J76"/>
  <c r="AL95"/>
  <c r="AW55"/>
  <c r="AW30" s="1"/>
  <c r="J11"/>
  <c r="AU30"/>
  <c r="AJ65" s="1"/>
  <c r="AM65" s="1"/>
  <c r="AQ29"/>
  <c r="L95"/>
  <c r="AS29"/>
  <c r="AQ94"/>
  <c r="AS94"/>
  <c r="L78"/>
  <c r="G77"/>
  <c r="G76" s="1"/>
  <c r="AL81"/>
  <c r="L80"/>
  <c r="AL80" s="1"/>
  <c r="L15"/>
  <c r="AL15" s="1"/>
  <c r="L31"/>
  <c r="G30"/>
  <c r="L13"/>
  <c r="G12"/>
  <c r="AU29" l="1"/>
  <c r="AL78"/>
  <c r="L77"/>
  <c r="L12"/>
  <c r="AL13"/>
  <c r="AL31"/>
  <c r="AL30" s="1"/>
  <c r="L30"/>
  <c r="L57" s="1"/>
  <c r="L60" s="1"/>
  <c r="G11"/>
  <c r="AP95" l="1"/>
  <c r="AO95"/>
  <c r="AL77"/>
  <c r="L76"/>
  <c r="AL76" s="1"/>
  <c r="AL12"/>
  <c r="L11"/>
  <c r="AL11" s="1"/>
  <c r="N49" i="7"/>
  <c r="N41"/>
  <c r="O61" i="5"/>
  <c r="W35"/>
  <c r="N47" i="7"/>
  <c r="AO94" i="1" l="1"/>
  <c r="AW96"/>
  <c r="AW95" s="1"/>
  <c r="AU95"/>
  <c r="N34" i="7"/>
  <c r="X35" i="5"/>
  <c r="AC35" s="1"/>
  <c r="W50"/>
  <c r="X50" s="1"/>
  <c r="AC50" s="1"/>
  <c r="W41"/>
  <c r="X41" s="1"/>
  <c r="AC41" s="1"/>
  <c r="N40" i="7"/>
  <c r="W40" i="5"/>
  <c r="X40" s="1"/>
  <c r="AC40" s="1"/>
  <c r="N39" i="7"/>
  <c r="W45" i="5"/>
  <c r="X45" s="1"/>
  <c r="AC45" s="1"/>
  <c r="N44" i="7"/>
  <c r="O44" s="1"/>
  <c r="AD44" s="1"/>
  <c r="W49" i="5"/>
  <c r="X49" s="1"/>
  <c r="AC49" s="1"/>
  <c r="N48" i="7"/>
  <c r="Q48" s="1"/>
  <c r="W39" i="5"/>
  <c r="X39" s="1"/>
  <c r="AC39" s="1"/>
  <c r="N38" i="7"/>
  <c r="W47" i="5"/>
  <c r="X47" s="1"/>
  <c r="AC47" s="1"/>
  <c r="N46" i="7"/>
  <c r="O46" s="1"/>
  <c r="AD46" s="1"/>
  <c r="W42" i="5"/>
  <c r="X42" s="1"/>
  <c r="AC42" s="1"/>
  <c r="O41" i="7"/>
  <c r="AD41" s="1"/>
  <c r="Q41"/>
  <c r="O47"/>
  <c r="AD47" s="1"/>
  <c r="Q47"/>
  <c r="Q49"/>
  <c r="O49"/>
  <c r="AD49" s="1"/>
  <c r="W48" i="5"/>
  <c r="X48" s="1"/>
  <c r="AC48" s="1"/>
  <c r="O62"/>
  <c r="AU94" i="1" l="1"/>
  <c r="O38" i="7"/>
  <c r="AD38" s="1"/>
  <c r="Q34"/>
  <c r="O34"/>
  <c r="AD34" s="1"/>
  <c r="AC59" i="5"/>
  <c r="W59"/>
  <c r="W61" s="1"/>
  <c r="X59"/>
  <c r="Q46" i="7"/>
  <c r="O48"/>
  <c r="AD48" s="1"/>
  <c r="Q40"/>
  <c r="O40"/>
  <c r="AD40" s="1"/>
  <c r="Q38"/>
  <c r="Q44"/>
  <c r="W32" i="5"/>
  <c r="Q39" i="7"/>
  <c r="O39"/>
  <c r="AD39" s="1"/>
  <c r="X32" i="5"/>
  <c r="X14" s="1"/>
  <c r="AC32"/>
  <c r="O58" i="7" l="1"/>
  <c r="N58" s="1"/>
  <c r="AC14" i="5"/>
  <c r="AC61"/>
  <c r="Q32"/>
  <c r="V32" s="1"/>
  <c r="W14"/>
  <c r="L59" l="1"/>
  <c r="L61" s="1"/>
  <c r="L63" s="1"/>
  <c r="R58" i="7"/>
  <c r="R60" l="1"/>
  <c r="AD58"/>
</calcChain>
</file>

<file path=xl/sharedStrings.xml><?xml version="1.0" encoding="utf-8"?>
<sst xmlns="http://schemas.openxmlformats.org/spreadsheetml/2006/main" count="641" uniqueCount="161">
  <si>
    <t>педагогические работники дополнительного образования</t>
  </si>
  <si>
    <t>тыс.рублей</t>
  </si>
  <si>
    <t>Наименование МО</t>
  </si>
  <si>
    <t>Фонд  заработной платы работников  (тыс. руб. )</t>
  </si>
  <si>
    <t>меры социальной поддержки педработников (на селе),(тыс. руб.)</t>
  </si>
  <si>
    <t>всего (тыс.руб.)</t>
  </si>
  <si>
    <r>
      <t>Справочно: излишние  средства в субвенции на повышение оплаты труда работников дополнительного образования</t>
    </r>
    <r>
      <rPr>
        <u/>
        <sz val="12"/>
        <color theme="1"/>
        <rFont val="Times New Roman"/>
        <family val="1"/>
        <charset val="204"/>
      </rPr>
      <t xml:space="preserve"> в структуре муниципальных школ</t>
    </r>
  </si>
  <si>
    <r>
      <t>Дополнительная потребность в средствах на повышение оплаты труда работников</t>
    </r>
    <r>
      <rPr>
        <b/>
        <u/>
        <sz val="12"/>
        <color theme="1"/>
        <rFont val="Times New Roman"/>
        <family val="1"/>
        <charset val="204"/>
      </rPr>
      <t xml:space="preserve"> муниципальных учреждений </t>
    </r>
    <r>
      <rPr>
        <b/>
        <sz val="12"/>
        <color theme="1"/>
        <rFont val="Times New Roman"/>
        <family val="1"/>
        <charset val="204"/>
      </rPr>
      <t xml:space="preserve">дополнительного образования </t>
    </r>
  </si>
  <si>
    <t>Отклонение юр. лиц  от структурных подразделений муниципальных школ</t>
  </si>
  <si>
    <t>Уровень бюджетной обеспеченности</t>
  </si>
  <si>
    <r>
      <t xml:space="preserve">местный бюджет 40% </t>
    </r>
    <r>
      <rPr>
        <u/>
        <sz val="12"/>
        <color rgb="FFFF0000"/>
        <rFont val="Times New Roman"/>
        <family val="1"/>
        <charset val="204"/>
      </rPr>
      <t>(У&lt;0,9)</t>
    </r>
  </si>
  <si>
    <r>
      <t xml:space="preserve">областной бюджет 60% </t>
    </r>
    <r>
      <rPr>
        <u/>
        <sz val="12"/>
        <color rgb="FFFF0000"/>
        <rFont val="Times New Roman"/>
        <family val="1"/>
        <charset val="204"/>
      </rPr>
      <t>(У&lt;0,9)</t>
    </r>
  </si>
  <si>
    <t>местный бюджет 45% (0,9&lt;У&lt;1)</t>
  </si>
  <si>
    <t>областной бюджет 55% (0,9&lt;У&lt;1)</t>
  </si>
  <si>
    <t>местный бюджет 50% (У&gt;1)</t>
  </si>
  <si>
    <t>областной бюджет 50% (У&gt;1)</t>
  </si>
  <si>
    <t>местный бюджет, всего</t>
  </si>
  <si>
    <t>областной бюджет, всего</t>
  </si>
  <si>
    <t>5=4-3</t>
  </si>
  <si>
    <t>У</t>
  </si>
  <si>
    <t>6=гр.4 *40/100</t>
  </si>
  <si>
    <t>7=гр.4*60/100</t>
  </si>
  <si>
    <t>8=гр.4*45/100</t>
  </si>
  <si>
    <t>9=гр.4*55/100</t>
  </si>
  <si>
    <t>10=гр.4*50/100</t>
  </si>
  <si>
    <t>11=гр.4*50/100</t>
  </si>
  <si>
    <t>12=6+8+10</t>
  </si>
  <si>
    <t>13=7+9+11</t>
  </si>
  <si>
    <t>Педагогические работники дошкольных образовательных учреждений</t>
  </si>
  <si>
    <t xml:space="preserve">Заработная плата в сфере общего образования за 2016 год  сложилась в размере 28405,8. Коэффициент роста на 2017 год составит 3,5 процента. Изменение среднедушевого дохода от трудовой деятельности не повлечет изменения заработной платы в сфере общего образования. </t>
  </si>
  <si>
    <t>Педагогические работники образовательных учреждений общего образования</t>
  </si>
  <si>
    <t xml:space="preserve">Заработная плата данной категории работников установлена на уровне 2016 года.  </t>
  </si>
  <si>
    <t>в т..: в государственных  организациях</t>
  </si>
  <si>
    <t xml:space="preserve">  в муниципальных  организациях, финансируемых за счет субвенции из областного бюджета                      </t>
  </si>
  <si>
    <t>Педагогические работники учреждений дополнительного образования детей (ВСЕГО)</t>
  </si>
  <si>
    <t>Заработная плата данной категории работников на 2017 год установлена в размере 95 процентов от заработной платы учителей региона, равной 35 865,90 (уровень 2016 года)</t>
  </si>
  <si>
    <t>1.</t>
  </si>
  <si>
    <t xml:space="preserve">в государственных организациях </t>
  </si>
  <si>
    <t>1.1.</t>
  </si>
  <si>
    <t>в государственных организациях сферы образования</t>
  </si>
  <si>
    <t>1.2.</t>
  </si>
  <si>
    <t>в государственных организациях сферы культуры</t>
  </si>
  <si>
    <t>2.</t>
  </si>
  <si>
    <t>в т.ч. Вилегодский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</si>
  <si>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</si>
  <si>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</si>
  <si>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</si>
  <si>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</si>
  <si>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</si>
  <si>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Онежский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</si>
  <si>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</si>
  <si>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</si>
  <si>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</si>
  <si>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</si>
  <si>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</si>
  <si>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г.Коряжма</t>
  </si>
  <si>
    <t>Всего по МО</t>
  </si>
  <si>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</si>
  <si>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</si>
  <si>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</si>
  <si>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</si>
  <si>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</si>
  <si>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</si>
  <si>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Няндомский р-он</t>
  </si>
  <si>
    <t>Пинежский р-он</t>
  </si>
  <si>
    <t>Плесецкий р-он (все в структуре школ)</t>
  </si>
  <si>
    <t>г.Архангельск</t>
  </si>
  <si>
    <t>г.Северодвинск</t>
  </si>
  <si>
    <t>г.Котлас</t>
  </si>
  <si>
    <t>г.Новодвинск</t>
  </si>
  <si>
    <t>Мирный</t>
  </si>
  <si>
    <t xml:space="preserve">ВСЕГО дополнительная потребность </t>
  </si>
  <si>
    <t>Примечание: дополнительная потребность по государственным организациям</t>
  </si>
  <si>
    <t>первоначальная потребность</t>
  </si>
  <si>
    <t>в муниципальных  организациях, финансируемых за счет средств местных бюджетов</t>
  </si>
  <si>
    <t>2017 год  (проект) представлен для согласования с Минобр РФ</t>
  </si>
  <si>
    <t xml:space="preserve">И. В. Скубенко </t>
  </si>
  <si>
    <t>местный бюджет</t>
  </si>
  <si>
    <t>областной бюджет</t>
  </si>
  <si>
    <t xml:space="preserve">Потребность за счет всех источников (тыс.руб.)
</t>
  </si>
  <si>
    <t>Потребность за счет средств консолидированного бюджета Архангельской области (тыс.руб.)</t>
  </si>
  <si>
    <t>Предусмотрено в консолидированном бюджете Архангельской области (тыс.руб.)</t>
  </si>
  <si>
    <t>Запланированный объем средств от внебюджетной деятельности, направляемый на повышение оплаты труда (тыс.руб.)</t>
  </si>
  <si>
    <t>Новая Земля</t>
  </si>
  <si>
    <t>у</t>
  </si>
  <si>
    <t>Объем софинансирования местный бюджет, всего (тыс. руб)</t>
  </si>
  <si>
    <t>Объем софинансирования областной бюджет (тыс. руб.)</t>
  </si>
  <si>
    <t>15=гр.12 *40/100</t>
  </si>
  <si>
    <t>16=гр.12*60/100</t>
  </si>
  <si>
    <t>17=гр.12*45/100</t>
  </si>
  <si>
    <t>18=гр.12*55/100</t>
  </si>
  <si>
    <t>19=гр.12*50/100</t>
  </si>
  <si>
    <t>20=гр.12*50/100</t>
  </si>
  <si>
    <r>
      <t>Справочно: излишние  средства в субвенции на повышение оплаты труда работников дополнительного образования</t>
    </r>
    <r>
      <rPr>
        <u/>
        <sz val="12"/>
        <rFont val="Times New Roman"/>
        <family val="1"/>
        <charset val="204"/>
      </rPr>
      <t xml:space="preserve"> в структуре муниципальных школ</t>
    </r>
  </si>
  <si>
    <t>2а</t>
  </si>
  <si>
    <t>6=гр.3*гр.4*1,302*12мес./1000</t>
  </si>
  <si>
    <t>4=гр.2а*гр.5</t>
  </si>
  <si>
    <t>7=гр.6-гр.11</t>
  </si>
  <si>
    <t>12=гр.7-гр.10</t>
  </si>
  <si>
    <t>21=гр.15+гр.17+гр.19</t>
  </si>
  <si>
    <t>22=гр.16+гр.18+гр.20</t>
  </si>
  <si>
    <t>Наименование категории работников</t>
  </si>
  <si>
    <t>Дополнительная потребность в средствах на повышение оплаты труда за счет средств консолидированного бюджета (тыс.руб.)</t>
  </si>
  <si>
    <t xml:space="preserve">Примечание </t>
  </si>
  <si>
    <t>11=9+10</t>
  </si>
  <si>
    <t>Педагогические работники муниципальных образовательных организаций дополнительного образования (ВСЕГО)</t>
  </si>
  <si>
    <t>3.</t>
  </si>
  <si>
    <t>Новая земля</t>
  </si>
  <si>
    <t>средняя заработная плата учителей в 2016 году</t>
  </si>
  <si>
    <t>6=гр.3*гр.4*12мес.*1,302/1000</t>
  </si>
  <si>
    <t>4=гр.2*гр.5</t>
  </si>
  <si>
    <t xml:space="preserve">Информация о расчете средней заработной платы педагогических работников муниципальных образовательных организаций дополнительного образования детей, целевого значения (95% от средней заработной платы учителей региона), уставленного "дорожной картой" на 2017 год </t>
  </si>
  <si>
    <t>Приложение 1</t>
  </si>
  <si>
    <t>Размер софинансирования, тыс. руб.</t>
  </si>
  <si>
    <t>среднесписочная численность педагогических работников дополнительного образования за 1 квартал 2017 (чел)</t>
  </si>
  <si>
    <t>Планируемая средняя заработная плата педагогических работников  дополнительного образования  в 2017 году</t>
  </si>
  <si>
    <t xml:space="preserve">Целевой показатель на 2017 год (соотношение средней заработной платы педагогов дополнительного образования к средней заработной плате учителей) , % </t>
  </si>
  <si>
    <t>Прогнозная средняя заработная плата педаогов общего образрования  в 2017 году</t>
  </si>
  <si>
    <t xml:space="preserve">госучреждения </t>
  </si>
  <si>
    <t>ВСЕГО</t>
  </si>
  <si>
    <t>Среднесписочная численность  учителей за 1 квартал 2017 года</t>
  </si>
  <si>
    <t>Прогнозная среднесписочная численность  учителей на  2018 год</t>
  </si>
  <si>
    <t>Среднемесячная зарабоная плата падагогов общего образования на  2017 год</t>
  </si>
  <si>
    <t>Педагогические работники муниципальных общеобразовательных организаций д (ВСЕГО)</t>
  </si>
  <si>
    <t xml:space="preserve">ФОТ педагогов ОО в проекте бюджета на 2018 год  </t>
  </si>
  <si>
    <t xml:space="preserve">ФОТ педагогов НОУ в проекте бюджета на 2018 год  </t>
  </si>
  <si>
    <t>ФОТ внешних совместителей (уровень 2016 года)</t>
  </si>
  <si>
    <t>ФОТ за счет приносящей доход деятельности (уровень 2016 года)</t>
  </si>
  <si>
    <t xml:space="preserve">                                       -  </t>
  </si>
  <si>
    <t>МСП (уровень 2016*1,04)</t>
  </si>
  <si>
    <t>МСП (уровень 2016)</t>
  </si>
  <si>
    <t xml:space="preserve">Плановая средняя заработная плата на 2017 </t>
  </si>
  <si>
    <t xml:space="preserve">Отклонение </t>
  </si>
  <si>
    <t>среднесписочная численность педагогических работников общего образования за 1 квартал 2017 (чел)</t>
  </si>
  <si>
    <t>Прогнозная среднесписочная численность общего образования на  2018 (чел)</t>
  </si>
  <si>
    <t xml:space="preserve">ФОТ педагогов ДОШ в проекте бюджета на 2018 год  </t>
  </si>
  <si>
    <t xml:space="preserve">средняя заработная плата педагогических работников  ДОШ  в 2018 году ИЗ ФОТ </t>
  </si>
  <si>
    <t xml:space="preserve">Планируемая средняя заработная плата педагогических работников  ДОШ  в 2018 году </t>
  </si>
  <si>
    <t>ФОТ необходимый для 31080</t>
  </si>
  <si>
    <t xml:space="preserve">Остаток ФОТ от дошкольников </t>
  </si>
  <si>
    <t xml:space="preserve">ФОТ для расчета уровня на 2018 год </t>
  </si>
  <si>
    <t>Остаток ФОТ от ДОП</t>
  </si>
  <si>
    <t xml:space="preserve">Имеющийся ФОТ </t>
  </si>
  <si>
    <t xml:space="preserve">средняя заработная плата педагогических работников  ДОП в 2018 году ИЗ ФОТ </t>
  </si>
  <si>
    <t xml:space="preserve">Планируемая средняя заработная плата педагогических работников  ДОП  в 2018 году </t>
  </si>
  <si>
    <t xml:space="preserve">ЗП </t>
  </si>
  <si>
    <t>ФОТ необходимый для 37005</t>
  </si>
  <si>
    <t>Имеющийся ФОТ</t>
  </si>
  <si>
    <t xml:space="preserve">Планируемая средняя заработная плата педагогических работников  общего  образования  в 2018 году ПОД ФОТ </t>
  </si>
  <si>
    <t xml:space="preserve">Средняя заработная учителей на 2018 год </t>
  </si>
  <si>
    <t>Среднесписочная численность  педагогических работников муниципальных образовательных организаций дополнительного образования на 2018 год (чел)</t>
  </si>
  <si>
    <t xml:space="preserve">Фонд  заработной платы работников  (тыс. руб. ) </t>
  </si>
  <si>
    <t>Фонд заработной платы за счет субсидии из областного бюджета (тыс.руб.)</t>
  </si>
  <si>
    <t>8а</t>
  </si>
  <si>
    <t>10=гр.8 +гр.8а+гр.9</t>
  </si>
  <si>
    <t>в том числе без учета уровня расчетной бюджетной обеспеченности:</t>
  </si>
  <si>
    <t>за счет субсидии из областного бюджета (41%)</t>
  </si>
  <si>
    <t>за счет собственных средств местных бюджетов (59%)</t>
  </si>
  <si>
    <t>Планируемая средняя заработная плата педагогов допобразования в 2018 году</t>
  </si>
  <si>
    <t xml:space="preserve">Целевой показатель на 2018 год (соотношение средней заработной платы педагогов дополнительного образования к средней заработной плате учителей) , % </t>
  </si>
  <si>
    <t>Расчет субсидий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2012-2017 годы" на 2018 год</t>
  </si>
</sst>
</file>

<file path=xl/styles.xml><?xml version="1.0" encoding="utf-8"?>
<styleSheet xmlns="http://schemas.openxmlformats.org/spreadsheetml/2006/main">
  <numFmts count="17">
    <numFmt numFmtId="43" formatCode="_-* #,##0.00\ _₽_-;\-* #,##0.00\ _₽_-;_-* &quot;-&quot;??\ _₽_-;_-@_-"/>
    <numFmt numFmtId="164" formatCode="0.0"/>
    <numFmt numFmtId="165" formatCode="#,##0.0"/>
    <numFmt numFmtId="166" formatCode="_-* #,##0.00_р_._-;\-* #,##0.00_р_._-;_-* &quot;-&quot;??_р_._-;_-@_-"/>
    <numFmt numFmtId="167" formatCode="_-* #,##0.0_р_._-;\-* #,##0.0_р_._-;_-* &quot;-&quot;??_р_._-;_-@_-"/>
    <numFmt numFmtId="168" formatCode="_-* #,##0.0\ _₽_-;\-* #,##0.0\ _₽_-;_-* &quot;-&quot;?\ _₽_-;_-@_-"/>
    <numFmt numFmtId="169" formatCode="_(* #,##0.00_);_(* \(#,##0.00\);_(* &quot;-&quot;??_);_(@_)"/>
    <numFmt numFmtId="170" formatCode="_-* #,##0.000_р_._-;\-* #,##0.000_р_._-;_-* &quot;-&quot;??_р_._-;_-@_-"/>
    <numFmt numFmtId="171" formatCode="_-* #,##0.0_р_._-;\-* #,##0.0_р_._-;_-* &quot;-&quot;?_р_._-;_-@_-"/>
    <numFmt numFmtId="172" formatCode="0.0%"/>
    <numFmt numFmtId="173" formatCode="_-* #,##0.00000_р_._-;\-* #,##0.00000_р_._-;_-* &quot;-&quot;??_р_._-;_-@_-"/>
    <numFmt numFmtId="174" formatCode="#,##0.0000"/>
    <numFmt numFmtId="175" formatCode="#,##0.00000"/>
    <numFmt numFmtId="176" formatCode="#,##0.000"/>
    <numFmt numFmtId="177" formatCode="_-* #,##0.0000_р_._-;\-* #,##0.0000_р_._-;_-* &quot;-&quot;??_р_._-;_-@_-"/>
    <numFmt numFmtId="178" formatCode="_(* #,##0.0_);_(* \(#,##0.0\);_(* &quot;-&quot;??_);_(@_)"/>
    <numFmt numFmtId="179" formatCode="_-* #,##0_р_._-;\-* #,##0_р_._-;_-* &quot;-&quot;??_р_._-;_-@_-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theme="3"/>
      <name val="Cambria"/>
      <family val="1"/>
      <charset val="204"/>
      <scheme val="major"/>
    </font>
    <font>
      <sz val="14"/>
      <color rgb="FF006100"/>
      <name val="Times New Roman"/>
      <family val="1"/>
      <charset val="204"/>
    </font>
    <font>
      <b/>
      <sz val="11"/>
      <color rgb="FF006100"/>
      <name val="Calibri"/>
      <family val="2"/>
      <charset val="204"/>
      <scheme val="minor"/>
    </font>
    <font>
      <b/>
      <sz val="14"/>
      <color rgb="FF0061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0" fontId="16" fillId="0" borderId="0"/>
    <xf numFmtId="0" fontId="40" fillId="0" borderId="0"/>
    <xf numFmtId="0" fontId="8" fillId="0" borderId="0"/>
    <xf numFmtId="0" fontId="8" fillId="0" borderId="0"/>
    <xf numFmtId="43" fontId="4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0" fillId="30" borderId="0" applyNumberFormat="0" applyBorder="0" applyAlignment="0" applyProtection="0"/>
    <xf numFmtId="0" fontId="34" fillId="31" borderId="12" applyNumberFormat="0" applyAlignment="0" applyProtection="0"/>
    <xf numFmtId="0" fontId="36" fillId="32" borderId="15" applyNumberFormat="0" applyAlignment="0" applyProtection="0"/>
    <xf numFmtId="0" fontId="38" fillId="0" borderId="0" applyNumberFormat="0" applyFill="0" applyBorder="0" applyAlignment="0" applyProtection="0"/>
    <xf numFmtId="0" fontId="29" fillId="33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34" borderId="12" applyNumberFormat="0" applyAlignment="0" applyProtection="0"/>
    <xf numFmtId="0" fontId="35" fillId="0" borderId="14" applyNumberFormat="0" applyFill="0" applyAlignment="0" applyProtection="0"/>
    <xf numFmtId="0" fontId="31" fillId="35" borderId="0" applyNumberFormat="0" applyBorder="0" applyAlignment="0" applyProtection="0"/>
    <xf numFmtId="0" fontId="1" fillId="36" borderId="16" applyNumberFormat="0" applyFont="0" applyAlignment="0" applyProtection="0"/>
    <xf numFmtId="0" fontId="33" fillId="31" borderId="13" applyNumberFormat="0" applyAlignment="0" applyProtection="0"/>
    <xf numFmtId="0" fontId="43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9" fillId="38" borderId="0" applyNumberFormat="0" applyBorder="0" applyAlignment="0" applyProtection="0"/>
  </cellStyleXfs>
  <cellXfs count="371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7" fontId="6" fillId="0" borderId="0" xfId="1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4" fillId="0" borderId="1" xfId="2" applyNumberFormat="1" applyFont="1" applyBorder="1" applyAlignment="1">
      <alignment vertical="center" wrapText="1"/>
    </xf>
    <xf numFmtId="0" fontId="19" fillId="0" borderId="0" xfId="0" applyFont="1"/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5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67" fontId="6" fillId="0" borderId="1" xfId="1" applyNumberFormat="1" applyFont="1" applyBorder="1" applyAlignment="1">
      <alignment horizontal="center" vertical="center"/>
    </xf>
    <xf numFmtId="0" fontId="21" fillId="0" borderId="1" xfId="0" applyFont="1" applyBorder="1"/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166" fontId="21" fillId="0" borderId="0" xfId="1" applyFont="1"/>
    <xf numFmtId="0" fontId="0" fillId="3" borderId="1" xfId="0" applyFill="1" applyBorder="1"/>
    <xf numFmtId="0" fontId="22" fillId="3" borderId="1" xfId="0" applyFont="1" applyFill="1" applyBorder="1" applyAlignment="1">
      <alignment wrapText="1"/>
    </xf>
    <xf numFmtId="3" fontId="4" fillId="3" borderId="1" xfId="0" applyNumberFormat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7" fontId="4" fillId="3" borderId="1" xfId="1" applyNumberFormat="1" applyFont="1" applyFill="1" applyBorder="1" applyAlignment="1">
      <alignment horizontal="center" vertical="center" wrapText="1"/>
    </xf>
    <xf numFmtId="167" fontId="4" fillId="3" borderId="8" xfId="1" applyNumberFormat="1" applyFont="1" applyFill="1" applyBorder="1" applyAlignment="1">
      <alignment horizontal="center" vertical="center"/>
    </xf>
    <xf numFmtId="167" fontId="4" fillId="2" borderId="1" xfId="1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/>
    </xf>
    <xf numFmtId="168" fontId="0" fillId="0" borderId="0" xfId="0" applyNumberFormat="1"/>
    <xf numFmtId="0" fontId="23" fillId="3" borderId="1" xfId="0" applyFont="1" applyFill="1" applyBorder="1" applyAlignment="1">
      <alignment wrapText="1"/>
    </xf>
    <xf numFmtId="176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166" fontId="0" fillId="0" borderId="0" xfId="1" applyFont="1"/>
    <xf numFmtId="167" fontId="4" fillId="0" borderId="2" xfId="1" applyNumberFormat="1" applyFont="1" applyBorder="1" applyAlignment="1">
      <alignment horizontal="center" vertical="center" wrapText="1"/>
    </xf>
    <xf numFmtId="0" fontId="0" fillId="0" borderId="0" xfId="0" applyBorder="1"/>
    <xf numFmtId="0" fontId="21" fillId="0" borderId="0" xfId="0" applyFont="1" applyBorder="1"/>
    <xf numFmtId="0" fontId="2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5" fillId="0" borderId="5" xfId="0" applyFont="1" applyBorder="1" applyAlignment="1">
      <alignment wrapText="1"/>
    </xf>
    <xf numFmtId="171" fontId="0" fillId="0" borderId="0" xfId="0" applyNumberFormat="1"/>
    <xf numFmtId="167" fontId="25" fillId="0" borderId="0" xfId="0" applyNumberFormat="1" applyFont="1"/>
    <xf numFmtId="0" fontId="23" fillId="0" borderId="0" xfId="0" applyFont="1" applyFill="1" applyBorder="1" applyAlignment="1">
      <alignment wrapText="1"/>
    </xf>
    <xf numFmtId="171" fontId="25" fillId="0" borderId="0" xfId="0" applyNumberFormat="1" applyFont="1"/>
    <xf numFmtId="0" fontId="25" fillId="0" borderId="0" xfId="0" applyFont="1"/>
    <xf numFmtId="0" fontId="24" fillId="0" borderId="0" xfId="0" applyFont="1"/>
    <xf numFmtId="166" fontId="12" fillId="2" borderId="1" xfId="1" applyFont="1" applyFill="1" applyBorder="1" applyAlignment="1"/>
    <xf numFmtId="166" fontId="4" fillId="3" borderId="1" xfId="1" applyFont="1" applyFill="1" applyBorder="1" applyAlignment="1">
      <alignment vertical="center" wrapText="1"/>
    </xf>
    <xf numFmtId="166" fontId="4" fillId="0" borderId="1" xfId="1" applyFont="1" applyBorder="1" applyAlignment="1">
      <alignment vertical="center" wrapText="1"/>
    </xf>
    <xf numFmtId="167" fontId="4" fillId="3" borderId="1" xfId="1" applyNumberFormat="1" applyFont="1" applyFill="1" applyBorder="1" applyAlignment="1">
      <alignment vertical="center" wrapText="1"/>
    </xf>
    <xf numFmtId="167" fontId="4" fillId="2" borderId="1" xfId="1" applyNumberFormat="1" applyFont="1" applyFill="1" applyBorder="1" applyAlignment="1">
      <alignment vertical="center" wrapText="1"/>
    </xf>
    <xf numFmtId="167" fontId="12" fillId="2" borderId="1" xfId="1" applyNumberFormat="1" applyFont="1" applyFill="1" applyBorder="1" applyAlignment="1">
      <alignment vertical="center"/>
    </xf>
    <xf numFmtId="166" fontId="4" fillId="3" borderId="1" xfId="1" applyFont="1" applyFill="1" applyBorder="1" applyAlignment="1">
      <alignment horizontal="center" vertical="center"/>
    </xf>
    <xf numFmtId="166" fontId="4" fillId="0" borderId="1" xfId="1" applyFont="1" applyBorder="1" applyAlignment="1">
      <alignment horizontal="center" vertical="center"/>
    </xf>
    <xf numFmtId="177" fontId="6" fillId="5" borderId="1" xfId="1" applyNumberFormat="1" applyFont="1" applyFill="1" applyBorder="1" applyAlignment="1">
      <alignment horizontal="left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164" fontId="4" fillId="0" borderId="1" xfId="2" applyNumberFormat="1" applyFont="1" applyBorder="1" applyAlignment="1">
      <alignment horizontal="center" vertical="center" wrapText="1"/>
    </xf>
    <xf numFmtId="167" fontId="4" fillId="0" borderId="7" xfId="1" applyNumberFormat="1" applyFont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165" fontId="21" fillId="0" borderId="0" xfId="0" applyNumberFormat="1" applyFont="1"/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  <xf numFmtId="167" fontId="4" fillId="0" borderId="1" xfId="1" applyNumberFormat="1" applyFont="1" applyBorder="1" applyAlignment="1">
      <alignment vertical="center" wrapText="1"/>
    </xf>
    <xf numFmtId="4" fontId="17" fillId="4" borderId="1" xfId="0" applyNumberFormat="1" applyFont="1" applyFill="1" applyBorder="1" applyAlignment="1">
      <alignment horizontal="left"/>
    </xf>
    <xf numFmtId="166" fontId="6" fillId="0" borderId="1" xfId="0" applyNumberFormat="1" applyFont="1" applyFill="1" applyBorder="1" applyAlignment="1">
      <alignment wrapText="1"/>
    </xf>
    <xf numFmtId="43" fontId="24" fillId="0" borderId="5" xfId="0" applyNumberFormat="1" applyFont="1" applyBorder="1" applyAlignment="1">
      <alignment wrapText="1"/>
    </xf>
    <xf numFmtId="178" fontId="41" fillId="2" borderId="1" xfId="1" applyNumberFormat="1" applyFont="1" applyFill="1" applyBorder="1" applyAlignment="1" applyProtection="1">
      <alignment horizontal="right" vertical="center" wrapText="1"/>
    </xf>
    <xf numFmtId="178" fontId="17" fillId="2" borderId="1" xfId="1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/>
    <xf numFmtId="166" fontId="16" fillId="0" borderId="1" xfId="1" applyFont="1" applyFill="1" applyBorder="1"/>
    <xf numFmtId="43" fontId="23" fillId="0" borderId="0" xfId="0" applyNumberFormat="1" applyFont="1" applyFill="1" applyBorder="1" applyAlignment="1">
      <alignment wrapText="1"/>
    </xf>
    <xf numFmtId="166" fontId="17" fillId="4" borderId="1" xfId="1" applyFont="1" applyFill="1" applyBorder="1" applyAlignment="1">
      <alignment horizontal="left"/>
    </xf>
    <xf numFmtId="179" fontId="19" fillId="0" borderId="0" xfId="1" applyNumberFormat="1" applyFont="1"/>
    <xf numFmtId="179" fontId="24" fillId="0" borderId="0" xfId="1" applyNumberFormat="1" applyFont="1"/>
    <xf numFmtId="179" fontId="0" fillId="0" borderId="5" xfId="1" applyNumberFormat="1" applyFont="1" applyBorder="1" applyAlignment="1">
      <alignment wrapText="1"/>
    </xf>
    <xf numFmtId="179" fontId="6" fillId="0" borderId="1" xfId="1" applyNumberFormat="1" applyFont="1" applyFill="1" applyBorder="1" applyAlignment="1">
      <alignment wrapText="1"/>
    </xf>
    <xf numFmtId="179" fontId="12" fillId="2" borderId="1" xfId="1" applyNumberFormat="1" applyFont="1" applyFill="1" applyBorder="1" applyAlignment="1">
      <alignment vertical="center"/>
    </xf>
    <xf numFmtId="179" fontId="4" fillId="2" borderId="1" xfId="1" applyNumberFormat="1" applyFont="1" applyFill="1" applyBorder="1" applyAlignment="1">
      <alignment vertical="center" wrapText="1"/>
    </xf>
    <xf numFmtId="179" fontId="4" fillId="3" borderId="1" xfId="1" applyNumberFormat="1" applyFont="1" applyFill="1" applyBorder="1" applyAlignment="1">
      <alignment vertical="center" wrapText="1"/>
    </xf>
    <xf numFmtId="179" fontId="4" fillId="3" borderId="1" xfId="1" applyNumberFormat="1" applyFont="1" applyFill="1" applyBorder="1" applyAlignment="1">
      <alignment horizontal="center" vertical="center" wrapText="1"/>
    </xf>
    <xf numFmtId="179" fontId="6" fillId="2" borderId="1" xfId="1" applyNumberFormat="1" applyFont="1" applyFill="1" applyBorder="1" applyAlignment="1">
      <alignment horizontal="center" vertical="center" wrapText="1"/>
    </xf>
    <xf numFmtId="179" fontId="4" fillId="2" borderId="1" xfId="1" applyNumberFormat="1" applyFont="1" applyFill="1" applyBorder="1" applyAlignment="1">
      <alignment horizontal="center" vertical="center" wrapText="1"/>
    </xf>
    <xf numFmtId="179" fontId="4" fillId="2" borderId="1" xfId="1" applyNumberFormat="1" applyFont="1" applyFill="1" applyBorder="1" applyAlignment="1">
      <alignment horizontal="center" wrapText="1"/>
    </xf>
    <xf numFmtId="179" fontId="0" fillId="0" borderId="0" xfId="1" applyNumberFormat="1" applyFont="1"/>
    <xf numFmtId="167" fontId="19" fillId="0" borderId="0" xfId="1" applyNumberFormat="1" applyFont="1"/>
    <xf numFmtId="167" fontId="24" fillId="0" borderId="0" xfId="1" applyNumberFormat="1" applyFont="1"/>
    <xf numFmtId="167" fontId="0" fillId="0" borderId="5" xfId="1" applyNumberFormat="1" applyFont="1" applyBorder="1" applyAlignment="1">
      <alignment wrapText="1"/>
    </xf>
    <xf numFmtId="167" fontId="6" fillId="0" borderId="1" xfId="1" applyNumberFormat="1" applyFont="1" applyFill="1" applyBorder="1" applyAlignment="1">
      <alignment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0" fillId="0" borderId="0" xfId="1" applyNumberFormat="1" applyFont="1"/>
    <xf numFmtId="43" fontId="4" fillId="0" borderId="0" xfId="0" applyNumberFormat="1" applyFont="1" applyBorder="1" applyAlignment="1">
      <alignment wrapText="1"/>
    </xf>
    <xf numFmtId="0" fontId="42" fillId="4" borderId="1" xfId="0" applyFont="1" applyFill="1" applyBorder="1" applyAlignment="1">
      <alignment horizontal="left"/>
    </xf>
    <xf numFmtId="166" fontId="6" fillId="0" borderId="1" xfId="1" applyFont="1" applyBorder="1" applyAlignment="1">
      <alignment vertical="center" wrapText="1"/>
    </xf>
    <xf numFmtId="167" fontId="6" fillId="0" borderId="1" xfId="1" applyNumberFormat="1" applyFont="1" applyBorder="1" applyAlignment="1">
      <alignment vertical="center" wrapText="1"/>
    </xf>
    <xf numFmtId="167" fontId="4" fillId="0" borderId="1" xfId="1" applyNumberFormat="1" applyFont="1" applyBorder="1" applyAlignment="1">
      <alignment horizontal="center" wrapText="1"/>
    </xf>
    <xf numFmtId="167" fontId="6" fillId="0" borderId="1" xfId="1" applyNumberFormat="1" applyFont="1" applyBorder="1" applyAlignment="1">
      <alignment horizontal="center" vertical="center" wrapText="1"/>
    </xf>
    <xf numFmtId="179" fontId="6" fillId="0" borderId="1" xfId="1" applyNumberFormat="1" applyFont="1" applyBorder="1" applyAlignment="1">
      <alignment vertical="center" wrapText="1"/>
    </xf>
    <xf numFmtId="179" fontId="16" fillId="0" borderId="1" xfId="1" applyNumberFormat="1" applyFont="1" applyBorder="1"/>
    <xf numFmtId="43" fontId="0" fillId="0" borderId="0" xfId="0" applyNumberFormat="1"/>
    <xf numFmtId="179" fontId="4" fillId="0" borderId="1" xfId="1" applyNumberFormat="1" applyFont="1" applyBorder="1" applyAlignment="1">
      <alignment horizontal="center" wrapText="1"/>
    </xf>
    <xf numFmtId="179" fontId="4" fillId="0" borderId="1" xfId="1" applyNumberFormat="1" applyFont="1" applyBorder="1" applyAlignment="1">
      <alignment horizontal="center" vertical="center" wrapText="1"/>
    </xf>
    <xf numFmtId="167" fontId="4" fillId="0" borderId="6" xfId="1" applyNumberFormat="1" applyFont="1" applyBorder="1" applyAlignment="1">
      <alignment horizontal="center" wrapText="1"/>
    </xf>
    <xf numFmtId="179" fontId="4" fillId="2" borderId="6" xfId="1" applyNumberFormat="1" applyFont="1" applyFill="1" applyBorder="1" applyAlignment="1">
      <alignment horizontal="center" wrapText="1"/>
    </xf>
    <xf numFmtId="179" fontId="4" fillId="2" borderId="7" xfId="1" applyNumberFormat="1" applyFont="1" applyFill="1" applyBorder="1" applyAlignment="1">
      <alignment horizontal="center" wrapText="1"/>
    </xf>
    <xf numFmtId="166" fontId="0" fillId="37" borderId="0" xfId="1" applyFont="1" applyFill="1"/>
    <xf numFmtId="166" fontId="4" fillId="37" borderId="1" xfId="1" applyFont="1" applyFill="1" applyBorder="1" applyAlignment="1">
      <alignment horizontal="center" wrapText="1"/>
    </xf>
    <xf numFmtId="166" fontId="4" fillId="37" borderId="1" xfId="1" applyFont="1" applyFill="1" applyBorder="1" applyAlignment="1">
      <alignment horizontal="center" vertical="center" wrapText="1"/>
    </xf>
    <xf numFmtId="166" fontId="6" fillId="37" borderId="1" xfId="1" applyFont="1" applyFill="1" applyBorder="1" applyAlignment="1">
      <alignment horizontal="center" vertical="center" wrapText="1"/>
    </xf>
    <xf numFmtId="166" fontId="6" fillId="37" borderId="1" xfId="1" applyFont="1" applyFill="1" applyBorder="1" applyAlignment="1">
      <alignment vertical="center" wrapText="1"/>
    </xf>
    <xf numFmtId="166" fontId="6" fillId="37" borderId="1" xfId="1" applyFont="1" applyFill="1" applyBorder="1" applyAlignment="1">
      <alignment wrapText="1"/>
    </xf>
    <xf numFmtId="166" fontId="0" fillId="37" borderId="5" xfId="1" applyFont="1" applyFill="1" applyBorder="1" applyAlignment="1">
      <alignment wrapText="1"/>
    </xf>
    <xf numFmtId="166" fontId="24" fillId="37" borderId="0" xfId="1" applyFont="1" applyFill="1"/>
    <xf numFmtId="166" fontId="19" fillId="37" borderId="0" xfId="1" applyFont="1" applyFill="1"/>
    <xf numFmtId="166" fontId="24" fillId="0" borderId="0" xfId="1" applyFont="1"/>
    <xf numFmtId="166" fontId="19" fillId="0" borderId="0" xfId="1" applyFont="1"/>
    <xf numFmtId="164" fontId="16" fillId="0" borderId="1" xfId="51" applyNumberFormat="1" applyBorder="1"/>
    <xf numFmtId="4" fontId="4" fillId="37" borderId="1" xfId="0" applyNumberFormat="1" applyFont="1" applyFill="1" applyBorder="1" applyAlignment="1">
      <alignment horizontal="center" vertical="center" wrapText="1"/>
    </xf>
    <xf numFmtId="0" fontId="0" fillId="37" borderId="1" xfId="0" applyFill="1" applyBorder="1"/>
    <xf numFmtId="0" fontId="17" fillId="37" borderId="1" xfId="0" applyFont="1" applyFill="1" applyBorder="1" applyAlignment="1">
      <alignment horizontal="left"/>
    </xf>
    <xf numFmtId="166" fontId="4" fillId="37" borderId="1" xfId="1" applyFont="1" applyFill="1" applyBorder="1" applyAlignment="1">
      <alignment vertical="center" wrapText="1"/>
    </xf>
    <xf numFmtId="167" fontId="4" fillId="37" borderId="1" xfId="1" applyNumberFormat="1" applyFont="1" applyFill="1" applyBorder="1" applyAlignment="1">
      <alignment vertical="center" wrapText="1"/>
    </xf>
    <xf numFmtId="178" fontId="17" fillId="37" borderId="1" xfId="1" applyNumberFormat="1" applyFont="1" applyFill="1" applyBorder="1" applyAlignment="1" applyProtection="1">
      <alignment horizontal="right" vertical="center" wrapText="1"/>
    </xf>
    <xf numFmtId="178" fontId="41" fillId="37" borderId="1" xfId="1" applyNumberFormat="1" applyFont="1" applyFill="1" applyBorder="1" applyAlignment="1" applyProtection="1">
      <alignment horizontal="right" vertical="center" wrapText="1"/>
    </xf>
    <xf numFmtId="179" fontId="4" fillId="37" borderId="1" xfId="1" applyNumberFormat="1" applyFont="1" applyFill="1" applyBorder="1" applyAlignment="1">
      <alignment vertical="center" wrapText="1"/>
    </xf>
    <xf numFmtId="164" fontId="16" fillId="37" borderId="1" xfId="51" applyNumberFormat="1" applyFill="1" applyBorder="1"/>
    <xf numFmtId="167" fontId="4" fillId="37" borderId="1" xfId="1" applyNumberFormat="1" applyFont="1" applyFill="1" applyBorder="1" applyAlignment="1">
      <alignment horizontal="center" vertical="center" wrapText="1"/>
    </xf>
    <xf numFmtId="175" fontId="4" fillId="37" borderId="1" xfId="0" applyNumberFormat="1" applyFont="1" applyFill="1" applyBorder="1" applyAlignment="1">
      <alignment horizontal="center" vertical="center" wrapText="1"/>
    </xf>
    <xf numFmtId="167" fontId="4" fillId="37" borderId="1" xfId="1" applyNumberFormat="1" applyFont="1" applyFill="1" applyBorder="1" applyAlignment="1">
      <alignment horizontal="center" vertical="center"/>
    </xf>
    <xf numFmtId="167" fontId="4" fillId="37" borderId="2" xfId="1" applyNumberFormat="1" applyFont="1" applyFill="1" applyBorder="1" applyAlignment="1">
      <alignment horizontal="center" vertical="center" wrapText="1"/>
    </xf>
    <xf numFmtId="0" fontId="0" fillId="37" borderId="0" xfId="0" applyFill="1"/>
    <xf numFmtId="0" fontId="29" fillId="38" borderId="0" xfId="54"/>
    <xf numFmtId="0" fontId="29" fillId="38" borderId="5" xfId="54" applyBorder="1" applyAlignment="1">
      <alignment wrapText="1"/>
    </xf>
    <xf numFmtId="0" fontId="44" fillId="38" borderId="1" xfId="54" applyFont="1" applyBorder="1" applyAlignment="1">
      <alignment horizontal="center" wrapText="1"/>
    </xf>
    <xf numFmtId="165" fontId="44" fillId="38" borderId="1" xfId="54" applyNumberFormat="1" applyFont="1" applyBorder="1" applyAlignment="1">
      <alignment horizontal="center" vertical="center" wrapText="1"/>
    </xf>
    <xf numFmtId="4" fontId="44" fillId="38" borderId="1" xfId="54" applyNumberFormat="1" applyFont="1" applyBorder="1" applyAlignment="1">
      <alignment horizontal="center" vertical="center" wrapText="1"/>
    </xf>
    <xf numFmtId="166" fontId="44" fillId="38" borderId="1" xfId="54" applyNumberFormat="1" applyFont="1" applyBorder="1" applyAlignment="1">
      <alignment vertical="center" wrapText="1"/>
    </xf>
    <xf numFmtId="166" fontId="6" fillId="2" borderId="1" xfId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/>
    <xf numFmtId="167" fontId="17" fillId="4" borderId="1" xfId="1" applyNumberFormat="1" applyFont="1" applyFill="1" applyBorder="1" applyAlignment="1">
      <alignment horizontal="left"/>
    </xf>
    <xf numFmtId="167" fontId="4" fillId="0" borderId="0" xfId="1" applyNumberFormat="1" applyFont="1" applyBorder="1" applyAlignment="1">
      <alignment wrapText="1"/>
    </xf>
    <xf numFmtId="167" fontId="23" fillId="0" borderId="0" xfId="1" applyNumberFormat="1" applyFont="1" applyFill="1" applyBorder="1" applyAlignment="1">
      <alignment wrapText="1"/>
    </xf>
    <xf numFmtId="166" fontId="0" fillId="2" borderId="0" xfId="1" applyFont="1" applyFill="1"/>
    <xf numFmtId="166" fontId="4" fillId="2" borderId="1" xfId="1" applyFont="1" applyFill="1" applyBorder="1" applyAlignment="1">
      <alignment horizontal="center" wrapText="1"/>
    </xf>
    <xf numFmtId="166" fontId="4" fillId="2" borderId="1" xfId="1" applyFont="1" applyFill="1" applyBorder="1" applyAlignment="1">
      <alignment horizontal="center" vertical="center" wrapText="1"/>
    </xf>
    <xf numFmtId="166" fontId="6" fillId="2" borderId="1" xfId="1" applyFont="1" applyFill="1" applyBorder="1" applyAlignment="1">
      <alignment vertical="center" wrapText="1"/>
    </xf>
    <xf numFmtId="166" fontId="6" fillId="2" borderId="1" xfId="1" applyFont="1" applyFill="1" applyBorder="1" applyAlignment="1">
      <alignment wrapText="1"/>
    </xf>
    <xf numFmtId="166" fontId="0" fillId="2" borderId="5" xfId="1" applyFont="1" applyFill="1" applyBorder="1" applyAlignment="1">
      <alignment wrapText="1"/>
    </xf>
    <xf numFmtId="166" fontId="24" fillId="2" borderId="0" xfId="1" applyFont="1" applyFill="1"/>
    <xf numFmtId="166" fontId="19" fillId="2" borderId="0" xfId="1" applyFont="1" applyFill="1"/>
    <xf numFmtId="0" fontId="3" fillId="39" borderId="0" xfId="0" applyFont="1" applyFill="1"/>
    <xf numFmtId="0" fontId="2" fillId="39" borderId="0" xfId="0" applyFont="1" applyFill="1"/>
    <xf numFmtId="166" fontId="4" fillId="2" borderId="2" xfId="1" applyFont="1" applyFill="1" applyBorder="1" applyAlignment="1">
      <alignment horizontal="center" vertical="center" wrapText="1"/>
    </xf>
    <xf numFmtId="0" fontId="3" fillId="39" borderId="1" xfId="0" applyFont="1" applyFill="1" applyBorder="1"/>
    <xf numFmtId="165" fontId="21" fillId="0" borderId="1" xfId="0" applyNumberFormat="1" applyFont="1" applyBorder="1"/>
    <xf numFmtId="166" fontId="21" fillId="0" borderId="1" xfId="1" applyFont="1" applyBorder="1"/>
    <xf numFmtId="166" fontId="2" fillId="39" borderId="1" xfId="1" applyFont="1" applyFill="1" applyBorder="1"/>
    <xf numFmtId="166" fontId="0" fillId="0" borderId="1" xfId="1" applyFont="1" applyBorder="1"/>
    <xf numFmtId="166" fontId="3" fillId="39" borderId="1" xfId="1" applyFont="1" applyFill="1" applyBorder="1"/>
    <xf numFmtId="168" fontId="0" fillId="0" borderId="1" xfId="0" applyNumberFormat="1" applyBorder="1"/>
    <xf numFmtId="168" fontId="3" fillId="39" borderId="1" xfId="0" applyNumberFormat="1" applyFont="1" applyFill="1" applyBorder="1"/>
    <xf numFmtId="43" fontId="3" fillId="39" borderId="1" xfId="0" applyNumberFormat="1" applyFont="1" applyFill="1" applyBorder="1"/>
    <xf numFmtId="179" fontId="6" fillId="0" borderId="1" xfId="1" applyNumberFormat="1" applyFont="1" applyBorder="1" applyAlignment="1">
      <alignment horizontal="center" vertical="center" wrapText="1"/>
    </xf>
    <xf numFmtId="0" fontId="45" fillId="38" borderId="0" xfId="54" applyFont="1"/>
    <xf numFmtId="0" fontId="46" fillId="38" borderId="1" xfId="54" applyFont="1" applyBorder="1" applyAlignment="1">
      <alignment horizontal="center" wrapText="1"/>
    </xf>
    <xf numFmtId="165" fontId="46" fillId="38" borderId="1" xfId="54" applyNumberFormat="1" applyFont="1" applyBorder="1" applyAlignment="1">
      <alignment horizontal="center" vertical="center" wrapText="1"/>
    </xf>
    <xf numFmtId="4" fontId="46" fillId="38" borderId="1" xfId="54" applyNumberFormat="1" applyFont="1" applyBorder="1" applyAlignment="1">
      <alignment horizontal="center" vertical="center" wrapText="1"/>
    </xf>
    <xf numFmtId="166" fontId="46" fillId="38" borderId="1" xfId="54" applyNumberFormat="1" applyFont="1" applyBorder="1" applyAlignment="1">
      <alignment vertical="center" wrapText="1"/>
    </xf>
    <xf numFmtId="0" fontId="45" fillId="38" borderId="5" xfId="54" applyFont="1" applyBorder="1" applyAlignment="1">
      <alignment wrapText="1"/>
    </xf>
    <xf numFmtId="167" fontId="47" fillId="0" borderId="1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9" fontId="11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/>
    <xf numFmtId="179" fontId="4" fillId="0" borderId="0" xfId="1" applyNumberFormat="1" applyFont="1" applyFill="1"/>
    <xf numFmtId="0" fontId="6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9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179" fontId="4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167" fontId="4" fillId="0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/>
    <xf numFmtId="179" fontId="4" fillId="0" borderId="1" xfId="1" applyNumberFormat="1" applyFont="1" applyFill="1" applyBorder="1" applyAlignment="1"/>
    <xf numFmtId="0" fontId="6" fillId="0" borderId="1" xfId="0" applyFont="1" applyFill="1" applyBorder="1" applyAlignment="1"/>
    <xf numFmtId="167" fontId="6" fillId="0" borderId="1" xfId="1" applyNumberFormat="1" applyFont="1" applyFill="1" applyBorder="1" applyAlignment="1">
      <alignment vertic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6" fillId="0" borderId="1" xfId="1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/>
    <xf numFmtId="168" fontId="48" fillId="0" borderId="1" xfId="0" applyNumberFormat="1" applyFont="1" applyFill="1" applyBorder="1"/>
    <xf numFmtId="0" fontId="14" fillId="0" borderId="1" xfId="0" applyFont="1" applyFill="1" applyBorder="1" applyAlignment="1">
      <alignment wrapText="1"/>
    </xf>
    <xf numFmtId="169" fontId="13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/>
    <xf numFmtId="0" fontId="1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/>
    </xf>
    <xf numFmtId="173" fontId="2" fillId="0" borderId="1" xfId="1" applyNumberFormat="1" applyFont="1" applyFill="1" applyBorder="1" applyAlignment="1">
      <alignment horizontal="center" vertical="center"/>
    </xf>
    <xf numFmtId="167" fontId="49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vertical="center"/>
    </xf>
    <xf numFmtId="170" fontId="3" fillId="0" borderId="1" xfId="1" applyNumberFormat="1" applyFont="1" applyFill="1" applyBorder="1" applyAlignment="1">
      <alignment horizontal="center" vertical="center"/>
    </xf>
    <xf numFmtId="168" fontId="4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12" fillId="0" borderId="2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7" fontId="4" fillId="0" borderId="2" xfId="1" applyNumberFormat="1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179" fontId="4" fillId="0" borderId="0" xfId="1" applyNumberFormat="1" applyFont="1" applyFill="1" applyBorder="1"/>
    <xf numFmtId="0" fontId="6" fillId="0" borderId="0" xfId="0" applyFont="1" applyFill="1" applyBorder="1"/>
    <xf numFmtId="0" fontId="6" fillId="0" borderId="4" xfId="0" applyFont="1" applyFill="1" applyBorder="1"/>
    <xf numFmtId="167" fontId="9" fillId="0" borderId="2" xfId="1" applyNumberFormat="1" applyFont="1" applyFill="1" applyBorder="1"/>
    <xf numFmtId="3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179" fontId="6" fillId="0" borderId="0" xfId="1" applyNumberFormat="1" applyFont="1" applyFill="1" applyBorder="1"/>
    <xf numFmtId="0" fontId="48" fillId="0" borderId="0" xfId="0" applyFont="1" applyFill="1"/>
    <xf numFmtId="167" fontId="9" fillId="0" borderId="1" xfId="1" applyNumberFormat="1" applyFont="1" applyFill="1" applyBorder="1"/>
    <xf numFmtId="0" fontId="4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71" fontId="4" fillId="0" borderId="0" xfId="0" applyNumberFormat="1" applyFont="1" applyFill="1"/>
    <xf numFmtId="167" fontId="6" fillId="0" borderId="0" xfId="0" applyNumberFormat="1" applyFont="1" applyFill="1"/>
    <xf numFmtId="167" fontId="6" fillId="0" borderId="0" xfId="1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wrapText="1"/>
    </xf>
    <xf numFmtId="171" fontId="6" fillId="0" borderId="0" xfId="0" applyNumberFormat="1" applyFont="1" applyFill="1"/>
    <xf numFmtId="0" fontId="15" fillId="0" borderId="0" xfId="3" applyFont="1" applyFill="1"/>
    <xf numFmtId="167" fontId="2" fillId="0" borderId="0" xfId="0" applyNumberFormat="1" applyFont="1" applyFill="1"/>
    <xf numFmtId="172" fontId="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/>
    <xf numFmtId="0" fontId="12" fillId="0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166" fontId="6" fillId="0" borderId="1" xfId="1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0" fontId="17" fillId="0" borderId="1" xfId="0" applyFont="1" applyFill="1" applyBorder="1" applyAlignment="1">
      <alignment horizontal="left"/>
    </xf>
    <xf numFmtId="167" fontId="4" fillId="0" borderId="1" xfId="1" applyNumberFormat="1" applyFont="1" applyFill="1" applyBorder="1" applyAlignment="1">
      <alignment horizontal="left" vertical="center" wrapText="1"/>
    </xf>
    <xf numFmtId="179" fontId="6" fillId="0" borderId="0" xfId="1" applyNumberFormat="1" applyFont="1" applyFill="1"/>
    <xf numFmtId="0" fontId="20" fillId="0" borderId="0" xfId="0" applyFont="1" applyFill="1"/>
    <xf numFmtId="0" fontId="19" fillId="0" borderId="0" xfId="0" applyFont="1" applyFill="1"/>
    <xf numFmtId="167" fontId="4" fillId="0" borderId="1" xfId="1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79" fontId="4" fillId="0" borderId="1" xfId="1" applyNumberFormat="1" applyFont="1" applyBorder="1" applyAlignment="1">
      <alignment horizontal="center" wrapText="1"/>
    </xf>
    <xf numFmtId="179" fontId="4" fillId="0" borderId="6" xfId="1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7" fontId="4" fillId="0" borderId="1" xfId="1" applyNumberFormat="1" applyFont="1" applyBorder="1" applyAlignment="1">
      <alignment horizontal="center" wrapText="1"/>
    </xf>
    <xf numFmtId="167" fontId="4" fillId="0" borderId="6" xfId="1" applyNumberFormat="1" applyFont="1" applyBorder="1" applyAlignment="1">
      <alignment horizontal="center" wrapText="1"/>
    </xf>
    <xf numFmtId="166" fontId="4" fillId="2" borderId="1" xfId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166" fontId="3" fillId="39" borderId="1" xfId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79" fontId="4" fillId="2" borderId="6" xfId="1" applyNumberFormat="1" applyFont="1" applyFill="1" applyBorder="1" applyAlignment="1">
      <alignment horizontal="center" wrapText="1"/>
    </xf>
    <xf numFmtId="179" fontId="4" fillId="2" borderId="7" xfId="1" applyNumberFormat="1" applyFont="1" applyFill="1" applyBorder="1" applyAlignment="1">
      <alignment horizontal="center" wrapText="1"/>
    </xf>
    <xf numFmtId="166" fontId="4" fillId="37" borderId="1" xfId="1" applyFont="1" applyFill="1" applyBorder="1" applyAlignment="1">
      <alignment horizontal="center" wrapText="1"/>
    </xf>
    <xf numFmtId="166" fontId="4" fillId="37" borderId="6" xfId="1" applyFont="1" applyFill="1" applyBorder="1" applyAlignment="1">
      <alignment horizontal="center" wrapText="1"/>
    </xf>
    <xf numFmtId="167" fontId="4" fillId="0" borderId="6" xfId="1" applyNumberFormat="1" applyFont="1" applyBorder="1" applyAlignment="1">
      <alignment horizontal="center" vertical="center" wrapText="1"/>
    </xf>
    <xf numFmtId="167" fontId="4" fillId="0" borderId="7" xfId="1" applyNumberFormat="1" applyFont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0" fontId="29" fillId="38" borderId="1" xfId="54" applyBorder="1" applyAlignment="1">
      <alignment horizontal="center" wrapText="1"/>
    </xf>
    <xf numFmtId="0" fontId="29" fillId="38" borderId="6" xfId="54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5" fillId="38" borderId="1" xfId="54" applyFont="1" applyBorder="1" applyAlignment="1">
      <alignment horizontal="center" wrapText="1"/>
    </xf>
    <xf numFmtId="0" fontId="45" fillId="38" borderId="6" xfId="54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9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7" fontId="4" fillId="0" borderId="1" xfId="1" applyNumberFormat="1" applyFont="1" applyFill="1" applyBorder="1" applyAlignment="1">
      <alignment vertical="center" wrapText="1"/>
    </xf>
    <xf numFmtId="9" fontId="11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164" fontId="12" fillId="0" borderId="18" xfId="2" applyNumberFormat="1" applyFont="1" applyFill="1" applyBorder="1" applyAlignment="1">
      <alignment horizontal="center" vertical="center" wrapText="1"/>
    </xf>
    <xf numFmtId="164" fontId="12" fillId="0" borderId="19" xfId="2" applyNumberFormat="1" applyFont="1" applyFill="1" applyBorder="1" applyAlignment="1">
      <alignment horizontal="center" vertical="center" wrapText="1"/>
    </xf>
    <xf numFmtId="164" fontId="12" fillId="0" borderId="20" xfId="2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55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2"/>
    <cellStyle name="Normal 2" xfId="7"/>
    <cellStyle name="Normal 3" xfId="6"/>
    <cellStyle name="Note" xfId="46"/>
    <cellStyle name="Output" xfId="47"/>
    <cellStyle name="Title" xfId="48"/>
    <cellStyle name="Total" xfId="49"/>
    <cellStyle name="Warning Text" xfId="50"/>
    <cellStyle name="Обычный" xfId="0" builtinId="0"/>
    <cellStyle name="Обычный 2" xfId="5"/>
    <cellStyle name="Обычный 2 2" xfId="51"/>
    <cellStyle name="Обычный 3" xfId="3"/>
    <cellStyle name="Обычный 4" xfId="52"/>
    <cellStyle name="Обычный 5" xfId="53"/>
    <cellStyle name="Обычный 8" xfId="4"/>
    <cellStyle name="Финансовый" xfId="1" builtinId="3"/>
    <cellStyle name="Финансовый 2" xfId="8"/>
    <cellStyle name="Финансовый 3" xfId="9"/>
    <cellStyle name="Хороший" xfId="54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AE67"/>
  <sheetViews>
    <sheetView zoomScale="77" zoomScaleNormal="77" zoomScaleSheetLayoutView="80" workbookViewId="0">
      <pane xSplit="2" ySplit="12" topLeftCell="C41" activePane="bottomRight" state="frozen"/>
      <selection activeCell="H46" activeCellId="1" sqref="H33 H46"/>
      <selection pane="topRight" activeCell="H46" activeCellId="1" sqref="H33 H46"/>
      <selection pane="bottomLeft" activeCell="H46" activeCellId="1" sqref="H33 H46"/>
      <selection pane="bottomRight" activeCell="H46" activeCellId="1" sqref="H33 H46"/>
    </sheetView>
  </sheetViews>
  <sheetFormatPr defaultRowHeight="18.75"/>
  <cols>
    <col min="1" max="1" width="5.7109375" customWidth="1"/>
    <col min="2" max="2" width="52" customWidth="1"/>
    <col min="3" max="3" width="22" style="122" customWidth="1"/>
    <col min="4" max="4" width="19.42578125" hidden="1" customWidth="1"/>
    <col min="5" max="5" width="30.7109375" hidden="1" customWidth="1"/>
    <col min="6" max="6" width="19.42578125" customWidth="1"/>
    <col min="7" max="7" width="34.5703125" hidden="1" customWidth="1"/>
    <col min="8" max="8" width="16.28515625" customWidth="1"/>
    <col min="9" max="9" width="21.7109375" hidden="1" customWidth="1"/>
    <col min="10" max="10" width="18.140625" customWidth="1"/>
    <col min="11" max="11" width="16.7109375" style="116" hidden="1" customWidth="1"/>
    <col min="12" max="12" width="18.140625" style="116" customWidth="1"/>
    <col min="13" max="13" width="18.140625" customWidth="1"/>
    <col min="14" max="14" width="22.140625" style="116" customWidth="1"/>
    <col min="15" max="15" width="22.140625" customWidth="1"/>
    <col min="16" max="17" width="20.140625" style="122" hidden="1" customWidth="1"/>
    <col min="18" max="18" width="22.140625" style="174" customWidth="1"/>
    <col min="19" max="19" width="26" hidden="1" customWidth="1"/>
    <col min="20" max="20" width="32.28515625" hidden="1" customWidth="1"/>
    <col min="21" max="21" width="19.7109375" hidden="1" customWidth="1"/>
    <col min="22" max="22" width="20.28515625" hidden="1" customWidth="1"/>
    <col min="23" max="24" width="24.28515625" hidden="1" customWidth="1"/>
    <col min="25" max="25" width="19.140625" hidden="1" customWidth="1"/>
    <col min="26" max="26" width="17.7109375" hidden="1" customWidth="1"/>
    <col min="27" max="27" width="60.140625" hidden="1" customWidth="1"/>
    <col min="28" max="28" width="15.42578125" hidden="1" customWidth="1"/>
    <col min="29" max="29" width="29.85546875" hidden="1" customWidth="1"/>
    <col min="30" max="30" width="29.85546875" style="182" customWidth="1"/>
    <col min="31" max="31" width="16.5703125" style="60" customWidth="1"/>
  </cols>
  <sheetData>
    <row r="1" spans="1:31" ht="46.5" customHeight="1">
      <c r="T1" t="s">
        <v>112</v>
      </c>
    </row>
    <row r="2" spans="1:31" hidden="1"/>
    <row r="3" spans="1:31" ht="99.75" customHeight="1">
      <c r="B3" s="328" t="s">
        <v>111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</row>
    <row r="5" spans="1:31" ht="32.25" customHeight="1">
      <c r="A5" s="329"/>
      <c r="B5" s="330" t="s">
        <v>101</v>
      </c>
      <c r="C5" s="323" t="s">
        <v>135</v>
      </c>
      <c r="D5" s="332" t="s">
        <v>125</v>
      </c>
      <c r="E5" s="332" t="s">
        <v>126</v>
      </c>
      <c r="F5" s="332" t="s">
        <v>126</v>
      </c>
      <c r="G5" s="332" t="s">
        <v>127</v>
      </c>
      <c r="H5" s="332" t="s">
        <v>127</v>
      </c>
      <c r="I5" s="332" t="s">
        <v>130</v>
      </c>
      <c r="J5" s="332" t="s">
        <v>129</v>
      </c>
      <c r="K5" s="333" t="s">
        <v>133</v>
      </c>
      <c r="L5" s="333" t="s">
        <v>134</v>
      </c>
      <c r="M5" s="332" t="s">
        <v>143</v>
      </c>
      <c r="N5" s="318" t="s">
        <v>144</v>
      </c>
      <c r="O5" s="320" t="s">
        <v>146</v>
      </c>
      <c r="P5" s="323" t="s">
        <v>131</v>
      </c>
      <c r="Q5" s="127"/>
      <c r="R5" s="325" t="s">
        <v>142</v>
      </c>
      <c r="S5" s="326" t="s">
        <v>116</v>
      </c>
      <c r="T5" s="317" t="s">
        <v>79</v>
      </c>
      <c r="U5" s="317" t="s">
        <v>80</v>
      </c>
      <c r="V5" s="317" t="s">
        <v>81</v>
      </c>
      <c r="W5" s="317"/>
      <c r="X5" s="317"/>
      <c r="Y5" s="317" t="s">
        <v>82</v>
      </c>
      <c r="Z5" s="317" t="s">
        <v>102</v>
      </c>
      <c r="AA5" s="317" t="s">
        <v>103</v>
      </c>
      <c r="AB5" s="35"/>
      <c r="AC5" s="35"/>
      <c r="AD5" s="327" t="s">
        <v>132</v>
      </c>
    </row>
    <row r="6" spans="1:31" ht="30.75" customHeight="1">
      <c r="A6" s="329"/>
      <c r="B6" s="330"/>
      <c r="C6" s="323"/>
      <c r="D6" s="332"/>
      <c r="E6" s="332"/>
      <c r="F6" s="332"/>
      <c r="G6" s="332"/>
      <c r="H6" s="332"/>
      <c r="I6" s="332"/>
      <c r="J6" s="332"/>
      <c r="K6" s="334"/>
      <c r="L6" s="334"/>
      <c r="M6" s="332"/>
      <c r="N6" s="318"/>
      <c r="O6" s="321"/>
      <c r="P6" s="323"/>
      <c r="Q6" s="127"/>
      <c r="R6" s="325"/>
      <c r="S6" s="326"/>
      <c r="T6" s="317"/>
      <c r="U6" s="317"/>
      <c r="V6" s="317"/>
      <c r="W6" s="317"/>
      <c r="X6" s="317"/>
      <c r="Y6" s="317"/>
      <c r="Z6" s="317"/>
      <c r="AA6" s="317"/>
      <c r="AB6" s="35"/>
      <c r="AC6" s="35"/>
      <c r="AD6" s="327"/>
    </row>
    <row r="7" spans="1:31" ht="76.5" customHeight="1">
      <c r="A7" s="329"/>
      <c r="B7" s="331"/>
      <c r="C7" s="324"/>
      <c r="D7" s="320"/>
      <c r="E7" s="320"/>
      <c r="F7" s="320"/>
      <c r="G7" s="320"/>
      <c r="H7" s="320"/>
      <c r="I7" s="320"/>
      <c r="J7" s="320"/>
      <c r="K7" s="334"/>
      <c r="L7" s="334"/>
      <c r="M7" s="320"/>
      <c r="N7" s="319"/>
      <c r="O7" s="322"/>
      <c r="P7" s="324"/>
      <c r="Q7" s="134"/>
      <c r="R7" s="325"/>
      <c r="S7" s="326"/>
      <c r="T7" s="317"/>
      <c r="U7" s="317"/>
      <c r="V7" s="24" t="s">
        <v>3</v>
      </c>
      <c r="W7" s="93" t="s">
        <v>4</v>
      </c>
      <c r="X7" s="93" t="s">
        <v>5</v>
      </c>
      <c r="Y7" s="317"/>
      <c r="Z7" s="317"/>
      <c r="AA7" s="317"/>
      <c r="AB7" s="35"/>
      <c r="AC7" s="35"/>
      <c r="AD7" s="327"/>
      <c r="AE7" s="60" t="s">
        <v>145</v>
      </c>
    </row>
    <row r="8" spans="1:31" ht="29.25" customHeight="1">
      <c r="A8" s="83"/>
      <c r="B8" s="84">
        <v>1</v>
      </c>
      <c r="C8" s="127">
        <v>2</v>
      </c>
      <c r="D8" s="85">
        <v>3</v>
      </c>
      <c r="E8" s="85">
        <v>1.302</v>
      </c>
      <c r="F8" s="85">
        <v>4</v>
      </c>
      <c r="G8" s="85"/>
      <c r="H8" s="85">
        <v>5</v>
      </c>
      <c r="I8" s="85">
        <v>6</v>
      </c>
      <c r="J8" s="85">
        <v>6</v>
      </c>
      <c r="K8" s="115">
        <v>3</v>
      </c>
      <c r="L8" s="115"/>
      <c r="M8" s="85" t="s">
        <v>110</v>
      </c>
      <c r="N8" s="132"/>
      <c r="O8" s="85"/>
      <c r="P8" s="127"/>
      <c r="Q8" s="127"/>
      <c r="R8" s="175"/>
      <c r="S8" s="94">
        <v>5</v>
      </c>
      <c r="T8" s="94" t="s">
        <v>109</v>
      </c>
      <c r="U8" s="94">
        <v>8</v>
      </c>
      <c r="V8" s="94">
        <v>9</v>
      </c>
      <c r="W8" s="94">
        <v>10</v>
      </c>
      <c r="X8" s="94" t="s">
        <v>104</v>
      </c>
      <c r="Y8" s="94">
        <v>12</v>
      </c>
      <c r="Z8" s="94">
        <v>13</v>
      </c>
      <c r="AA8" s="94">
        <v>13</v>
      </c>
      <c r="AB8" s="35"/>
      <c r="AC8" s="35"/>
      <c r="AD8" s="185"/>
    </row>
    <row r="9" spans="1:31" ht="81" hidden="1" customHeight="1">
      <c r="A9" s="35">
        <v>1</v>
      </c>
      <c r="B9" s="2" t="s">
        <v>28</v>
      </c>
      <c r="C9" s="8">
        <v>29420</v>
      </c>
      <c r="D9" s="36"/>
      <c r="E9" s="36"/>
      <c r="F9" s="36"/>
      <c r="G9" s="36"/>
      <c r="H9" s="36"/>
      <c r="I9" s="36"/>
      <c r="J9" s="36"/>
      <c r="K9" s="114">
        <v>7210.9</v>
      </c>
      <c r="L9" s="114"/>
      <c r="M9" s="36">
        <v>29420</v>
      </c>
      <c r="N9" s="133"/>
      <c r="O9" s="36"/>
      <c r="P9" s="8"/>
      <c r="Q9" s="8"/>
      <c r="R9" s="176"/>
      <c r="S9" s="6">
        <v>100</v>
      </c>
      <c r="T9" s="7">
        <f>K9*M9*12*1.302/1000</f>
        <v>3314548.4490720001</v>
      </c>
      <c r="U9" s="7">
        <f>T9-Y9</f>
        <v>3304925.349072</v>
      </c>
      <c r="V9" s="7">
        <v>3413618.6867999998</v>
      </c>
      <c r="W9" s="7">
        <v>64735.519999999997</v>
      </c>
      <c r="X9" s="7">
        <f>V9+W9</f>
        <v>3478354.2067999998</v>
      </c>
      <c r="Y9" s="7">
        <v>9623.1</v>
      </c>
      <c r="Z9" s="7">
        <f>U9-X9</f>
        <v>-173428.8577279998</v>
      </c>
      <c r="AA9" s="37" t="s">
        <v>29</v>
      </c>
      <c r="AB9" s="35"/>
      <c r="AC9" s="35"/>
      <c r="AD9" s="185"/>
    </row>
    <row r="10" spans="1:31" ht="45" hidden="1" customHeight="1">
      <c r="A10" s="35">
        <v>2</v>
      </c>
      <c r="B10" s="2" t="s">
        <v>30</v>
      </c>
      <c r="C10" s="8">
        <v>34903.699999999997</v>
      </c>
      <c r="D10" s="36"/>
      <c r="E10" s="36"/>
      <c r="F10" s="36"/>
      <c r="G10" s="36"/>
      <c r="H10" s="36"/>
      <c r="I10" s="36"/>
      <c r="J10" s="36"/>
      <c r="K10" s="114">
        <f t="shared" ref="K10" si="0">K11+K12</f>
        <v>10565</v>
      </c>
      <c r="L10" s="114"/>
      <c r="M10" s="36">
        <v>34903.699999999997</v>
      </c>
      <c r="N10" s="133"/>
      <c r="O10" s="36"/>
      <c r="P10" s="8"/>
      <c r="Q10" s="8"/>
      <c r="R10" s="176"/>
      <c r="S10" s="6">
        <v>100</v>
      </c>
      <c r="T10" s="7">
        <f>K10*M10*12*1.302/1000</f>
        <v>5761468.5939719994</v>
      </c>
      <c r="U10" s="7">
        <f t="shared" ref="U10:U12" si="1">T10-Y10</f>
        <v>5731651.587572</v>
      </c>
      <c r="V10" s="6">
        <f t="shared" ref="V10:X10" si="2">V11+V12</f>
        <v>5508195.1956000002</v>
      </c>
      <c r="W10" s="6">
        <f t="shared" si="2"/>
        <v>145136.87</v>
      </c>
      <c r="X10" s="6">
        <f t="shared" si="2"/>
        <v>5653332.0655999994</v>
      </c>
      <c r="Y10" s="6">
        <v>29817.006399999489</v>
      </c>
      <c r="Z10" s="7">
        <f>U10-X10</f>
        <v>78319.521972000599</v>
      </c>
      <c r="AA10" s="316" t="s">
        <v>31</v>
      </c>
      <c r="AB10" s="35"/>
      <c r="AC10" s="35"/>
      <c r="AD10" s="185"/>
    </row>
    <row r="11" spans="1:31" ht="36.75" hidden="1" customHeight="1">
      <c r="A11" s="35"/>
      <c r="B11" s="2" t="s">
        <v>32</v>
      </c>
      <c r="C11" s="8">
        <v>34903.699999999997</v>
      </c>
      <c r="D11" s="36"/>
      <c r="E11" s="36"/>
      <c r="F11" s="36"/>
      <c r="G11" s="36"/>
      <c r="H11" s="36"/>
      <c r="I11" s="36"/>
      <c r="J11" s="36"/>
      <c r="K11" s="114">
        <v>773</v>
      </c>
      <c r="L11" s="114"/>
      <c r="M11" s="36">
        <v>34903.699999999997</v>
      </c>
      <c r="N11" s="133"/>
      <c r="O11" s="36"/>
      <c r="P11" s="8"/>
      <c r="Q11" s="8"/>
      <c r="R11" s="176"/>
      <c r="S11" s="6">
        <v>100</v>
      </c>
      <c r="T11" s="7">
        <f>K11*M11*12*1.302/1000</f>
        <v>421544.27100239997</v>
      </c>
      <c r="U11" s="7">
        <f t="shared" si="1"/>
        <v>421377.97100240004</v>
      </c>
      <c r="V11" s="7">
        <f>417219.1-5489.6</f>
        <v>411729.5</v>
      </c>
      <c r="W11" s="7">
        <v>5489.6</v>
      </c>
      <c r="X11" s="7">
        <f t="shared" ref="X11:X12" si="3">V11+W11</f>
        <v>417219.1</v>
      </c>
      <c r="Y11" s="7">
        <v>166.29999999993015</v>
      </c>
      <c r="Z11" s="38">
        <f t="shared" ref="Z11:Z12" si="4">U11-X11</f>
        <v>4158.8710024000611</v>
      </c>
      <c r="AA11" s="316"/>
      <c r="AB11" s="35"/>
      <c r="AC11" s="35"/>
      <c r="AD11" s="185"/>
    </row>
    <row r="12" spans="1:31" ht="57.75" hidden="1" customHeight="1">
      <c r="A12" s="35"/>
      <c r="B12" s="2" t="s">
        <v>33</v>
      </c>
      <c r="C12" s="8">
        <v>34903.699999999997</v>
      </c>
      <c r="D12" s="36"/>
      <c r="E12" s="36"/>
      <c r="F12" s="36"/>
      <c r="G12" s="36"/>
      <c r="H12" s="36"/>
      <c r="I12" s="36"/>
      <c r="J12" s="36"/>
      <c r="K12" s="114">
        <v>9792</v>
      </c>
      <c r="L12" s="114"/>
      <c r="M12" s="36">
        <v>34903.699999999997</v>
      </c>
      <c r="N12" s="133"/>
      <c r="O12" s="36"/>
      <c r="P12" s="8"/>
      <c r="Q12" s="8"/>
      <c r="R12" s="176"/>
      <c r="S12" s="6">
        <v>100</v>
      </c>
      <c r="T12" s="7">
        <f>K12*M12*12*1.302/1000</f>
        <v>5339924.3229695996</v>
      </c>
      <c r="U12" s="7">
        <f t="shared" si="1"/>
        <v>5310273.6165696001</v>
      </c>
      <c r="V12" s="7">
        <v>5096465.6956000002</v>
      </c>
      <c r="W12" s="7">
        <v>139647.26999999999</v>
      </c>
      <c r="X12" s="7">
        <f t="shared" si="3"/>
        <v>5236112.9655999998</v>
      </c>
      <c r="Y12" s="7">
        <v>29650.706399999559</v>
      </c>
      <c r="Z12" s="7">
        <f t="shared" si="4"/>
        <v>74160.650969600305</v>
      </c>
      <c r="AA12" s="316"/>
      <c r="AB12" s="35"/>
      <c r="AC12" s="35"/>
      <c r="AD12" s="185"/>
    </row>
    <row r="13" spans="1:31" s="43" customFormat="1" ht="29.25" customHeight="1">
      <c r="A13" s="39"/>
      <c r="B13" s="40" t="s">
        <v>123</v>
      </c>
      <c r="C13" s="128"/>
      <c r="D13" s="41"/>
      <c r="E13" s="41">
        <v>0.989985</v>
      </c>
      <c r="F13" s="41"/>
      <c r="G13" s="41">
        <v>0.95899999999999996</v>
      </c>
      <c r="H13" s="41"/>
      <c r="I13" s="41"/>
      <c r="J13" s="41"/>
      <c r="K13" s="113"/>
      <c r="L13" s="113">
        <v>1.0193358554014291</v>
      </c>
      <c r="M13" s="41"/>
      <c r="N13" s="116">
        <v>1</v>
      </c>
      <c r="O13" s="131"/>
      <c r="P13" s="128"/>
      <c r="Q13" s="128"/>
      <c r="R13" s="169"/>
      <c r="S13" s="81">
        <f>M13/35865.9</f>
        <v>0</v>
      </c>
      <c r="T13" s="42">
        <f>T17+T31</f>
        <v>3275551.3419795204</v>
      </c>
      <c r="U13" s="42">
        <f>U14+U17+U31</f>
        <v>3330236.0139683201</v>
      </c>
      <c r="V13" s="42">
        <f t="shared" ref="V13:X13" si="5">V14+V17+V31</f>
        <v>926564.98600000003</v>
      </c>
      <c r="W13" s="42">
        <f t="shared" si="5"/>
        <v>13858.02</v>
      </c>
      <c r="X13" s="42">
        <f t="shared" si="5"/>
        <v>940423.00599999994</v>
      </c>
      <c r="Y13" s="42">
        <f>Y14+Y17+Y31</f>
        <v>27297.755800000003</v>
      </c>
      <c r="Z13" s="42">
        <f>Z14+Z17+Z31</f>
        <v>2389813.00796832</v>
      </c>
      <c r="AA13" s="316" t="s">
        <v>35</v>
      </c>
      <c r="AB13" s="186">
        <f>M13</f>
        <v>0</v>
      </c>
      <c r="AC13" s="187">
        <v>35865.9</v>
      </c>
      <c r="AD13" s="188"/>
      <c r="AE13" s="44"/>
    </row>
    <row r="14" spans="1:31" ht="24.75" hidden="1" customHeight="1">
      <c r="A14" s="45" t="s">
        <v>36</v>
      </c>
      <c r="B14" s="46" t="s">
        <v>37</v>
      </c>
      <c r="C14" s="51">
        <v>34072.800000000003</v>
      </c>
      <c r="D14" s="21"/>
      <c r="E14" s="21"/>
      <c r="F14" s="21"/>
      <c r="G14" s="21"/>
      <c r="H14" s="21"/>
      <c r="I14" s="21"/>
      <c r="J14" s="21"/>
      <c r="K14" s="112">
        <f>K15+K16</f>
        <v>154</v>
      </c>
      <c r="L14" s="112"/>
      <c r="M14" s="21">
        <v>34072.800000000003</v>
      </c>
      <c r="N14" s="112"/>
      <c r="O14" s="21"/>
      <c r="P14" s="51"/>
      <c r="Q14" s="51"/>
      <c r="R14" s="176"/>
      <c r="S14" s="47">
        <v>95</v>
      </c>
      <c r="T14" s="48">
        <f>T15+T16</f>
        <v>81982.427788800007</v>
      </c>
      <c r="U14" s="48">
        <f t="shared" ref="U14:W14" si="6">U15+U16</f>
        <v>77932.427788800007</v>
      </c>
      <c r="V14" s="48">
        <f t="shared" si="6"/>
        <v>67707.299999999988</v>
      </c>
      <c r="W14" s="48">
        <f t="shared" si="6"/>
        <v>184.1</v>
      </c>
      <c r="X14" s="48">
        <f>X15+X16</f>
        <v>67891.399999999994</v>
      </c>
      <c r="Y14" s="48">
        <f>Y15+Y16</f>
        <v>4050</v>
      </c>
      <c r="Z14" s="48">
        <f>Z15+Z16</f>
        <v>10041.02778880002</v>
      </c>
      <c r="AA14" s="316"/>
      <c r="AB14" s="35"/>
      <c r="AC14" s="35"/>
      <c r="AD14" s="185"/>
    </row>
    <row r="15" spans="1:31" ht="22.5" hidden="1" customHeight="1">
      <c r="A15" s="35" t="s">
        <v>38</v>
      </c>
      <c r="B15" s="49" t="s">
        <v>39</v>
      </c>
      <c r="C15" s="8">
        <v>34072.800000000003</v>
      </c>
      <c r="D15" s="36"/>
      <c r="E15" s="36"/>
      <c r="F15" s="36"/>
      <c r="G15" s="36"/>
      <c r="H15" s="36"/>
      <c r="I15" s="36"/>
      <c r="J15" s="36"/>
      <c r="K15" s="114">
        <v>114</v>
      </c>
      <c r="L15" s="114"/>
      <c r="M15" s="36">
        <v>34072.800000000003</v>
      </c>
      <c r="N15" s="133"/>
      <c r="O15" s="36"/>
      <c r="P15" s="8"/>
      <c r="Q15" s="8"/>
      <c r="R15" s="176"/>
      <c r="S15" s="6">
        <v>95</v>
      </c>
      <c r="T15" s="7">
        <f>K15*M15*12*1.302/1000</f>
        <v>60688.290700800011</v>
      </c>
      <c r="U15" s="7">
        <f t="shared" ref="U15" si="7">T15-Y15</f>
        <v>57851.590700800014</v>
      </c>
      <c r="V15" s="7">
        <v>50986.7</v>
      </c>
      <c r="W15" s="7"/>
      <c r="X15" s="7">
        <f t="shared" ref="X15:X57" si="8">V15+W15</f>
        <v>50986.7</v>
      </c>
      <c r="Y15" s="7">
        <v>2836.7</v>
      </c>
      <c r="Z15" s="7">
        <f>U15-X15</f>
        <v>6864.8907008000169</v>
      </c>
      <c r="AA15" s="316"/>
      <c r="AB15" s="35"/>
      <c r="AC15" s="35"/>
      <c r="AD15" s="185"/>
    </row>
    <row r="16" spans="1:31" ht="22.5" hidden="1" customHeight="1">
      <c r="A16" s="35" t="s">
        <v>40</v>
      </c>
      <c r="B16" s="49" t="s">
        <v>41</v>
      </c>
      <c r="C16" s="8">
        <v>34072.800000000003</v>
      </c>
      <c r="D16" s="36"/>
      <c r="E16" s="36"/>
      <c r="F16" s="36"/>
      <c r="G16" s="36"/>
      <c r="H16" s="36"/>
      <c r="I16" s="36"/>
      <c r="J16" s="36"/>
      <c r="K16" s="114">
        <v>40</v>
      </c>
      <c r="L16" s="114"/>
      <c r="M16" s="36">
        <v>34072.800000000003</v>
      </c>
      <c r="N16" s="133"/>
      <c r="O16" s="36"/>
      <c r="P16" s="8"/>
      <c r="Q16" s="8"/>
      <c r="R16" s="176"/>
      <c r="S16" s="6">
        <v>95</v>
      </c>
      <c r="T16" s="7">
        <f>K16*M16*12*1.302/1000</f>
        <v>21294.137087999999</v>
      </c>
      <c r="U16" s="7">
        <f>T16-Y16</f>
        <v>20080.837088</v>
      </c>
      <c r="V16" s="7">
        <v>16720.599999999999</v>
      </c>
      <c r="W16" s="7">
        <v>184.1</v>
      </c>
      <c r="X16" s="7">
        <f t="shared" si="8"/>
        <v>16904.699999999997</v>
      </c>
      <c r="Y16" s="7">
        <v>1213.3</v>
      </c>
      <c r="Z16" s="7">
        <f t="shared" ref="Z16" si="9">U16-X16</f>
        <v>3176.1370880000031</v>
      </c>
      <c r="AA16" s="316"/>
      <c r="AB16" s="35"/>
      <c r="AC16" s="35"/>
      <c r="AD16" s="185"/>
    </row>
    <row r="17" spans="1:31" ht="45.75" hidden="1" customHeight="1">
      <c r="A17" s="45" t="s">
        <v>42</v>
      </c>
      <c r="B17" s="50" t="s">
        <v>33</v>
      </c>
      <c r="C17" s="51">
        <v>38109.4</v>
      </c>
      <c r="D17" s="51"/>
      <c r="E17" s="51"/>
      <c r="F17" s="51"/>
      <c r="G17" s="51"/>
      <c r="H17" s="51"/>
      <c r="I17" s="51"/>
      <c r="J17" s="51"/>
      <c r="K17" s="111">
        <f>SUM(K18:K30)</f>
        <v>233.40000000000003</v>
      </c>
      <c r="L17" s="111"/>
      <c r="M17" s="21">
        <f>T17/K17/12/1.302*1000</f>
        <v>29763.369665809769</v>
      </c>
      <c r="N17" s="112"/>
      <c r="O17" s="21"/>
      <c r="P17" s="51"/>
      <c r="Q17" s="51"/>
      <c r="R17" s="176"/>
      <c r="S17" s="57">
        <f>M17/35865.9*100</f>
        <v>82.985146520259548</v>
      </c>
      <c r="T17" s="79">
        <f>SUM(T18:T30)</f>
        <v>108536.34197952002</v>
      </c>
      <c r="U17" s="48">
        <f t="shared" ref="U17:Z17" si="10">SUM(U18:U30)</f>
        <v>108027.84197952002</v>
      </c>
      <c r="V17" s="48">
        <f t="shared" si="10"/>
        <v>181441.4852</v>
      </c>
      <c r="W17" s="48">
        <f t="shared" si="10"/>
        <v>5701.22</v>
      </c>
      <c r="X17" s="48">
        <f t="shared" si="10"/>
        <v>187142.7052</v>
      </c>
      <c r="Y17" s="48">
        <f t="shared" si="10"/>
        <v>508.5</v>
      </c>
      <c r="Z17" s="48">
        <f t="shared" si="10"/>
        <v>-79114.863220479994</v>
      </c>
      <c r="AA17" s="316"/>
      <c r="AB17" s="48"/>
      <c r="AC17" s="189">
        <f>AB13/AC13</f>
        <v>0</v>
      </c>
      <c r="AD17" s="190"/>
    </row>
    <row r="18" spans="1:31" ht="24.75" hidden="1" customHeight="1">
      <c r="A18" s="35"/>
      <c r="B18" s="2" t="s">
        <v>43</v>
      </c>
      <c r="C18" s="170">
        <f>C34</f>
        <v>7031.79</v>
      </c>
      <c r="D18" s="73"/>
      <c r="E18" s="73"/>
      <c r="F18" s="73"/>
      <c r="G18" s="73"/>
      <c r="H18" s="73"/>
      <c r="I18" s="73"/>
      <c r="J18" s="73"/>
      <c r="K18" s="110">
        <v>8</v>
      </c>
      <c r="L18" s="110"/>
      <c r="M18" s="5">
        <f t="shared" ref="M18:M30" si="11">ROUND(C18*S18/100,1)</f>
        <v>7031.8</v>
      </c>
      <c r="N18" s="133"/>
      <c r="O18" s="5"/>
      <c r="P18" s="8"/>
      <c r="Q18" s="8"/>
      <c r="R18" s="176"/>
      <c r="S18" s="36">
        <v>100</v>
      </c>
      <c r="T18" s="80">
        <f t="shared" ref="T18:T30" si="12">K18*M18*12*1.302/1000</f>
        <v>878.91874560000019</v>
      </c>
      <c r="U18" s="7">
        <f t="shared" ref="U18:U57" si="13">T18-Y18</f>
        <v>878.91874560000019</v>
      </c>
      <c r="V18" s="53">
        <v>6015.7128000000002</v>
      </c>
      <c r="W18" s="53">
        <v>343.8</v>
      </c>
      <c r="X18" s="7">
        <f t="shared" si="8"/>
        <v>6359.5128000000004</v>
      </c>
      <c r="Y18" s="53"/>
      <c r="Z18" s="7">
        <f t="shared" ref="Z18:Z57" si="14">U18-X18</f>
        <v>-5480.5940544000005</v>
      </c>
      <c r="AA18" s="316"/>
      <c r="AB18" s="35"/>
      <c r="AC18" s="35"/>
      <c r="AD18" s="185"/>
    </row>
    <row r="19" spans="1:31" ht="20.25" hidden="1" customHeight="1">
      <c r="A19" s="35"/>
      <c r="B19" s="54" t="s">
        <v>44</v>
      </c>
      <c r="C19" s="170">
        <f>C38</f>
        <v>5031.7259999999997</v>
      </c>
      <c r="D19" s="73"/>
      <c r="E19" s="73"/>
      <c r="F19" s="73"/>
      <c r="G19" s="73"/>
      <c r="H19" s="73"/>
      <c r="I19" s="73"/>
      <c r="J19" s="73"/>
      <c r="K19" s="109">
        <v>7</v>
      </c>
      <c r="L19" s="109"/>
      <c r="M19" s="5">
        <f t="shared" si="11"/>
        <v>5031.7</v>
      </c>
      <c r="N19" s="133"/>
      <c r="O19" s="5"/>
      <c r="P19" s="8"/>
      <c r="Q19" s="8"/>
      <c r="R19" s="176"/>
      <c r="S19" s="36">
        <v>100</v>
      </c>
      <c r="T19" s="80">
        <f t="shared" si="12"/>
        <v>550.30696560000013</v>
      </c>
      <c r="U19" s="7">
        <f t="shared" si="13"/>
        <v>550.30696560000013</v>
      </c>
      <c r="V19" s="53">
        <v>4045.4708000000001</v>
      </c>
      <c r="W19" s="53">
        <v>227.62</v>
      </c>
      <c r="X19" s="7">
        <f t="shared" si="8"/>
        <v>4273.0907999999999</v>
      </c>
      <c r="Y19" s="53"/>
      <c r="Z19" s="7">
        <f t="shared" si="14"/>
        <v>-3722.7838343999997</v>
      </c>
      <c r="AA19" s="316"/>
      <c r="AB19" s="35"/>
      <c r="AC19" s="35"/>
      <c r="AD19" s="185"/>
    </row>
    <row r="20" spans="1:31" ht="20.25" hidden="1" customHeight="1">
      <c r="A20" s="35"/>
      <c r="B20" s="54" t="s">
        <v>45</v>
      </c>
      <c r="C20" s="170">
        <f>C39</f>
        <v>7424.34</v>
      </c>
      <c r="D20" s="73"/>
      <c r="E20" s="73"/>
      <c r="F20" s="73"/>
      <c r="G20" s="73"/>
      <c r="H20" s="73"/>
      <c r="I20" s="73"/>
      <c r="J20" s="73"/>
      <c r="K20" s="109">
        <v>7.4</v>
      </c>
      <c r="L20" s="109"/>
      <c r="M20" s="5">
        <f t="shared" si="11"/>
        <v>7424.3</v>
      </c>
      <c r="N20" s="133"/>
      <c r="O20" s="5"/>
      <c r="P20" s="8"/>
      <c r="Q20" s="8"/>
      <c r="R20" s="176"/>
      <c r="S20" s="36">
        <v>100</v>
      </c>
      <c r="T20" s="80">
        <f t="shared" si="12"/>
        <v>858.37974768000015</v>
      </c>
      <c r="U20" s="7">
        <f t="shared" si="13"/>
        <v>858.37974768000015</v>
      </c>
      <c r="V20" s="53">
        <v>6523.4463999999998</v>
      </c>
      <c r="W20" s="53">
        <v>253.2</v>
      </c>
      <c r="X20" s="7">
        <f t="shared" si="8"/>
        <v>6776.6463999999996</v>
      </c>
      <c r="Y20" s="53"/>
      <c r="Z20" s="7">
        <f t="shared" si="14"/>
        <v>-5918.2666523199996</v>
      </c>
      <c r="AA20" s="316"/>
      <c r="AB20" s="35"/>
      <c r="AC20" s="35"/>
      <c r="AD20" s="185"/>
    </row>
    <row r="21" spans="1:31" ht="20.25" hidden="1" customHeight="1">
      <c r="A21" s="35"/>
      <c r="B21" s="54" t="s">
        <v>46</v>
      </c>
      <c r="C21" s="170">
        <f>C40</f>
        <v>8558.34</v>
      </c>
      <c r="D21" s="73"/>
      <c r="E21" s="73"/>
      <c r="F21" s="73"/>
      <c r="G21" s="73"/>
      <c r="H21" s="73"/>
      <c r="I21" s="73"/>
      <c r="J21" s="73"/>
      <c r="K21" s="109">
        <v>9</v>
      </c>
      <c r="L21" s="109"/>
      <c r="M21" s="5">
        <f t="shared" si="11"/>
        <v>8558.2999999999993</v>
      </c>
      <c r="N21" s="133"/>
      <c r="O21" s="5"/>
      <c r="P21" s="8"/>
      <c r="Q21" s="8"/>
      <c r="R21" s="176"/>
      <c r="S21" s="36">
        <v>100</v>
      </c>
      <c r="T21" s="80">
        <f t="shared" si="12"/>
        <v>1203.4339127999999</v>
      </c>
      <c r="U21" s="7">
        <f t="shared" si="13"/>
        <v>1203.4339127999999</v>
      </c>
      <c r="V21" s="53">
        <v>6350.0464000000002</v>
      </c>
      <c r="W21" s="53">
        <v>0</v>
      </c>
      <c r="X21" s="7">
        <f t="shared" si="8"/>
        <v>6350.0464000000002</v>
      </c>
      <c r="Y21" s="53"/>
      <c r="Z21" s="7">
        <f t="shared" si="14"/>
        <v>-5146.6124872</v>
      </c>
      <c r="AA21" s="316"/>
      <c r="AB21" s="35"/>
      <c r="AC21" s="35"/>
      <c r="AD21" s="185"/>
    </row>
    <row r="22" spans="1:31" ht="20.25" hidden="1" customHeight="1">
      <c r="A22" s="35"/>
      <c r="B22" s="54" t="s">
        <v>47</v>
      </c>
      <c r="C22" s="170">
        <f>C41</f>
        <v>5849.3940000000002</v>
      </c>
      <c r="D22" s="73"/>
      <c r="E22" s="73"/>
      <c r="F22" s="73"/>
      <c r="G22" s="73"/>
      <c r="H22" s="73"/>
      <c r="I22" s="73"/>
      <c r="J22" s="73"/>
      <c r="K22" s="109">
        <v>8</v>
      </c>
      <c r="L22" s="109"/>
      <c r="M22" s="5">
        <f t="shared" si="11"/>
        <v>5849.4</v>
      </c>
      <c r="N22" s="133"/>
      <c r="O22" s="5"/>
      <c r="P22" s="8"/>
      <c r="Q22" s="8"/>
      <c r="R22" s="176"/>
      <c r="S22" s="36">
        <v>100</v>
      </c>
      <c r="T22" s="80">
        <f t="shared" si="12"/>
        <v>731.12820479999993</v>
      </c>
      <c r="U22" s="7">
        <f>T22-Y22</f>
        <v>731.12820479999993</v>
      </c>
      <c r="V22" s="53">
        <v>5849.3940000000002</v>
      </c>
      <c r="W22" s="53">
        <v>386</v>
      </c>
      <c r="X22" s="7">
        <f t="shared" si="8"/>
        <v>6235.3940000000002</v>
      </c>
      <c r="Y22" s="53"/>
      <c r="Z22" s="7">
        <f t="shared" si="14"/>
        <v>-5504.2657952</v>
      </c>
      <c r="AA22" s="316"/>
      <c r="AB22" s="35"/>
      <c r="AC22" s="35"/>
      <c r="AD22" s="185"/>
    </row>
    <row r="23" spans="1:31" ht="20.25" hidden="1" customHeight="1">
      <c r="A23" s="35"/>
      <c r="B23" s="54" t="s">
        <v>48</v>
      </c>
      <c r="C23" s="170">
        <f>C42</f>
        <v>4261.04</v>
      </c>
      <c r="D23" s="73"/>
      <c r="E23" s="73"/>
      <c r="F23" s="73"/>
      <c r="G23" s="73"/>
      <c r="H23" s="73"/>
      <c r="I23" s="73"/>
      <c r="J23" s="73"/>
      <c r="K23" s="109">
        <v>6</v>
      </c>
      <c r="L23" s="109"/>
      <c r="M23" s="5">
        <f t="shared" si="11"/>
        <v>4032.2</v>
      </c>
      <c r="N23" s="133"/>
      <c r="O23" s="5"/>
      <c r="P23" s="8"/>
      <c r="Q23" s="8"/>
      <c r="R23" s="176"/>
      <c r="S23" s="5">
        <v>94.63</v>
      </c>
      <c r="T23" s="80">
        <f t="shared" si="12"/>
        <v>377.99455679999994</v>
      </c>
      <c r="U23" s="7">
        <f t="shared" si="13"/>
        <v>377.99455679999994</v>
      </c>
      <c r="V23" s="53">
        <v>4048.6</v>
      </c>
      <c r="W23" s="53">
        <v>0</v>
      </c>
      <c r="X23" s="7">
        <f t="shared" si="8"/>
        <v>4048.6</v>
      </c>
      <c r="Y23" s="53"/>
      <c r="Z23" s="7">
        <f t="shared" si="14"/>
        <v>-3670.6054432000001</v>
      </c>
      <c r="AA23" s="316"/>
      <c r="AB23" s="35"/>
      <c r="AC23" s="35"/>
      <c r="AD23" s="185"/>
    </row>
    <row r="24" spans="1:31" ht="21" hidden="1" customHeight="1">
      <c r="A24" s="35"/>
      <c r="B24" s="54" t="s">
        <v>49</v>
      </c>
      <c r="C24" s="170">
        <f>C44</f>
        <v>19799.259999999998</v>
      </c>
      <c r="D24" s="73"/>
      <c r="E24" s="73"/>
      <c r="F24" s="73"/>
      <c r="G24" s="73"/>
      <c r="H24" s="73"/>
      <c r="I24" s="73"/>
      <c r="J24" s="73"/>
      <c r="K24" s="110">
        <v>25.2</v>
      </c>
      <c r="L24" s="110"/>
      <c r="M24" s="5">
        <f t="shared" si="11"/>
        <v>19799.3</v>
      </c>
      <c r="N24" s="133"/>
      <c r="O24" s="5"/>
      <c r="P24" s="8"/>
      <c r="Q24" s="8"/>
      <c r="R24" s="176"/>
      <c r="S24" s="36">
        <v>100</v>
      </c>
      <c r="T24" s="80">
        <f t="shared" si="12"/>
        <v>7795.4754326400007</v>
      </c>
      <c r="U24" s="7">
        <f t="shared" si="13"/>
        <v>7537.1754326400005</v>
      </c>
      <c r="V24" s="53">
        <v>18144.170600000001</v>
      </c>
      <c r="W24" s="53">
        <v>0</v>
      </c>
      <c r="X24" s="7">
        <f t="shared" si="8"/>
        <v>18144.170600000001</v>
      </c>
      <c r="Y24" s="53">
        <v>258.3</v>
      </c>
      <c r="Z24" s="7">
        <f t="shared" si="14"/>
        <v>-10606.995167360001</v>
      </c>
      <c r="AA24" s="316"/>
      <c r="AB24" s="35"/>
      <c r="AC24" s="35"/>
      <c r="AD24" s="185"/>
    </row>
    <row r="25" spans="1:31" ht="21" hidden="1" customHeight="1">
      <c r="A25" s="35"/>
      <c r="B25" s="54" t="s">
        <v>50</v>
      </c>
      <c r="C25" s="170">
        <f>C46</f>
        <v>49207.408000000003</v>
      </c>
      <c r="D25" s="73"/>
      <c r="E25" s="73"/>
      <c r="F25" s="73"/>
      <c r="G25" s="73"/>
      <c r="H25" s="73"/>
      <c r="I25" s="73"/>
      <c r="J25" s="73"/>
      <c r="K25" s="109">
        <v>75.7</v>
      </c>
      <c r="L25" s="109"/>
      <c r="M25" s="5">
        <f t="shared" si="11"/>
        <v>49207.4</v>
      </c>
      <c r="N25" s="133"/>
      <c r="O25" s="5"/>
      <c r="P25" s="8"/>
      <c r="Q25" s="8"/>
      <c r="R25" s="176"/>
      <c r="S25" s="36">
        <v>100</v>
      </c>
      <c r="T25" s="80">
        <f t="shared" si="12"/>
        <v>58199.402812320011</v>
      </c>
      <c r="U25" s="7">
        <f t="shared" si="13"/>
        <v>58199.402812320011</v>
      </c>
      <c r="V25" s="53">
        <v>46025.100599999998</v>
      </c>
      <c r="W25" s="53">
        <v>3139.4</v>
      </c>
      <c r="X25" s="7">
        <f t="shared" si="8"/>
        <v>49164.500599999999</v>
      </c>
      <c r="Y25" s="53"/>
      <c r="Z25" s="7">
        <f t="shared" si="14"/>
        <v>9034.902212320012</v>
      </c>
      <c r="AA25" s="316"/>
      <c r="AB25" s="35"/>
      <c r="AC25" s="35"/>
      <c r="AD25" s="185"/>
    </row>
    <row r="26" spans="1:31" ht="21" hidden="1" customHeight="1">
      <c r="A26" s="35"/>
      <c r="B26" s="54" t="s">
        <v>51</v>
      </c>
      <c r="C26" s="170">
        <f>C47</f>
        <v>7537.11</v>
      </c>
      <c r="D26" s="73"/>
      <c r="E26" s="73"/>
      <c r="F26" s="73"/>
      <c r="G26" s="73"/>
      <c r="H26" s="73"/>
      <c r="I26" s="73"/>
      <c r="J26" s="73"/>
      <c r="K26" s="109">
        <v>2.4</v>
      </c>
      <c r="L26" s="109"/>
      <c r="M26" s="5">
        <f t="shared" si="11"/>
        <v>7537.1</v>
      </c>
      <c r="N26" s="133"/>
      <c r="O26" s="5"/>
      <c r="P26" s="8"/>
      <c r="Q26" s="8"/>
      <c r="R26" s="176"/>
      <c r="S26" s="36">
        <v>100</v>
      </c>
      <c r="T26" s="80">
        <f t="shared" si="12"/>
        <v>282.62316096000001</v>
      </c>
      <c r="U26" s="7">
        <f t="shared" si="13"/>
        <v>282.62316096000001</v>
      </c>
      <c r="V26" s="53">
        <v>5320.0103999999992</v>
      </c>
      <c r="W26" s="53">
        <v>63.9</v>
      </c>
      <c r="X26" s="7">
        <f t="shared" si="8"/>
        <v>5383.9103999999988</v>
      </c>
      <c r="Y26" s="53"/>
      <c r="Z26" s="7">
        <f t="shared" si="14"/>
        <v>-5101.2872390399989</v>
      </c>
      <c r="AA26" s="316"/>
      <c r="AB26" s="35"/>
      <c r="AC26" s="35"/>
      <c r="AD26" s="185"/>
    </row>
    <row r="27" spans="1:31" ht="21" hidden="1" customHeight="1">
      <c r="A27" s="35"/>
      <c r="B27" s="54" t="s">
        <v>52</v>
      </c>
      <c r="C27" s="170">
        <f>C48</f>
        <v>52652.972000000002</v>
      </c>
      <c r="D27" s="73"/>
      <c r="E27" s="73"/>
      <c r="F27" s="73"/>
      <c r="G27" s="73"/>
      <c r="H27" s="73"/>
      <c r="I27" s="73"/>
      <c r="J27" s="73"/>
      <c r="K27" s="109">
        <v>33.9</v>
      </c>
      <c r="L27" s="109"/>
      <c r="M27" s="5">
        <f t="shared" si="11"/>
        <v>52653</v>
      </c>
      <c r="N27" s="133"/>
      <c r="O27" s="5"/>
      <c r="P27" s="8"/>
      <c r="Q27" s="8"/>
      <c r="R27" s="176"/>
      <c r="S27" s="36">
        <v>100</v>
      </c>
      <c r="T27" s="80">
        <f t="shared" si="12"/>
        <v>27887.851000799998</v>
      </c>
      <c r="U27" s="7">
        <f t="shared" si="13"/>
        <v>27887.851000799998</v>
      </c>
      <c r="V27" s="53">
        <v>44328.68499999999</v>
      </c>
      <c r="W27" s="53">
        <v>987.7</v>
      </c>
      <c r="X27" s="7">
        <f t="shared" si="8"/>
        <v>45316.384999999987</v>
      </c>
      <c r="Y27" s="53"/>
      <c r="Z27" s="7">
        <f t="shared" si="14"/>
        <v>-17428.53399919999</v>
      </c>
      <c r="AA27" s="316"/>
      <c r="AB27" s="35"/>
      <c r="AC27" s="35"/>
      <c r="AD27" s="185"/>
    </row>
    <row r="28" spans="1:31" ht="21" hidden="1" customHeight="1">
      <c r="A28" s="35"/>
      <c r="B28" s="54" t="s">
        <v>53</v>
      </c>
      <c r="C28" s="170">
        <f>C49</f>
        <v>18331.488000000001</v>
      </c>
      <c r="D28" s="73"/>
      <c r="E28" s="73"/>
      <c r="F28" s="73"/>
      <c r="G28" s="73"/>
      <c r="H28" s="73"/>
      <c r="I28" s="73"/>
      <c r="J28" s="73"/>
      <c r="K28" s="109">
        <v>13</v>
      </c>
      <c r="L28" s="109"/>
      <c r="M28" s="5">
        <f t="shared" si="11"/>
        <v>18331.5</v>
      </c>
      <c r="N28" s="133"/>
      <c r="O28" s="5"/>
      <c r="P28" s="8"/>
      <c r="Q28" s="8"/>
      <c r="R28" s="176"/>
      <c r="S28" s="36">
        <v>100</v>
      </c>
      <c r="T28" s="80">
        <f t="shared" si="12"/>
        <v>3723.347628</v>
      </c>
      <c r="U28" s="7">
        <f t="shared" si="13"/>
        <v>3723.347628</v>
      </c>
      <c r="V28" s="53">
        <v>16744.248200000002</v>
      </c>
      <c r="W28" s="53">
        <v>299.60000000000002</v>
      </c>
      <c r="X28" s="7">
        <f t="shared" si="8"/>
        <v>17043.8482</v>
      </c>
      <c r="Y28" s="53"/>
      <c r="Z28" s="7">
        <f t="shared" si="14"/>
        <v>-13320.500572000001</v>
      </c>
      <c r="AA28" s="316"/>
      <c r="AB28" s="35"/>
      <c r="AC28" s="35"/>
      <c r="AD28" s="185"/>
    </row>
    <row r="29" spans="1:31" ht="21" hidden="1" customHeight="1">
      <c r="A29" s="35"/>
      <c r="B29" s="54" t="s">
        <v>54</v>
      </c>
      <c r="C29" s="170">
        <f>C50</f>
        <v>3754.3530000000001</v>
      </c>
      <c r="D29" s="73"/>
      <c r="E29" s="73"/>
      <c r="F29" s="73"/>
      <c r="G29" s="73"/>
      <c r="H29" s="73"/>
      <c r="I29" s="73"/>
      <c r="J29" s="73"/>
      <c r="K29" s="109">
        <v>7.8</v>
      </c>
      <c r="L29" s="109"/>
      <c r="M29" s="5">
        <f t="shared" si="11"/>
        <v>3566.6</v>
      </c>
      <c r="N29" s="133"/>
      <c r="O29" s="5"/>
      <c r="P29" s="8"/>
      <c r="Q29" s="8"/>
      <c r="R29" s="176"/>
      <c r="S29" s="5">
        <v>95</v>
      </c>
      <c r="T29" s="80">
        <f t="shared" si="12"/>
        <v>434.65155552000004</v>
      </c>
      <c r="U29" s="7">
        <f t="shared" si="13"/>
        <v>434.65155552000004</v>
      </c>
      <c r="V29" s="53">
        <v>3915.1</v>
      </c>
      <c r="W29" s="53"/>
      <c r="X29" s="7">
        <f t="shared" si="8"/>
        <v>3915.1</v>
      </c>
      <c r="Y29" s="53"/>
      <c r="Z29" s="7">
        <f t="shared" si="14"/>
        <v>-3480.44844448</v>
      </c>
      <c r="AA29" s="316"/>
      <c r="AB29" s="35"/>
      <c r="AC29" s="35"/>
      <c r="AD29" s="185"/>
    </row>
    <row r="30" spans="1:31" ht="21" hidden="1" customHeight="1">
      <c r="A30" s="35"/>
      <c r="B30" s="54" t="s">
        <v>55</v>
      </c>
      <c r="C30" s="170">
        <f>C55</f>
        <v>12605.084999999999</v>
      </c>
      <c r="D30" s="73"/>
      <c r="E30" s="73"/>
      <c r="F30" s="73"/>
      <c r="G30" s="73"/>
      <c r="H30" s="73"/>
      <c r="I30" s="73"/>
      <c r="J30" s="73"/>
      <c r="K30" s="110">
        <v>30</v>
      </c>
      <c r="L30" s="110"/>
      <c r="M30" s="5">
        <f t="shared" si="11"/>
        <v>11974.8</v>
      </c>
      <c r="N30" s="133"/>
      <c r="O30" s="5"/>
      <c r="P30" s="8"/>
      <c r="Q30" s="8"/>
      <c r="R30" s="176"/>
      <c r="S30" s="5">
        <v>95</v>
      </c>
      <c r="T30" s="80">
        <f t="shared" si="12"/>
        <v>5612.8282559999998</v>
      </c>
      <c r="U30" s="7">
        <f t="shared" si="13"/>
        <v>5362.628256</v>
      </c>
      <c r="V30" s="53">
        <v>14131.5</v>
      </c>
      <c r="W30" s="53"/>
      <c r="X30" s="7">
        <f t="shared" si="8"/>
        <v>14131.5</v>
      </c>
      <c r="Y30" s="53">
        <v>250.2</v>
      </c>
      <c r="Z30" s="7">
        <f t="shared" si="14"/>
        <v>-8768.871744</v>
      </c>
      <c r="AA30" s="316"/>
      <c r="AB30" s="35"/>
      <c r="AC30" s="191"/>
      <c r="AD30" s="192"/>
    </row>
    <row r="31" spans="1:31" ht="32.25" hidden="1">
      <c r="A31" s="45" t="s">
        <v>106</v>
      </c>
      <c r="B31" s="56" t="s">
        <v>74</v>
      </c>
      <c r="C31" s="76">
        <v>33466.6</v>
      </c>
      <c r="D31" s="74"/>
      <c r="E31" s="74"/>
      <c r="F31" s="74"/>
      <c r="G31" s="74"/>
      <c r="H31" s="74"/>
      <c r="I31" s="74"/>
      <c r="J31" s="74"/>
      <c r="K31" s="111">
        <f>SUM(K32:K57)</f>
        <v>9516</v>
      </c>
      <c r="L31" s="111"/>
      <c r="M31" s="21">
        <f>T31/K31/12/1.302*1000</f>
        <v>21301.169916320636</v>
      </c>
      <c r="N31" s="112"/>
      <c r="O31" s="21"/>
      <c r="P31" s="51"/>
      <c r="Q31" s="51"/>
      <c r="R31" s="176"/>
      <c r="S31" s="82">
        <f>M31/35865.9*100</f>
        <v>59.391148462245845</v>
      </c>
      <c r="T31" s="58">
        <f>SUM(T32:T57)</f>
        <v>3167015.0000000005</v>
      </c>
      <c r="U31" s="21">
        <f t="shared" ref="U31:Z31" si="15">SUM(U32:U57)</f>
        <v>3144275.7442000001</v>
      </c>
      <c r="V31" s="21">
        <f t="shared" si="15"/>
        <v>677416.20079999999</v>
      </c>
      <c r="W31" s="21">
        <f t="shared" si="15"/>
        <v>7972.6999999999989</v>
      </c>
      <c r="X31" s="21">
        <f t="shared" si="15"/>
        <v>685388.90079999994</v>
      </c>
      <c r="Y31" s="21">
        <f t="shared" si="15"/>
        <v>22739.255800000003</v>
      </c>
      <c r="Z31" s="21">
        <f t="shared" si="15"/>
        <v>2458886.8434000001</v>
      </c>
      <c r="AA31" s="316"/>
      <c r="AB31" s="21"/>
      <c r="AC31" s="189"/>
      <c r="AD31" s="190"/>
    </row>
    <row r="32" spans="1:31" ht="18.75" customHeight="1">
      <c r="A32" s="35"/>
      <c r="B32" s="22" t="s">
        <v>57</v>
      </c>
      <c r="C32" s="95">
        <v>0</v>
      </c>
      <c r="D32" s="75"/>
      <c r="E32" s="90">
        <v>1839400</v>
      </c>
      <c r="F32" s="95">
        <v>0</v>
      </c>
      <c r="G32" s="90">
        <v>0</v>
      </c>
      <c r="H32" s="95"/>
      <c r="I32" s="99">
        <v>4293780</v>
      </c>
      <c r="J32" s="99">
        <v>0</v>
      </c>
      <c r="K32" s="110">
        <v>479</v>
      </c>
      <c r="L32" s="148">
        <v>0</v>
      </c>
      <c r="M32" s="5"/>
      <c r="N32" s="133">
        <f>ROUND(M32*$N$13,0)</f>
        <v>0</v>
      </c>
      <c r="O32" s="5">
        <f>N32*L32*12*1.302/1000</f>
        <v>0</v>
      </c>
      <c r="P32" s="8">
        <v>33238</v>
      </c>
      <c r="Q32" s="8">
        <f>N32-P32</f>
        <v>-33238</v>
      </c>
      <c r="R32" s="176">
        <f>C32-F32+H32+J32</f>
        <v>0</v>
      </c>
      <c r="S32" s="33">
        <v>98.103650000000002</v>
      </c>
      <c r="T32" s="7">
        <f>ROUND(K32*M32*12*1.302/1000,1)</f>
        <v>0</v>
      </c>
      <c r="U32" s="7">
        <f t="shared" si="13"/>
        <v>-1047.9000000000001</v>
      </c>
      <c r="V32" s="7">
        <v>28757.8</v>
      </c>
      <c r="W32" s="7">
        <v>232.8</v>
      </c>
      <c r="X32" s="7">
        <f t="shared" si="8"/>
        <v>28990.6</v>
      </c>
      <c r="Y32" s="7">
        <v>1047.9000000000001</v>
      </c>
      <c r="Z32" s="7">
        <f>U32-X32</f>
        <v>-30038.5</v>
      </c>
      <c r="AA32" s="8"/>
      <c r="AB32" s="35"/>
      <c r="AC32" s="35"/>
      <c r="AD32" s="193">
        <f>R32-O32</f>
        <v>0</v>
      </c>
      <c r="AE32" s="60">
        <v>34524.61</v>
      </c>
    </row>
    <row r="33" spans="1:31" ht="18.75" customHeight="1">
      <c r="A33" s="35"/>
      <c r="B33" s="22" t="s">
        <v>58</v>
      </c>
      <c r="C33" s="95">
        <v>0</v>
      </c>
      <c r="D33" s="75"/>
      <c r="E33" s="90">
        <v>123200</v>
      </c>
      <c r="F33" s="95">
        <v>0</v>
      </c>
      <c r="G33" s="90">
        <v>0</v>
      </c>
      <c r="H33" s="95"/>
      <c r="I33" s="99">
        <v>3016700</v>
      </c>
      <c r="J33" s="99">
        <v>0</v>
      </c>
      <c r="K33" s="110">
        <v>260</v>
      </c>
      <c r="L33" s="148">
        <v>0</v>
      </c>
      <c r="M33" s="5"/>
      <c r="N33" s="133">
        <f t="shared" ref="N33" si="16">ROUND(M33*$N$13,0)</f>
        <v>0</v>
      </c>
      <c r="O33" s="5">
        <f t="shared" ref="O33:O57" si="17">N33*L33*12*1.302/1000</f>
        <v>0</v>
      </c>
      <c r="P33" s="8">
        <v>33060</v>
      </c>
      <c r="Q33" s="8">
        <f t="shared" ref="Q33:Q57" si="18">N33-P33</f>
        <v>-33060</v>
      </c>
      <c r="R33" s="176">
        <f t="shared" ref="R33:R57" si="19">C33-F33+H33+J33</f>
        <v>0</v>
      </c>
      <c r="S33" s="33">
        <v>98.103650000000002</v>
      </c>
      <c r="T33" s="7">
        <f t="shared" ref="T33:T57" si="20">ROUND(K33*M33*12*1.302/1000,1)</f>
        <v>0</v>
      </c>
      <c r="U33" s="7">
        <f t="shared" si="13"/>
        <v>-31.8</v>
      </c>
      <c r="V33" s="7">
        <v>12046</v>
      </c>
      <c r="W33" s="7">
        <v>875.5</v>
      </c>
      <c r="X33" s="7">
        <f t="shared" si="8"/>
        <v>12921.5</v>
      </c>
      <c r="Y33" s="7">
        <v>31.8</v>
      </c>
      <c r="Z33" s="7">
        <f t="shared" si="14"/>
        <v>-12953.3</v>
      </c>
      <c r="AA33" s="8"/>
      <c r="AB33" s="35"/>
      <c r="AC33" s="35"/>
      <c r="AD33" s="193">
        <f t="shared" ref="AD33:AD58" si="21">R33-O33</f>
        <v>0</v>
      </c>
      <c r="AE33" s="60">
        <v>35196</v>
      </c>
    </row>
    <row r="34" spans="1:31" ht="18.75" customHeight="1">
      <c r="A34" s="35"/>
      <c r="B34" s="22" t="s">
        <v>59</v>
      </c>
      <c r="C34" s="95">
        <v>7031.79</v>
      </c>
      <c r="D34" s="75"/>
      <c r="E34" s="90">
        <v>221400</v>
      </c>
      <c r="F34" s="95">
        <v>500.74919999999997</v>
      </c>
      <c r="G34" s="90">
        <v>0</v>
      </c>
      <c r="H34" s="95"/>
      <c r="I34" s="99">
        <v>2425460</v>
      </c>
      <c r="J34" s="99">
        <v>357.55200000000002</v>
      </c>
      <c r="K34" s="110">
        <v>168</v>
      </c>
      <c r="L34" s="148">
        <v>8.3000000000000007</v>
      </c>
      <c r="M34" s="5">
        <f>ROUND(((C34-F34+H34-D34)/1.302+J34)/12/L34*1000,0)</f>
        <v>53953</v>
      </c>
      <c r="N34" s="133">
        <f>'Расчет ЗП ОО на 2018 год '!Q35</f>
        <v>35996</v>
      </c>
      <c r="O34" s="5">
        <f>N34*L34*12*1.302/1000</f>
        <v>4667.9324832000002</v>
      </c>
      <c r="P34" s="8">
        <v>34412</v>
      </c>
      <c r="Q34" s="8">
        <f t="shared" si="18"/>
        <v>1584</v>
      </c>
      <c r="R34" s="176">
        <f t="shared" si="19"/>
        <v>6888.5927999999994</v>
      </c>
      <c r="S34" s="33">
        <v>98.103650000000002</v>
      </c>
      <c r="T34" s="7">
        <f t="shared" si="20"/>
        <v>141617.60000000001</v>
      </c>
      <c r="U34" s="7">
        <f t="shared" si="13"/>
        <v>141588.80000000002</v>
      </c>
      <c r="V34" s="7">
        <v>5040.6000000000004</v>
      </c>
      <c r="W34" s="7">
        <v>508.2</v>
      </c>
      <c r="X34" s="7">
        <f t="shared" si="8"/>
        <v>5548.8</v>
      </c>
      <c r="Y34" s="7">
        <v>28.8</v>
      </c>
      <c r="Z34" s="7">
        <f t="shared" si="14"/>
        <v>136040.00000000003</v>
      </c>
      <c r="AA34" s="8"/>
      <c r="AB34" s="35"/>
      <c r="AC34" s="35"/>
      <c r="AD34" s="193">
        <f t="shared" si="21"/>
        <v>2220.6603167999992</v>
      </c>
      <c r="AE34" s="60">
        <v>35457.620000000003</v>
      </c>
    </row>
    <row r="35" spans="1:31" ht="18.75" customHeight="1">
      <c r="A35" s="35"/>
      <c r="B35" s="22" t="s">
        <v>60</v>
      </c>
      <c r="C35" s="95">
        <v>0</v>
      </c>
      <c r="D35" s="75"/>
      <c r="E35" s="90">
        <v>128199.99999999999</v>
      </c>
      <c r="F35" s="95">
        <v>0</v>
      </c>
      <c r="G35" s="90">
        <v>0</v>
      </c>
      <c r="H35" s="95"/>
      <c r="I35" s="100">
        <v>3847600</v>
      </c>
      <c r="J35" s="99">
        <v>0</v>
      </c>
      <c r="K35" s="110">
        <v>199</v>
      </c>
      <c r="L35" s="148">
        <v>0</v>
      </c>
      <c r="M35" s="5"/>
      <c r="N35" s="133">
        <f>'Расчет ЗП ОО на 2018 год '!Q36</f>
        <v>39305</v>
      </c>
      <c r="O35" s="5">
        <f t="shared" si="17"/>
        <v>0</v>
      </c>
      <c r="P35" s="8">
        <v>32370</v>
      </c>
      <c r="Q35" s="8">
        <f>N35-P35</f>
        <v>6935</v>
      </c>
      <c r="R35" s="176">
        <f t="shared" si="19"/>
        <v>0</v>
      </c>
      <c r="S35" s="33">
        <v>98.103650000000002</v>
      </c>
      <c r="T35" s="7">
        <f t="shared" si="20"/>
        <v>0</v>
      </c>
      <c r="U35" s="7">
        <f t="shared" si="13"/>
        <v>-67.400000000000006</v>
      </c>
      <c r="V35" s="7">
        <v>7614.1</v>
      </c>
      <c r="W35" s="7">
        <v>991</v>
      </c>
      <c r="X35" s="7">
        <f t="shared" si="8"/>
        <v>8605.1</v>
      </c>
      <c r="Y35" s="7">
        <v>67.400000000000006</v>
      </c>
      <c r="Z35" s="7">
        <f t="shared" si="14"/>
        <v>-8672.5</v>
      </c>
      <c r="AA35" s="8"/>
      <c r="AB35" s="35"/>
      <c r="AC35" s="35"/>
      <c r="AD35" s="193">
        <f t="shared" si="21"/>
        <v>0</v>
      </c>
      <c r="AE35" s="60">
        <v>38490.879999999997</v>
      </c>
    </row>
    <row r="36" spans="1:31" ht="18.75" customHeight="1">
      <c r="A36" s="35"/>
      <c r="B36" s="23" t="s">
        <v>61</v>
      </c>
      <c r="C36" s="95">
        <v>0</v>
      </c>
      <c r="D36" s="75"/>
      <c r="E36" s="90">
        <v>649000</v>
      </c>
      <c r="F36" s="95">
        <v>0</v>
      </c>
      <c r="G36" s="90">
        <v>0</v>
      </c>
      <c r="H36" s="95"/>
      <c r="I36" s="100">
        <v>1044599.9999999999</v>
      </c>
      <c r="J36" s="99">
        <v>0</v>
      </c>
      <c r="K36" s="110">
        <v>242</v>
      </c>
      <c r="L36" s="148">
        <v>0</v>
      </c>
      <c r="M36" s="5"/>
      <c r="N36" s="133">
        <f>'Расчет ЗП ОО на 2018 год '!Q37</f>
        <v>31664</v>
      </c>
      <c r="O36" s="5">
        <f t="shared" si="17"/>
        <v>0</v>
      </c>
      <c r="P36" s="8">
        <v>28518</v>
      </c>
      <c r="Q36" s="8">
        <f t="shared" si="18"/>
        <v>3146</v>
      </c>
      <c r="R36" s="176">
        <f t="shared" si="19"/>
        <v>0</v>
      </c>
      <c r="S36" s="33">
        <v>98.103650000000002</v>
      </c>
      <c r="T36" s="7">
        <f t="shared" si="20"/>
        <v>0</v>
      </c>
      <c r="U36" s="7">
        <f t="shared" si="13"/>
        <v>-214.7</v>
      </c>
      <c r="V36" s="7">
        <v>10295.6</v>
      </c>
      <c r="W36" s="7">
        <v>0</v>
      </c>
      <c r="X36" s="7">
        <f t="shared" si="8"/>
        <v>10295.6</v>
      </c>
      <c r="Y36" s="7">
        <v>214.7</v>
      </c>
      <c r="Z36" s="7">
        <f t="shared" si="14"/>
        <v>-10510.300000000001</v>
      </c>
      <c r="AA36" s="8"/>
      <c r="AB36" s="35"/>
      <c r="AC36" s="35"/>
      <c r="AD36" s="193">
        <f t="shared" si="21"/>
        <v>0</v>
      </c>
      <c r="AE36" s="60">
        <v>31476.73</v>
      </c>
    </row>
    <row r="37" spans="1:31" ht="18.75" customHeight="1">
      <c r="A37" s="35"/>
      <c r="B37" s="23" t="s">
        <v>62</v>
      </c>
      <c r="C37" s="95">
        <v>0</v>
      </c>
      <c r="D37" s="75"/>
      <c r="E37" s="90">
        <v>520299.99999999994</v>
      </c>
      <c r="F37" s="95">
        <v>0</v>
      </c>
      <c r="G37" s="90">
        <v>0</v>
      </c>
      <c r="H37" s="95"/>
      <c r="I37" s="100">
        <v>4765400</v>
      </c>
      <c r="J37" s="99">
        <v>0</v>
      </c>
      <c r="K37" s="110">
        <v>251</v>
      </c>
      <c r="L37" s="148">
        <v>0</v>
      </c>
      <c r="M37" s="5"/>
      <c r="N37" s="133">
        <f>'Расчет ЗП ОО на 2018 год '!Q38</f>
        <v>36596</v>
      </c>
      <c r="O37" s="5">
        <f t="shared" si="17"/>
        <v>0</v>
      </c>
      <c r="P37" s="8">
        <v>31441</v>
      </c>
      <c r="Q37" s="8">
        <f t="shared" si="18"/>
        <v>5155</v>
      </c>
      <c r="R37" s="176">
        <f t="shared" si="19"/>
        <v>0</v>
      </c>
      <c r="S37" s="33">
        <v>98.103650000000002</v>
      </c>
      <c r="T37" s="7">
        <f t="shared" si="20"/>
        <v>0</v>
      </c>
      <c r="U37" s="7">
        <f t="shared" si="13"/>
        <v>0</v>
      </c>
      <c r="V37" s="7">
        <v>14387.9</v>
      </c>
      <c r="W37" s="7">
        <v>1373.5</v>
      </c>
      <c r="X37" s="7">
        <f t="shared" si="8"/>
        <v>15761.4</v>
      </c>
      <c r="Y37" s="7"/>
      <c r="Z37" s="7">
        <f t="shared" si="14"/>
        <v>-15761.4</v>
      </c>
      <c r="AA37" s="8"/>
      <c r="AB37" s="35"/>
      <c r="AC37" s="35"/>
      <c r="AD37" s="193">
        <f t="shared" si="21"/>
        <v>0</v>
      </c>
      <c r="AE37" s="60">
        <v>36925.49</v>
      </c>
    </row>
    <row r="38" spans="1:31" ht="18.75" customHeight="1">
      <c r="A38" s="35"/>
      <c r="B38" s="23" t="s">
        <v>44</v>
      </c>
      <c r="C38" s="95">
        <v>5031.7259999999997</v>
      </c>
      <c r="D38" s="75"/>
      <c r="E38" s="90">
        <v>267500</v>
      </c>
      <c r="F38" s="95">
        <v>261.18119999999999</v>
      </c>
      <c r="G38" s="90">
        <v>0</v>
      </c>
      <c r="H38" s="95"/>
      <c r="I38" s="100">
        <v>2858060</v>
      </c>
      <c r="J38" s="99">
        <v>236.72479999999999</v>
      </c>
      <c r="K38" s="110">
        <v>162</v>
      </c>
      <c r="L38" s="148">
        <v>7.1</v>
      </c>
      <c r="M38" s="5">
        <f t="shared" ref="M38:M55" si="22">ROUND(((C38-F38+H38-D38)/1.302+J38)/12/L38*1000,0)</f>
        <v>45783</v>
      </c>
      <c r="N38" s="133">
        <f>'Расчет ЗП ОО на 2018 год '!Q39</f>
        <v>39517</v>
      </c>
      <c r="O38" s="5">
        <f>N38*L38*12*1.302/1000</f>
        <v>4383.6366168000013</v>
      </c>
      <c r="P38" s="8">
        <v>29585</v>
      </c>
      <c r="Q38" s="8">
        <f t="shared" si="18"/>
        <v>9932</v>
      </c>
      <c r="R38" s="176">
        <f t="shared" si="19"/>
        <v>5007.2695999999996</v>
      </c>
      <c r="S38" s="33">
        <v>98.103650000000002</v>
      </c>
      <c r="T38" s="7">
        <f t="shared" si="20"/>
        <v>115880.8</v>
      </c>
      <c r="U38" s="7">
        <f t="shared" si="13"/>
        <v>115350.40000000001</v>
      </c>
      <c r="V38" s="7">
        <v>10858.8</v>
      </c>
      <c r="W38" s="7">
        <v>768.3</v>
      </c>
      <c r="X38" s="7">
        <f t="shared" si="8"/>
        <v>11627.099999999999</v>
      </c>
      <c r="Y38" s="7">
        <v>530.4</v>
      </c>
      <c r="Z38" s="7">
        <f t="shared" si="14"/>
        <v>103723.30000000002</v>
      </c>
      <c r="AA38" s="8"/>
      <c r="AB38" s="35"/>
      <c r="AC38" s="35"/>
      <c r="AD38" s="193">
        <f t="shared" si="21"/>
        <v>623.63298319999831</v>
      </c>
      <c r="AE38" s="60">
        <v>33433.160000000003</v>
      </c>
    </row>
    <row r="39" spans="1:31" ht="18.75" customHeight="1">
      <c r="A39" s="35"/>
      <c r="B39" s="23" t="s">
        <v>45</v>
      </c>
      <c r="C39" s="95">
        <v>7424.34</v>
      </c>
      <c r="D39" s="75"/>
      <c r="E39" s="90">
        <v>518600</v>
      </c>
      <c r="F39" s="95">
        <v>496.45260000000002</v>
      </c>
      <c r="G39" s="90">
        <v>5500</v>
      </c>
      <c r="H39" s="95"/>
      <c r="I39" s="100">
        <v>3102900</v>
      </c>
      <c r="J39" s="99">
        <v>263.32799999999997</v>
      </c>
      <c r="K39" s="110">
        <v>172</v>
      </c>
      <c r="L39" s="148">
        <v>7.9</v>
      </c>
      <c r="M39" s="5">
        <f t="shared" si="22"/>
        <v>58906</v>
      </c>
      <c r="N39" s="133">
        <f>'Расчет ЗП ОО на 2018 год '!Q40</f>
        <v>43187</v>
      </c>
      <c r="O39" s="5">
        <f t="shared" si="17"/>
        <v>5330.5541351999991</v>
      </c>
      <c r="P39" s="121">
        <v>33952</v>
      </c>
      <c r="Q39" s="8">
        <f t="shared" si="18"/>
        <v>9235</v>
      </c>
      <c r="R39" s="176">
        <f t="shared" si="19"/>
        <v>7191.215400000001</v>
      </c>
      <c r="S39" s="33">
        <v>98.103650000000002</v>
      </c>
      <c r="T39" s="7">
        <f t="shared" si="20"/>
        <v>158299.70000000001</v>
      </c>
      <c r="U39" s="7">
        <f t="shared" si="13"/>
        <v>158079.90000000002</v>
      </c>
      <c r="V39" s="7">
        <v>2266.0007999999998</v>
      </c>
      <c r="W39" s="7">
        <v>290.90000000000003</v>
      </c>
      <c r="X39" s="7">
        <f t="shared" si="8"/>
        <v>2556.9007999999999</v>
      </c>
      <c r="Y39" s="7">
        <v>219.8</v>
      </c>
      <c r="Z39" s="7">
        <f t="shared" si="14"/>
        <v>155522.99920000002</v>
      </c>
      <c r="AA39" s="8"/>
      <c r="AB39" s="35"/>
      <c r="AC39" s="35"/>
      <c r="AD39" s="193">
        <f t="shared" si="21"/>
        <v>1860.6612648000018</v>
      </c>
      <c r="AE39" s="60">
        <v>39387.78</v>
      </c>
    </row>
    <row r="40" spans="1:31" ht="18.75" customHeight="1">
      <c r="A40" s="35"/>
      <c r="B40" s="23" t="s">
        <v>46</v>
      </c>
      <c r="C40" s="95">
        <v>8558.34</v>
      </c>
      <c r="D40" s="75"/>
      <c r="E40" s="90">
        <v>0</v>
      </c>
      <c r="F40" s="95">
        <v>86.973600000000005</v>
      </c>
      <c r="G40" s="90">
        <v>0</v>
      </c>
      <c r="H40" s="95"/>
      <c r="I40" s="100">
        <v>2822600</v>
      </c>
      <c r="J40" s="99">
        <v>0</v>
      </c>
      <c r="K40" s="110">
        <v>198</v>
      </c>
      <c r="L40" s="148">
        <v>9.3000000000000007</v>
      </c>
      <c r="M40" s="5">
        <f t="shared" si="22"/>
        <v>58301</v>
      </c>
      <c r="N40" s="133">
        <f>'Расчет ЗП ОО на 2018 год '!Q41</f>
        <v>39705</v>
      </c>
      <c r="O40" s="5">
        <f t="shared" si="17"/>
        <v>5769.2635559999999</v>
      </c>
      <c r="P40" s="8">
        <v>33500</v>
      </c>
      <c r="Q40" s="8">
        <f t="shared" si="18"/>
        <v>6205</v>
      </c>
      <c r="R40" s="176">
        <f t="shared" si="19"/>
        <v>8471.3664000000008</v>
      </c>
      <c r="S40" s="33">
        <v>98.103650000000002</v>
      </c>
      <c r="T40" s="7">
        <f t="shared" si="20"/>
        <v>180357.2</v>
      </c>
      <c r="U40" s="7">
        <f t="shared" si="13"/>
        <v>180357.2</v>
      </c>
      <c r="V40" s="7">
        <v>8363.9</v>
      </c>
      <c r="W40" s="7">
        <v>559.4</v>
      </c>
      <c r="X40" s="7">
        <f t="shared" si="8"/>
        <v>8923.2999999999993</v>
      </c>
      <c r="Y40" s="7"/>
      <c r="Z40" s="7">
        <f t="shared" si="14"/>
        <v>171433.90000000002</v>
      </c>
      <c r="AA40" s="8"/>
      <c r="AB40" s="35"/>
      <c r="AC40" s="35"/>
      <c r="AD40" s="193">
        <f t="shared" si="21"/>
        <v>2702.1028440000009</v>
      </c>
      <c r="AE40" s="60">
        <v>36311.5</v>
      </c>
    </row>
    <row r="41" spans="1:31" ht="18.75" customHeight="1">
      <c r="A41" s="35"/>
      <c r="B41" s="23" t="s">
        <v>47</v>
      </c>
      <c r="C41" s="95">
        <v>5849.3940000000002</v>
      </c>
      <c r="D41" s="75"/>
      <c r="E41" s="90">
        <v>207000</v>
      </c>
      <c r="F41" s="95">
        <v>0</v>
      </c>
      <c r="G41" s="90">
        <v>0</v>
      </c>
      <c r="H41" s="95"/>
      <c r="I41" s="100">
        <v>1398600</v>
      </c>
      <c r="J41" s="99">
        <v>401.44</v>
      </c>
      <c r="K41" s="110">
        <v>113</v>
      </c>
      <c r="L41" s="148">
        <v>8.5</v>
      </c>
      <c r="M41" s="5">
        <f t="shared" si="22"/>
        <v>47981</v>
      </c>
      <c r="N41" s="133">
        <f>'Расчет ЗП ОО на 2018 год '!Q42</f>
        <v>47695</v>
      </c>
      <c r="O41" s="5">
        <f t="shared" si="17"/>
        <v>6334.0867800000005</v>
      </c>
      <c r="P41" s="8">
        <v>41343</v>
      </c>
      <c r="Q41" s="8">
        <f t="shared" si="18"/>
        <v>6352</v>
      </c>
      <c r="R41" s="176">
        <f t="shared" si="19"/>
        <v>6250.8339999999998</v>
      </c>
      <c r="S41" s="33">
        <v>98.103650000000002</v>
      </c>
      <c r="T41" s="7">
        <f t="shared" si="20"/>
        <v>84711</v>
      </c>
      <c r="U41" s="7">
        <f t="shared" si="13"/>
        <v>84690.7</v>
      </c>
      <c r="V41" s="7">
        <v>1755.7</v>
      </c>
      <c r="W41" s="7">
        <v>0</v>
      </c>
      <c r="X41" s="7">
        <f t="shared" si="8"/>
        <v>1755.7</v>
      </c>
      <c r="Y41" s="7">
        <v>20.3</v>
      </c>
      <c r="Z41" s="7">
        <f t="shared" si="14"/>
        <v>82935</v>
      </c>
      <c r="AA41" s="8"/>
      <c r="AB41" s="35"/>
      <c r="AC41" s="35"/>
      <c r="AD41" s="193">
        <f t="shared" si="21"/>
        <v>-83.252780000000712</v>
      </c>
      <c r="AE41" s="60">
        <v>46453.069236259813</v>
      </c>
    </row>
    <row r="42" spans="1:31" s="162" customFormat="1" ht="18.75" customHeight="1">
      <c r="A42" s="150"/>
      <c r="B42" s="151" t="s">
        <v>48</v>
      </c>
      <c r="C42" s="153">
        <v>4261.04</v>
      </c>
      <c r="D42" s="152"/>
      <c r="E42" s="153">
        <v>352700</v>
      </c>
      <c r="F42" s="153">
        <v>151.9434</v>
      </c>
      <c r="G42" s="153">
        <v>0</v>
      </c>
      <c r="H42" s="153"/>
      <c r="I42" s="154">
        <v>724200</v>
      </c>
      <c r="J42" s="155">
        <v>0</v>
      </c>
      <c r="K42" s="156">
        <v>141</v>
      </c>
      <c r="L42" s="157">
        <v>6.3</v>
      </c>
      <c r="M42" s="149">
        <f t="shared" si="22"/>
        <v>41746</v>
      </c>
      <c r="N42" s="133">
        <f>'Расчет ЗП ОО на 2018 год '!Q43</f>
        <v>46645</v>
      </c>
      <c r="O42" s="149">
        <f t="shared" si="17"/>
        <v>4591.323324</v>
      </c>
      <c r="P42" s="158">
        <v>32700</v>
      </c>
      <c r="Q42" s="158">
        <f>N42-P42</f>
        <v>13945</v>
      </c>
      <c r="R42" s="176">
        <f t="shared" si="19"/>
        <v>4109.0965999999999</v>
      </c>
      <c r="S42" s="159">
        <v>98.103650000000002</v>
      </c>
      <c r="T42" s="160">
        <f t="shared" si="20"/>
        <v>91965.8</v>
      </c>
      <c r="U42" s="160">
        <f t="shared" si="13"/>
        <v>91797.900000000009</v>
      </c>
      <c r="V42" s="160">
        <v>5869.9</v>
      </c>
      <c r="W42" s="160">
        <v>121.4</v>
      </c>
      <c r="X42" s="160">
        <f t="shared" si="8"/>
        <v>5991.2999999999993</v>
      </c>
      <c r="Y42" s="160">
        <v>167.9</v>
      </c>
      <c r="Z42" s="160">
        <f t="shared" si="14"/>
        <v>85806.6</v>
      </c>
      <c r="AA42" s="158"/>
      <c r="AB42" s="150"/>
      <c r="AC42" s="150"/>
      <c r="AD42" s="193">
        <f t="shared" si="21"/>
        <v>-482.2267240000001</v>
      </c>
      <c r="AE42" s="137">
        <v>45638.999469214439</v>
      </c>
    </row>
    <row r="43" spans="1:31" ht="18.75" customHeight="1">
      <c r="A43" s="35"/>
      <c r="B43" s="23" t="s">
        <v>63</v>
      </c>
      <c r="C43" s="95">
        <v>0</v>
      </c>
      <c r="D43" s="75"/>
      <c r="E43" s="90">
        <v>842900</v>
      </c>
      <c r="F43" s="95">
        <v>0</v>
      </c>
      <c r="G43" s="90">
        <v>124700</v>
      </c>
      <c r="H43" s="95"/>
      <c r="I43" s="100">
        <v>656900</v>
      </c>
      <c r="J43" s="99">
        <v>0</v>
      </c>
      <c r="K43" s="110">
        <v>263</v>
      </c>
      <c r="L43" s="148">
        <v>0</v>
      </c>
      <c r="M43" s="5"/>
      <c r="N43" s="133">
        <f>'Расчет ЗП ОО на 2018 год '!Q44</f>
        <v>32561</v>
      </c>
      <c r="O43" s="5">
        <f t="shared" si="17"/>
        <v>0</v>
      </c>
      <c r="P43" s="8">
        <v>30388</v>
      </c>
      <c r="Q43" s="8">
        <f t="shared" si="18"/>
        <v>2173</v>
      </c>
      <c r="R43" s="176">
        <f t="shared" si="19"/>
        <v>0</v>
      </c>
      <c r="S43" s="33">
        <v>98.103650000000002</v>
      </c>
      <c r="T43" s="7">
        <f t="shared" si="20"/>
        <v>0</v>
      </c>
      <c r="U43" s="7">
        <f t="shared" si="13"/>
        <v>-629.1</v>
      </c>
      <c r="V43" s="7">
        <v>15694.6</v>
      </c>
      <c r="W43" s="7">
        <v>63.3</v>
      </c>
      <c r="X43" s="7">
        <f t="shared" si="8"/>
        <v>15757.9</v>
      </c>
      <c r="Y43" s="7">
        <v>629.1</v>
      </c>
      <c r="Z43" s="7">
        <f t="shared" si="14"/>
        <v>-16387</v>
      </c>
      <c r="AA43" s="8"/>
      <c r="AB43" s="35"/>
      <c r="AC43" s="35"/>
      <c r="AD43" s="193">
        <f t="shared" si="21"/>
        <v>0</v>
      </c>
      <c r="AE43" s="60">
        <v>31713.127718465796</v>
      </c>
    </row>
    <row r="44" spans="1:31" ht="18.75" customHeight="1">
      <c r="A44" s="35"/>
      <c r="B44" s="23" t="s">
        <v>49</v>
      </c>
      <c r="C44" s="95">
        <v>19799.259999999998</v>
      </c>
      <c r="D44" s="75"/>
      <c r="E44" s="90">
        <v>353700</v>
      </c>
      <c r="F44" s="95">
        <v>519.10739999999998</v>
      </c>
      <c r="G44" s="90">
        <v>2600</v>
      </c>
      <c r="H44" s="95">
        <v>258.3168</v>
      </c>
      <c r="I44" s="100">
        <v>960200</v>
      </c>
      <c r="J44" s="99">
        <v>0</v>
      </c>
      <c r="K44" s="110">
        <v>313</v>
      </c>
      <c r="L44" s="148">
        <v>25.6</v>
      </c>
      <c r="M44" s="5">
        <f t="shared" si="22"/>
        <v>48849</v>
      </c>
      <c r="N44" s="133">
        <f>'Расчет ЗП ОО на 2018 год '!Q45</f>
        <v>35933</v>
      </c>
      <c r="O44" s="5">
        <f t="shared" si="17"/>
        <v>14372.280115200001</v>
      </c>
      <c r="P44" s="8">
        <v>30920</v>
      </c>
      <c r="Q44" s="8">
        <f t="shared" si="18"/>
        <v>5013</v>
      </c>
      <c r="R44" s="176">
        <f t="shared" si="19"/>
        <v>19538.469399999998</v>
      </c>
      <c r="S44" s="33">
        <v>98.103650000000002</v>
      </c>
      <c r="T44" s="7">
        <f t="shared" si="20"/>
        <v>238886.9</v>
      </c>
      <c r="U44" s="7">
        <f t="shared" si="13"/>
        <v>238886.9</v>
      </c>
      <c r="V44" s="7">
        <v>4197.3999999999996</v>
      </c>
      <c r="W44" s="7">
        <v>0</v>
      </c>
      <c r="X44" s="7">
        <f t="shared" si="8"/>
        <v>4197.3999999999996</v>
      </c>
      <c r="Y44" s="7"/>
      <c r="Z44" s="7">
        <f t="shared" si="14"/>
        <v>234689.5</v>
      </c>
      <c r="AA44" s="8"/>
      <c r="AB44" s="35"/>
      <c r="AC44" s="35"/>
      <c r="AD44" s="193">
        <f t="shared" si="21"/>
        <v>5166.189284799997</v>
      </c>
      <c r="AE44" s="60">
        <v>37192.501464557703</v>
      </c>
    </row>
    <row r="45" spans="1:31" ht="18.75" customHeight="1">
      <c r="A45" s="35"/>
      <c r="B45" s="23" t="s">
        <v>64</v>
      </c>
      <c r="C45" s="95">
        <v>0</v>
      </c>
      <c r="D45" s="75"/>
      <c r="E45" s="90">
        <v>195400</v>
      </c>
      <c r="F45" s="95">
        <v>0</v>
      </c>
      <c r="G45" s="90">
        <v>0</v>
      </c>
      <c r="H45" s="95">
        <v>0</v>
      </c>
      <c r="I45" s="100">
        <v>4935090</v>
      </c>
      <c r="J45" s="99">
        <v>0</v>
      </c>
      <c r="K45" s="110">
        <v>387</v>
      </c>
      <c r="L45" s="148">
        <v>0</v>
      </c>
      <c r="M45" s="5"/>
      <c r="N45" s="133">
        <f>'Расчет ЗП ОО на 2018 год '!Q46</f>
        <v>42732</v>
      </c>
      <c r="O45" s="5">
        <f t="shared" si="17"/>
        <v>0</v>
      </c>
      <c r="P45" s="8">
        <v>40850</v>
      </c>
      <c r="Q45" s="8">
        <f t="shared" si="18"/>
        <v>1882</v>
      </c>
      <c r="R45" s="176">
        <f t="shared" si="19"/>
        <v>0</v>
      </c>
      <c r="S45" s="33">
        <v>98.103650000000002</v>
      </c>
      <c r="T45" s="7">
        <f t="shared" si="20"/>
        <v>0</v>
      </c>
      <c r="U45" s="7">
        <f t="shared" si="13"/>
        <v>0</v>
      </c>
      <c r="V45" s="7">
        <v>13278.2</v>
      </c>
      <c r="W45" s="7">
        <v>1144.8</v>
      </c>
      <c r="X45" s="7">
        <f t="shared" si="8"/>
        <v>14423</v>
      </c>
      <c r="Y45" s="7"/>
      <c r="Z45" s="7">
        <f t="shared" si="14"/>
        <v>-14423</v>
      </c>
      <c r="AA45" s="8"/>
      <c r="AB45" s="35"/>
      <c r="AC45" s="35"/>
      <c r="AD45" s="193">
        <f t="shared" si="21"/>
        <v>0</v>
      </c>
      <c r="AE45" s="60">
        <v>44386.753494282078</v>
      </c>
    </row>
    <row r="46" spans="1:31" ht="18.75" customHeight="1">
      <c r="A46" s="35"/>
      <c r="B46" s="23" t="s">
        <v>50</v>
      </c>
      <c r="C46" s="95">
        <v>49207.408000000003</v>
      </c>
      <c r="D46" s="75"/>
      <c r="E46" s="90">
        <v>467900</v>
      </c>
      <c r="F46" s="95">
        <v>1208.9490000000001</v>
      </c>
      <c r="G46" s="90">
        <v>0</v>
      </c>
      <c r="H46" s="95">
        <v>0</v>
      </c>
      <c r="I46" s="100">
        <v>5839900</v>
      </c>
      <c r="J46" s="99">
        <v>3264.9760000000001</v>
      </c>
      <c r="K46" s="110">
        <v>362</v>
      </c>
      <c r="L46" s="148">
        <v>76</v>
      </c>
      <c r="M46" s="5">
        <f t="shared" si="22"/>
        <v>44002</v>
      </c>
      <c r="N46" s="133">
        <f>'Расчет ЗП ОО на 2018 год '!Q47</f>
        <v>40894</v>
      </c>
      <c r="O46" s="5">
        <f t="shared" si="17"/>
        <v>48558.517056000004</v>
      </c>
      <c r="P46" s="8">
        <v>31967</v>
      </c>
      <c r="Q46" s="8">
        <f t="shared" si="18"/>
        <v>8927</v>
      </c>
      <c r="R46" s="176">
        <f t="shared" si="19"/>
        <v>51263.435000000005</v>
      </c>
      <c r="S46" s="33">
        <v>98.103650000000002</v>
      </c>
      <c r="T46" s="7">
        <f t="shared" si="20"/>
        <v>248870.39999999999</v>
      </c>
      <c r="U46" s="7">
        <f t="shared" si="13"/>
        <v>248870.39999999999</v>
      </c>
      <c r="V46" s="7"/>
      <c r="W46" s="7">
        <v>0</v>
      </c>
      <c r="X46" s="7">
        <f t="shared" si="8"/>
        <v>0</v>
      </c>
      <c r="Y46" s="7"/>
      <c r="Z46" s="7">
        <f t="shared" si="14"/>
        <v>248870.39999999999</v>
      </c>
      <c r="AA46" s="8"/>
      <c r="AB46" s="35"/>
      <c r="AC46" s="35"/>
      <c r="AD46" s="193">
        <f t="shared" si="21"/>
        <v>2704.9179440000007</v>
      </c>
      <c r="AE46" s="60">
        <v>40721.610039791856</v>
      </c>
    </row>
    <row r="47" spans="1:31" ht="18.75" customHeight="1">
      <c r="A47" s="35"/>
      <c r="B47" s="23" t="s">
        <v>51</v>
      </c>
      <c r="C47" s="95">
        <v>7537.11</v>
      </c>
      <c r="D47" s="75"/>
      <c r="E47" s="90">
        <v>244000</v>
      </c>
      <c r="F47" s="95">
        <v>1127.184</v>
      </c>
      <c r="G47" s="90">
        <v>111700</v>
      </c>
      <c r="H47" s="95">
        <v>0</v>
      </c>
      <c r="I47" s="100">
        <v>6114600</v>
      </c>
      <c r="J47" s="99">
        <v>66.456000000000003</v>
      </c>
      <c r="K47" s="110">
        <v>283</v>
      </c>
      <c r="L47" s="148">
        <v>2.9</v>
      </c>
      <c r="M47" s="5">
        <f t="shared" si="22"/>
        <v>143379</v>
      </c>
      <c r="N47" s="133">
        <f>'Расчет ЗП ОО на 2018 год '!Q48</f>
        <v>40209</v>
      </c>
      <c r="O47" s="5">
        <f t="shared" si="17"/>
        <v>1821.8537064</v>
      </c>
      <c r="P47" s="8">
        <v>31697</v>
      </c>
      <c r="Q47" s="8">
        <f t="shared" si="18"/>
        <v>8512</v>
      </c>
      <c r="R47" s="176">
        <f t="shared" si="19"/>
        <v>6476.3819999999996</v>
      </c>
      <c r="S47" s="33">
        <v>98.103650000000002</v>
      </c>
      <c r="T47" s="7">
        <f t="shared" si="20"/>
        <v>633963.4</v>
      </c>
      <c r="U47" s="7">
        <f t="shared" si="13"/>
        <v>633963.4</v>
      </c>
      <c r="V47" s="7">
        <v>5931.5</v>
      </c>
      <c r="W47" s="7">
        <v>65.400000000000006</v>
      </c>
      <c r="X47" s="7">
        <f t="shared" si="8"/>
        <v>5996.9</v>
      </c>
      <c r="Y47" s="7"/>
      <c r="Z47" s="7">
        <f t="shared" si="14"/>
        <v>627966.5</v>
      </c>
      <c r="AA47" s="8"/>
      <c r="AB47" s="35"/>
      <c r="AC47" s="35"/>
      <c r="AD47" s="193">
        <f t="shared" si="21"/>
        <v>4654.5282935999994</v>
      </c>
      <c r="AE47" s="60">
        <v>37349.69109800618</v>
      </c>
    </row>
    <row r="48" spans="1:31" ht="18.75" customHeight="1">
      <c r="A48" s="35"/>
      <c r="B48" s="23" t="s">
        <v>52</v>
      </c>
      <c r="C48" s="95">
        <v>52652.972000000002</v>
      </c>
      <c r="D48" s="75"/>
      <c r="E48" s="90">
        <v>781100</v>
      </c>
      <c r="F48" s="95">
        <v>3515.4</v>
      </c>
      <c r="G48" s="90">
        <v>169300</v>
      </c>
      <c r="H48" s="95">
        <v>0</v>
      </c>
      <c r="I48" s="100">
        <v>8713510</v>
      </c>
      <c r="J48" s="99">
        <v>1027.2080000000001</v>
      </c>
      <c r="K48" s="110">
        <v>371</v>
      </c>
      <c r="L48" s="148">
        <v>34.200000000000003</v>
      </c>
      <c r="M48" s="5">
        <f t="shared" si="22"/>
        <v>94462</v>
      </c>
      <c r="N48" s="133">
        <f>'Расчет ЗП ОО на 2018 год '!Q49</f>
        <v>42985</v>
      </c>
      <c r="O48" s="5">
        <f t="shared" si="17"/>
        <v>22968.639288000006</v>
      </c>
      <c r="P48" s="8">
        <v>31112</v>
      </c>
      <c r="Q48" s="8">
        <f t="shared" si="18"/>
        <v>11873</v>
      </c>
      <c r="R48" s="176">
        <f t="shared" si="19"/>
        <v>50164.78</v>
      </c>
      <c r="S48" s="33">
        <v>98.103650000000002</v>
      </c>
      <c r="T48" s="7">
        <f t="shared" si="20"/>
        <v>547549.4</v>
      </c>
      <c r="U48" s="7">
        <f t="shared" si="13"/>
        <v>546970.92139999999</v>
      </c>
      <c r="V48" s="7">
        <v>11905.1</v>
      </c>
      <c r="W48" s="7">
        <v>772.8</v>
      </c>
      <c r="X48" s="7">
        <f t="shared" si="8"/>
        <v>12677.9</v>
      </c>
      <c r="Y48" s="7">
        <v>578.47860000000003</v>
      </c>
      <c r="Z48" s="7">
        <f t="shared" si="14"/>
        <v>534293.02139999997</v>
      </c>
      <c r="AA48" s="8"/>
      <c r="AB48" s="35"/>
      <c r="AC48" s="35"/>
      <c r="AD48" s="193">
        <f t="shared" si="21"/>
        <v>27196.140711999993</v>
      </c>
      <c r="AE48" s="60">
        <v>38406.874745002038</v>
      </c>
    </row>
    <row r="49" spans="1:31" ht="18.75" customHeight="1">
      <c r="A49" s="35"/>
      <c r="B49" s="23" t="s">
        <v>53</v>
      </c>
      <c r="C49" s="95">
        <v>18331.488000000001</v>
      </c>
      <c r="D49" s="75"/>
      <c r="E49" s="90">
        <v>161100</v>
      </c>
      <c r="F49" s="95">
        <v>713.36580000000004</v>
      </c>
      <c r="G49" s="90">
        <v>1600</v>
      </c>
      <c r="H49" s="95">
        <v>0</v>
      </c>
      <c r="I49" s="100">
        <v>4340000</v>
      </c>
      <c r="J49" s="99">
        <v>311.584</v>
      </c>
      <c r="K49" s="110">
        <v>324</v>
      </c>
      <c r="L49" s="148">
        <v>13.3</v>
      </c>
      <c r="M49" s="5">
        <f t="shared" si="22"/>
        <v>86737</v>
      </c>
      <c r="N49" s="133">
        <f>'Расчет ЗП ОО на 2018 год '!Q50</f>
        <v>46995</v>
      </c>
      <c r="O49" s="5">
        <f t="shared" si="17"/>
        <v>9765.5234040000014</v>
      </c>
      <c r="P49" s="8">
        <v>33950</v>
      </c>
      <c r="Q49" s="8">
        <f t="shared" si="18"/>
        <v>13045</v>
      </c>
      <c r="R49" s="176">
        <f t="shared" si="19"/>
        <v>17929.706200000001</v>
      </c>
      <c r="S49" s="33">
        <v>98.103650000000002</v>
      </c>
      <c r="T49" s="7">
        <f t="shared" si="20"/>
        <v>439078</v>
      </c>
      <c r="U49" s="7">
        <f t="shared" si="13"/>
        <v>439078</v>
      </c>
      <c r="V49" s="7">
        <v>2273.6999999999998</v>
      </c>
      <c r="W49" s="7">
        <v>205.39999999999998</v>
      </c>
      <c r="X49" s="7">
        <f t="shared" si="8"/>
        <v>2479.1</v>
      </c>
      <c r="Y49" s="7"/>
      <c r="Z49" s="7">
        <f t="shared" si="14"/>
        <v>436598.9</v>
      </c>
      <c r="AA49" s="8"/>
      <c r="AB49" s="35"/>
      <c r="AC49" s="35"/>
      <c r="AD49" s="193">
        <f t="shared" si="21"/>
        <v>8164.1827959999991</v>
      </c>
      <c r="AE49" s="60">
        <v>44307.549437342939</v>
      </c>
    </row>
    <row r="50" spans="1:31" s="162" customFormat="1" ht="18.75" customHeight="1">
      <c r="A50" s="150"/>
      <c r="B50" s="151" t="s">
        <v>54</v>
      </c>
      <c r="C50" s="153">
        <v>3754.3530000000001</v>
      </c>
      <c r="D50" s="152"/>
      <c r="E50" s="153">
        <v>147600</v>
      </c>
      <c r="F50" s="153">
        <v>234.75059999999999</v>
      </c>
      <c r="G50" s="153">
        <v>21100</v>
      </c>
      <c r="H50" s="153">
        <v>0</v>
      </c>
      <c r="I50" s="154">
        <v>1151400</v>
      </c>
      <c r="J50" s="155">
        <v>0</v>
      </c>
      <c r="K50" s="156">
        <v>140</v>
      </c>
      <c r="L50" s="157">
        <v>8.1</v>
      </c>
      <c r="M50" s="149">
        <f t="shared" si="22"/>
        <v>27811</v>
      </c>
      <c r="N50" s="133">
        <f>'Расчет ЗП ОО на 2018 год '!Q51</f>
        <v>32862</v>
      </c>
      <c r="O50" s="149">
        <f t="shared" si="17"/>
        <v>4158.8306928000011</v>
      </c>
      <c r="P50" s="158">
        <v>30213</v>
      </c>
      <c r="Q50" s="158">
        <f t="shared" si="18"/>
        <v>2649</v>
      </c>
      <c r="R50" s="176">
        <f t="shared" si="19"/>
        <v>3519.6024000000002</v>
      </c>
      <c r="S50" s="159">
        <v>98.103650000000002</v>
      </c>
      <c r="T50" s="160">
        <f t="shared" si="20"/>
        <v>60832.7</v>
      </c>
      <c r="U50" s="160">
        <f t="shared" si="13"/>
        <v>60832.7</v>
      </c>
      <c r="V50" s="160">
        <v>6596.4</v>
      </c>
      <c r="W50" s="160">
        <v>0</v>
      </c>
      <c r="X50" s="160">
        <f t="shared" si="8"/>
        <v>6596.4</v>
      </c>
      <c r="Y50" s="160"/>
      <c r="Z50" s="160">
        <f t="shared" si="14"/>
        <v>54236.299999999996</v>
      </c>
      <c r="AA50" s="158"/>
      <c r="AB50" s="150"/>
      <c r="AC50" s="150"/>
      <c r="AD50" s="193">
        <f t="shared" si="21"/>
        <v>-639.22829280000087</v>
      </c>
      <c r="AE50" s="137">
        <v>33816.824519863192</v>
      </c>
    </row>
    <row r="51" spans="1:31" ht="18.75" customHeight="1">
      <c r="A51" s="35"/>
      <c r="B51" s="23" t="s">
        <v>66</v>
      </c>
      <c r="C51" s="95">
        <v>0</v>
      </c>
      <c r="D51" s="75"/>
      <c r="E51" s="90">
        <v>9285800</v>
      </c>
      <c r="F51" s="95">
        <v>0</v>
      </c>
      <c r="G51" s="90">
        <v>3179500</v>
      </c>
      <c r="H51" s="95">
        <v>0</v>
      </c>
      <c r="I51" s="100">
        <v>1724020</v>
      </c>
      <c r="J51" s="99">
        <v>0</v>
      </c>
      <c r="K51" s="110">
        <v>2171</v>
      </c>
      <c r="L51" s="148">
        <v>0</v>
      </c>
      <c r="M51" s="5"/>
      <c r="N51" s="133">
        <f>'Расчет ЗП ОО на 2018 год '!Q52</f>
        <v>33305</v>
      </c>
      <c r="O51" s="5">
        <f t="shared" si="17"/>
        <v>0</v>
      </c>
      <c r="P51" s="8">
        <v>26644</v>
      </c>
      <c r="Q51" s="8">
        <f t="shared" si="18"/>
        <v>6661</v>
      </c>
      <c r="R51" s="176">
        <f t="shared" si="19"/>
        <v>0</v>
      </c>
      <c r="S51" s="33">
        <v>98.103650000000002</v>
      </c>
      <c r="T51" s="7">
        <f t="shared" si="20"/>
        <v>0</v>
      </c>
      <c r="U51" s="7">
        <f t="shared" si="13"/>
        <v>-7144.9853999999996</v>
      </c>
      <c r="V51" s="7">
        <v>202365.2</v>
      </c>
      <c r="W51" s="7">
        <v>0</v>
      </c>
      <c r="X51" s="7">
        <f t="shared" si="8"/>
        <v>202365.2</v>
      </c>
      <c r="Y51" s="7">
        <v>7144.9853999999996</v>
      </c>
      <c r="Z51" s="7">
        <f t="shared" si="14"/>
        <v>-209510.18540000002</v>
      </c>
      <c r="AA51" s="8"/>
      <c r="AB51" s="35"/>
      <c r="AC51" s="35"/>
      <c r="AD51" s="193">
        <f t="shared" si="21"/>
        <v>0</v>
      </c>
      <c r="AE51" s="60">
        <v>33073.528649209227</v>
      </c>
    </row>
    <row r="52" spans="1:31" ht="18.75" customHeight="1">
      <c r="A52" s="35"/>
      <c r="B52" s="23" t="s">
        <v>67</v>
      </c>
      <c r="C52" s="95">
        <v>0</v>
      </c>
      <c r="D52" s="75"/>
      <c r="E52" s="90">
        <v>3321800</v>
      </c>
      <c r="F52" s="95">
        <v>0</v>
      </c>
      <c r="G52" s="90">
        <v>1051800</v>
      </c>
      <c r="H52" s="95">
        <v>0</v>
      </c>
      <c r="I52" s="100">
        <v>0</v>
      </c>
      <c r="J52" s="99">
        <v>0</v>
      </c>
      <c r="K52" s="110">
        <v>1279</v>
      </c>
      <c r="L52" s="148">
        <v>0</v>
      </c>
      <c r="M52" s="5"/>
      <c r="N52" s="133">
        <f>'Расчет ЗП ОО на 2018 год '!Q53</f>
        <v>40616</v>
      </c>
      <c r="O52" s="5">
        <f t="shared" si="17"/>
        <v>0</v>
      </c>
      <c r="P52" s="8">
        <v>30988</v>
      </c>
      <c r="Q52" s="8">
        <f t="shared" si="18"/>
        <v>9628</v>
      </c>
      <c r="R52" s="176">
        <f t="shared" si="19"/>
        <v>0</v>
      </c>
      <c r="S52" s="33">
        <v>98.103650000000002</v>
      </c>
      <c r="T52" s="7">
        <f t="shared" si="20"/>
        <v>0</v>
      </c>
      <c r="U52" s="7">
        <f t="shared" si="13"/>
        <v>-5089.2576000000008</v>
      </c>
      <c r="V52" s="7">
        <v>165691.1</v>
      </c>
      <c r="W52" s="7">
        <v>0</v>
      </c>
      <c r="X52" s="7">
        <f t="shared" si="8"/>
        <v>165691.1</v>
      </c>
      <c r="Y52" s="7">
        <v>5089.2576000000008</v>
      </c>
      <c r="Z52" s="7">
        <f t="shared" si="14"/>
        <v>-170780.35760000002</v>
      </c>
      <c r="AA52" s="8"/>
      <c r="AB52" s="35"/>
      <c r="AC52" s="35"/>
      <c r="AD52" s="193">
        <f t="shared" si="21"/>
        <v>0</v>
      </c>
      <c r="AE52" s="60">
        <v>35963.478022980118</v>
      </c>
    </row>
    <row r="53" spans="1:31" s="162" customFormat="1" ht="18.75" customHeight="1">
      <c r="A53" s="150"/>
      <c r="B53" s="151" t="s">
        <v>68</v>
      </c>
      <c r="C53" s="153">
        <v>1553.8150000000001</v>
      </c>
      <c r="D53" s="152"/>
      <c r="E53" s="153">
        <v>2650800</v>
      </c>
      <c r="F53" s="153">
        <v>0</v>
      </c>
      <c r="G53" s="153">
        <v>1860000</v>
      </c>
      <c r="H53" s="153">
        <v>0</v>
      </c>
      <c r="I53" s="154">
        <v>0</v>
      </c>
      <c r="J53" s="155">
        <v>0</v>
      </c>
      <c r="K53" s="156">
        <v>466</v>
      </c>
      <c r="L53" s="157">
        <v>6</v>
      </c>
      <c r="M53" s="149">
        <f>ROUND(((C53-F53+H53-D53)/1.302+J53)/12/L53*1000,0)</f>
        <v>16575</v>
      </c>
      <c r="N53" s="133">
        <f>'Расчет ЗП ОО на 2018 год '!Q54</f>
        <v>34972</v>
      </c>
      <c r="O53" s="149">
        <f>N53*L53*12*1.302/1000</f>
        <v>3278.415168</v>
      </c>
      <c r="P53" s="158">
        <v>26658</v>
      </c>
      <c r="Q53" s="158">
        <f t="shared" si="18"/>
        <v>8314</v>
      </c>
      <c r="R53" s="176">
        <f t="shared" si="19"/>
        <v>1553.8150000000001</v>
      </c>
      <c r="S53" s="159">
        <v>98.103650000000002</v>
      </c>
      <c r="T53" s="160">
        <f t="shared" si="20"/>
        <v>120679</v>
      </c>
      <c r="U53" s="160">
        <f t="shared" si="13"/>
        <v>116548.9258</v>
      </c>
      <c r="V53" s="160">
        <v>50619.7</v>
      </c>
      <c r="W53" s="160">
        <v>0</v>
      </c>
      <c r="X53" s="160">
        <f t="shared" si="8"/>
        <v>50619.7</v>
      </c>
      <c r="Y53" s="160">
        <v>4130.0742</v>
      </c>
      <c r="Z53" s="160">
        <f t="shared" si="14"/>
        <v>65929.2258</v>
      </c>
      <c r="AA53" s="158"/>
      <c r="AB53" s="150"/>
      <c r="AC53" s="150"/>
      <c r="AD53" s="193">
        <f t="shared" si="21"/>
        <v>-1724.6001679999999</v>
      </c>
      <c r="AE53" s="137">
        <v>32918.840758060549</v>
      </c>
    </row>
    <row r="54" spans="1:31" ht="18.75" customHeight="1">
      <c r="A54" s="35"/>
      <c r="B54" s="23" t="s">
        <v>69</v>
      </c>
      <c r="C54" s="95">
        <v>0</v>
      </c>
      <c r="D54" s="75"/>
      <c r="E54" s="90">
        <v>923200</v>
      </c>
      <c r="F54" s="95">
        <v>0</v>
      </c>
      <c r="G54" s="90">
        <v>814100</v>
      </c>
      <c r="H54" s="95">
        <v>0</v>
      </c>
      <c r="I54" s="100">
        <v>0</v>
      </c>
      <c r="J54" s="99">
        <v>0</v>
      </c>
      <c r="K54" s="110">
        <v>282</v>
      </c>
      <c r="L54" s="148">
        <v>0</v>
      </c>
      <c r="M54" s="5"/>
      <c r="N54" s="133">
        <f>'Расчет ЗП ОО на 2018 год '!Q55</f>
        <v>30927</v>
      </c>
      <c r="O54" s="5">
        <f t="shared" si="17"/>
        <v>0</v>
      </c>
      <c r="P54" s="8">
        <v>26014</v>
      </c>
      <c r="Q54" s="8">
        <f t="shared" si="18"/>
        <v>4913</v>
      </c>
      <c r="R54" s="176">
        <f t="shared" si="19"/>
        <v>0</v>
      </c>
      <c r="S54" s="33">
        <v>98.103650000000002</v>
      </c>
      <c r="T54" s="7">
        <f t="shared" si="20"/>
        <v>0</v>
      </c>
      <c r="U54" s="7">
        <f t="shared" si="13"/>
        <v>-387.73560000000003</v>
      </c>
      <c r="V54" s="7">
        <v>38740.6</v>
      </c>
      <c r="W54" s="7">
        <v>0</v>
      </c>
      <c r="X54" s="7">
        <f t="shared" si="8"/>
        <v>38740.6</v>
      </c>
      <c r="Y54" s="7">
        <v>387.73560000000003</v>
      </c>
      <c r="Z54" s="7">
        <f t="shared" si="14"/>
        <v>-39128.335599999999</v>
      </c>
      <c r="AA54" s="8"/>
      <c r="AB54" s="35"/>
      <c r="AC54" s="35"/>
      <c r="AD54" s="193">
        <f t="shared" si="21"/>
        <v>0</v>
      </c>
      <c r="AE54" s="60">
        <v>28647.586757080178</v>
      </c>
    </row>
    <row r="55" spans="1:31" s="162" customFormat="1" ht="18.75" customHeight="1">
      <c r="A55" s="150"/>
      <c r="B55" s="151" t="s">
        <v>55</v>
      </c>
      <c r="C55" s="153">
        <v>12605.084999999999</v>
      </c>
      <c r="D55" s="152"/>
      <c r="E55" s="153">
        <v>306500</v>
      </c>
      <c r="F55" s="153">
        <v>1242.8889999999999</v>
      </c>
      <c r="G55" s="153">
        <v>13200</v>
      </c>
      <c r="H55" s="153">
        <v>250.24440000000001</v>
      </c>
      <c r="I55" s="154">
        <v>0</v>
      </c>
      <c r="J55" s="155">
        <v>0</v>
      </c>
      <c r="K55" s="156">
        <v>274</v>
      </c>
      <c r="L55" s="157">
        <v>30.5</v>
      </c>
      <c r="M55" s="149">
        <f t="shared" si="22"/>
        <v>24369</v>
      </c>
      <c r="N55" s="133">
        <f>'Расчет ЗП ОО на 2018 год '!Q56</f>
        <v>32694</v>
      </c>
      <c r="O55" s="149">
        <f t="shared" si="17"/>
        <v>15579.737208</v>
      </c>
      <c r="P55" s="158">
        <v>22633</v>
      </c>
      <c r="Q55" s="158">
        <f t="shared" si="18"/>
        <v>10061</v>
      </c>
      <c r="R55" s="176">
        <f t="shared" si="19"/>
        <v>11612.440399999999</v>
      </c>
      <c r="S55" s="159">
        <v>98.103650000000002</v>
      </c>
      <c r="T55" s="160">
        <f t="shared" si="20"/>
        <v>104323.1</v>
      </c>
      <c r="U55" s="160">
        <f t="shared" si="13"/>
        <v>101872.47560000001</v>
      </c>
      <c r="V55" s="160">
        <v>22894.400000000001</v>
      </c>
      <c r="W55" s="160">
        <v>0</v>
      </c>
      <c r="X55" s="160">
        <f t="shared" si="8"/>
        <v>22894.400000000001</v>
      </c>
      <c r="Y55" s="160">
        <v>2450.6244000000002</v>
      </c>
      <c r="Z55" s="160">
        <f t="shared" si="14"/>
        <v>78978.075600000011</v>
      </c>
      <c r="AA55" s="158"/>
      <c r="AB55" s="150"/>
      <c r="AC55" s="150"/>
      <c r="AD55" s="193">
        <f t="shared" si="21"/>
        <v>-3967.296808000001</v>
      </c>
      <c r="AE55" s="137">
        <v>31225.438596491225</v>
      </c>
    </row>
    <row r="56" spans="1:31" ht="18.75" customHeight="1">
      <c r="A56" s="35"/>
      <c r="B56" s="23" t="s">
        <v>70</v>
      </c>
      <c r="C56" s="95">
        <v>0</v>
      </c>
      <c r="D56" s="75"/>
      <c r="E56" s="90">
        <v>541000</v>
      </c>
      <c r="F56" s="95">
        <v>0</v>
      </c>
      <c r="G56" s="90">
        <v>351800</v>
      </c>
      <c r="H56" s="95"/>
      <c r="I56" s="100">
        <v>0</v>
      </c>
      <c r="J56" s="99">
        <v>0</v>
      </c>
      <c r="K56" s="110">
        <v>216</v>
      </c>
      <c r="L56" s="148">
        <v>0</v>
      </c>
      <c r="M56" s="5"/>
      <c r="N56" s="133">
        <f>'Расчет ЗП ОО на 2018 год '!Q57</f>
        <v>30567</v>
      </c>
      <c r="O56" s="5">
        <f t="shared" si="17"/>
        <v>0</v>
      </c>
      <c r="P56" s="8">
        <v>27733</v>
      </c>
      <c r="Q56" s="8">
        <f t="shared" si="18"/>
        <v>2834</v>
      </c>
      <c r="R56" s="176">
        <f t="shared" si="19"/>
        <v>0</v>
      </c>
      <c r="S56" s="32">
        <v>98.252899999999997</v>
      </c>
      <c r="T56" s="7">
        <f t="shared" si="20"/>
        <v>0</v>
      </c>
      <c r="U56" s="7">
        <f t="shared" si="13"/>
        <v>0</v>
      </c>
      <c r="V56" s="7">
        <v>28162</v>
      </c>
      <c r="W56" s="7"/>
      <c r="X56" s="7">
        <f t="shared" si="8"/>
        <v>28162</v>
      </c>
      <c r="Y56" s="7"/>
      <c r="Z56" s="7">
        <f t="shared" si="14"/>
        <v>-28162</v>
      </c>
      <c r="AA56" s="8"/>
      <c r="AB56" s="35"/>
      <c r="AC56" s="35"/>
      <c r="AD56" s="193">
        <f t="shared" si="21"/>
        <v>0</v>
      </c>
      <c r="AE56" s="60">
        <v>30936.458918210741</v>
      </c>
    </row>
    <row r="57" spans="1:31" ht="18.75" customHeight="1">
      <c r="A57" s="35"/>
      <c r="B57" s="23" t="s">
        <v>107</v>
      </c>
      <c r="C57" s="95"/>
      <c r="D57" s="75"/>
      <c r="E57" s="90">
        <v>105500</v>
      </c>
      <c r="F57" s="95"/>
      <c r="G57" s="90">
        <v>0</v>
      </c>
      <c r="H57" s="95"/>
      <c r="I57" s="101">
        <v>0</v>
      </c>
      <c r="J57" s="99"/>
      <c r="K57" s="110"/>
      <c r="L57" s="148">
        <v>0</v>
      </c>
      <c r="M57" s="5"/>
      <c r="N57" s="133">
        <f>'Расчет ЗП ОО на 2018 год '!Q58</f>
        <v>0</v>
      </c>
      <c r="O57" s="5">
        <f t="shared" si="17"/>
        <v>0</v>
      </c>
      <c r="P57" s="8">
        <v>30479</v>
      </c>
      <c r="Q57" s="8">
        <f t="shared" si="18"/>
        <v>-30479</v>
      </c>
      <c r="R57" s="176">
        <f t="shared" si="19"/>
        <v>0</v>
      </c>
      <c r="S57" s="6">
        <v>100</v>
      </c>
      <c r="T57" s="7">
        <f t="shared" si="20"/>
        <v>0</v>
      </c>
      <c r="U57" s="7">
        <f t="shared" si="13"/>
        <v>0</v>
      </c>
      <c r="V57" s="7">
        <v>1810</v>
      </c>
      <c r="W57" s="7"/>
      <c r="X57" s="7">
        <f t="shared" si="8"/>
        <v>1810</v>
      </c>
      <c r="Y57" s="7"/>
      <c r="Z57" s="7">
        <f t="shared" si="14"/>
        <v>-1810</v>
      </c>
      <c r="AA57" s="8"/>
      <c r="AB57" s="35"/>
      <c r="AC57" s="35"/>
      <c r="AD57" s="193">
        <f t="shared" si="21"/>
        <v>0</v>
      </c>
      <c r="AE57" s="60">
        <v>34072.800000000003</v>
      </c>
    </row>
    <row r="58" spans="1:31" s="43" customFormat="1" ht="18.75" customHeight="1">
      <c r="A58" s="63"/>
      <c r="B58" s="124"/>
      <c r="C58" s="126">
        <f t="shared" ref="C58:T58" si="23">SUM(C32:C57)</f>
        <v>203598.12100000001</v>
      </c>
      <c r="D58" s="125">
        <f t="shared" si="23"/>
        <v>0</v>
      </c>
      <c r="E58" s="125">
        <f t="shared" si="23"/>
        <v>25155600</v>
      </c>
      <c r="F58" s="125">
        <f t="shared" si="23"/>
        <v>10058.945799999998</v>
      </c>
      <c r="G58" s="125">
        <f t="shared" si="23"/>
        <v>7706900</v>
      </c>
      <c r="H58" s="126">
        <f t="shared" si="23"/>
        <v>508.56119999999999</v>
      </c>
      <c r="I58" s="125">
        <f t="shared" si="23"/>
        <v>64735520</v>
      </c>
      <c r="J58" s="126">
        <f t="shared" si="23"/>
        <v>5929.2688000000007</v>
      </c>
      <c r="K58" s="125">
        <f t="shared" si="23"/>
        <v>9516</v>
      </c>
      <c r="L58" s="125">
        <f t="shared" si="23"/>
        <v>244.00000000000003</v>
      </c>
      <c r="M58" s="125">
        <f>((C58-D58-F58+H58)/1.302+J58)/L58/12*1000</f>
        <v>52926.048087431685</v>
      </c>
      <c r="N58" s="129">
        <f>O58/L58/12/1.302*1000</f>
        <v>39761.388934426235</v>
      </c>
      <c r="O58" s="129">
        <f t="shared" si="23"/>
        <v>151580.59353360004</v>
      </c>
      <c r="P58" s="126">
        <v>29256.938610662361</v>
      </c>
      <c r="Q58" s="126"/>
      <c r="R58" s="177">
        <f t="shared" si="23"/>
        <v>199977.00520000001</v>
      </c>
      <c r="S58" s="125">
        <f t="shared" si="23"/>
        <v>2552.7404999999999</v>
      </c>
      <c r="T58" s="125">
        <f t="shared" si="23"/>
        <v>3167015.0000000005</v>
      </c>
      <c r="U58" s="38"/>
      <c r="V58" s="38"/>
      <c r="W58" s="38"/>
      <c r="X58" s="38"/>
      <c r="Y58" s="38"/>
      <c r="Z58" s="38"/>
      <c r="AA58" s="128"/>
      <c r="AB58" s="39"/>
      <c r="AC58" s="39"/>
      <c r="AD58" s="193">
        <f t="shared" si="21"/>
        <v>48396.411666399974</v>
      </c>
      <c r="AE58" s="44"/>
    </row>
    <row r="59" spans="1:31" ht="18.75" hidden="1" customHeight="1">
      <c r="A59" s="62"/>
      <c r="B59" s="23" t="s">
        <v>118</v>
      </c>
      <c r="C59" s="171"/>
      <c r="D59" s="75"/>
      <c r="E59" s="90"/>
      <c r="F59" s="90"/>
      <c r="G59" s="102"/>
      <c r="H59" s="90"/>
      <c r="I59" s="90"/>
      <c r="J59" s="99"/>
      <c r="K59" s="114"/>
      <c r="L59" s="114"/>
      <c r="M59" s="5"/>
      <c r="N59" s="133"/>
      <c r="O59" s="5"/>
      <c r="P59" s="8"/>
      <c r="Q59" s="8"/>
      <c r="R59" s="184"/>
      <c r="S59" s="10">
        <v>95</v>
      </c>
      <c r="T59" s="11">
        <v>827282.0818080001</v>
      </c>
      <c r="U59" s="11">
        <v>804542.78180800006</v>
      </c>
      <c r="V59" s="11">
        <v>677641.3</v>
      </c>
      <c r="W59" s="11">
        <v>7972.7</v>
      </c>
      <c r="X59" s="11">
        <v>685614</v>
      </c>
      <c r="Y59" s="11">
        <v>22739.3</v>
      </c>
      <c r="Z59" s="11">
        <v>118928.78180800006</v>
      </c>
      <c r="AA59" s="12"/>
    </row>
    <row r="60" spans="1:31" s="43" customFormat="1" ht="28.5" hidden="1" customHeight="1">
      <c r="A60" s="63"/>
      <c r="B60" s="13" t="s">
        <v>119</v>
      </c>
      <c r="C60" s="120">
        <f>C58+C59</f>
        <v>203598.12100000001</v>
      </c>
      <c r="D60" s="97">
        <f t="shared" ref="D60:T60" si="24">D58+D59</f>
        <v>0</v>
      </c>
      <c r="E60" s="97">
        <f t="shared" si="24"/>
        <v>25155600</v>
      </c>
      <c r="F60" s="97">
        <f t="shared" si="24"/>
        <v>10058.945799999998</v>
      </c>
      <c r="G60" s="97">
        <f t="shared" si="24"/>
        <v>7706900</v>
      </c>
      <c r="H60" s="97">
        <f t="shared" si="24"/>
        <v>508.56119999999999</v>
      </c>
      <c r="I60" s="97">
        <f t="shared" si="24"/>
        <v>64735520</v>
      </c>
      <c r="J60" s="97">
        <f t="shared" si="24"/>
        <v>5929.2688000000007</v>
      </c>
      <c r="K60" s="97">
        <f t="shared" si="24"/>
        <v>9516</v>
      </c>
      <c r="L60" s="108">
        <f t="shared" si="24"/>
        <v>244.00000000000003</v>
      </c>
      <c r="M60" s="97">
        <f t="shared" si="24"/>
        <v>52926.048087431685</v>
      </c>
      <c r="N60" s="108"/>
      <c r="O60" s="97"/>
      <c r="P60" s="120">
        <f t="shared" si="24"/>
        <v>29256.938610662361</v>
      </c>
      <c r="Q60" s="120"/>
      <c r="R60" s="178">
        <f t="shared" si="24"/>
        <v>199977.00520000001</v>
      </c>
      <c r="S60" s="97">
        <f t="shared" si="24"/>
        <v>2647.7404999999999</v>
      </c>
      <c r="T60" s="97">
        <f t="shared" si="24"/>
        <v>3994297.0818080008</v>
      </c>
      <c r="U60" s="15"/>
      <c r="V60" s="15"/>
      <c r="W60" s="15"/>
      <c r="X60" s="15"/>
      <c r="Y60" s="15"/>
      <c r="Z60" s="6" t="e">
        <f>#REF!+Z31</f>
        <v>#REF!</v>
      </c>
      <c r="AA60" s="16"/>
      <c r="AD60" s="183"/>
      <c r="AE60" s="44"/>
    </row>
    <row r="61" spans="1:31" ht="29.25" customHeight="1">
      <c r="B61" s="64"/>
      <c r="C61" s="126"/>
      <c r="D61" s="64"/>
      <c r="E61" s="98"/>
      <c r="F61" s="98"/>
      <c r="G61" s="98"/>
      <c r="H61" s="98"/>
      <c r="I61" s="98"/>
      <c r="J61" s="98"/>
      <c r="K61" s="107"/>
      <c r="L61" s="107"/>
      <c r="M61" s="65">
        <v>31080</v>
      </c>
      <c r="N61" s="107"/>
      <c r="O61" s="65"/>
      <c r="P61" s="119"/>
      <c r="Q61" s="119"/>
      <c r="R61" s="179"/>
      <c r="S61" s="65"/>
      <c r="T61" s="65"/>
      <c r="U61" s="65"/>
      <c r="V61" s="65"/>
      <c r="W61" s="65"/>
      <c r="X61" s="65"/>
      <c r="Y61" s="65"/>
      <c r="Z61" s="66"/>
      <c r="AA61" s="66"/>
    </row>
    <row r="62" spans="1:31">
      <c r="A62" s="62"/>
      <c r="B62" s="17"/>
      <c r="C62" s="172"/>
      <c r="D62" s="17"/>
      <c r="E62" s="90"/>
      <c r="F62" s="90"/>
      <c r="G62" s="17"/>
      <c r="H62" s="17"/>
      <c r="I62" s="123"/>
      <c r="J62" s="123"/>
      <c r="M62" s="131">
        <f>M61/M60</f>
        <v>0.58723447382009519</v>
      </c>
      <c r="X62" s="67"/>
      <c r="Z62" s="68"/>
      <c r="AA62" s="18"/>
    </row>
    <row r="63" spans="1:31">
      <c r="A63" s="62"/>
      <c r="B63" s="69"/>
      <c r="C63" s="173"/>
      <c r="D63" s="69"/>
      <c r="E63" s="69"/>
      <c r="F63" s="69"/>
      <c r="G63" s="69"/>
      <c r="H63" s="103"/>
      <c r="I63" s="69"/>
      <c r="J63" s="69"/>
      <c r="S63" s="20"/>
      <c r="V63" s="67"/>
      <c r="X63" s="67"/>
      <c r="Z63" s="70"/>
      <c r="AA63" s="71"/>
    </row>
    <row r="64" spans="1:31" ht="29.25" customHeight="1">
      <c r="Z64" s="68"/>
      <c r="AA64" s="71"/>
    </row>
    <row r="65" spans="3:31" s="72" customFormat="1" ht="20.25">
      <c r="C65" s="118"/>
      <c r="K65" s="106"/>
      <c r="L65" s="106"/>
      <c r="N65" s="106"/>
      <c r="P65" s="118"/>
      <c r="Q65" s="118"/>
      <c r="R65" s="180"/>
      <c r="U65" s="25"/>
      <c r="W65" s="25" t="s">
        <v>76</v>
      </c>
      <c r="Z65" s="68"/>
      <c r="AA65" s="71"/>
      <c r="AD65" s="182"/>
      <c r="AE65" s="146"/>
    </row>
    <row r="66" spans="3:31" s="72" customFormat="1">
      <c r="C66" s="118"/>
      <c r="K66" s="106"/>
      <c r="L66" s="106"/>
      <c r="N66" s="106"/>
      <c r="P66" s="118"/>
      <c r="Q66" s="118"/>
      <c r="R66" s="180"/>
      <c r="AD66" s="182"/>
      <c r="AE66" s="146"/>
    </row>
    <row r="67" spans="3:31" s="25" customFormat="1" ht="20.25">
      <c r="C67" s="117"/>
      <c r="K67" s="105"/>
      <c r="L67" s="105"/>
      <c r="N67" s="105"/>
      <c r="P67" s="117"/>
      <c r="Q67" s="117"/>
      <c r="R67" s="181"/>
      <c r="AD67" s="182"/>
      <c r="AE67" s="147"/>
    </row>
  </sheetData>
  <mergeCells count="28">
    <mergeCell ref="AD5:AD7"/>
    <mergeCell ref="B3:Z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V5:X6"/>
    <mergeCell ref="J5:J7"/>
    <mergeCell ref="K5:K7"/>
    <mergeCell ref="L5:L7"/>
    <mergeCell ref="M5:M7"/>
    <mergeCell ref="N5:N7"/>
    <mergeCell ref="O5:O7"/>
    <mergeCell ref="P5:P7"/>
    <mergeCell ref="R5:R7"/>
    <mergeCell ref="S5:S7"/>
    <mergeCell ref="AA10:AA12"/>
    <mergeCell ref="AA13:AA31"/>
    <mergeCell ref="T5:T7"/>
    <mergeCell ref="U5:U7"/>
    <mergeCell ref="Y5:Y7"/>
    <mergeCell ref="Z5:Z7"/>
    <mergeCell ref="AA5:AA7"/>
  </mergeCells>
  <pageMargins left="0" right="0" top="0" bottom="0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S68"/>
  <sheetViews>
    <sheetView zoomScale="86" zoomScaleNormal="86" zoomScaleSheetLayoutView="80" workbookViewId="0">
      <pane xSplit="2" ySplit="12" topLeftCell="C39" activePane="bottomRight" state="frozen"/>
      <selection activeCell="H46" activeCellId="1" sqref="H33 H46"/>
      <selection pane="topRight" activeCell="H46" activeCellId="1" sqref="H33 H46"/>
      <selection pane="bottomLeft" activeCell="H46" activeCellId="1" sqref="H33 H46"/>
      <selection pane="bottomRight" activeCell="H46" activeCellId="1" sqref="H33 H46"/>
    </sheetView>
  </sheetViews>
  <sheetFormatPr defaultRowHeight="15"/>
  <cols>
    <col min="1" max="1" width="5.7109375" customWidth="1"/>
    <col min="2" max="2" width="52" customWidth="1"/>
    <col min="3" max="3" width="17.5703125" customWidth="1"/>
    <col min="4" max="4" width="16" customWidth="1"/>
    <col min="5" max="5" width="38.85546875" hidden="1" customWidth="1"/>
    <col min="6" max="6" width="19.42578125" customWidth="1"/>
    <col min="7" max="7" width="34.42578125" hidden="1" customWidth="1"/>
    <col min="8" max="8" width="15.42578125" customWidth="1"/>
    <col min="9" max="9" width="21.7109375" hidden="1" customWidth="1"/>
    <col min="10" max="10" width="13.85546875" customWidth="1"/>
    <col min="11" max="11" width="16.7109375" style="116" hidden="1" customWidth="1"/>
    <col min="12" max="12" width="14.85546875" style="116" customWidth="1"/>
    <col min="13" max="13" width="18.7109375" customWidth="1"/>
    <col min="14" max="15" width="22.140625" style="116" customWidth="1"/>
    <col min="16" max="16" width="22.140625" customWidth="1"/>
    <col min="17" max="17" width="20.140625" style="122" customWidth="1"/>
    <col min="18" max="18" width="12.140625" style="122" hidden="1" customWidth="1"/>
    <col min="19" max="19" width="22.140625" style="137" customWidth="1"/>
  </cols>
  <sheetData>
    <row r="1" spans="1:19" ht="46.5" customHeight="1"/>
    <row r="2" spans="1:19" hidden="1"/>
    <row r="3" spans="1:19" ht="99.75" customHeight="1">
      <c r="B3" s="328" t="s">
        <v>111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</row>
    <row r="5" spans="1:19" ht="32.25" customHeight="1">
      <c r="A5" s="329"/>
      <c r="B5" s="330" t="s">
        <v>101</v>
      </c>
      <c r="C5" s="332" t="s">
        <v>135</v>
      </c>
      <c r="D5" s="332" t="s">
        <v>125</v>
      </c>
      <c r="E5" s="332" t="s">
        <v>126</v>
      </c>
      <c r="F5" s="332" t="s">
        <v>126</v>
      </c>
      <c r="G5" s="332" t="s">
        <v>127</v>
      </c>
      <c r="H5" s="332" t="s">
        <v>127</v>
      </c>
      <c r="I5" s="332" t="s">
        <v>130</v>
      </c>
      <c r="J5" s="332" t="s">
        <v>129</v>
      </c>
      <c r="K5" s="333" t="s">
        <v>133</v>
      </c>
      <c r="L5" s="333" t="s">
        <v>134</v>
      </c>
      <c r="M5" s="332" t="s">
        <v>136</v>
      </c>
      <c r="N5" s="318" t="s">
        <v>137</v>
      </c>
      <c r="O5" s="320" t="s">
        <v>142</v>
      </c>
      <c r="P5" s="320" t="s">
        <v>138</v>
      </c>
      <c r="Q5" s="323" t="s">
        <v>131</v>
      </c>
      <c r="R5" s="127"/>
      <c r="S5" s="335" t="s">
        <v>132</v>
      </c>
    </row>
    <row r="6" spans="1:19" ht="30.75" customHeight="1">
      <c r="A6" s="329"/>
      <c r="B6" s="330"/>
      <c r="C6" s="332"/>
      <c r="D6" s="332"/>
      <c r="E6" s="332"/>
      <c r="F6" s="332"/>
      <c r="G6" s="332"/>
      <c r="H6" s="332"/>
      <c r="I6" s="332"/>
      <c r="J6" s="332"/>
      <c r="K6" s="334"/>
      <c r="L6" s="334"/>
      <c r="M6" s="332"/>
      <c r="N6" s="318"/>
      <c r="O6" s="321"/>
      <c r="P6" s="321"/>
      <c r="Q6" s="323"/>
      <c r="R6" s="127"/>
      <c r="S6" s="335"/>
    </row>
    <row r="7" spans="1:19" ht="76.5" customHeight="1">
      <c r="A7" s="329"/>
      <c r="B7" s="331"/>
      <c r="C7" s="320"/>
      <c r="D7" s="320"/>
      <c r="E7" s="320"/>
      <c r="F7" s="320"/>
      <c r="G7" s="320"/>
      <c r="H7" s="320"/>
      <c r="I7" s="320"/>
      <c r="J7" s="320"/>
      <c r="K7" s="334"/>
      <c r="L7" s="334"/>
      <c r="M7" s="320"/>
      <c r="N7" s="319"/>
      <c r="O7" s="322"/>
      <c r="P7" s="322"/>
      <c r="Q7" s="324"/>
      <c r="R7" s="134"/>
      <c r="S7" s="336"/>
    </row>
    <row r="8" spans="1:19" ht="29.25" customHeight="1">
      <c r="A8" s="83"/>
      <c r="B8" s="84">
        <v>1</v>
      </c>
      <c r="C8" s="85">
        <v>2</v>
      </c>
      <c r="D8" s="85">
        <v>3</v>
      </c>
      <c r="E8" s="85">
        <v>1.302</v>
      </c>
      <c r="F8" s="85">
        <v>4</v>
      </c>
      <c r="G8" s="85"/>
      <c r="H8" s="85">
        <v>5</v>
      </c>
      <c r="I8" s="85">
        <v>6</v>
      </c>
      <c r="J8" s="85">
        <v>6</v>
      </c>
      <c r="K8" s="115">
        <v>3</v>
      </c>
      <c r="L8" s="115"/>
      <c r="M8" s="85" t="s">
        <v>110</v>
      </c>
      <c r="N8" s="132"/>
      <c r="O8" s="132"/>
      <c r="P8" s="85"/>
      <c r="Q8" s="127"/>
      <c r="R8" s="127"/>
      <c r="S8" s="138"/>
    </row>
    <row r="9" spans="1:19" ht="81" hidden="1" customHeight="1">
      <c r="A9" s="35">
        <v>1</v>
      </c>
      <c r="B9" s="2" t="s">
        <v>28</v>
      </c>
      <c r="C9" s="36">
        <v>29420</v>
      </c>
      <c r="D9" s="36"/>
      <c r="E9" s="36"/>
      <c r="F9" s="36"/>
      <c r="G9" s="36"/>
      <c r="H9" s="36"/>
      <c r="I9" s="36"/>
      <c r="J9" s="36"/>
      <c r="K9" s="114">
        <v>7210.9</v>
      </c>
      <c r="L9" s="114"/>
      <c r="M9" s="36">
        <v>29420</v>
      </c>
      <c r="N9" s="133"/>
      <c r="O9" s="133"/>
      <c r="P9" s="36"/>
      <c r="Q9" s="8"/>
      <c r="R9" s="8"/>
      <c r="S9" s="139"/>
    </row>
    <row r="10" spans="1:19" ht="45" hidden="1" customHeight="1">
      <c r="A10" s="35">
        <v>2</v>
      </c>
      <c r="B10" s="2" t="s">
        <v>30</v>
      </c>
      <c r="C10" s="36">
        <v>34903.699999999997</v>
      </c>
      <c r="D10" s="36"/>
      <c r="E10" s="36"/>
      <c r="F10" s="36"/>
      <c r="G10" s="36"/>
      <c r="H10" s="36"/>
      <c r="I10" s="36"/>
      <c r="J10" s="36"/>
      <c r="K10" s="114">
        <f t="shared" ref="K10" si="0">K11+K12</f>
        <v>10565</v>
      </c>
      <c r="L10" s="114"/>
      <c r="M10" s="36">
        <v>34903.699999999997</v>
      </c>
      <c r="N10" s="133"/>
      <c r="O10" s="133"/>
      <c r="P10" s="36"/>
      <c r="Q10" s="8"/>
      <c r="R10" s="8"/>
      <c r="S10" s="139"/>
    </row>
    <row r="11" spans="1:19" ht="36.75" hidden="1" customHeight="1">
      <c r="A11" s="35"/>
      <c r="B11" s="2" t="s">
        <v>32</v>
      </c>
      <c r="C11" s="36">
        <v>34903.699999999997</v>
      </c>
      <c r="D11" s="36"/>
      <c r="E11" s="36"/>
      <c r="F11" s="36"/>
      <c r="G11" s="36"/>
      <c r="H11" s="36"/>
      <c r="I11" s="36"/>
      <c r="J11" s="36"/>
      <c r="K11" s="114">
        <v>773</v>
      </c>
      <c r="L11" s="114"/>
      <c r="M11" s="36">
        <v>34903.699999999997</v>
      </c>
      <c r="N11" s="133"/>
      <c r="O11" s="133"/>
      <c r="P11" s="36"/>
      <c r="Q11" s="8"/>
      <c r="R11" s="8"/>
      <c r="S11" s="139"/>
    </row>
    <row r="12" spans="1:19" ht="57.75" hidden="1" customHeight="1">
      <c r="A12" s="35"/>
      <c r="B12" s="2" t="s">
        <v>33</v>
      </c>
      <c r="C12" s="36">
        <v>34903.699999999997</v>
      </c>
      <c r="D12" s="36"/>
      <c r="E12" s="36"/>
      <c r="F12" s="36"/>
      <c r="G12" s="36"/>
      <c r="H12" s="36"/>
      <c r="I12" s="36"/>
      <c r="J12" s="36"/>
      <c r="K12" s="114">
        <v>9792</v>
      </c>
      <c r="L12" s="114"/>
      <c r="M12" s="36">
        <v>34903.699999999997</v>
      </c>
      <c r="N12" s="133"/>
      <c r="O12" s="133"/>
      <c r="P12" s="36"/>
      <c r="Q12" s="8"/>
      <c r="R12" s="8"/>
      <c r="S12" s="139"/>
    </row>
    <row r="13" spans="1:19" ht="57.75" hidden="1" customHeight="1">
      <c r="A13" s="35"/>
      <c r="B13" s="2"/>
      <c r="C13" s="36"/>
      <c r="D13" s="36"/>
      <c r="E13" s="36"/>
      <c r="F13" s="36"/>
      <c r="G13" s="36"/>
      <c r="H13" s="36"/>
      <c r="I13" s="36"/>
      <c r="J13" s="36"/>
      <c r="K13" s="114"/>
      <c r="L13" s="114"/>
      <c r="M13" s="36"/>
      <c r="N13" s="133"/>
      <c r="O13" s="133"/>
      <c r="P13" s="36"/>
      <c r="Q13" s="8"/>
      <c r="R13" s="8"/>
      <c r="S13" s="139"/>
    </row>
    <row r="14" spans="1:19" s="43" customFormat="1" ht="29.25" customHeight="1">
      <c r="A14" s="39"/>
      <c r="B14" s="40" t="s">
        <v>123</v>
      </c>
      <c r="C14" s="41"/>
      <c r="D14" s="41"/>
      <c r="E14" s="41">
        <v>0.98992882999999998</v>
      </c>
      <c r="F14" s="41"/>
      <c r="G14" s="41">
        <v>0.95901000000000003</v>
      </c>
      <c r="H14" s="41"/>
      <c r="I14" s="41"/>
      <c r="J14" s="41"/>
      <c r="K14" s="113"/>
      <c r="L14" s="113">
        <v>1.0193358554014291</v>
      </c>
      <c r="M14" s="41"/>
      <c r="N14" s="116">
        <v>0.96337514000000002</v>
      </c>
      <c r="O14" s="116"/>
      <c r="P14" s="131"/>
      <c r="Q14" s="128"/>
      <c r="R14" s="128"/>
      <c r="S14" s="140"/>
    </row>
    <row r="15" spans="1:19" ht="24.75" hidden="1" customHeight="1">
      <c r="A15" s="45" t="s">
        <v>36</v>
      </c>
      <c r="B15" s="46" t="s">
        <v>37</v>
      </c>
      <c r="C15" s="21">
        <v>34072.800000000003</v>
      </c>
      <c r="D15" s="21"/>
      <c r="E15" s="21"/>
      <c r="F15" s="21"/>
      <c r="G15" s="21"/>
      <c r="H15" s="21"/>
      <c r="I15" s="21"/>
      <c r="J15" s="21"/>
      <c r="K15" s="112">
        <f>K16+K17</f>
        <v>154</v>
      </c>
      <c r="L15" s="112"/>
      <c r="M15" s="21">
        <v>34072.800000000003</v>
      </c>
      <c r="N15" s="112"/>
      <c r="O15" s="112"/>
      <c r="P15" s="21"/>
      <c r="Q15" s="51"/>
      <c r="R15" s="51"/>
      <c r="S15" s="139"/>
    </row>
    <row r="16" spans="1:19" ht="22.5" hidden="1" customHeight="1">
      <c r="A16" s="35" t="s">
        <v>38</v>
      </c>
      <c r="B16" s="49" t="s">
        <v>39</v>
      </c>
      <c r="C16" s="36">
        <v>34072.800000000003</v>
      </c>
      <c r="D16" s="36"/>
      <c r="E16" s="36"/>
      <c r="F16" s="36"/>
      <c r="G16" s="36"/>
      <c r="H16" s="36"/>
      <c r="I16" s="36"/>
      <c r="J16" s="36"/>
      <c r="K16" s="114">
        <v>114</v>
      </c>
      <c r="L16" s="114"/>
      <c r="M16" s="36">
        <v>34072.800000000003</v>
      </c>
      <c r="N16" s="133"/>
      <c r="O16" s="133"/>
      <c r="P16" s="36"/>
      <c r="Q16" s="8"/>
      <c r="R16" s="8"/>
      <c r="S16" s="139"/>
    </row>
    <row r="17" spans="1:19" ht="22.5" hidden="1" customHeight="1">
      <c r="A17" s="35" t="s">
        <v>40</v>
      </c>
      <c r="B17" s="49" t="s">
        <v>41</v>
      </c>
      <c r="C17" s="36">
        <v>34072.800000000003</v>
      </c>
      <c r="D17" s="36"/>
      <c r="E17" s="36"/>
      <c r="F17" s="36"/>
      <c r="G17" s="36"/>
      <c r="H17" s="36"/>
      <c r="I17" s="36"/>
      <c r="J17" s="36"/>
      <c r="K17" s="114">
        <v>40</v>
      </c>
      <c r="L17" s="114"/>
      <c r="M17" s="36">
        <v>34072.800000000003</v>
      </c>
      <c r="N17" s="133"/>
      <c r="O17" s="133"/>
      <c r="P17" s="36"/>
      <c r="Q17" s="8"/>
      <c r="R17" s="8"/>
      <c r="S17" s="139"/>
    </row>
    <row r="18" spans="1:19" ht="45.75" hidden="1" customHeight="1">
      <c r="A18" s="45" t="s">
        <v>42</v>
      </c>
      <c r="B18" s="50" t="s">
        <v>33</v>
      </c>
      <c r="C18" s="51">
        <v>38109.4</v>
      </c>
      <c r="D18" s="51"/>
      <c r="E18" s="51"/>
      <c r="F18" s="51"/>
      <c r="G18" s="51"/>
      <c r="H18" s="51"/>
      <c r="I18" s="51"/>
      <c r="J18" s="51"/>
      <c r="K18" s="111">
        <f>SUM(K19:K31)</f>
        <v>233.40000000000003</v>
      </c>
      <c r="L18" s="111"/>
      <c r="M18" s="21" t="e">
        <f>#REF!/K18/12/1.302*1000</f>
        <v>#REF!</v>
      </c>
      <c r="N18" s="112"/>
      <c r="O18" s="112"/>
      <c r="P18" s="21"/>
      <c r="Q18" s="51"/>
      <c r="R18" s="51"/>
      <c r="S18" s="139"/>
    </row>
    <row r="19" spans="1:19" ht="24.75" hidden="1" customHeight="1">
      <c r="A19" s="35"/>
      <c r="B19" s="2" t="s">
        <v>43</v>
      </c>
      <c r="C19" s="73">
        <f>C35</f>
        <v>33259.932000000001</v>
      </c>
      <c r="D19" s="73"/>
      <c r="E19" s="73"/>
      <c r="F19" s="73"/>
      <c r="G19" s="73"/>
      <c r="H19" s="73"/>
      <c r="I19" s="73"/>
      <c r="J19" s="73"/>
      <c r="K19" s="110">
        <v>8</v>
      </c>
      <c r="L19" s="110"/>
      <c r="M19" s="5" t="e">
        <f>ROUND(C19*#REF!/100,1)</f>
        <v>#REF!</v>
      </c>
      <c r="N19" s="133"/>
      <c r="O19" s="133"/>
      <c r="P19" s="5"/>
      <c r="Q19" s="8"/>
      <c r="R19" s="8"/>
      <c r="S19" s="139"/>
    </row>
    <row r="20" spans="1:19" ht="20.25" hidden="1" customHeight="1">
      <c r="A20" s="35"/>
      <c r="B20" s="54" t="s">
        <v>44</v>
      </c>
      <c r="C20" s="73">
        <f>C39</f>
        <v>46632.343999999997</v>
      </c>
      <c r="D20" s="73"/>
      <c r="E20" s="73"/>
      <c r="F20" s="73"/>
      <c r="G20" s="73"/>
      <c r="H20" s="73"/>
      <c r="I20" s="73"/>
      <c r="J20" s="73"/>
      <c r="K20" s="109">
        <v>7</v>
      </c>
      <c r="L20" s="109"/>
      <c r="M20" s="5" t="e">
        <f>ROUND(C20*#REF!/100,1)</f>
        <v>#REF!</v>
      </c>
      <c r="N20" s="133"/>
      <c r="O20" s="133"/>
      <c r="P20" s="5"/>
      <c r="Q20" s="8"/>
      <c r="R20" s="8"/>
      <c r="S20" s="139"/>
    </row>
    <row r="21" spans="1:19" ht="20.25" hidden="1" customHeight="1">
      <c r="A21" s="35"/>
      <c r="B21" s="54" t="s">
        <v>45</v>
      </c>
      <c r="C21" s="73">
        <f>C40</f>
        <v>39659.917999999998</v>
      </c>
      <c r="D21" s="73"/>
      <c r="E21" s="73"/>
      <c r="F21" s="73"/>
      <c r="G21" s="73"/>
      <c r="H21" s="73"/>
      <c r="I21" s="73"/>
      <c r="J21" s="73"/>
      <c r="K21" s="109">
        <v>7.4</v>
      </c>
      <c r="L21" s="109"/>
      <c r="M21" s="5" t="e">
        <f>ROUND(C21*#REF!/100,1)</f>
        <v>#REF!</v>
      </c>
      <c r="N21" s="133"/>
      <c r="O21" s="133"/>
      <c r="P21" s="5"/>
      <c r="Q21" s="8"/>
      <c r="R21" s="8"/>
      <c r="S21" s="139"/>
    </row>
    <row r="22" spans="1:19" ht="20.25" hidden="1" customHeight="1">
      <c r="A22" s="35"/>
      <c r="B22" s="54" t="s">
        <v>46</v>
      </c>
      <c r="C22" s="73">
        <f>C41</f>
        <v>48563.832000000002</v>
      </c>
      <c r="D22" s="73"/>
      <c r="E22" s="73"/>
      <c r="F22" s="73"/>
      <c r="G22" s="73"/>
      <c r="H22" s="73"/>
      <c r="I22" s="73"/>
      <c r="J22" s="73"/>
      <c r="K22" s="109">
        <v>9</v>
      </c>
      <c r="L22" s="109"/>
      <c r="M22" s="5" t="e">
        <f>ROUND(C22*#REF!/100,1)</f>
        <v>#REF!</v>
      </c>
      <c r="N22" s="133"/>
      <c r="O22" s="133"/>
      <c r="P22" s="5"/>
      <c r="Q22" s="8"/>
      <c r="R22" s="8"/>
      <c r="S22" s="139"/>
    </row>
    <row r="23" spans="1:19" ht="20.25" hidden="1" customHeight="1">
      <c r="A23" s="35"/>
      <c r="B23" s="54" t="s">
        <v>47</v>
      </c>
      <c r="C23" s="73">
        <f>C42</f>
        <v>26082.685000000001</v>
      </c>
      <c r="D23" s="73"/>
      <c r="E23" s="73"/>
      <c r="F23" s="73"/>
      <c r="G23" s="73"/>
      <c r="H23" s="73"/>
      <c r="I23" s="73"/>
      <c r="J23" s="73"/>
      <c r="K23" s="109">
        <v>8</v>
      </c>
      <c r="L23" s="109"/>
      <c r="M23" s="5" t="e">
        <f>ROUND(C23*#REF!/100,1)</f>
        <v>#REF!</v>
      </c>
      <c r="N23" s="133"/>
      <c r="O23" s="133"/>
      <c r="P23" s="5"/>
      <c r="Q23" s="8"/>
      <c r="R23" s="8"/>
      <c r="S23" s="139"/>
    </row>
    <row r="24" spans="1:19" ht="20.25" hidden="1" customHeight="1">
      <c r="A24" s="35"/>
      <c r="B24" s="54" t="s">
        <v>48</v>
      </c>
      <c r="C24" s="73">
        <f>C43</f>
        <v>25003.992999999999</v>
      </c>
      <c r="D24" s="73"/>
      <c r="E24" s="73"/>
      <c r="F24" s="73"/>
      <c r="G24" s="73"/>
      <c r="H24" s="73"/>
      <c r="I24" s="73"/>
      <c r="J24" s="73"/>
      <c r="K24" s="109">
        <v>6</v>
      </c>
      <c r="L24" s="109"/>
      <c r="M24" s="5" t="e">
        <f>ROUND(C24*#REF!/100,1)</f>
        <v>#REF!</v>
      </c>
      <c r="N24" s="133"/>
      <c r="O24" s="133"/>
      <c r="P24" s="5"/>
      <c r="Q24" s="8"/>
      <c r="R24" s="8"/>
      <c r="S24" s="139"/>
    </row>
    <row r="25" spans="1:19" ht="21" hidden="1" customHeight="1">
      <c r="A25" s="35"/>
      <c r="B25" s="54" t="s">
        <v>49</v>
      </c>
      <c r="C25" s="73">
        <f>C45</f>
        <v>63654.324000000001</v>
      </c>
      <c r="D25" s="73"/>
      <c r="E25" s="73"/>
      <c r="F25" s="73"/>
      <c r="G25" s="73"/>
      <c r="H25" s="73"/>
      <c r="I25" s="73"/>
      <c r="J25" s="73"/>
      <c r="K25" s="110">
        <v>25.2</v>
      </c>
      <c r="L25" s="110"/>
      <c r="M25" s="5" t="e">
        <f>ROUND(C25*#REF!/100,1)</f>
        <v>#REF!</v>
      </c>
      <c r="N25" s="133"/>
      <c r="O25" s="133"/>
      <c r="P25" s="5"/>
      <c r="Q25" s="8"/>
      <c r="R25" s="8"/>
      <c r="S25" s="139"/>
    </row>
    <row r="26" spans="1:19" ht="21" hidden="1" customHeight="1">
      <c r="A26" s="35"/>
      <c r="B26" s="54" t="s">
        <v>50</v>
      </c>
      <c r="C26" s="73">
        <f>C47</f>
        <v>102926.43700000001</v>
      </c>
      <c r="D26" s="73"/>
      <c r="E26" s="73"/>
      <c r="F26" s="73"/>
      <c r="G26" s="73"/>
      <c r="H26" s="73"/>
      <c r="I26" s="73"/>
      <c r="J26" s="73"/>
      <c r="K26" s="109">
        <v>75.7</v>
      </c>
      <c r="L26" s="109"/>
      <c r="M26" s="5" t="e">
        <f>ROUND(C26*#REF!/100,1)</f>
        <v>#REF!</v>
      </c>
      <c r="N26" s="133"/>
      <c r="O26" s="133"/>
      <c r="P26" s="5"/>
      <c r="Q26" s="8"/>
      <c r="R26" s="8"/>
      <c r="S26" s="139"/>
    </row>
    <row r="27" spans="1:19" ht="21" hidden="1" customHeight="1">
      <c r="A27" s="35"/>
      <c r="B27" s="54" t="s">
        <v>51</v>
      </c>
      <c r="C27" s="73">
        <f>C48</f>
        <v>89280.622000000003</v>
      </c>
      <c r="D27" s="73"/>
      <c r="E27" s="73"/>
      <c r="F27" s="73"/>
      <c r="G27" s="73"/>
      <c r="H27" s="73"/>
      <c r="I27" s="73"/>
      <c r="J27" s="73"/>
      <c r="K27" s="109">
        <v>2.4</v>
      </c>
      <c r="L27" s="109"/>
      <c r="M27" s="5" t="e">
        <f>ROUND(C27*#REF!/100,1)</f>
        <v>#REF!</v>
      </c>
      <c r="N27" s="133"/>
      <c r="O27" s="133"/>
      <c r="P27" s="5"/>
      <c r="Q27" s="8"/>
      <c r="R27" s="8"/>
      <c r="S27" s="139"/>
    </row>
    <row r="28" spans="1:19" ht="21" hidden="1" customHeight="1">
      <c r="A28" s="35"/>
      <c r="B28" s="54" t="s">
        <v>52</v>
      </c>
      <c r="C28" s="73">
        <f>C49</f>
        <v>105872.198</v>
      </c>
      <c r="D28" s="73"/>
      <c r="E28" s="73"/>
      <c r="F28" s="73"/>
      <c r="G28" s="73"/>
      <c r="H28" s="73"/>
      <c r="I28" s="73"/>
      <c r="J28" s="73"/>
      <c r="K28" s="109">
        <v>33.9</v>
      </c>
      <c r="L28" s="109"/>
      <c r="M28" s="5" t="e">
        <f>ROUND(C28*#REF!/100,1)</f>
        <v>#REF!</v>
      </c>
      <c r="N28" s="133"/>
      <c r="O28" s="133"/>
      <c r="P28" s="5"/>
      <c r="Q28" s="8"/>
      <c r="R28" s="8"/>
      <c r="S28" s="139"/>
    </row>
    <row r="29" spans="1:19" ht="21" hidden="1" customHeight="1">
      <c r="A29" s="35"/>
      <c r="B29" s="54" t="s">
        <v>53</v>
      </c>
      <c r="C29" s="73">
        <f>C50</f>
        <v>58681.46</v>
      </c>
      <c r="D29" s="73"/>
      <c r="E29" s="73"/>
      <c r="F29" s="73"/>
      <c r="G29" s="73"/>
      <c r="H29" s="73"/>
      <c r="I29" s="73"/>
      <c r="J29" s="73"/>
      <c r="K29" s="109">
        <v>13</v>
      </c>
      <c r="L29" s="109"/>
      <c r="M29" s="5" t="e">
        <f>ROUND(C29*#REF!/100,1)</f>
        <v>#REF!</v>
      </c>
      <c r="N29" s="133"/>
      <c r="O29" s="133"/>
      <c r="P29" s="5"/>
      <c r="Q29" s="8"/>
      <c r="R29" s="8"/>
      <c r="S29" s="139"/>
    </row>
    <row r="30" spans="1:19" ht="21" hidden="1" customHeight="1">
      <c r="A30" s="35"/>
      <c r="B30" s="54" t="s">
        <v>54</v>
      </c>
      <c r="C30" s="73">
        <f>C51</f>
        <v>47247.205999999998</v>
      </c>
      <c r="D30" s="73"/>
      <c r="E30" s="73"/>
      <c r="F30" s="73"/>
      <c r="G30" s="73"/>
      <c r="H30" s="73"/>
      <c r="I30" s="73"/>
      <c r="J30" s="73"/>
      <c r="K30" s="109">
        <v>7.8</v>
      </c>
      <c r="L30" s="109"/>
      <c r="M30" s="5" t="e">
        <f>ROUND(C30*#REF!/100,1)</f>
        <v>#REF!</v>
      </c>
      <c r="N30" s="133"/>
      <c r="O30" s="133"/>
      <c r="P30" s="5"/>
      <c r="Q30" s="8"/>
      <c r="R30" s="8"/>
      <c r="S30" s="139"/>
    </row>
    <row r="31" spans="1:19" ht="21" hidden="1" customHeight="1">
      <c r="A31" s="35"/>
      <c r="B31" s="54" t="s">
        <v>55</v>
      </c>
      <c r="C31" s="73">
        <f>C56</f>
        <v>130063.629</v>
      </c>
      <c r="D31" s="73"/>
      <c r="E31" s="73"/>
      <c r="F31" s="73"/>
      <c r="G31" s="73"/>
      <c r="H31" s="73"/>
      <c r="I31" s="73"/>
      <c r="J31" s="73"/>
      <c r="K31" s="110">
        <v>30</v>
      </c>
      <c r="L31" s="110"/>
      <c r="M31" s="5" t="e">
        <f>ROUND(C31*#REF!/100,1)</f>
        <v>#REF!</v>
      </c>
      <c r="N31" s="133"/>
      <c r="O31" s="133"/>
      <c r="P31" s="5"/>
      <c r="Q31" s="8"/>
      <c r="R31" s="8"/>
      <c r="S31" s="139"/>
    </row>
    <row r="32" spans="1:19" ht="31.5" hidden="1" customHeight="1">
      <c r="A32" s="45" t="s">
        <v>106</v>
      </c>
      <c r="B32" s="56" t="s">
        <v>74</v>
      </c>
      <c r="C32" s="74">
        <v>33466.6</v>
      </c>
      <c r="D32" s="74"/>
      <c r="E32" s="74"/>
      <c r="F32" s="74"/>
      <c r="G32" s="74"/>
      <c r="H32" s="74"/>
      <c r="I32" s="74"/>
      <c r="J32" s="74"/>
      <c r="K32" s="111">
        <f>SUM(K33:K58)</f>
        <v>9516</v>
      </c>
      <c r="L32" s="111"/>
      <c r="M32" s="21" t="e">
        <f>#REF!/K32/12/1.302*1000</f>
        <v>#REF!</v>
      </c>
      <c r="N32" s="112"/>
      <c r="O32" s="112"/>
      <c r="P32" s="21"/>
      <c r="Q32" s="51"/>
      <c r="R32" s="51"/>
      <c r="S32" s="139"/>
    </row>
    <row r="33" spans="1:19" ht="18.75" customHeight="1">
      <c r="A33" s="35"/>
      <c r="B33" s="22" t="s">
        <v>57</v>
      </c>
      <c r="C33" s="95">
        <v>165815.921</v>
      </c>
      <c r="D33" s="95"/>
      <c r="E33" s="90">
        <v>1839400</v>
      </c>
      <c r="F33" s="90">
        <f>ROUND(E33*$E$8/1000*$E$14,1)</f>
        <v>2370.8000000000002</v>
      </c>
      <c r="G33" s="90">
        <v>0</v>
      </c>
      <c r="H33" s="90">
        <f>ROUND(G33*1.302/1000*$G$14,1)</f>
        <v>0</v>
      </c>
      <c r="I33" s="99">
        <v>4293780</v>
      </c>
      <c r="J33" s="99">
        <f>ROUND(I33*1.04/1000,1)</f>
        <v>4465.5</v>
      </c>
      <c r="K33" s="110">
        <v>479</v>
      </c>
      <c r="L33" s="130">
        <v>312.2</v>
      </c>
      <c r="M33" s="5">
        <f>ROUND(((C33-F33+H33-D33)/1.302+J33)/12/L33*1000,0)</f>
        <v>34700</v>
      </c>
      <c r="N33" s="133">
        <f>ROUND(M33*$N$14,0)</f>
        <v>33429</v>
      </c>
      <c r="O33" s="133">
        <f t="shared" ref="O33:O58" si="1">C33-D33-F33+H33+J33</f>
        <v>167910.62100000001</v>
      </c>
      <c r="P33" s="5">
        <f t="shared" ref="P33:P58" si="2">N33*L33*12*1.302/1000</f>
        <v>163060.40409120001</v>
      </c>
      <c r="Q33" s="8">
        <v>33238</v>
      </c>
      <c r="R33" s="8">
        <f>N33-Q33</f>
        <v>191</v>
      </c>
      <c r="S33" s="139">
        <f t="shared" ref="S33:S58" si="3">C33-D33-F33+H33+J33-P33</f>
        <v>4850.2169088000082</v>
      </c>
    </row>
    <row r="34" spans="1:19" ht="18.75" customHeight="1">
      <c r="A34" s="35"/>
      <c r="B34" s="22" t="s">
        <v>58</v>
      </c>
      <c r="C34" s="95">
        <v>44310.419000000002</v>
      </c>
      <c r="D34" s="95"/>
      <c r="E34" s="90">
        <v>123200</v>
      </c>
      <c r="F34" s="90">
        <f t="shared" ref="F34:F58" si="4">ROUND(E34*$E$8/1000*$E$14,1)</f>
        <v>158.80000000000001</v>
      </c>
      <c r="G34" s="90">
        <v>0</v>
      </c>
      <c r="H34" s="90">
        <f t="shared" ref="H34:H58" si="5">ROUND(G34*1.302/1000*$G$14,1)</f>
        <v>0</v>
      </c>
      <c r="I34" s="99">
        <v>3016700</v>
      </c>
      <c r="J34" s="99">
        <f t="shared" ref="J34:J58" si="6">ROUND(I34*1.04/1000,1)</f>
        <v>3137.4</v>
      </c>
      <c r="K34" s="110">
        <v>260</v>
      </c>
      <c r="L34" s="130">
        <v>87.1</v>
      </c>
      <c r="M34" s="5">
        <f t="shared" ref="M34:M58" si="7">ROUND(((C34-F34+H34-D34)/1.302+J34)/12/L34*1000,0)</f>
        <v>35446</v>
      </c>
      <c r="N34" s="133">
        <f>ROUND(M34*$N$14,0)</f>
        <v>34148</v>
      </c>
      <c r="O34" s="133">
        <f t="shared" si="1"/>
        <v>47289.019</v>
      </c>
      <c r="P34" s="5">
        <f t="shared" si="2"/>
        <v>46470.319459199993</v>
      </c>
      <c r="Q34" s="8">
        <v>33060</v>
      </c>
      <c r="R34" s="8">
        <f t="shared" ref="R34:R58" si="8">N34-Q34</f>
        <v>1088</v>
      </c>
      <c r="S34" s="139">
        <f t="shared" si="3"/>
        <v>818.69954080000753</v>
      </c>
    </row>
    <row r="35" spans="1:19" ht="18.75" customHeight="1">
      <c r="A35" s="35"/>
      <c r="B35" s="22" t="s">
        <v>59</v>
      </c>
      <c r="C35" s="95">
        <v>33259.932000000001</v>
      </c>
      <c r="D35" s="95"/>
      <c r="E35" s="90">
        <v>221400</v>
      </c>
      <c r="F35" s="90">
        <f t="shared" si="4"/>
        <v>285.39999999999998</v>
      </c>
      <c r="G35" s="90">
        <v>0</v>
      </c>
      <c r="H35" s="90">
        <f t="shared" si="5"/>
        <v>0</v>
      </c>
      <c r="I35" s="99">
        <v>2425460</v>
      </c>
      <c r="J35" s="99">
        <f t="shared" si="6"/>
        <v>2522.5</v>
      </c>
      <c r="K35" s="110">
        <v>168</v>
      </c>
      <c r="L35" s="130">
        <v>61.6</v>
      </c>
      <c r="M35" s="5">
        <f t="shared" si="7"/>
        <v>37674</v>
      </c>
      <c r="N35" s="133">
        <f>ROUND(M35*$N$14,0)</f>
        <v>36294</v>
      </c>
      <c r="O35" s="133">
        <f t="shared" si="1"/>
        <v>35497.031999999999</v>
      </c>
      <c r="P35" s="5">
        <f t="shared" si="2"/>
        <v>34930.739289600002</v>
      </c>
      <c r="Q35" s="8">
        <v>34412</v>
      </c>
      <c r="R35" s="8">
        <f t="shared" si="8"/>
        <v>1882</v>
      </c>
      <c r="S35" s="139">
        <f t="shared" si="3"/>
        <v>566.2927103999973</v>
      </c>
    </row>
    <row r="36" spans="1:19" ht="18.75" customHeight="1">
      <c r="A36" s="35"/>
      <c r="B36" s="22" t="s">
        <v>60</v>
      </c>
      <c r="C36" s="95">
        <v>47093.749000000003</v>
      </c>
      <c r="D36" s="95"/>
      <c r="E36" s="90">
        <v>128199.99999999999</v>
      </c>
      <c r="F36" s="90">
        <f t="shared" si="4"/>
        <v>165.2</v>
      </c>
      <c r="G36" s="90">
        <v>0</v>
      </c>
      <c r="H36" s="90">
        <f t="shared" si="5"/>
        <v>0</v>
      </c>
      <c r="I36" s="100">
        <v>3847600</v>
      </c>
      <c r="J36" s="99">
        <f t="shared" si="6"/>
        <v>4001.5</v>
      </c>
      <c r="K36" s="110">
        <v>199</v>
      </c>
      <c r="L36" s="130">
        <v>104.1</v>
      </c>
      <c r="M36" s="5">
        <f>ROUND(((C36-F36+H36-D36)/1.302+J36)/12/L36*1000,0)</f>
        <v>32056</v>
      </c>
      <c r="N36" s="133">
        <v>31312</v>
      </c>
      <c r="O36" s="133">
        <f t="shared" si="1"/>
        <v>50930.049000000006</v>
      </c>
      <c r="P36" s="5">
        <f t="shared" si="2"/>
        <v>50927.665420800004</v>
      </c>
      <c r="Q36" s="8">
        <v>32370</v>
      </c>
      <c r="R36" s="8">
        <f>N36-Q36</f>
        <v>-1058</v>
      </c>
      <c r="S36" s="139">
        <f t="shared" si="3"/>
        <v>2.3835792000027141</v>
      </c>
    </row>
    <row r="37" spans="1:19" ht="18.75" customHeight="1">
      <c r="A37" s="35"/>
      <c r="B37" s="23" t="s">
        <v>61</v>
      </c>
      <c r="C37" s="95">
        <v>53258.423000000003</v>
      </c>
      <c r="D37" s="95"/>
      <c r="E37" s="90">
        <v>649000</v>
      </c>
      <c r="F37" s="90">
        <f t="shared" si="4"/>
        <v>836.5</v>
      </c>
      <c r="G37" s="90">
        <v>0</v>
      </c>
      <c r="H37" s="90">
        <f t="shared" si="5"/>
        <v>0</v>
      </c>
      <c r="I37" s="100">
        <v>1044599.9999999999</v>
      </c>
      <c r="J37" s="99">
        <f t="shared" si="6"/>
        <v>1086.4000000000001</v>
      </c>
      <c r="K37" s="110">
        <v>242</v>
      </c>
      <c r="L37" s="130">
        <v>105.6</v>
      </c>
      <c r="M37" s="5">
        <f t="shared" si="7"/>
        <v>32630</v>
      </c>
      <c r="N37" s="133">
        <f t="shared" ref="N37:N57" si="9">ROUND(M37*$N$14,0)</f>
        <v>31435</v>
      </c>
      <c r="O37" s="133">
        <f t="shared" si="1"/>
        <v>53508.323000000004</v>
      </c>
      <c r="P37" s="5">
        <f t="shared" si="2"/>
        <v>51864.430464000005</v>
      </c>
      <c r="Q37" s="8">
        <v>28518</v>
      </c>
      <c r="R37" s="8">
        <f t="shared" si="8"/>
        <v>2917</v>
      </c>
      <c r="S37" s="139">
        <f t="shared" si="3"/>
        <v>1643.8925359999994</v>
      </c>
    </row>
    <row r="38" spans="1:19" ht="18.75" customHeight="1">
      <c r="A38" s="35"/>
      <c r="B38" s="23" t="s">
        <v>62</v>
      </c>
      <c r="C38" s="95">
        <v>88140.017000000007</v>
      </c>
      <c r="D38" s="95"/>
      <c r="E38" s="90">
        <v>520299.99999999994</v>
      </c>
      <c r="F38" s="90">
        <f t="shared" si="4"/>
        <v>670.6</v>
      </c>
      <c r="G38" s="90">
        <v>0</v>
      </c>
      <c r="H38" s="90">
        <f t="shared" si="5"/>
        <v>0</v>
      </c>
      <c r="I38" s="100">
        <v>4765400</v>
      </c>
      <c r="J38" s="99">
        <f t="shared" si="6"/>
        <v>4956</v>
      </c>
      <c r="K38" s="110">
        <v>251</v>
      </c>
      <c r="L38" s="130">
        <v>155.6</v>
      </c>
      <c r="M38" s="5">
        <f t="shared" si="7"/>
        <v>38634</v>
      </c>
      <c r="N38" s="133">
        <f t="shared" si="9"/>
        <v>37219</v>
      </c>
      <c r="O38" s="133">
        <f t="shared" si="1"/>
        <v>92425.417000000001</v>
      </c>
      <c r="P38" s="5">
        <f t="shared" si="2"/>
        <v>90482.902473599999</v>
      </c>
      <c r="Q38" s="8">
        <v>31441</v>
      </c>
      <c r="R38" s="8">
        <f t="shared" si="8"/>
        <v>5778</v>
      </c>
      <c r="S38" s="139">
        <f t="shared" si="3"/>
        <v>1942.5145264000021</v>
      </c>
    </row>
    <row r="39" spans="1:19" ht="18.75" customHeight="1">
      <c r="A39" s="35"/>
      <c r="B39" s="23" t="s">
        <v>44</v>
      </c>
      <c r="C39" s="95">
        <v>46632.343999999997</v>
      </c>
      <c r="D39" s="95"/>
      <c r="E39" s="90">
        <v>267500</v>
      </c>
      <c r="F39" s="90">
        <f t="shared" si="4"/>
        <v>344.8</v>
      </c>
      <c r="G39" s="90">
        <v>0</v>
      </c>
      <c r="H39" s="90">
        <f t="shared" si="5"/>
        <v>0</v>
      </c>
      <c r="I39" s="100">
        <v>2858060</v>
      </c>
      <c r="J39" s="99">
        <f t="shared" si="6"/>
        <v>2972.4</v>
      </c>
      <c r="K39" s="110">
        <v>162</v>
      </c>
      <c r="L39" s="130">
        <v>95.4</v>
      </c>
      <c r="M39" s="5">
        <f t="shared" si="7"/>
        <v>33651</v>
      </c>
      <c r="N39" s="133">
        <f t="shared" si="9"/>
        <v>32419</v>
      </c>
      <c r="O39" s="133">
        <f t="shared" si="1"/>
        <v>49259.943999999996</v>
      </c>
      <c r="P39" s="5">
        <f t="shared" si="2"/>
        <v>48321.479102400008</v>
      </c>
      <c r="Q39" s="8">
        <v>29585</v>
      </c>
      <c r="R39" s="8">
        <f t="shared" si="8"/>
        <v>2834</v>
      </c>
      <c r="S39" s="139">
        <f t="shared" si="3"/>
        <v>938.46489759998803</v>
      </c>
    </row>
    <row r="40" spans="1:19" ht="18.75" customHeight="1">
      <c r="A40" s="35"/>
      <c r="B40" s="23" t="s">
        <v>45</v>
      </c>
      <c r="C40" s="95">
        <v>39659.917999999998</v>
      </c>
      <c r="D40" s="95"/>
      <c r="E40" s="90">
        <v>518600</v>
      </c>
      <c r="F40" s="90">
        <f t="shared" si="4"/>
        <v>668.4</v>
      </c>
      <c r="G40" s="90">
        <v>5500</v>
      </c>
      <c r="H40" s="90">
        <f t="shared" si="5"/>
        <v>6.9</v>
      </c>
      <c r="I40" s="100">
        <v>3102900</v>
      </c>
      <c r="J40" s="99">
        <f t="shared" si="6"/>
        <v>3227</v>
      </c>
      <c r="K40" s="110">
        <v>172</v>
      </c>
      <c r="L40" s="130">
        <v>77</v>
      </c>
      <c r="M40" s="5">
        <f t="shared" si="7"/>
        <v>35909</v>
      </c>
      <c r="N40" s="133">
        <f t="shared" si="9"/>
        <v>34594</v>
      </c>
      <c r="O40" s="133">
        <f t="shared" si="1"/>
        <v>42225.417999999998</v>
      </c>
      <c r="P40" s="5">
        <f t="shared" si="2"/>
        <v>41618.242512000004</v>
      </c>
      <c r="Q40" s="121">
        <v>33952</v>
      </c>
      <c r="R40" s="8">
        <f t="shared" si="8"/>
        <v>642</v>
      </c>
      <c r="S40" s="139">
        <f t="shared" si="3"/>
        <v>607.17548799999349</v>
      </c>
    </row>
    <row r="41" spans="1:19" ht="18.75" customHeight="1">
      <c r="A41" s="35"/>
      <c r="B41" s="23" t="s">
        <v>46</v>
      </c>
      <c r="C41" s="95">
        <v>48563.832000000002</v>
      </c>
      <c r="D41" s="95"/>
      <c r="E41" s="90">
        <v>0</v>
      </c>
      <c r="F41" s="90">
        <f t="shared" si="4"/>
        <v>0</v>
      </c>
      <c r="G41" s="90">
        <v>0</v>
      </c>
      <c r="H41" s="90">
        <f t="shared" si="5"/>
        <v>0</v>
      </c>
      <c r="I41" s="100">
        <v>2822600</v>
      </c>
      <c r="J41" s="99">
        <f t="shared" si="6"/>
        <v>2935.5</v>
      </c>
      <c r="K41" s="110">
        <v>198</v>
      </c>
      <c r="L41" s="130">
        <v>88.2</v>
      </c>
      <c r="M41" s="5">
        <f t="shared" si="7"/>
        <v>38015</v>
      </c>
      <c r="N41" s="133">
        <f t="shared" si="9"/>
        <v>36623</v>
      </c>
      <c r="O41" s="133">
        <f t="shared" si="1"/>
        <v>51499.332000000002</v>
      </c>
      <c r="P41" s="5">
        <f t="shared" si="2"/>
        <v>50467.841726400002</v>
      </c>
      <c r="Q41" s="8">
        <v>33500</v>
      </c>
      <c r="R41" s="8">
        <f t="shared" si="8"/>
        <v>3123</v>
      </c>
      <c r="S41" s="139">
        <f t="shared" si="3"/>
        <v>1031.4902736000004</v>
      </c>
    </row>
    <row r="42" spans="1:19" ht="18.75" customHeight="1">
      <c r="A42" s="35"/>
      <c r="B42" s="23" t="s">
        <v>47</v>
      </c>
      <c r="C42" s="95">
        <v>26082.685000000001</v>
      </c>
      <c r="D42" s="95"/>
      <c r="E42" s="90">
        <v>207000</v>
      </c>
      <c r="F42" s="90">
        <f t="shared" si="4"/>
        <v>266.8</v>
      </c>
      <c r="G42" s="90">
        <v>0</v>
      </c>
      <c r="H42" s="90">
        <f t="shared" si="5"/>
        <v>0</v>
      </c>
      <c r="I42" s="100">
        <v>1398600</v>
      </c>
      <c r="J42" s="99">
        <f t="shared" si="6"/>
        <v>1454.5</v>
      </c>
      <c r="K42" s="110">
        <v>113</v>
      </c>
      <c r="L42" s="130">
        <v>33.200000000000003</v>
      </c>
      <c r="M42" s="5">
        <f t="shared" si="7"/>
        <v>53420</v>
      </c>
      <c r="N42" s="133">
        <f t="shared" si="9"/>
        <v>51463</v>
      </c>
      <c r="O42" s="133">
        <f t="shared" si="1"/>
        <v>27270.385000000002</v>
      </c>
      <c r="P42" s="5">
        <f t="shared" si="2"/>
        <v>26694.722678400005</v>
      </c>
      <c r="Q42" s="8">
        <v>41343</v>
      </c>
      <c r="R42" s="8">
        <f t="shared" si="8"/>
        <v>10120</v>
      </c>
      <c r="S42" s="139">
        <f t="shared" si="3"/>
        <v>575.66232159999709</v>
      </c>
    </row>
    <row r="43" spans="1:19" ht="18.75" customHeight="1">
      <c r="A43" s="35"/>
      <c r="B43" s="23" t="s">
        <v>48</v>
      </c>
      <c r="C43" s="95">
        <v>25003.992999999999</v>
      </c>
      <c r="D43" s="95"/>
      <c r="E43" s="90">
        <v>352700</v>
      </c>
      <c r="F43" s="90">
        <f t="shared" si="4"/>
        <v>454.6</v>
      </c>
      <c r="G43" s="90">
        <v>0</v>
      </c>
      <c r="H43" s="90">
        <f t="shared" si="5"/>
        <v>0</v>
      </c>
      <c r="I43" s="100">
        <v>724200</v>
      </c>
      <c r="J43" s="99">
        <f t="shared" si="6"/>
        <v>753.2</v>
      </c>
      <c r="K43" s="110">
        <v>141</v>
      </c>
      <c r="L43" s="130">
        <v>47</v>
      </c>
      <c r="M43" s="5">
        <f t="shared" si="7"/>
        <v>34767</v>
      </c>
      <c r="N43" s="133">
        <f t="shared" si="9"/>
        <v>33494</v>
      </c>
      <c r="O43" s="133">
        <f t="shared" si="1"/>
        <v>25302.593000000001</v>
      </c>
      <c r="P43" s="5">
        <f t="shared" si="2"/>
        <v>24595.582032000002</v>
      </c>
      <c r="Q43" s="8">
        <v>32700</v>
      </c>
      <c r="R43" s="8">
        <f>N43-Q43</f>
        <v>794</v>
      </c>
      <c r="S43" s="139">
        <f t="shared" si="3"/>
        <v>707.01096799999868</v>
      </c>
    </row>
    <row r="44" spans="1:19" ht="18.75" customHeight="1">
      <c r="A44" s="35"/>
      <c r="B44" s="23" t="s">
        <v>63</v>
      </c>
      <c r="C44" s="95">
        <v>75969.216</v>
      </c>
      <c r="D44" s="95"/>
      <c r="E44" s="90">
        <v>842900</v>
      </c>
      <c r="F44" s="90">
        <f t="shared" si="4"/>
        <v>1086.4000000000001</v>
      </c>
      <c r="G44" s="90">
        <v>124700</v>
      </c>
      <c r="H44" s="90">
        <f t="shared" si="5"/>
        <v>155.69999999999999</v>
      </c>
      <c r="I44" s="100">
        <v>656900</v>
      </c>
      <c r="J44" s="99">
        <f t="shared" si="6"/>
        <v>683.2</v>
      </c>
      <c r="K44" s="110">
        <v>263</v>
      </c>
      <c r="L44" s="130">
        <v>149.4</v>
      </c>
      <c r="M44" s="5">
        <f t="shared" si="7"/>
        <v>32528</v>
      </c>
      <c r="N44" s="133">
        <f t="shared" si="9"/>
        <v>31337</v>
      </c>
      <c r="O44" s="133">
        <f t="shared" si="1"/>
        <v>75721.716</v>
      </c>
      <c r="P44" s="5">
        <f t="shared" si="2"/>
        <v>73147.627627199996</v>
      </c>
      <c r="Q44" s="8">
        <v>30388</v>
      </c>
      <c r="R44" s="8">
        <f t="shared" si="8"/>
        <v>949</v>
      </c>
      <c r="S44" s="139">
        <f t="shared" si="3"/>
        <v>2574.0883728000044</v>
      </c>
    </row>
    <row r="45" spans="1:19" ht="18.75" customHeight="1">
      <c r="A45" s="35"/>
      <c r="B45" s="23" t="s">
        <v>49</v>
      </c>
      <c r="C45" s="95">
        <v>63654.324000000001</v>
      </c>
      <c r="D45" s="95"/>
      <c r="E45" s="90">
        <v>353700</v>
      </c>
      <c r="F45" s="90">
        <f t="shared" si="4"/>
        <v>455.9</v>
      </c>
      <c r="G45" s="90">
        <v>2600</v>
      </c>
      <c r="H45" s="90">
        <f t="shared" si="5"/>
        <v>3.2</v>
      </c>
      <c r="I45" s="100">
        <v>960200</v>
      </c>
      <c r="J45" s="99">
        <f t="shared" si="6"/>
        <v>998.6</v>
      </c>
      <c r="K45" s="110">
        <v>313</v>
      </c>
      <c r="L45" s="130">
        <v>127.7</v>
      </c>
      <c r="M45" s="5">
        <f t="shared" si="7"/>
        <v>32329</v>
      </c>
      <c r="N45" s="133">
        <f t="shared" si="9"/>
        <v>31145</v>
      </c>
      <c r="O45" s="133">
        <f t="shared" si="1"/>
        <v>64200.223999999995</v>
      </c>
      <c r="P45" s="5">
        <f t="shared" si="2"/>
        <v>62140.030596000004</v>
      </c>
      <c r="Q45" s="8">
        <v>30920</v>
      </c>
      <c r="R45" s="8">
        <f t="shared" si="8"/>
        <v>225</v>
      </c>
      <c r="S45" s="139">
        <f t="shared" si="3"/>
        <v>2060.1934039999906</v>
      </c>
    </row>
    <row r="46" spans="1:19" ht="18.75" customHeight="1">
      <c r="A46" s="35"/>
      <c r="B46" s="23" t="s">
        <v>64</v>
      </c>
      <c r="C46" s="95">
        <v>94724.584000000003</v>
      </c>
      <c r="D46" s="95"/>
      <c r="E46" s="90">
        <v>195400</v>
      </c>
      <c r="F46" s="90">
        <f t="shared" si="4"/>
        <v>251.8</v>
      </c>
      <c r="G46" s="90">
        <v>0</v>
      </c>
      <c r="H46" s="90">
        <f t="shared" si="5"/>
        <v>0</v>
      </c>
      <c r="I46" s="100">
        <v>4935090</v>
      </c>
      <c r="J46" s="99">
        <f t="shared" si="6"/>
        <v>5132.5</v>
      </c>
      <c r="K46" s="110">
        <v>387</v>
      </c>
      <c r="L46" s="130">
        <v>132.1</v>
      </c>
      <c r="M46" s="5">
        <f t="shared" si="7"/>
        <v>49011</v>
      </c>
      <c r="N46" s="133">
        <f t="shared" si="9"/>
        <v>47216</v>
      </c>
      <c r="O46" s="133">
        <f t="shared" si="1"/>
        <v>99605.284</v>
      </c>
      <c r="P46" s="5">
        <f t="shared" si="2"/>
        <v>97450.537766399997</v>
      </c>
      <c r="Q46" s="8">
        <v>40850</v>
      </c>
      <c r="R46" s="8">
        <f t="shared" si="8"/>
        <v>6366</v>
      </c>
      <c r="S46" s="139">
        <f t="shared" si="3"/>
        <v>2154.7462336000026</v>
      </c>
    </row>
    <row r="47" spans="1:19" ht="18.75" customHeight="1">
      <c r="A47" s="35"/>
      <c r="B47" s="23" t="s">
        <v>50</v>
      </c>
      <c r="C47" s="95">
        <v>102926.43700000001</v>
      </c>
      <c r="D47" s="95"/>
      <c r="E47" s="90">
        <v>467900</v>
      </c>
      <c r="F47" s="90">
        <f t="shared" si="4"/>
        <v>603.1</v>
      </c>
      <c r="G47" s="90">
        <v>0</v>
      </c>
      <c r="H47" s="90">
        <f t="shared" si="5"/>
        <v>0</v>
      </c>
      <c r="I47" s="100">
        <v>5839900</v>
      </c>
      <c r="J47" s="99">
        <f t="shared" si="6"/>
        <v>6073.5</v>
      </c>
      <c r="K47" s="110">
        <v>362</v>
      </c>
      <c r="L47" s="130">
        <v>200.6</v>
      </c>
      <c r="M47" s="5">
        <f t="shared" si="7"/>
        <v>35171</v>
      </c>
      <c r="N47" s="133">
        <f t="shared" si="9"/>
        <v>33883</v>
      </c>
      <c r="O47" s="133">
        <f t="shared" si="1"/>
        <v>108396.837</v>
      </c>
      <c r="P47" s="5">
        <f t="shared" si="2"/>
        <v>106195.2311952</v>
      </c>
      <c r="Q47" s="8">
        <v>31967</v>
      </c>
      <c r="R47" s="8">
        <f t="shared" si="8"/>
        <v>1916</v>
      </c>
      <c r="S47" s="139">
        <f t="shared" si="3"/>
        <v>2201.6058047999977</v>
      </c>
    </row>
    <row r="48" spans="1:19" ht="18.75" customHeight="1">
      <c r="A48" s="35"/>
      <c r="B48" s="23" t="s">
        <v>51</v>
      </c>
      <c r="C48" s="95">
        <v>89280.622000000003</v>
      </c>
      <c r="D48" s="95"/>
      <c r="E48" s="90">
        <v>244000</v>
      </c>
      <c r="F48" s="90">
        <f t="shared" si="4"/>
        <v>314.5</v>
      </c>
      <c r="G48" s="90">
        <v>111700</v>
      </c>
      <c r="H48" s="90">
        <f t="shared" si="5"/>
        <v>139.5</v>
      </c>
      <c r="I48" s="100">
        <v>6114600</v>
      </c>
      <c r="J48" s="99">
        <f t="shared" si="6"/>
        <v>6359.2</v>
      </c>
      <c r="K48" s="110">
        <v>283</v>
      </c>
      <c r="L48" s="130">
        <v>148.19999999999999</v>
      </c>
      <c r="M48" s="5">
        <f t="shared" si="7"/>
        <v>42058</v>
      </c>
      <c r="N48" s="133">
        <f t="shared" si="9"/>
        <v>40518</v>
      </c>
      <c r="O48" s="133">
        <f t="shared" si="1"/>
        <v>95464.822</v>
      </c>
      <c r="P48" s="5">
        <f t="shared" si="2"/>
        <v>93818.488982399984</v>
      </c>
      <c r="Q48" s="8">
        <v>31697</v>
      </c>
      <c r="R48" s="8">
        <f t="shared" si="8"/>
        <v>8821</v>
      </c>
      <c r="S48" s="139">
        <f t="shared" si="3"/>
        <v>1646.3330176000163</v>
      </c>
    </row>
    <row r="49" spans="1:19" ht="18.75" customHeight="1">
      <c r="A49" s="35"/>
      <c r="B49" s="23" t="s">
        <v>52</v>
      </c>
      <c r="C49" s="95">
        <v>105872.198</v>
      </c>
      <c r="D49" s="95"/>
      <c r="E49" s="90">
        <v>781100</v>
      </c>
      <c r="F49" s="90">
        <f t="shared" si="4"/>
        <v>1006.7</v>
      </c>
      <c r="G49" s="90">
        <v>169300</v>
      </c>
      <c r="H49" s="90">
        <f t="shared" si="5"/>
        <v>211.4</v>
      </c>
      <c r="I49" s="100">
        <v>8713510</v>
      </c>
      <c r="J49" s="99">
        <f t="shared" si="6"/>
        <v>9062.1</v>
      </c>
      <c r="K49" s="110">
        <v>371</v>
      </c>
      <c r="L49" s="130">
        <v>226.1</v>
      </c>
      <c r="M49" s="5">
        <f t="shared" si="7"/>
        <v>33085</v>
      </c>
      <c r="N49" s="133">
        <f t="shared" si="9"/>
        <v>31873</v>
      </c>
      <c r="O49" s="133">
        <f t="shared" si="1"/>
        <v>114138.99800000001</v>
      </c>
      <c r="P49" s="5">
        <f t="shared" si="2"/>
        <v>112594.12632719999</v>
      </c>
      <c r="Q49" s="8">
        <v>31112</v>
      </c>
      <c r="R49" s="8">
        <f t="shared" si="8"/>
        <v>761</v>
      </c>
      <c r="S49" s="139">
        <f t="shared" si="3"/>
        <v>1544.8716728000145</v>
      </c>
    </row>
    <row r="50" spans="1:19" ht="18.75" customHeight="1">
      <c r="A50" s="35"/>
      <c r="B50" s="23" t="s">
        <v>53</v>
      </c>
      <c r="C50" s="95">
        <v>58681.46</v>
      </c>
      <c r="D50" s="95"/>
      <c r="E50" s="90">
        <v>161100</v>
      </c>
      <c r="F50" s="90">
        <f t="shared" si="4"/>
        <v>207.6</v>
      </c>
      <c r="G50" s="90">
        <v>1600</v>
      </c>
      <c r="H50" s="90">
        <f t="shared" si="5"/>
        <v>2</v>
      </c>
      <c r="I50" s="100">
        <v>4340000</v>
      </c>
      <c r="J50" s="99">
        <f t="shared" si="6"/>
        <v>4513.6000000000004</v>
      </c>
      <c r="K50" s="110">
        <v>324</v>
      </c>
      <c r="L50" s="130">
        <v>115.1</v>
      </c>
      <c r="M50" s="5">
        <f t="shared" si="7"/>
        <v>35785</v>
      </c>
      <c r="N50" s="133">
        <f t="shared" si="9"/>
        <v>34474</v>
      </c>
      <c r="O50" s="133">
        <f t="shared" si="1"/>
        <v>62989.46</v>
      </c>
      <c r="P50" s="5">
        <f t="shared" si="2"/>
        <v>61995.366417600002</v>
      </c>
      <c r="Q50" s="8">
        <v>33950</v>
      </c>
      <c r="R50" s="8">
        <f t="shared" si="8"/>
        <v>524</v>
      </c>
      <c r="S50" s="139">
        <f t="shared" si="3"/>
        <v>994.0935823999971</v>
      </c>
    </row>
    <row r="51" spans="1:19" ht="18.75" customHeight="1">
      <c r="A51" s="35"/>
      <c r="B51" s="23" t="s">
        <v>54</v>
      </c>
      <c r="C51" s="95">
        <v>47247.205999999998</v>
      </c>
      <c r="D51" s="95"/>
      <c r="E51" s="90">
        <v>147600</v>
      </c>
      <c r="F51" s="90">
        <f t="shared" si="4"/>
        <v>190.2</v>
      </c>
      <c r="G51" s="90">
        <v>21100</v>
      </c>
      <c r="H51" s="90">
        <f t="shared" si="5"/>
        <v>26.3</v>
      </c>
      <c r="I51" s="100">
        <v>1151400</v>
      </c>
      <c r="J51" s="99">
        <f t="shared" si="6"/>
        <v>1197.5</v>
      </c>
      <c r="K51" s="110">
        <v>140</v>
      </c>
      <c r="L51" s="130">
        <v>88.9</v>
      </c>
      <c r="M51" s="5">
        <f t="shared" si="7"/>
        <v>35020</v>
      </c>
      <c r="N51" s="133">
        <f t="shared" si="9"/>
        <v>33737</v>
      </c>
      <c r="O51" s="133">
        <f t="shared" si="1"/>
        <v>48280.806000000004</v>
      </c>
      <c r="P51" s="5">
        <f t="shared" si="2"/>
        <v>46859.802343200005</v>
      </c>
      <c r="Q51" s="8">
        <v>30213</v>
      </c>
      <c r="R51" s="8">
        <f t="shared" si="8"/>
        <v>3524</v>
      </c>
      <c r="S51" s="139">
        <f t="shared" si="3"/>
        <v>1421.0036567999996</v>
      </c>
    </row>
    <row r="52" spans="1:19" ht="18.75" customHeight="1">
      <c r="A52" s="35"/>
      <c r="B52" s="23" t="s">
        <v>66</v>
      </c>
      <c r="C52" s="95">
        <v>941774.76100000006</v>
      </c>
      <c r="D52" s="95">
        <v>16981.303</v>
      </c>
      <c r="E52" s="90">
        <v>9285800</v>
      </c>
      <c r="F52" s="90">
        <f t="shared" si="4"/>
        <v>11968.4</v>
      </c>
      <c r="G52" s="90">
        <v>3179500</v>
      </c>
      <c r="H52" s="90">
        <f t="shared" si="5"/>
        <v>3970</v>
      </c>
      <c r="I52" s="100">
        <v>1724020</v>
      </c>
      <c r="J52" s="99">
        <f>ROUND(I52*1.04/1000,1)-0.2</f>
        <v>1792.8</v>
      </c>
      <c r="K52" s="110">
        <v>2171</v>
      </c>
      <c r="L52" s="130">
        <v>2014.1</v>
      </c>
      <c r="M52" s="5">
        <f t="shared" si="7"/>
        <v>29208</v>
      </c>
      <c r="N52" s="133">
        <f t="shared" si="9"/>
        <v>28138</v>
      </c>
      <c r="O52" s="133">
        <f t="shared" si="1"/>
        <v>918587.85800000012</v>
      </c>
      <c r="P52" s="5">
        <f t="shared" si="2"/>
        <v>885454.98037919984</v>
      </c>
      <c r="Q52" s="8">
        <v>26644</v>
      </c>
      <c r="R52" s="8">
        <f t="shared" si="8"/>
        <v>1494</v>
      </c>
      <c r="S52" s="139">
        <f t="shared" si="3"/>
        <v>33132.877620800282</v>
      </c>
    </row>
    <row r="53" spans="1:19" ht="18.75" customHeight="1">
      <c r="A53" s="35"/>
      <c r="B53" s="23" t="s">
        <v>67</v>
      </c>
      <c r="C53" s="95">
        <v>764490.87</v>
      </c>
      <c r="D53" s="95">
        <v>1026.9000000000001</v>
      </c>
      <c r="E53" s="90">
        <v>3321800</v>
      </c>
      <c r="F53" s="90">
        <f t="shared" si="4"/>
        <v>4281.3999999999996</v>
      </c>
      <c r="G53" s="90">
        <v>1051800</v>
      </c>
      <c r="H53" s="90">
        <f t="shared" si="5"/>
        <v>1313.3</v>
      </c>
      <c r="I53" s="100">
        <v>0</v>
      </c>
      <c r="J53" s="99">
        <f t="shared" si="6"/>
        <v>0</v>
      </c>
      <c r="K53" s="110">
        <v>1279</v>
      </c>
      <c r="L53" s="130">
        <v>1427.7</v>
      </c>
      <c r="M53" s="5">
        <f t="shared" si="7"/>
        <v>34093</v>
      </c>
      <c r="N53" s="133">
        <f t="shared" si="9"/>
        <v>32844</v>
      </c>
      <c r="O53" s="133">
        <f t="shared" si="1"/>
        <v>760495.87</v>
      </c>
      <c r="P53" s="5">
        <f t="shared" si="2"/>
        <v>732630.90237120003</v>
      </c>
      <c r="Q53" s="8">
        <v>30988</v>
      </c>
      <c r="R53" s="8">
        <f t="shared" si="8"/>
        <v>1856</v>
      </c>
      <c r="S53" s="139">
        <f t="shared" si="3"/>
        <v>27864.967628799961</v>
      </c>
    </row>
    <row r="54" spans="1:19" ht="18.75" customHeight="1">
      <c r="A54" s="35"/>
      <c r="B54" s="23" t="s">
        <v>68</v>
      </c>
      <c r="C54" s="95">
        <v>246430.17600000001</v>
      </c>
      <c r="D54" s="95">
        <v>2991.8519999999999</v>
      </c>
      <c r="E54" s="90">
        <v>2650800</v>
      </c>
      <c r="F54" s="90">
        <f t="shared" si="4"/>
        <v>3416.6</v>
      </c>
      <c r="G54" s="90">
        <v>1860000</v>
      </c>
      <c r="H54" s="90">
        <f t="shared" si="5"/>
        <v>2322.5</v>
      </c>
      <c r="I54" s="100">
        <v>0</v>
      </c>
      <c r="J54" s="99">
        <f t="shared" si="6"/>
        <v>0</v>
      </c>
      <c r="K54" s="110">
        <v>466</v>
      </c>
      <c r="L54" s="130">
        <v>528.4</v>
      </c>
      <c r="M54" s="5">
        <f t="shared" si="7"/>
        <v>29355</v>
      </c>
      <c r="N54" s="133">
        <f t="shared" si="9"/>
        <v>28280</v>
      </c>
      <c r="O54" s="133">
        <f t="shared" si="1"/>
        <v>242344.22399999999</v>
      </c>
      <c r="P54" s="5">
        <f t="shared" si="2"/>
        <v>233471.80684800001</v>
      </c>
      <c r="Q54" s="8">
        <v>26658</v>
      </c>
      <c r="R54" s="8">
        <f t="shared" si="8"/>
        <v>1622</v>
      </c>
      <c r="S54" s="139">
        <f t="shared" si="3"/>
        <v>8872.41715199998</v>
      </c>
    </row>
    <row r="55" spans="1:19" ht="18.75" customHeight="1">
      <c r="A55" s="35"/>
      <c r="B55" s="23" t="s">
        <v>69</v>
      </c>
      <c r="C55" s="95">
        <v>129634.254</v>
      </c>
      <c r="D55" s="95"/>
      <c r="E55" s="90">
        <v>923200</v>
      </c>
      <c r="F55" s="90">
        <f t="shared" si="4"/>
        <v>1189.9000000000001</v>
      </c>
      <c r="G55" s="90">
        <v>814100</v>
      </c>
      <c r="H55" s="90">
        <f t="shared" si="5"/>
        <v>1016.5</v>
      </c>
      <c r="I55" s="100">
        <v>0</v>
      </c>
      <c r="J55" s="99">
        <f t="shared" si="6"/>
        <v>0</v>
      </c>
      <c r="K55" s="110">
        <v>282</v>
      </c>
      <c r="L55" s="130">
        <v>292.89999999999998</v>
      </c>
      <c r="M55" s="5">
        <f t="shared" si="7"/>
        <v>28290</v>
      </c>
      <c r="N55" s="133">
        <f t="shared" si="9"/>
        <v>27254</v>
      </c>
      <c r="O55" s="133">
        <f t="shared" si="1"/>
        <v>129460.85400000001</v>
      </c>
      <c r="P55" s="5">
        <f t="shared" si="2"/>
        <v>124721.6516784</v>
      </c>
      <c r="Q55" s="8">
        <v>26014</v>
      </c>
      <c r="R55" s="8">
        <f t="shared" si="8"/>
        <v>1240</v>
      </c>
      <c r="S55" s="139">
        <f t="shared" si="3"/>
        <v>4739.2023216000089</v>
      </c>
    </row>
    <row r="56" spans="1:19" ht="18.75" customHeight="1">
      <c r="A56" s="35"/>
      <c r="B56" s="23" t="s">
        <v>55</v>
      </c>
      <c r="C56" s="95">
        <v>130063.629</v>
      </c>
      <c r="D56" s="95"/>
      <c r="E56" s="90">
        <v>306500</v>
      </c>
      <c r="F56" s="90">
        <f t="shared" si="4"/>
        <v>395</v>
      </c>
      <c r="G56" s="90">
        <v>13200</v>
      </c>
      <c r="H56" s="90">
        <f t="shared" si="5"/>
        <v>16.5</v>
      </c>
      <c r="I56" s="100">
        <v>0</v>
      </c>
      <c r="J56" s="99">
        <f t="shared" si="6"/>
        <v>0</v>
      </c>
      <c r="K56" s="110">
        <v>274</v>
      </c>
      <c r="L56" s="130">
        <v>331.7</v>
      </c>
      <c r="M56" s="5">
        <f t="shared" si="7"/>
        <v>25024</v>
      </c>
      <c r="N56" s="133">
        <f t="shared" si="9"/>
        <v>24107</v>
      </c>
      <c r="O56" s="133">
        <f t="shared" si="1"/>
        <v>129685.129</v>
      </c>
      <c r="P56" s="5">
        <f t="shared" si="2"/>
        <v>124934.06464560001</v>
      </c>
      <c r="Q56" s="8">
        <v>22633</v>
      </c>
      <c r="R56" s="8">
        <f t="shared" si="8"/>
        <v>1474</v>
      </c>
      <c r="S56" s="139">
        <f t="shared" si="3"/>
        <v>4751.0643543999904</v>
      </c>
    </row>
    <row r="57" spans="1:19" ht="18.75" customHeight="1">
      <c r="A57" s="35"/>
      <c r="B57" s="23" t="s">
        <v>70</v>
      </c>
      <c r="C57" s="95">
        <v>112975.52800000001</v>
      </c>
      <c r="D57" s="95"/>
      <c r="E57" s="90">
        <v>541000</v>
      </c>
      <c r="F57" s="90">
        <f t="shared" si="4"/>
        <v>697.3</v>
      </c>
      <c r="G57" s="90">
        <v>351800</v>
      </c>
      <c r="H57" s="90">
        <f t="shared" si="5"/>
        <v>439.3</v>
      </c>
      <c r="I57" s="100">
        <v>0</v>
      </c>
      <c r="J57" s="99">
        <f t="shared" si="6"/>
        <v>0</v>
      </c>
      <c r="K57" s="110">
        <v>216</v>
      </c>
      <c r="L57" s="130">
        <v>244.3</v>
      </c>
      <c r="M57" s="5">
        <f t="shared" si="7"/>
        <v>29531</v>
      </c>
      <c r="N57" s="133">
        <f t="shared" si="9"/>
        <v>28449</v>
      </c>
      <c r="O57" s="133">
        <f t="shared" si="1"/>
        <v>112717.52800000001</v>
      </c>
      <c r="P57" s="5">
        <f t="shared" si="2"/>
        <v>108588.21709680001</v>
      </c>
      <c r="Q57" s="8">
        <v>27733</v>
      </c>
      <c r="R57" s="8">
        <f t="shared" si="8"/>
        <v>716</v>
      </c>
      <c r="S57" s="139">
        <f t="shared" si="3"/>
        <v>4129.310903199992</v>
      </c>
    </row>
    <row r="58" spans="1:19" ht="18.75" customHeight="1">
      <c r="A58" s="35"/>
      <c r="B58" s="23" t="s">
        <v>107</v>
      </c>
      <c r="C58" s="95">
        <v>3459.4650000000001</v>
      </c>
      <c r="D58" s="95"/>
      <c r="E58" s="90">
        <v>105500</v>
      </c>
      <c r="F58" s="90">
        <f t="shared" si="4"/>
        <v>136</v>
      </c>
      <c r="G58" s="90">
        <v>0</v>
      </c>
      <c r="H58" s="90">
        <f t="shared" si="5"/>
        <v>0</v>
      </c>
      <c r="I58" s="101">
        <v>0</v>
      </c>
      <c r="J58" s="99">
        <f t="shared" si="6"/>
        <v>0</v>
      </c>
      <c r="K58" s="110"/>
      <c r="L58" s="130">
        <v>6.8</v>
      </c>
      <c r="M58" s="5">
        <f t="shared" si="7"/>
        <v>31282</v>
      </c>
      <c r="N58" s="133">
        <v>31281</v>
      </c>
      <c r="O58" s="133">
        <f t="shared" si="1"/>
        <v>3323.4650000000001</v>
      </c>
      <c r="P58" s="5">
        <f t="shared" si="2"/>
        <v>3323.3935391999994</v>
      </c>
      <c r="Q58" s="8"/>
      <c r="R58" s="8">
        <f t="shared" si="8"/>
        <v>31281</v>
      </c>
      <c r="S58" s="139">
        <f t="shared" si="3"/>
        <v>7.1460800000750169E-2</v>
      </c>
    </row>
    <row r="59" spans="1:19" s="43" customFormat="1" ht="18.75" customHeight="1">
      <c r="A59" s="63"/>
      <c r="B59" s="124"/>
      <c r="C59" s="126">
        <f t="shared" ref="C59:S59" si="10">SUM(C33:C58)</f>
        <v>3585005.9630000005</v>
      </c>
      <c r="D59" s="126">
        <f t="shared" si="10"/>
        <v>21000.055</v>
      </c>
      <c r="E59" s="125">
        <f>SUM(E33:E58)</f>
        <v>25155600</v>
      </c>
      <c r="F59" s="125">
        <f t="shared" si="10"/>
        <v>32422.7</v>
      </c>
      <c r="G59" s="125">
        <f t="shared" si="10"/>
        <v>7706900</v>
      </c>
      <c r="H59" s="125">
        <f t="shared" si="10"/>
        <v>9623.0999999999985</v>
      </c>
      <c r="I59" s="125">
        <f t="shared" si="10"/>
        <v>64735520</v>
      </c>
      <c r="J59" s="125">
        <f t="shared" si="10"/>
        <v>67324.899999999994</v>
      </c>
      <c r="K59" s="125">
        <f t="shared" si="10"/>
        <v>9516</v>
      </c>
      <c r="L59" s="125">
        <f t="shared" si="10"/>
        <v>7200.9999999999991</v>
      </c>
      <c r="M59" s="125">
        <f>((C59-D59-F59+H59)/1.302+J59)/L59/12*1000</f>
        <v>32254.147723196267</v>
      </c>
      <c r="N59" s="129">
        <f>P59/L59/12/1.302*1000</f>
        <v>31079.988793223165</v>
      </c>
      <c r="O59" s="129">
        <f>SUM(O33:O58)</f>
        <v>3608531.2080000001</v>
      </c>
      <c r="P59" s="129">
        <f>SUM(P33:P58)</f>
        <v>3496760.5570631996</v>
      </c>
      <c r="Q59" s="126">
        <v>29256.938610662361</v>
      </c>
      <c r="R59" s="126"/>
      <c r="S59" s="141">
        <f t="shared" si="10"/>
        <v>111770.65093680023</v>
      </c>
    </row>
    <row r="60" spans="1:19" ht="18.75" hidden="1" customHeight="1">
      <c r="A60" s="62"/>
      <c r="B60" s="23" t="s">
        <v>118</v>
      </c>
      <c r="C60" s="104"/>
      <c r="D60" s="75"/>
      <c r="E60" s="90"/>
      <c r="F60" s="90"/>
      <c r="G60" s="102"/>
      <c r="H60" s="90"/>
      <c r="I60" s="90"/>
      <c r="J60" s="99"/>
      <c r="K60" s="114"/>
      <c r="L60" s="114"/>
      <c r="M60" s="5"/>
      <c r="N60" s="133"/>
      <c r="O60" s="133"/>
      <c r="P60" s="5"/>
      <c r="Q60" s="8"/>
      <c r="R60" s="8"/>
      <c r="S60" s="139"/>
    </row>
    <row r="61" spans="1:19" s="43" customFormat="1" ht="28.5" hidden="1" customHeight="1">
      <c r="A61" s="63"/>
      <c r="B61" s="13" t="s">
        <v>119</v>
      </c>
      <c r="C61" s="97">
        <f>C59+C60</f>
        <v>3585005.9630000005</v>
      </c>
      <c r="D61" s="97">
        <f t="shared" ref="D61:S61" si="11">D59+D60</f>
        <v>21000.055</v>
      </c>
      <c r="E61" s="97">
        <f t="shared" si="11"/>
        <v>25155600</v>
      </c>
      <c r="F61" s="97">
        <f t="shared" si="11"/>
        <v>32422.7</v>
      </c>
      <c r="G61" s="97">
        <f t="shared" si="11"/>
        <v>7706900</v>
      </c>
      <c r="H61" s="97">
        <f t="shared" si="11"/>
        <v>9623.0999999999985</v>
      </c>
      <c r="I61" s="97">
        <f t="shared" si="11"/>
        <v>64735520</v>
      </c>
      <c r="J61" s="97">
        <f t="shared" si="11"/>
        <v>67324.899999999994</v>
      </c>
      <c r="K61" s="97">
        <f t="shared" si="11"/>
        <v>9516</v>
      </c>
      <c r="L61" s="108">
        <f t="shared" si="11"/>
        <v>7200.9999999999991</v>
      </c>
      <c r="M61" s="97">
        <f t="shared" si="11"/>
        <v>32254.147723196267</v>
      </c>
      <c r="N61" s="108"/>
      <c r="O61" s="108"/>
      <c r="P61" s="97"/>
      <c r="Q61" s="120">
        <f t="shared" si="11"/>
        <v>29256.938610662361</v>
      </c>
      <c r="R61" s="120"/>
      <c r="S61" s="142">
        <f t="shared" si="11"/>
        <v>111770.65093680023</v>
      </c>
    </row>
    <row r="62" spans="1:19" ht="29.25" customHeight="1">
      <c r="B62" s="64"/>
      <c r="C62" s="125"/>
      <c r="D62" s="64"/>
      <c r="E62" s="98"/>
      <c r="F62" s="98"/>
      <c r="G62" s="98"/>
      <c r="H62" s="98"/>
      <c r="I62" s="98"/>
      <c r="J62" s="98"/>
      <c r="K62" s="107"/>
      <c r="L62" s="107"/>
      <c r="M62" s="65">
        <v>31080</v>
      </c>
      <c r="N62" s="107"/>
      <c r="O62" s="107">
        <f>O59-3598908.2</f>
        <v>9623.0079999999143</v>
      </c>
      <c r="P62" s="65"/>
      <c r="Q62" s="119"/>
      <c r="R62" s="119"/>
      <c r="S62" s="143"/>
    </row>
    <row r="63" spans="1:19" ht="15.75">
      <c r="A63" s="62"/>
      <c r="B63" s="17"/>
      <c r="C63" s="17"/>
      <c r="D63" s="17"/>
      <c r="E63" s="90"/>
      <c r="F63" s="90"/>
      <c r="G63" s="17"/>
      <c r="H63" s="17"/>
      <c r="I63" s="123"/>
      <c r="J63" s="123"/>
      <c r="M63" s="131">
        <f>M62/M61</f>
        <v>0.96359700050757024</v>
      </c>
    </row>
    <row r="64" spans="1:19" ht="15.75">
      <c r="A64" s="62"/>
      <c r="B64" s="69"/>
      <c r="C64" s="69"/>
      <c r="D64" s="69"/>
      <c r="E64" s="69"/>
      <c r="F64" s="69"/>
      <c r="G64" s="69"/>
      <c r="H64" s="103"/>
      <c r="I64" s="69"/>
      <c r="J64" s="69"/>
    </row>
    <row r="65" spans="11:19" ht="29.25" customHeight="1"/>
    <row r="66" spans="11:19" s="72" customFormat="1">
      <c r="K66" s="106"/>
      <c r="L66" s="106"/>
      <c r="N66" s="106"/>
      <c r="O66" s="106"/>
      <c r="Q66" s="118"/>
      <c r="R66" s="118"/>
      <c r="S66" s="144"/>
    </row>
    <row r="67" spans="11:19" s="72" customFormat="1">
      <c r="K67" s="106"/>
      <c r="L67" s="106"/>
      <c r="N67" s="106"/>
      <c r="O67" s="106"/>
      <c r="Q67" s="118"/>
      <c r="R67" s="118"/>
      <c r="S67" s="144"/>
    </row>
    <row r="68" spans="11:19" s="25" customFormat="1" ht="20.25">
      <c r="K68" s="105"/>
      <c r="L68" s="105"/>
      <c r="N68" s="105"/>
      <c r="O68" s="105"/>
      <c r="Q68" s="117"/>
      <c r="R68" s="117"/>
      <c r="S68" s="145"/>
    </row>
  </sheetData>
  <mergeCells count="19">
    <mergeCell ref="Q5:Q7"/>
    <mergeCell ref="N5:N7"/>
    <mergeCell ref="P5:P7"/>
    <mergeCell ref="S5:S7"/>
    <mergeCell ref="B3:S3"/>
    <mergeCell ref="F5:F7"/>
    <mergeCell ref="G5:G7"/>
    <mergeCell ref="H5:H7"/>
    <mergeCell ref="I5:I7"/>
    <mergeCell ref="O5:O7"/>
    <mergeCell ref="J5:J7"/>
    <mergeCell ref="K5:K7"/>
    <mergeCell ref="L5:L7"/>
    <mergeCell ref="M5:M7"/>
    <mergeCell ref="A5:A7"/>
    <mergeCell ref="B5:B7"/>
    <mergeCell ref="C5:C7"/>
    <mergeCell ref="D5:D7"/>
    <mergeCell ref="E5:E7"/>
  </mergeCells>
  <pageMargins left="0" right="0" top="0" bottom="0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AG68"/>
  <sheetViews>
    <sheetView zoomScale="87" zoomScaleNormal="87" zoomScaleSheetLayoutView="80" workbookViewId="0">
      <pane xSplit="2" ySplit="12" topLeftCell="F13" activePane="bottomRight" state="frozen"/>
      <selection activeCell="H46" activeCellId="1" sqref="H33 H46"/>
      <selection pane="topRight" activeCell="H46" activeCellId="1" sqref="H33 H46"/>
      <selection pane="bottomLeft" activeCell="H46" activeCellId="1" sqref="H33 H46"/>
      <selection pane="bottomRight" activeCell="H46" activeCellId="1" sqref="H33 H46"/>
    </sheetView>
  </sheetViews>
  <sheetFormatPr defaultRowHeight="15"/>
  <cols>
    <col min="1" max="1" width="5.7109375" customWidth="1"/>
    <col min="2" max="2" width="52" customWidth="1"/>
    <col min="3" max="3" width="22" customWidth="1"/>
    <col min="4" max="4" width="19.42578125" customWidth="1"/>
    <col min="5" max="5" width="15.42578125" hidden="1" customWidth="1"/>
    <col min="6" max="6" width="19.42578125" customWidth="1"/>
    <col min="7" max="7" width="19.42578125" hidden="1" customWidth="1"/>
    <col min="8" max="8" width="16.28515625" customWidth="1"/>
    <col min="9" max="9" width="19.42578125" hidden="1" customWidth="1"/>
    <col min="10" max="10" width="18" customWidth="1"/>
    <col min="11" max="11" width="17.28515625" bestFit="1" customWidth="1"/>
    <col min="12" max="12" width="17.28515625" customWidth="1"/>
    <col min="13" max="13" width="68.42578125" style="116" hidden="1" customWidth="1"/>
    <col min="14" max="14" width="18.42578125" style="116" customWidth="1"/>
    <col min="15" max="16" width="17.42578125" style="116" customWidth="1"/>
    <col min="17" max="17" width="22.140625" style="163" customWidth="1"/>
    <col min="18" max="18" width="22.140625" style="195" customWidth="1"/>
    <col min="19" max="20" width="20.140625" style="122" customWidth="1"/>
    <col min="21" max="21" width="22.140625" style="116" customWidth="1"/>
    <col min="22" max="22" width="26" hidden="1" customWidth="1"/>
    <col min="23" max="23" width="32.28515625" hidden="1" customWidth="1"/>
    <col min="24" max="24" width="19.7109375" hidden="1" customWidth="1"/>
    <col min="25" max="25" width="20.28515625" hidden="1" customWidth="1"/>
    <col min="26" max="27" width="24.28515625" hidden="1" customWidth="1"/>
    <col min="28" max="28" width="19.140625" hidden="1" customWidth="1"/>
    <col min="29" max="29" width="17.7109375" hidden="1" customWidth="1"/>
    <col min="30" max="30" width="60.140625" hidden="1" customWidth="1"/>
    <col min="31" max="31" width="15.42578125" hidden="1" customWidth="1"/>
    <col min="32" max="32" width="29.85546875" hidden="1" customWidth="1"/>
    <col min="33" max="33" width="15.140625" customWidth="1"/>
  </cols>
  <sheetData>
    <row r="1" spans="1:32" ht="46.5" customHeight="1">
      <c r="W1" t="s">
        <v>112</v>
      </c>
    </row>
    <row r="2" spans="1:32" hidden="1"/>
    <row r="3" spans="1:32" ht="99.75" customHeight="1">
      <c r="B3" s="328" t="s">
        <v>111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</row>
    <row r="5" spans="1:32" ht="32.25" customHeight="1">
      <c r="A5" s="329"/>
      <c r="B5" s="330" t="s">
        <v>101</v>
      </c>
      <c r="C5" s="332" t="s">
        <v>124</v>
      </c>
      <c r="D5" s="332" t="s">
        <v>125</v>
      </c>
      <c r="E5" s="332" t="s">
        <v>126</v>
      </c>
      <c r="F5" s="332" t="s">
        <v>126</v>
      </c>
      <c r="G5" s="332" t="s">
        <v>127</v>
      </c>
      <c r="H5" s="332" t="s">
        <v>127</v>
      </c>
      <c r="I5" s="332" t="s">
        <v>130</v>
      </c>
      <c r="J5" s="332" t="s">
        <v>129</v>
      </c>
      <c r="K5" s="332" t="s">
        <v>139</v>
      </c>
      <c r="L5" s="332" t="s">
        <v>141</v>
      </c>
      <c r="M5" s="333" t="s">
        <v>133</v>
      </c>
      <c r="N5" s="333" t="s">
        <v>134</v>
      </c>
      <c r="O5" s="135"/>
      <c r="P5" s="135"/>
      <c r="Q5" s="341" t="s">
        <v>148</v>
      </c>
      <c r="R5" s="346" t="s">
        <v>148</v>
      </c>
      <c r="S5" s="323" t="s">
        <v>131</v>
      </c>
      <c r="T5" s="127"/>
      <c r="U5" s="318" t="s">
        <v>132</v>
      </c>
      <c r="V5" s="343" t="s">
        <v>116</v>
      </c>
      <c r="W5" s="317" t="s">
        <v>79</v>
      </c>
      <c r="X5" s="317" t="s">
        <v>80</v>
      </c>
      <c r="Y5" s="317" t="s">
        <v>81</v>
      </c>
      <c r="Z5" s="317"/>
      <c r="AA5" s="317"/>
      <c r="AB5" s="317" t="s">
        <v>82</v>
      </c>
      <c r="AC5" s="317" t="s">
        <v>102</v>
      </c>
      <c r="AD5" s="317" t="s">
        <v>103</v>
      </c>
    </row>
    <row r="6" spans="1:32" ht="30.75" customHeight="1">
      <c r="A6" s="329"/>
      <c r="B6" s="330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4"/>
      <c r="N6" s="334"/>
      <c r="O6" s="136"/>
      <c r="P6" s="136"/>
      <c r="Q6" s="341"/>
      <c r="R6" s="346"/>
      <c r="S6" s="323"/>
      <c r="T6" s="127"/>
      <c r="U6" s="318"/>
      <c r="V6" s="344"/>
      <c r="W6" s="317"/>
      <c r="X6" s="317"/>
      <c r="Y6" s="317"/>
      <c r="Z6" s="317"/>
      <c r="AA6" s="317"/>
      <c r="AB6" s="317"/>
      <c r="AC6" s="317"/>
      <c r="AD6" s="317"/>
    </row>
    <row r="7" spans="1:32" ht="76.5" customHeight="1">
      <c r="A7" s="329"/>
      <c r="B7" s="331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34"/>
      <c r="N7" s="334"/>
      <c r="O7" s="136" t="s">
        <v>140</v>
      </c>
      <c r="P7" s="136" t="s">
        <v>147</v>
      </c>
      <c r="Q7" s="342"/>
      <c r="R7" s="347"/>
      <c r="S7" s="324"/>
      <c r="T7" s="134"/>
      <c r="U7" s="319"/>
      <c r="V7" s="345"/>
      <c r="W7" s="340"/>
      <c r="X7" s="317"/>
      <c r="Y7" s="24" t="s">
        <v>3</v>
      </c>
      <c r="Z7" s="87" t="s">
        <v>4</v>
      </c>
      <c r="AA7" s="87" t="s">
        <v>5</v>
      </c>
      <c r="AB7" s="317"/>
      <c r="AC7" s="317"/>
      <c r="AD7" s="317"/>
    </row>
    <row r="8" spans="1:32" ht="29.25" customHeight="1">
      <c r="A8" s="83"/>
      <c r="B8" s="84">
        <v>1</v>
      </c>
      <c r="C8" s="85">
        <v>2</v>
      </c>
      <c r="D8" s="85">
        <v>3</v>
      </c>
      <c r="E8" s="85">
        <v>1.302</v>
      </c>
      <c r="F8" s="85">
        <v>4</v>
      </c>
      <c r="G8" s="85"/>
      <c r="H8" s="85">
        <v>5</v>
      </c>
      <c r="I8" s="85">
        <v>6</v>
      </c>
      <c r="J8" s="85">
        <v>6</v>
      </c>
      <c r="K8" s="85"/>
      <c r="L8" s="85"/>
      <c r="M8" s="115">
        <v>3</v>
      </c>
      <c r="N8" s="115"/>
      <c r="O8" s="115"/>
      <c r="P8" s="115"/>
      <c r="Q8" s="165" t="s">
        <v>110</v>
      </c>
      <c r="R8" s="196"/>
      <c r="S8" s="127"/>
      <c r="T8" s="127"/>
      <c r="U8" s="132"/>
      <c r="V8" s="86">
        <v>5</v>
      </c>
      <c r="W8" s="86" t="s">
        <v>109</v>
      </c>
      <c r="X8" s="86">
        <v>8</v>
      </c>
      <c r="Y8" s="86">
        <v>9</v>
      </c>
      <c r="Z8" s="86">
        <v>10</v>
      </c>
      <c r="AA8" s="86" t="s">
        <v>104</v>
      </c>
      <c r="AB8" s="86">
        <v>12</v>
      </c>
      <c r="AC8" s="86">
        <v>13</v>
      </c>
      <c r="AD8" s="86">
        <v>13</v>
      </c>
    </row>
    <row r="9" spans="1:32" ht="81" hidden="1" customHeight="1">
      <c r="A9" s="35">
        <v>1</v>
      </c>
      <c r="B9" s="2" t="s">
        <v>28</v>
      </c>
      <c r="C9" s="36">
        <v>29420</v>
      </c>
      <c r="D9" s="36"/>
      <c r="E9" s="36"/>
      <c r="F9" s="36"/>
      <c r="G9" s="36"/>
      <c r="H9" s="36"/>
      <c r="I9" s="36"/>
      <c r="J9" s="36"/>
      <c r="K9" s="36"/>
      <c r="L9" s="36"/>
      <c r="M9" s="114">
        <v>7210.9</v>
      </c>
      <c r="N9" s="114"/>
      <c r="O9" s="114"/>
      <c r="P9" s="114"/>
      <c r="Q9" s="166">
        <v>29420</v>
      </c>
      <c r="R9" s="197"/>
      <c r="S9" s="8"/>
      <c r="T9" s="8"/>
      <c r="U9" s="133"/>
      <c r="V9" s="6">
        <v>100</v>
      </c>
      <c r="W9" s="7">
        <f>M9*Q9*12*1.302/1000</f>
        <v>3314548.4490720001</v>
      </c>
      <c r="X9" s="7">
        <f>W9-AB9</f>
        <v>3304925.349072</v>
      </c>
      <c r="Y9" s="7">
        <v>3413618.6867999998</v>
      </c>
      <c r="Z9" s="7">
        <v>64735.519999999997</v>
      </c>
      <c r="AA9" s="7">
        <f>Y9+Z9</f>
        <v>3478354.2067999998</v>
      </c>
      <c r="AB9" s="7">
        <v>9623.1</v>
      </c>
      <c r="AC9" s="7">
        <f>X9-AA9</f>
        <v>-173428.8577279998</v>
      </c>
      <c r="AD9" s="37" t="s">
        <v>29</v>
      </c>
    </row>
    <row r="10" spans="1:32" ht="45" hidden="1" customHeight="1">
      <c r="A10" s="35">
        <v>2</v>
      </c>
      <c r="B10" s="2" t="s">
        <v>30</v>
      </c>
      <c r="C10" s="36">
        <v>34903.699999999997</v>
      </c>
      <c r="D10" s="36"/>
      <c r="E10" s="36"/>
      <c r="F10" s="36"/>
      <c r="G10" s="36"/>
      <c r="H10" s="36"/>
      <c r="I10" s="36"/>
      <c r="J10" s="36"/>
      <c r="K10" s="36"/>
      <c r="L10" s="36"/>
      <c r="M10" s="114">
        <f t="shared" ref="M10" si="0">M11+M12</f>
        <v>10565</v>
      </c>
      <c r="N10" s="114"/>
      <c r="O10" s="114"/>
      <c r="P10" s="114"/>
      <c r="Q10" s="166">
        <v>34903.699999999997</v>
      </c>
      <c r="R10" s="197"/>
      <c r="S10" s="8"/>
      <c r="T10" s="8"/>
      <c r="U10" s="133"/>
      <c r="V10" s="6">
        <v>100</v>
      </c>
      <c r="W10" s="7">
        <f>M10*Q10*12*1.302/1000</f>
        <v>5761468.5939719994</v>
      </c>
      <c r="X10" s="7">
        <f t="shared" ref="X10:X12" si="1">W10-AB10</f>
        <v>5731651.587572</v>
      </c>
      <c r="Y10" s="6">
        <f t="shared" ref="Y10:AA10" si="2">Y11+Y12</f>
        <v>5508195.1956000002</v>
      </c>
      <c r="Z10" s="6">
        <f t="shared" si="2"/>
        <v>145136.87</v>
      </c>
      <c r="AA10" s="6">
        <f t="shared" si="2"/>
        <v>5653332.0655999994</v>
      </c>
      <c r="AB10" s="6">
        <v>29817.006399999489</v>
      </c>
      <c r="AC10" s="7">
        <f>X10-AA10</f>
        <v>78319.521972000599</v>
      </c>
      <c r="AD10" s="337" t="s">
        <v>31</v>
      </c>
    </row>
    <row r="11" spans="1:32" ht="36.75" hidden="1" customHeight="1">
      <c r="A11" s="35"/>
      <c r="B11" s="2" t="s">
        <v>32</v>
      </c>
      <c r="C11" s="36">
        <v>34903.699999999997</v>
      </c>
      <c r="D11" s="36"/>
      <c r="E11" s="36"/>
      <c r="F11" s="36"/>
      <c r="G11" s="36"/>
      <c r="H11" s="36"/>
      <c r="I11" s="36"/>
      <c r="J11" s="36"/>
      <c r="K11" s="36"/>
      <c r="L11" s="36"/>
      <c r="M11" s="114">
        <v>773</v>
      </c>
      <c r="N11" s="114"/>
      <c r="O11" s="114"/>
      <c r="P11" s="114"/>
      <c r="Q11" s="166">
        <v>34903.699999999997</v>
      </c>
      <c r="R11" s="197"/>
      <c r="S11" s="8"/>
      <c r="T11" s="8"/>
      <c r="U11" s="133"/>
      <c r="V11" s="6">
        <v>100</v>
      </c>
      <c r="W11" s="7">
        <f>M11*Q11*12*1.302/1000</f>
        <v>421544.27100239997</v>
      </c>
      <c r="X11" s="7">
        <f t="shared" si="1"/>
        <v>421377.97100240004</v>
      </c>
      <c r="Y11" s="7">
        <f>417219.1-5489.6</f>
        <v>411729.5</v>
      </c>
      <c r="Z11" s="7">
        <v>5489.6</v>
      </c>
      <c r="AA11" s="7">
        <f t="shared" ref="AA11:AA12" si="3">Y11+Z11</f>
        <v>417219.1</v>
      </c>
      <c r="AB11" s="7">
        <v>166.29999999993015</v>
      </c>
      <c r="AC11" s="38">
        <f t="shared" ref="AC11:AC12" si="4">X11-AA11</f>
        <v>4158.8710024000611</v>
      </c>
      <c r="AD11" s="338"/>
    </row>
    <row r="12" spans="1:32" ht="57.75" hidden="1" customHeight="1">
      <c r="A12" s="35"/>
      <c r="B12" s="2" t="s">
        <v>33</v>
      </c>
      <c r="C12" s="36">
        <v>34903.699999999997</v>
      </c>
      <c r="D12" s="36"/>
      <c r="E12" s="36"/>
      <c r="F12" s="36"/>
      <c r="G12" s="36"/>
      <c r="H12" s="36"/>
      <c r="I12" s="36"/>
      <c r="J12" s="36"/>
      <c r="K12" s="36"/>
      <c r="L12" s="36"/>
      <c r="M12" s="114">
        <v>9792</v>
      </c>
      <c r="N12" s="114"/>
      <c r="O12" s="114"/>
      <c r="P12" s="114"/>
      <c r="Q12" s="166">
        <v>34903.699999999997</v>
      </c>
      <c r="R12" s="197"/>
      <c r="S12" s="8"/>
      <c r="T12" s="8"/>
      <c r="U12" s="133"/>
      <c r="V12" s="6">
        <v>100</v>
      </c>
      <c r="W12" s="7">
        <f>M12*Q12*12*1.302/1000</f>
        <v>5339924.3229695996</v>
      </c>
      <c r="X12" s="7">
        <f t="shared" si="1"/>
        <v>5310273.6165696001</v>
      </c>
      <c r="Y12" s="7">
        <v>5096465.6956000002</v>
      </c>
      <c r="Z12" s="7">
        <v>139647.26999999999</v>
      </c>
      <c r="AA12" s="7">
        <f t="shared" si="3"/>
        <v>5236112.9655999998</v>
      </c>
      <c r="AB12" s="7">
        <v>29650.706399999559</v>
      </c>
      <c r="AC12" s="7">
        <f t="shared" si="4"/>
        <v>74160.650969600305</v>
      </c>
      <c r="AD12" s="339"/>
    </row>
    <row r="13" spans="1:32" ht="57.75" hidden="1" customHeight="1">
      <c r="A13" s="35"/>
      <c r="B13" s="2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114"/>
      <c r="N13" s="114"/>
      <c r="O13" s="114"/>
      <c r="P13" s="114"/>
      <c r="Q13" s="166"/>
      <c r="R13" s="197"/>
      <c r="S13" s="8"/>
      <c r="T13" s="8"/>
      <c r="U13" s="133"/>
      <c r="V13" s="6"/>
      <c r="W13" s="7"/>
      <c r="X13" s="7"/>
      <c r="Y13" s="7"/>
      <c r="Z13" s="7"/>
      <c r="AA13" s="7"/>
      <c r="AB13" s="7"/>
      <c r="AC13" s="7"/>
      <c r="AD13" s="88"/>
    </row>
    <row r="14" spans="1:32" s="43" customFormat="1" ht="29.25" customHeight="1">
      <c r="A14" s="39"/>
      <c r="B14" s="40" t="s">
        <v>123</v>
      </c>
      <c r="C14" s="41"/>
      <c r="D14" s="41"/>
      <c r="E14" s="41">
        <v>0.97950000000000004</v>
      </c>
      <c r="F14" s="41"/>
      <c r="G14" s="41">
        <v>0.99466399999999999</v>
      </c>
      <c r="H14" s="41"/>
      <c r="I14" s="41"/>
      <c r="J14" s="41"/>
      <c r="K14" s="41"/>
      <c r="L14" s="41"/>
      <c r="M14" s="113"/>
      <c r="N14" s="113">
        <v>1.01847963040739</v>
      </c>
      <c r="O14" s="169">
        <v>0.99360000000000004</v>
      </c>
      <c r="P14" s="169"/>
      <c r="Q14" s="166"/>
      <c r="R14" s="197">
        <v>0.99394000000000005</v>
      </c>
      <c r="S14" s="128"/>
      <c r="T14" s="128"/>
      <c r="U14" s="194"/>
      <c r="V14" s="81">
        <f>Q14/35865.9</f>
        <v>0</v>
      </c>
      <c r="W14" s="42">
        <f>W18+W32</f>
        <v>6166910.0396082411</v>
      </c>
      <c r="X14" s="42">
        <f>X15+X18+X32</f>
        <v>6221594.7115970403</v>
      </c>
      <c r="Y14" s="42">
        <f t="shared" ref="Y14:AA14" si="5">Y15+Y18+Y32</f>
        <v>926564.98600000003</v>
      </c>
      <c r="Z14" s="42">
        <f t="shared" si="5"/>
        <v>13858.02</v>
      </c>
      <c r="AA14" s="42">
        <f t="shared" si="5"/>
        <v>940423.00599999994</v>
      </c>
      <c r="AB14" s="42">
        <f>AB15+AB18+AB32</f>
        <v>27297.755800000003</v>
      </c>
      <c r="AC14" s="42">
        <f>AC15+AC18+AC32</f>
        <v>5281171.7055970393</v>
      </c>
      <c r="AD14" s="337" t="s">
        <v>35</v>
      </c>
      <c r="AE14" s="92">
        <f>Q14</f>
        <v>0</v>
      </c>
      <c r="AF14" s="44">
        <v>35865.9</v>
      </c>
    </row>
    <row r="15" spans="1:32" ht="24.75" hidden="1" customHeight="1">
      <c r="A15" s="45" t="s">
        <v>36</v>
      </c>
      <c r="B15" s="46" t="s">
        <v>37</v>
      </c>
      <c r="C15" s="21">
        <v>34072.800000000003</v>
      </c>
      <c r="D15" s="21"/>
      <c r="E15" s="21"/>
      <c r="F15" s="21"/>
      <c r="G15" s="21"/>
      <c r="H15" s="21"/>
      <c r="I15" s="21"/>
      <c r="J15" s="21"/>
      <c r="K15" s="21"/>
      <c r="L15" s="21"/>
      <c r="M15" s="112">
        <f>M16+M17</f>
        <v>154</v>
      </c>
      <c r="N15" s="112"/>
      <c r="O15" s="112"/>
      <c r="P15" s="112"/>
      <c r="Q15" s="166">
        <v>34072.800000000003</v>
      </c>
      <c r="R15" s="197"/>
      <c r="S15" s="51"/>
      <c r="T15" s="51"/>
      <c r="U15" s="112"/>
      <c r="V15" s="47">
        <v>95</v>
      </c>
      <c r="W15" s="48">
        <f>W16+W17</f>
        <v>81982.427788800007</v>
      </c>
      <c r="X15" s="48">
        <f t="shared" ref="X15:Z15" si="6">X16+X17</f>
        <v>77932.427788800007</v>
      </c>
      <c r="Y15" s="48">
        <f t="shared" si="6"/>
        <v>67707.299999999988</v>
      </c>
      <c r="Z15" s="48">
        <f t="shared" si="6"/>
        <v>184.1</v>
      </c>
      <c r="AA15" s="48">
        <f>AA16+AA17</f>
        <v>67891.399999999994</v>
      </c>
      <c r="AB15" s="48">
        <f>AB16+AB17</f>
        <v>4050</v>
      </c>
      <c r="AC15" s="48">
        <f>AC16+AC17</f>
        <v>10041.02778880002</v>
      </c>
      <c r="AD15" s="338"/>
    </row>
    <row r="16" spans="1:32" ht="22.5" hidden="1" customHeight="1">
      <c r="A16" s="35" t="s">
        <v>38</v>
      </c>
      <c r="B16" s="49" t="s">
        <v>39</v>
      </c>
      <c r="C16" s="36">
        <v>34072.800000000003</v>
      </c>
      <c r="D16" s="36"/>
      <c r="E16" s="36"/>
      <c r="F16" s="36"/>
      <c r="G16" s="36"/>
      <c r="H16" s="36"/>
      <c r="I16" s="36"/>
      <c r="J16" s="36"/>
      <c r="K16" s="36"/>
      <c r="L16" s="36"/>
      <c r="M16" s="114">
        <v>114</v>
      </c>
      <c r="N16" s="114"/>
      <c r="O16" s="114"/>
      <c r="P16" s="114"/>
      <c r="Q16" s="166">
        <v>34072.800000000003</v>
      </c>
      <c r="R16" s="197"/>
      <c r="S16" s="8"/>
      <c r="T16" s="8"/>
      <c r="U16" s="133"/>
      <c r="V16" s="6">
        <v>95</v>
      </c>
      <c r="W16" s="7">
        <f>M16*Q16*12*1.302/1000</f>
        <v>60688.290700800011</v>
      </c>
      <c r="X16" s="7">
        <f t="shared" ref="X16" si="7">W16-AB16</f>
        <v>57851.590700800014</v>
      </c>
      <c r="Y16" s="7">
        <v>50986.7</v>
      </c>
      <c r="Z16" s="7"/>
      <c r="AA16" s="7">
        <f t="shared" ref="AA16:AA58" si="8">Y16+Z16</f>
        <v>50986.7</v>
      </c>
      <c r="AB16" s="7">
        <v>2836.7</v>
      </c>
      <c r="AC16" s="7">
        <f>X16-AA16</f>
        <v>6864.8907008000169</v>
      </c>
      <c r="AD16" s="338"/>
    </row>
    <row r="17" spans="1:32" ht="22.5" hidden="1" customHeight="1">
      <c r="A17" s="35" t="s">
        <v>40</v>
      </c>
      <c r="B17" s="49" t="s">
        <v>41</v>
      </c>
      <c r="C17" s="36">
        <v>34072.800000000003</v>
      </c>
      <c r="D17" s="36"/>
      <c r="E17" s="36"/>
      <c r="F17" s="36"/>
      <c r="G17" s="36"/>
      <c r="H17" s="36"/>
      <c r="I17" s="36"/>
      <c r="J17" s="36"/>
      <c r="K17" s="36"/>
      <c r="L17" s="36"/>
      <c r="M17" s="114">
        <v>40</v>
      </c>
      <c r="N17" s="114"/>
      <c r="O17" s="114"/>
      <c r="P17" s="114"/>
      <c r="Q17" s="166">
        <v>34072.800000000003</v>
      </c>
      <c r="R17" s="197"/>
      <c r="S17" s="8"/>
      <c r="T17" s="8"/>
      <c r="U17" s="133"/>
      <c r="V17" s="6">
        <v>95</v>
      </c>
      <c r="W17" s="7">
        <f>M17*Q17*12*1.302/1000</f>
        <v>21294.137087999999</v>
      </c>
      <c r="X17" s="7">
        <f>W17-AB17</f>
        <v>20080.837088</v>
      </c>
      <c r="Y17" s="7">
        <v>16720.599999999999</v>
      </c>
      <c r="Z17" s="7">
        <v>184.1</v>
      </c>
      <c r="AA17" s="7">
        <f t="shared" si="8"/>
        <v>16904.699999999997</v>
      </c>
      <c r="AB17" s="7">
        <v>1213.3</v>
      </c>
      <c r="AC17" s="7">
        <f t="shared" ref="AC17" si="9">X17-AA17</f>
        <v>3176.1370880000031</v>
      </c>
      <c r="AD17" s="338"/>
    </row>
    <row r="18" spans="1:32" ht="45.75" hidden="1" customHeight="1">
      <c r="A18" s="45" t="s">
        <v>42</v>
      </c>
      <c r="B18" s="50" t="s">
        <v>33</v>
      </c>
      <c r="C18" s="51">
        <v>38109.4</v>
      </c>
      <c r="D18" s="51"/>
      <c r="E18" s="51"/>
      <c r="F18" s="51"/>
      <c r="G18" s="51"/>
      <c r="H18" s="51"/>
      <c r="I18" s="51"/>
      <c r="J18" s="51"/>
      <c r="K18" s="51"/>
      <c r="L18" s="51"/>
      <c r="M18" s="111">
        <f>SUM(M19:M31)</f>
        <v>233.40000000000003</v>
      </c>
      <c r="N18" s="111"/>
      <c r="O18" s="111"/>
      <c r="P18" s="111"/>
      <c r="Q18" s="166">
        <f>W18/M18/12/1.302*1000</f>
        <v>171926.88736075404</v>
      </c>
      <c r="R18" s="197"/>
      <c r="S18" s="51"/>
      <c r="T18" s="51"/>
      <c r="U18" s="112"/>
      <c r="V18" s="57">
        <f>Q18/35865.9*100</f>
        <v>479.36030424652392</v>
      </c>
      <c r="W18" s="79">
        <f>SUM(W19:W31)</f>
        <v>626955.73960823996</v>
      </c>
      <c r="X18" s="48">
        <f t="shared" ref="X18:AC18" si="10">SUM(X19:X31)</f>
        <v>626447.23960823996</v>
      </c>
      <c r="Y18" s="48">
        <f t="shared" si="10"/>
        <v>181441.4852</v>
      </c>
      <c r="Z18" s="48">
        <f t="shared" si="10"/>
        <v>5701.22</v>
      </c>
      <c r="AA18" s="48">
        <f t="shared" si="10"/>
        <v>187142.7052</v>
      </c>
      <c r="AB18" s="48">
        <f t="shared" si="10"/>
        <v>508.5</v>
      </c>
      <c r="AC18" s="48">
        <f t="shared" si="10"/>
        <v>439304.53440823994</v>
      </c>
      <c r="AD18" s="338"/>
      <c r="AE18" s="52"/>
      <c r="AF18" s="60">
        <f>AE14/AF14</f>
        <v>0</v>
      </c>
    </row>
    <row r="19" spans="1:32" ht="24.75" hidden="1" customHeight="1">
      <c r="A19" s="35"/>
      <c r="B19" s="2" t="s">
        <v>43</v>
      </c>
      <c r="C19" s="73">
        <f>C35</f>
        <v>86862.68</v>
      </c>
      <c r="D19" s="73"/>
      <c r="E19" s="73"/>
      <c r="F19" s="73"/>
      <c r="G19" s="73"/>
      <c r="H19" s="73"/>
      <c r="I19" s="73"/>
      <c r="J19" s="73"/>
      <c r="K19" s="73"/>
      <c r="L19" s="73"/>
      <c r="M19" s="110">
        <v>8</v>
      </c>
      <c r="N19" s="110"/>
      <c r="O19" s="110"/>
      <c r="P19" s="110"/>
      <c r="Q19" s="167">
        <f t="shared" ref="Q19:Q31" si="11">ROUND(C19*V19/100,1)</f>
        <v>86862.7</v>
      </c>
      <c r="R19" s="198"/>
      <c r="S19" s="8"/>
      <c r="T19" s="8"/>
      <c r="U19" s="133"/>
      <c r="V19" s="36">
        <v>100</v>
      </c>
      <c r="W19" s="80">
        <f t="shared" ref="W19:W31" si="12">M19*Q19*12*1.302/1000</f>
        <v>10857.142598399998</v>
      </c>
      <c r="X19" s="7">
        <f t="shared" ref="X19:X58" si="13">W19-AB19</f>
        <v>10857.142598399998</v>
      </c>
      <c r="Y19" s="53">
        <v>6015.7128000000002</v>
      </c>
      <c r="Z19" s="53">
        <v>343.8</v>
      </c>
      <c r="AA19" s="7">
        <f t="shared" si="8"/>
        <v>6359.5128000000004</v>
      </c>
      <c r="AB19" s="53"/>
      <c r="AC19" s="7">
        <f t="shared" ref="AC19:AC58" si="14">X19-AA19</f>
        <v>4497.6297983999975</v>
      </c>
      <c r="AD19" s="338"/>
    </row>
    <row r="20" spans="1:32" ht="20.25" hidden="1" customHeight="1">
      <c r="A20" s="35"/>
      <c r="B20" s="54" t="s">
        <v>44</v>
      </c>
      <c r="C20" s="73">
        <f>C39</f>
        <v>95841.755000000005</v>
      </c>
      <c r="D20" s="73"/>
      <c r="E20" s="73"/>
      <c r="F20" s="73"/>
      <c r="G20" s="73"/>
      <c r="H20" s="73"/>
      <c r="I20" s="73"/>
      <c r="J20" s="73"/>
      <c r="K20" s="73"/>
      <c r="L20" s="73"/>
      <c r="M20" s="109">
        <v>7</v>
      </c>
      <c r="N20" s="109"/>
      <c r="O20" s="109"/>
      <c r="P20" s="109"/>
      <c r="Q20" s="167">
        <f t="shared" si="11"/>
        <v>95841.8</v>
      </c>
      <c r="R20" s="198"/>
      <c r="S20" s="8"/>
      <c r="T20" s="8"/>
      <c r="U20" s="133"/>
      <c r="V20" s="36">
        <v>100</v>
      </c>
      <c r="W20" s="80">
        <f t="shared" si="12"/>
        <v>10482.0259824</v>
      </c>
      <c r="X20" s="7">
        <f t="shared" si="13"/>
        <v>10482.0259824</v>
      </c>
      <c r="Y20" s="53">
        <v>4045.4708000000001</v>
      </c>
      <c r="Z20" s="53">
        <v>227.62</v>
      </c>
      <c r="AA20" s="7">
        <f t="shared" si="8"/>
        <v>4273.0907999999999</v>
      </c>
      <c r="AB20" s="53"/>
      <c r="AC20" s="7">
        <f t="shared" si="14"/>
        <v>6208.9351824000005</v>
      </c>
      <c r="AD20" s="338"/>
    </row>
    <row r="21" spans="1:32" ht="20.25" hidden="1" customHeight="1">
      <c r="A21" s="35"/>
      <c r="B21" s="54" t="s">
        <v>45</v>
      </c>
      <c r="C21" s="73">
        <f>C40</f>
        <v>107683.723</v>
      </c>
      <c r="D21" s="73"/>
      <c r="E21" s="73"/>
      <c r="F21" s="73"/>
      <c r="G21" s="73"/>
      <c r="H21" s="73"/>
      <c r="I21" s="73"/>
      <c r="J21" s="73"/>
      <c r="K21" s="73"/>
      <c r="L21" s="73"/>
      <c r="M21" s="109">
        <v>7.4</v>
      </c>
      <c r="N21" s="109"/>
      <c r="O21" s="109"/>
      <c r="P21" s="109"/>
      <c r="Q21" s="167">
        <f t="shared" si="11"/>
        <v>107683.7</v>
      </c>
      <c r="R21" s="198"/>
      <c r="S21" s="8"/>
      <c r="T21" s="8"/>
      <c r="U21" s="133"/>
      <c r="V21" s="36">
        <v>100</v>
      </c>
      <c r="W21" s="80">
        <f t="shared" si="12"/>
        <v>12450.13095312</v>
      </c>
      <c r="X21" s="7">
        <f t="shared" si="13"/>
        <v>12450.13095312</v>
      </c>
      <c r="Y21" s="53">
        <v>6523.4463999999998</v>
      </c>
      <c r="Z21" s="53">
        <v>253.2</v>
      </c>
      <c r="AA21" s="7">
        <f t="shared" si="8"/>
        <v>6776.6463999999996</v>
      </c>
      <c r="AB21" s="53"/>
      <c r="AC21" s="7">
        <f t="shared" si="14"/>
        <v>5673.4845531200008</v>
      </c>
      <c r="AD21" s="338"/>
    </row>
    <row r="22" spans="1:32" ht="20.25" hidden="1" customHeight="1">
      <c r="A22" s="35"/>
      <c r="B22" s="54" t="s">
        <v>46</v>
      </c>
      <c r="C22" s="73">
        <f>C41</f>
        <v>118529.772</v>
      </c>
      <c r="D22" s="73"/>
      <c r="E22" s="73"/>
      <c r="F22" s="73"/>
      <c r="G22" s="73"/>
      <c r="H22" s="73"/>
      <c r="I22" s="73"/>
      <c r="J22" s="73"/>
      <c r="K22" s="73"/>
      <c r="L22" s="73"/>
      <c r="M22" s="109">
        <v>9</v>
      </c>
      <c r="N22" s="109"/>
      <c r="O22" s="109"/>
      <c r="P22" s="109"/>
      <c r="Q22" s="167">
        <f t="shared" si="11"/>
        <v>118529.8</v>
      </c>
      <c r="R22" s="198"/>
      <c r="S22" s="8"/>
      <c r="T22" s="8"/>
      <c r="U22" s="133"/>
      <c r="V22" s="36">
        <v>100</v>
      </c>
      <c r="W22" s="80">
        <f t="shared" si="12"/>
        <v>16667.186356800001</v>
      </c>
      <c r="X22" s="7">
        <f t="shared" si="13"/>
        <v>16667.186356800001</v>
      </c>
      <c r="Y22" s="53">
        <v>6350.0464000000002</v>
      </c>
      <c r="Z22" s="53">
        <v>0</v>
      </c>
      <c r="AA22" s="7">
        <f t="shared" si="8"/>
        <v>6350.0464000000002</v>
      </c>
      <c r="AB22" s="53"/>
      <c r="AC22" s="7">
        <f t="shared" si="14"/>
        <v>10317.139956800002</v>
      </c>
      <c r="AD22" s="338"/>
    </row>
    <row r="23" spans="1:32" ht="20.25" hidden="1" customHeight="1">
      <c r="A23" s="35"/>
      <c r="B23" s="54" t="s">
        <v>47</v>
      </c>
      <c r="C23" s="73">
        <f>C42</f>
        <v>80728.581999999995</v>
      </c>
      <c r="D23" s="73"/>
      <c r="E23" s="73"/>
      <c r="F23" s="73"/>
      <c r="G23" s="73"/>
      <c r="H23" s="73"/>
      <c r="I23" s="73"/>
      <c r="J23" s="73"/>
      <c r="K23" s="73"/>
      <c r="L23" s="73"/>
      <c r="M23" s="109">
        <v>8</v>
      </c>
      <c r="N23" s="109"/>
      <c r="O23" s="109"/>
      <c r="P23" s="109"/>
      <c r="Q23" s="167">
        <f t="shared" si="11"/>
        <v>80728.600000000006</v>
      </c>
      <c r="R23" s="198"/>
      <c r="S23" s="8"/>
      <c r="T23" s="8"/>
      <c r="U23" s="133"/>
      <c r="V23" s="36">
        <v>100</v>
      </c>
      <c r="W23" s="80">
        <f t="shared" si="12"/>
        <v>10090.429171200001</v>
      </c>
      <c r="X23" s="7">
        <f>W23-AB23</f>
        <v>10090.429171200001</v>
      </c>
      <c r="Y23" s="53">
        <v>5849.3940000000002</v>
      </c>
      <c r="Z23" s="53">
        <v>386</v>
      </c>
      <c r="AA23" s="7">
        <f t="shared" si="8"/>
        <v>6235.3940000000002</v>
      </c>
      <c r="AB23" s="53"/>
      <c r="AC23" s="7">
        <f t="shared" si="14"/>
        <v>3855.0351712000011</v>
      </c>
      <c r="AD23" s="338"/>
    </row>
    <row r="24" spans="1:32" ht="20.25" hidden="1" customHeight="1">
      <c r="A24" s="35"/>
      <c r="B24" s="54" t="s">
        <v>48</v>
      </c>
      <c r="C24" s="73">
        <f>C43</f>
        <v>99891.099000000002</v>
      </c>
      <c r="D24" s="73"/>
      <c r="E24" s="73"/>
      <c r="F24" s="73"/>
      <c r="G24" s="73"/>
      <c r="H24" s="73"/>
      <c r="I24" s="73"/>
      <c r="J24" s="73"/>
      <c r="K24" s="73"/>
      <c r="L24" s="73"/>
      <c r="M24" s="109">
        <v>6</v>
      </c>
      <c r="N24" s="109"/>
      <c r="O24" s="109"/>
      <c r="P24" s="109"/>
      <c r="Q24" s="167">
        <f t="shared" si="11"/>
        <v>94526.9</v>
      </c>
      <c r="R24" s="198"/>
      <c r="S24" s="8"/>
      <c r="T24" s="8"/>
      <c r="U24" s="133"/>
      <c r="V24" s="5">
        <v>94.63</v>
      </c>
      <c r="W24" s="80">
        <f t="shared" si="12"/>
        <v>8861.3297135999983</v>
      </c>
      <c r="X24" s="7">
        <f t="shared" si="13"/>
        <v>8861.3297135999983</v>
      </c>
      <c r="Y24" s="53">
        <v>4048.6</v>
      </c>
      <c r="Z24" s="53">
        <v>0</v>
      </c>
      <c r="AA24" s="7">
        <f t="shared" si="8"/>
        <v>4048.6</v>
      </c>
      <c r="AB24" s="53"/>
      <c r="AC24" s="7">
        <f t="shared" si="14"/>
        <v>4812.7297135999979</v>
      </c>
      <c r="AD24" s="338"/>
    </row>
    <row r="25" spans="1:32" ht="21" hidden="1" customHeight="1">
      <c r="A25" s="35"/>
      <c r="B25" s="54" t="s">
        <v>49</v>
      </c>
      <c r="C25" s="73">
        <f>C45</f>
        <v>166263.33300000001</v>
      </c>
      <c r="D25" s="73"/>
      <c r="E25" s="73"/>
      <c r="F25" s="73"/>
      <c r="G25" s="73"/>
      <c r="H25" s="73"/>
      <c r="I25" s="73"/>
      <c r="J25" s="73"/>
      <c r="K25" s="73"/>
      <c r="L25" s="73"/>
      <c r="M25" s="110">
        <v>25.2</v>
      </c>
      <c r="N25" s="110"/>
      <c r="O25" s="110"/>
      <c r="P25" s="110"/>
      <c r="Q25" s="167">
        <f t="shared" si="11"/>
        <v>166263.29999999999</v>
      </c>
      <c r="R25" s="198"/>
      <c r="S25" s="8"/>
      <c r="T25" s="8"/>
      <c r="U25" s="133"/>
      <c r="V25" s="36">
        <v>100</v>
      </c>
      <c r="W25" s="80">
        <f t="shared" si="12"/>
        <v>65461.984539839999</v>
      </c>
      <c r="X25" s="7">
        <f t="shared" si="13"/>
        <v>65203.684539839996</v>
      </c>
      <c r="Y25" s="53">
        <v>18144.170600000001</v>
      </c>
      <c r="Z25" s="53">
        <v>0</v>
      </c>
      <c r="AA25" s="7">
        <f t="shared" si="8"/>
        <v>18144.170600000001</v>
      </c>
      <c r="AB25" s="53">
        <v>258.3</v>
      </c>
      <c r="AC25" s="7">
        <f t="shared" si="14"/>
        <v>47059.513939839992</v>
      </c>
      <c r="AD25" s="338"/>
    </row>
    <row r="26" spans="1:32" ht="21" hidden="1" customHeight="1">
      <c r="A26" s="35"/>
      <c r="B26" s="54" t="s">
        <v>50</v>
      </c>
      <c r="C26" s="73">
        <f>C47</f>
        <v>219322.26500000001</v>
      </c>
      <c r="D26" s="73"/>
      <c r="E26" s="73"/>
      <c r="F26" s="73"/>
      <c r="G26" s="73"/>
      <c r="H26" s="73"/>
      <c r="I26" s="73"/>
      <c r="J26" s="73"/>
      <c r="K26" s="73"/>
      <c r="L26" s="73"/>
      <c r="M26" s="109">
        <v>75.7</v>
      </c>
      <c r="N26" s="109"/>
      <c r="O26" s="109"/>
      <c r="P26" s="109"/>
      <c r="Q26" s="167">
        <f t="shared" si="11"/>
        <v>219322.3</v>
      </c>
      <c r="R26" s="198"/>
      <c r="S26" s="8"/>
      <c r="T26" s="8"/>
      <c r="U26" s="133"/>
      <c r="V26" s="36">
        <v>100</v>
      </c>
      <c r="W26" s="80">
        <f t="shared" si="12"/>
        <v>259400.55527063998</v>
      </c>
      <c r="X26" s="7">
        <f t="shared" si="13"/>
        <v>259400.55527063998</v>
      </c>
      <c r="Y26" s="53">
        <v>46025.100599999998</v>
      </c>
      <c r="Z26" s="53">
        <v>3139.4</v>
      </c>
      <c r="AA26" s="7">
        <f t="shared" si="8"/>
        <v>49164.500599999999</v>
      </c>
      <c r="AB26" s="53"/>
      <c r="AC26" s="7">
        <f t="shared" si="14"/>
        <v>210236.05467063998</v>
      </c>
      <c r="AD26" s="338"/>
    </row>
    <row r="27" spans="1:32" ht="21" hidden="1" customHeight="1">
      <c r="A27" s="35"/>
      <c r="B27" s="54" t="s">
        <v>51</v>
      </c>
      <c r="C27" s="73">
        <f>C48</f>
        <v>160428.204</v>
      </c>
      <c r="D27" s="73"/>
      <c r="E27" s="73"/>
      <c r="F27" s="73"/>
      <c r="G27" s="73"/>
      <c r="H27" s="73"/>
      <c r="I27" s="73"/>
      <c r="J27" s="73"/>
      <c r="K27" s="73"/>
      <c r="L27" s="73"/>
      <c r="M27" s="109">
        <v>2.4</v>
      </c>
      <c r="N27" s="109"/>
      <c r="O27" s="109"/>
      <c r="P27" s="109"/>
      <c r="Q27" s="167">
        <f t="shared" si="11"/>
        <v>160428.20000000001</v>
      </c>
      <c r="R27" s="198"/>
      <c r="S27" s="8"/>
      <c r="T27" s="8"/>
      <c r="U27" s="133"/>
      <c r="V27" s="36">
        <v>100</v>
      </c>
      <c r="W27" s="80">
        <f t="shared" si="12"/>
        <v>6015.6724723200005</v>
      </c>
      <c r="X27" s="7">
        <f t="shared" si="13"/>
        <v>6015.6724723200005</v>
      </c>
      <c r="Y27" s="53">
        <v>5320.0103999999992</v>
      </c>
      <c r="Z27" s="53">
        <v>63.9</v>
      </c>
      <c r="AA27" s="7">
        <f t="shared" si="8"/>
        <v>5383.9103999999988</v>
      </c>
      <c r="AB27" s="53"/>
      <c r="AC27" s="7">
        <f t="shared" si="14"/>
        <v>631.76207232000161</v>
      </c>
      <c r="AD27" s="338"/>
    </row>
    <row r="28" spans="1:32" ht="21" hidden="1" customHeight="1">
      <c r="A28" s="35"/>
      <c r="B28" s="54" t="s">
        <v>52</v>
      </c>
      <c r="C28" s="73">
        <f>C49</f>
        <v>208841.95</v>
      </c>
      <c r="D28" s="73"/>
      <c r="E28" s="73"/>
      <c r="F28" s="73"/>
      <c r="G28" s="73"/>
      <c r="H28" s="73"/>
      <c r="I28" s="73"/>
      <c r="J28" s="73"/>
      <c r="K28" s="73"/>
      <c r="L28" s="73"/>
      <c r="M28" s="109">
        <v>33.9</v>
      </c>
      <c r="N28" s="109"/>
      <c r="O28" s="109"/>
      <c r="P28" s="109"/>
      <c r="Q28" s="167">
        <f t="shared" si="11"/>
        <v>208842</v>
      </c>
      <c r="R28" s="198"/>
      <c r="S28" s="8"/>
      <c r="T28" s="8"/>
      <c r="U28" s="133"/>
      <c r="V28" s="36">
        <v>100</v>
      </c>
      <c r="W28" s="80">
        <f t="shared" si="12"/>
        <v>110613.9171312</v>
      </c>
      <c r="X28" s="7">
        <f t="shared" si="13"/>
        <v>110613.9171312</v>
      </c>
      <c r="Y28" s="53">
        <v>44328.68499999999</v>
      </c>
      <c r="Z28" s="53">
        <v>987.7</v>
      </c>
      <c r="AA28" s="7">
        <f t="shared" si="8"/>
        <v>45316.384999999987</v>
      </c>
      <c r="AB28" s="53"/>
      <c r="AC28" s="7">
        <f t="shared" si="14"/>
        <v>65297.532131200009</v>
      </c>
      <c r="AD28" s="338"/>
    </row>
    <row r="29" spans="1:32" ht="21" hidden="1" customHeight="1">
      <c r="A29" s="35"/>
      <c r="B29" s="54" t="s">
        <v>53</v>
      </c>
      <c r="C29" s="73">
        <f>C50</f>
        <v>217575.033</v>
      </c>
      <c r="D29" s="73"/>
      <c r="E29" s="73"/>
      <c r="F29" s="73"/>
      <c r="G29" s="73"/>
      <c r="H29" s="73"/>
      <c r="I29" s="73"/>
      <c r="J29" s="73"/>
      <c r="K29" s="73"/>
      <c r="L29" s="73"/>
      <c r="M29" s="109">
        <v>13</v>
      </c>
      <c r="N29" s="109"/>
      <c r="O29" s="109"/>
      <c r="P29" s="109"/>
      <c r="Q29" s="167">
        <f t="shared" si="11"/>
        <v>217575</v>
      </c>
      <c r="R29" s="198"/>
      <c r="S29" s="8"/>
      <c r="T29" s="8"/>
      <c r="U29" s="133"/>
      <c r="V29" s="36">
        <v>100</v>
      </c>
      <c r="W29" s="80">
        <f t="shared" si="12"/>
        <v>44192.093399999998</v>
      </c>
      <c r="X29" s="7">
        <f t="shared" si="13"/>
        <v>44192.093399999998</v>
      </c>
      <c r="Y29" s="53">
        <v>16744.248200000002</v>
      </c>
      <c r="Z29" s="53">
        <v>299.60000000000002</v>
      </c>
      <c r="AA29" s="7">
        <f t="shared" si="8"/>
        <v>17043.8482</v>
      </c>
      <c r="AB29" s="53"/>
      <c r="AC29" s="7">
        <f t="shared" si="14"/>
        <v>27148.245199999998</v>
      </c>
      <c r="AD29" s="338"/>
    </row>
    <row r="30" spans="1:32" ht="21" hidden="1" customHeight="1">
      <c r="A30" s="35"/>
      <c r="B30" s="54" t="s">
        <v>54</v>
      </c>
      <c r="C30" s="73">
        <f>C51</f>
        <v>70105.328999999998</v>
      </c>
      <c r="D30" s="73"/>
      <c r="E30" s="73"/>
      <c r="F30" s="73"/>
      <c r="G30" s="73"/>
      <c r="H30" s="73"/>
      <c r="I30" s="73"/>
      <c r="J30" s="73"/>
      <c r="K30" s="73"/>
      <c r="L30" s="73"/>
      <c r="M30" s="109">
        <v>7.8</v>
      </c>
      <c r="N30" s="109"/>
      <c r="O30" s="109"/>
      <c r="P30" s="109"/>
      <c r="Q30" s="167">
        <f t="shared" si="11"/>
        <v>66600.100000000006</v>
      </c>
      <c r="R30" s="198"/>
      <c r="S30" s="8"/>
      <c r="T30" s="8"/>
      <c r="U30" s="133"/>
      <c r="V30" s="5">
        <v>95</v>
      </c>
      <c r="W30" s="80">
        <f t="shared" si="12"/>
        <v>8116.3677067200015</v>
      </c>
      <c r="X30" s="7">
        <f t="shared" si="13"/>
        <v>8116.3677067200015</v>
      </c>
      <c r="Y30" s="53">
        <v>3915.1</v>
      </c>
      <c r="Z30" s="53"/>
      <c r="AA30" s="7">
        <f t="shared" si="8"/>
        <v>3915.1</v>
      </c>
      <c r="AB30" s="53"/>
      <c r="AC30" s="7">
        <f t="shared" si="14"/>
        <v>4201.267706720002</v>
      </c>
      <c r="AD30" s="338"/>
    </row>
    <row r="31" spans="1:32" ht="21" hidden="1" customHeight="1">
      <c r="A31" s="35"/>
      <c r="B31" s="54" t="s">
        <v>55</v>
      </c>
      <c r="C31" s="73">
        <f>C56</f>
        <v>143160.06700000001</v>
      </c>
      <c r="D31" s="73"/>
      <c r="E31" s="73"/>
      <c r="F31" s="73"/>
      <c r="G31" s="73"/>
      <c r="H31" s="73"/>
      <c r="I31" s="73"/>
      <c r="J31" s="73"/>
      <c r="K31" s="73"/>
      <c r="L31" s="73"/>
      <c r="M31" s="110">
        <v>30</v>
      </c>
      <c r="N31" s="110"/>
      <c r="O31" s="110"/>
      <c r="P31" s="110"/>
      <c r="Q31" s="167">
        <f t="shared" si="11"/>
        <v>136002.1</v>
      </c>
      <c r="R31" s="198"/>
      <c r="S31" s="8"/>
      <c r="T31" s="8"/>
      <c r="U31" s="133"/>
      <c r="V31" s="5">
        <v>95</v>
      </c>
      <c r="W31" s="80">
        <f t="shared" si="12"/>
        <v>63746.904311999999</v>
      </c>
      <c r="X31" s="7">
        <f t="shared" si="13"/>
        <v>63496.704312000002</v>
      </c>
      <c r="Y31" s="53">
        <v>14131.5</v>
      </c>
      <c r="Z31" s="53"/>
      <c r="AA31" s="7">
        <f t="shared" si="8"/>
        <v>14131.5</v>
      </c>
      <c r="AB31" s="53">
        <v>250.2</v>
      </c>
      <c r="AC31" s="7">
        <f t="shared" si="14"/>
        <v>49365.204312000002</v>
      </c>
      <c r="AD31" s="338"/>
      <c r="AF31" s="55"/>
    </row>
    <row r="32" spans="1:32" ht="36.75" hidden="1" customHeight="1">
      <c r="A32" s="45" t="s">
        <v>106</v>
      </c>
      <c r="B32" s="56" t="s">
        <v>74</v>
      </c>
      <c r="C32" s="74">
        <v>33466.6</v>
      </c>
      <c r="D32" s="74"/>
      <c r="E32" s="74"/>
      <c r="F32" s="74"/>
      <c r="G32" s="74"/>
      <c r="H32" s="74"/>
      <c r="I32" s="74"/>
      <c r="J32" s="74"/>
      <c r="K32" s="74"/>
      <c r="L32" s="74"/>
      <c r="M32" s="111">
        <f>SUM(M33:M58)</f>
        <v>9524</v>
      </c>
      <c r="N32" s="111"/>
      <c r="O32" s="111"/>
      <c r="P32" s="111"/>
      <c r="Q32" s="166">
        <f>W32/M32/12/1.302*1000</f>
        <v>37230.131069421623</v>
      </c>
      <c r="R32" s="197"/>
      <c r="S32" s="51"/>
      <c r="T32" s="51"/>
      <c r="U32" s="112"/>
      <c r="V32" s="82">
        <f>Q32/35865.9*100</f>
        <v>103.80369952913944</v>
      </c>
      <c r="W32" s="58">
        <f>SUM(W33:W58)</f>
        <v>5539954.3000000007</v>
      </c>
      <c r="X32" s="21">
        <f t="shared" ref="X32:AC32" si="15">SUM(X33:X58)</f>
        <v>5517215.0442000004</v>
      </c>
      <c r="Y32" s="21">
        <f t="shared" si="15"/>
        <v>677416.20079999999</v>
      </c>
      <c r="Z32" s="21">
        <f t="shared" si="15"/>
        <v>7972.6999999999989</v>
      </c>
      <c r="AA32" s="21">
        <f t="shared" si="15"/>
        <v>685388.90079999994</v>
      </c>
      <c r="AB32" s="21">
        <f t="shared" si="15"/>
        <v>22739.255800000003</v>
      </c>
      <c r="AC32" s="21">
        <f t="shared" si="15"/>
        <v>4831826.1433999995</v>
      </c>
      <c r="AD32" s="339"/>
      <c r="AE32" s="59"/>
      <c r="AF32" s="60"/>
    </row>
    <row r="33" spans="1:33" ht="18.75" customHeight="1">
      <c r="A33" s="35"/>
      <c r="B33" s="22" t="s">
        <v>57</v>
      </c>
      <c r="C33" s="75">
        <v>266233.76500000001</v>
      </c>
      <c r="D33" s="75"/>
      <c r="E33" s="90">
        <f>2352000*1.302</f>
        <v>3062304</v>
      </c>
      <c r="F33" s="90">
        <f>ROUND(E33*$E$8/1000*$E$14,1)</f>
        <v>3905.4</v>
      </c>
      <c r="G33" s="90">
        <v>1402400</v>
      </c>
      <c r="H33" s="90">
        <f>ROUND(G33*1.302/1000*$G$14,1)</f>
        <v>1816.2</v>
      </c>
      <c r="I33" s="99">
        <v>8231.7000000000007</v>
      </c>
      <c r="J33" s="99">
        <f>ROUND(I33*1.04,1)</f>
        <v>8561</v>
      </c>
      <c r="K33" s="99">
        <f>'Расчет ЗП ДОШ на 2018 год  (2)'!S33</f>
        <v>4850.2169088000082</v>
      </c>
      <c r="L33" s="99">
        <v>0</v>
      </c>
      <c r="M33" s="110">
        <v>479</v>
      </c>
      <c r="N33" s="110">
        <f>ROUND(M33*$N$14,0)</f>
        <v>488</v>
      </c>
      <c r="O33" s="110">
        <f>R33*N33*12*1.302/1000</f>
        <v>278442.17259538185</v>
      </c>
      <c r="P33" s="110">
        <f>C33-D33-F33+H33+J33+K33+L33</f>
        <v>277555.78190880001</v>
      </c>
      <c r="Q33" s="167">
        <f>ROUND(((P33-J33)/1.302+J33)/12/N33*1000,0)</f>
        <v>36742</v>
      </c>
      <c r="R33" s="198">
        <f>Q33*$R$14</f>
        <v>36519.343480000003</v>
      </c>
      <c r="S33" s="8">
        <v>34158</v>
      </c>
      <c r="T33" s="8">
        <f>R33-S33</f>
        <v>2361.3434800000032</v>
      </c>
      <c r="U33" s="133">
        <f>P33-O33</f>
        <v>-886.3906865818426</v>
      </c>
      <c r="V33" s="33">
        <v>98.103650000000002</v>
      </c>
      <c r="W33" s="7">
        <f t="shared" ref="W33:W58" si="16">ROUND(M33*Q33*12*1.302/1000,1)</f>
        <v>274973.3</v>
      </c>
      <c r="X33" s="7">
        <f t="shared" si="13"/>
        <v>273925.39999999997</v>
      </c>
      <c r="Y33" s="7">
        <v>28757.8</v>
      </c>
      <c r="Z33" s="7">
        <v>232.8</v>
      </c>
      <c r="AA33" s="7">
        <f t="shared" si="8"/>
        <v>28990.6</v>
      </c>
      <c r="AB33" s="7">
        <v>1047.9000000000001</v>
      </c>
      <c r="AC33" s="7">
        <f>X33-AA33</f>
        <v>244934.79999999996</v>
      </c>
      <c r="AD33" s="89"/>
      <c r="AG33" s="131">
        <f>C33-D33-F33+H33+J33+K33+L33-O33</f>
        <v>-886.3906865818426</v>
      </c>
    </row>
    <row r="34" spans="1:33" ht="18.75" customHeight="1">
      <c r="A34" s="35"/>
      <c r="B34" s="22" t="s">
        <v>58</v>
      </c>
      <c r="C34" s="75">
        <v>137623.40900000001</v>
      </c>
      <c r="D34" s="75"/>
      <c r="E34" s="90">
        <v>225200</v>
      </c>
      <c r="F34" s="90">
        <f t="shared" ref="F34:F58" si="17">ROUND(E34*$E$8/1000*$E$14,1)</f>
        <v>287.2</v>
      </c>
      <c r="G34" s="90">
        <v>51400</v>
      </c>
      <c r="H34" s="90">
        <f t="shared" ref="H34:H58" si="18">ROUND(G34*1.302/1000*$G$14,1)</f>
        <v>66.599999999999994</v>
      </c>
      <c r="I34" s="99">
        <v>7249.9</v>
      </c>
      <c r="J34" s="99">
        <f t="shared" ref="J34:J58" si="19">ROUND(I34*1.04,1)</f>
        <v>7539.9</v>
      </c>
      <c r="K34" s="99">
        <f>'Расчет ЗП ДОШ на 2018 год  (2)'!S34</f>
        <v>818.69954080000753</v>
      </c>
      <c r="L34" s="99">
        <v>0</v>
      </c>
      <c r="M34" s="110">
        <v>264</v>
      </c>
      <c r="N34" s="110">
        <f t="shared" ref="N34:N58" si="20">ROUND(M34*$N$14,0)</f>
        <v>269</v>
      </c>
      <c r="O34" s="110">
        <f t="shared" ref="O34:O58" si="21">R34*N34*12*1.302/1000</f>
        <v>147140.09147485872</v>
      </c>
      <c r="P34" s="110">
        <f t="shared" ref="P34:P57" si="22">C34-D34-F34+H34+J34+K34+L34</f>
        <v>145761.40854080001</v>
      </c>
      <c r="Q34" s="167">
        <f t="shared" ref="Q34:Q57" si="23">ROUND(((P34-J34)/1.302+J34)/12/N34*1000,0)</f>
        <v>35223</v>
      </c>
      <c r="R34" s="198">
        <f t="shared" ref="R34:R58" si="24">Q34*$R$14</f>
        <v>35009.548620000001</v>
      </c>
      <c r="S34" s="8">
        <v>34835</v>
      </c>
      <c r="T34" s="8">
        <f t="shared" ref="T34:T59" si="25">R34-S34</f>
        <v>174.54862000000139</v>
      </c>
      <c r="U34" s="133">
        <f t="shared" ref="U34:U58" si="26">P34-O34</f>
        <v>-1378.6829340587137</v>
      </c>
      <c r="V34" s="33">
        <v>98.103650000000002</v>
      </c>
      <c r="W34" s="7">
        <f t="shared" si="16"/>
        <v>145285.6</v>
      </c>
      <c r="X34" s="7">
        <f t="shared" si="13"/>
        <v>145253.80000000002</v>
      </c>
      <c r="Y34" s="7">
        <v>12046</v>
      </c>
      <c r="Z34" s="7">
        <v>875.5</v>
      </c>
      <c r="AA34" s="7">
        <f t="shared" si="8"/>
        <v>12921.5</v>
      </c>
      <c r="AB34" s="7">
        <v>31.8</v>
      </c>
      <c r="AC34" s="7">
        <f t="shared" si="14"/>
        <v>132332.30000000002</v>
      </c>
      <c r="AD34" s="89"/>
      <c r="AG34" s="131">
        <f>C34-D34-F34+H34+J34+K34+L34-O34</f>
        <v>-1378.6829340587137</v>
      </c>
    </row>
    <row r="35" spans="1:33" ht="18.75" customHeight="1">
      <c r="A35" s="35"/>
      <c r="B35" s="22" t="s">
        <v>59</v>
      </c>
      <c r="C35" s="75">
        <v>86862.68</v>
      </c>
      <c r="D35" s="75"/>
      <c r="E35" s="90">
        <v>1089500</v>
      </c>
      <c r="F35" s="90">
        <f t="shared" si="17"/>
        <v>1389.4</v>
      </c>
      <c r="G35" s="90">
        <v>45800</v>
      </c>
      <c r="H35" s="90">
        <f t="shared" si="18"/>
        <v>59.3</v>
      </c>
      <c r="I35" s="99">
        <v>5783.5</v>
      </c>
      <c r="J35" s="99">
        <f t="shared" si="19"/>
        <v>6014.8</v>
      </c>
      <c r="K35" s="99">
        <f>'Расчет ЗП ДОШ на 2018 год  (2)'!S35</f>
        <v>566.2927103999973</v>
      </c>
      <c r="L35" s="99">
        <v>2241.5386679999992</v>
      </c>
      <c r="M35" s="110">
        <v>168</v>
      </c>
      <c r="N35" s="110">
        <f t="shared" si="20"/>
        <v>171</v>
      </c>
      <c r="O35" s="110">
        <f t="shared" si="21"/>
        <v>95587.863001464983</v>
      </c>
      <c r="P35" s="110">
        <f t="shared" si="22"/>
        <v>94355.211378399996</v>
      </c>
      <c r="Q35" s="167">
        <f t="shared" si="23"/>
        <v>35996</v>
      </c>
      <c r="R35" s="198">
        <f t="shared" si="24"/>
        <v>35777.864240000003</v>
      </c>
      <c r="S35" s="8">
        <v>35215</v>
      </c>
      <c r="T35" s="8">
        <f t="shared" si="25"/>
        <v>562.86424000000261</v>
      </c>
      <c r="U35" s="133">
        <f t="shared" si="26"/>
        <v>-1232.6516230649868</v>
      </c>
      <c r="V35" s="33">
        <v>98.103650000000002</v>
      </c>
      <c r="W35" s="7">
        <f t="shared" si="16"/>
        <v>94483.5</v>
      </c>
      <c r="X35" s="7">
        <f t="shared" si="13"/>
        <v>94454.7</v>
      </c>
      <c r="Y35" s="7">
        <v>5040.6000000000004</v>
      </c>
      <c r="Z35" s="7">
        <v>508.2</v>
      </c>
      <c r="AA35" s="7">
        <f t="shared" si="8"/>
        <v>5548.8</v>
      </c>
      <c r="AB35" s="7">
        <v>28.8</v>
      </c>
      <c r="AC35" s="7">
        <f t="shared" si="14"/>
        <v>88905.9</v>
      </c>
      <c r="AD35" s="89"/>
      <c r="AG35" s="131">
        <f t="shared" ref="AG35:AG56" si="27">C35-D35-F35+H35+J35+K35+L35-O35</f>
        <v>-1232.6516230649868</v>
      </c>
    </row>
    <row r="36" spans="1:33" ht="18.75" customHeight="1">
      <c r="A36" s="35"/>
      <c r="B36" s="22" t="s">
        <v>60</v>
      </c>
      <c r="C36" s="75">
        <v>116104.45699999999</v>
      </c>
      <c r="D36" s="75"/>
      <c r="E36" s="90">
        <v>855000</v>
      </c>
      <c r="F36" s="90">
        <f t="shared" si="17"/>
        <v>1090.4000000000001</v>
      </c>
      <c r="G36" s="90">
        <v>9600</v>
      </c>
      <c r="H36" s="90">
        <f t="shared" si="18"/>
        <v>12.4</v>
      </c>
      <c r="I36" s="100">
        <v>8021.1</v>
      </c>
      <c r="J36" s="99">
        <f t="shared" si="19"/>
        <v>8341.9</v>
      </c>
      <c r="K36" s="99">
        <f>'Расчет ЗП ДОШ на 2018 год  (2)'!S36</f>
        <v>2.3835792000027141</v>
      </c>
      <c r="L36" s="99">
        <v>0</v>
      </c>
      <c r="M36" s="110">
        <v>201</v>
      </c>
      <c r="N36" s="110">
        <f t="shared" si="20"/>
        <v>205</v>
      </c>
      <c r="O36" s="110">
        <f t="shared" si="21"/>
        <v>125127.87253016402</v>
      </c>
      <c r="P36" s="110">
        <f t="shared" si="22"/>
        <v>123370.74057919999</v>
      </c>
      <c r="Q36" s="167">
        <f t="shared" si="23"/>
        <v>39305</v>
      </c>
      <c r="R36" s="198">
        <f t="shared" si="24"/>
        <v>39066.811699999998</v>
      </c>
      <c r="S36" s="8">
        <v>37421</v>
      </c>
      <c r="T36" s="8">
        <f t="shared" si="25"/>
        <v>1645.8116999999984</v>
      </c>
      <c r="U36" s="133">
        <f t="shared" si="26"/>
        <v>-1757.1319509640307</v>
      </c>
      <c r="V36" s="33">
        <v>98.103650000000002</v>
      </c>
      <c r="W36" s="7">
        <f t="shared" si="16"/>
        <v>123434.4</v>
      </c>
      <c r="X36" s="7">
        <f t="shared" si="13"/>
        <v>123367</v>
      </c>
      <c r="Y36" s="7">
        <v>7614.1</v>
      </c>
      <c r="Z36" s="7">
        <v>991</v>
      </c>
      <c r="AA36" s="7">
        <f t="shared" si="8"/>
        <v>8605.1</v>
      </c>
      <c r="AB36" s="7">
        <v>67.400000000000006</v>
      </c>
      <c r="AC36" s="7">
        <f t="shared" si="14"/>
        <v>114761.9</v>
      </c>
      <c r="AD36" s="89"/>
      <c r="AG36" s="131">
        <f t="shared" si="27"/>
        <v>-1757.1319509640307</v>
      </c>
    </row>
    <row r="37" spans="1:33" ht="18.75" customHeight="1">
      <c r="A37" s="35"/>
      <c r="B37" s="23" t="s">
        <v>61</v>
      </c>
      <c r="C37" s="75">
        <v>115905.231</v>
      </c>
      <c r="D37" s="75"/>
      <c r="E37" s="90">
        <v>1314600</v>
      </c>
      <c r="F37" s="90">
        <f t="shared" si="17"/>
        <v>1676.5</v>
      </c>
      <c r="G37" s="90">
        <v>241600</v>
      </c>
      <c r="H37" s="90">
        <f t="shared" si="18"/>
        <v>312.89999999999998</v>
      </c>
      <c r="I37" s="100">
        <v>4073.2</v>
      </c>
      <c r="J37" s="99">
        <f t="shared" si="19"/>
        <v>4236.1000000000004</v>
      </c>
      <c r="K37" s="99">
        <f>'Расчет ЗП ДОШ на 2018 год  (2)'!S37</f>
        <v>1643.8925359999994</v>
      </c>
      <c r="L37" s="99">
        <v>0</v>
      </c>
      <c r="M37" s="110">
        <v>242</v>
      </c>
      <c r="N37" s="110">
        <f t="shared" si="20"/>
        <v>246</v>
      </c>
      <c r="O37" s="110">
        <f t="shared" si="21"/>
        <v>120963.20434942465</v>
      </c>
      <c r="P37" s="110">
        <f t="shared" si="22"/>
        <v>120421.623536</v>
      </c>
      <c r="Q37" s="167">
        <f t="shared" si="23"/>
        <v>31664</v>
      </c>
      <c r="R37" s="198">
        <f t="shared" si="24"/>
        <v>31472.116160000001</v>
      </c>
      <c r="S37" s="8">
        <v>30351</v>
      </c>
      <c r="T37" s="8">
        <f t="shared" si="25"/>
        <v>1121.1161600000014</v>
      </c>
      <c r="U37" s="133">
        <f t="shared" si="26"/>
        <v>-541.5808134246472</v>
      </c>
      <c r="V37" s="33">
        <v>98.103650000000002</v>
      </c>
      <c r="W37" s="7">
        <f t="shared" si="16"/>
        <v>119721.8</v>
      </c>
      <c r="X37" s="7">
        <f t="shared" si="13"/>
        <v>119507.1</v>
      </c>
      <c r="Y37" s="7">
        <v>10295.6</v>
      </c>
      <c r="Z37" s="7">
        <v>0</v>
      </c>
      <c r="AA37" s="7">
        <f t="shared" si="8"/>
        <v>10295.6</v>
      </c>
      <c r="AB37" s="7">
        <v>214.7</v>
      </c>
      <c r="AC37" s="7">
        <f t="shared" si="14"/>
        <v>109211.5</v>
      </c>
      <c r="AD37" s="89"/>
      <c r="AG37" s="131">
        <f t="shared" si="27"/>
        <v>-541.5808134246472</v>
      </c>
    </row>
    <row r="38" spans="1:33" ht="18.75" customHeight="1">
      <c r="A38" s="35"/>
      <c r="B38" s="23" t="s">
        <v>62</v>
      </c>
      <c r="C38" s="75">
        <v>136496.63699999999</v>
      </c>
      <c r="D38" s="75"/>
      <c r="E38" s="90">
        <v>1325300</v>
      </c>
      <c r="F38" s="90">
        <f t="shared" si="17"/>
        <v>1690.2</v>
      </c>
      <c r="G38" s="90">
        <v>47000</v>
      </c>
      <c r="H38" s="90">
        <f t="shared" si="18"/>
        <v>60.9</v>
      </c>
      <c r="I38" s="100">
        <v>7062.7</v>
      </c>
      <c r="J38" s="99">
        <f t="shared" si="19"/>
        <v>7345.2</v>
      </c>
      <c r="K38" s="99">
        <f>'Расчет ЗП ДОШ на 2018 год  (2)'!S38</f>
        <v>1942.5145264000021</v>
      </c>
      <c r="L38" s="99">
        <v>0</v>
      </c>
      <c r="M38" s="110">
        <v>251</v>
      </c>
      <c r="N38" s="110">
        <f t="shared" si="20"/>
        <v>256</v>
      </c>
      <c r="O38" s="110">
        <f t="shared" si="21"/>
        <v>145487.60115757061</v>
      </c>
      <c r="P38" s="110">
        <f t="shared" si="22"/>
        <v>144155.05152639997</v>
      </c>
      <c r="Q38" s="167">
        <f t="shared" si="23"/>
        <v>36596</v>
      </c>
      <c r="R38" s="198">
        <f t="shared" si="24"/>
        <v>36374.228240000004</v>
      </c>
      <c r="S38" s="8">
        <v>35768</v>
      </c>
      <c r="T38" s="8">
        <f t="shared" si="25"/>
        <v>606.22824000000401</v>
      </c>
      <c r="U38" s="133">
        <f t="shared" si="26"/>
        <v>-1332.5496311706374</v>
      </c>
      <c r="V38" s="33">
        <v>98.103650000000002</v>
      </c>
      <c r="W38" s="7">
        <f t="shared" si="16"/>
        <v>143515.79999999999</v>
      </c>
      <c r="X38" s="7">
        <f t="shared" si="13"/>
        <v>143515.79999999999</v>
      </c>
      <c r="Y38" s="7">
        <v>14387.9</v>
      </c>
      <c r="Z38" s="7">
        <v>1373.5</v>
      </c>
      <c r="AA38" s="7">
        <f t="shared" si="8"/>
        <v>15761.4</v>
      </c>
      <c r="AB38" s="7"/>
      <c r="AC38" s="7">
        <f t="shared" si="14"/>
        <v>127754.4</v>
      </c>
      <c r="AD38" s="89"/>
      <c r="AG38" s="131">
        <f t="shared" si="27"/>
        <v>-1332.5496311706374</v>
      </c>
    </row>
    <row r="39" spans="1:33" ht="18.75" customHeight="1">
      <c r="A39" s="35"/>
      <c r="B39" s="23" t="s">
        <v>44</v>
      </c>
      <c r="C39" s="75">
        <v>95841.755000000005</v>
      </c>
      <c r="D39" s="75"/>
      <c r="E39" s="90">
        <v>1264600</v>
      </c>
      <c r="F39" s="90">
        <f t="shared" si="17"/>
        <v>1612.8</v>
      </c>
      <c r="G39" s="90">
        <v>21200</v>
      </c>
      <c r="H39" s="90">
        <f t="shared" si="18"/>
        <v>27.5</v>
      </c>
      <c r="I39" s="100">
        <v>4453.7</v>
      </c>
      <c r="J39" s="99">
        <f t="shared" si="19"/>
        <v>4631.8</v>
      </c>
      <c r="K39" s="99">
        <f>'Расчет ЗП ДОШ на 2018 год  (2)'!S39</f>
        <v>938.46489759998803</v>
      </c>
      <c r="L39" s="99">
        <v>648.48139279999941</v>
      </c>
      <c r="M39" s="110">
        <v>162</v>
      </c>
      <c r="N39" s="110">
        <f t="shared" si="20"/>
        <v>165</v>
      </c>
      <c r="O39" s="110">
        <f t="shared" si="21"/>
        <v>101255.8934533608</v>
      </c>
      <c r="P39" s="110">
        <f t="shared" si="22"/>
        <v>100475.20129039999</v>
      </c>
      <c r="Q39" s="167">
        <f t="shared" si="23"/>
        <v>39517</v>
      </c>
      <c r="R39" s="198">
        <f t="shared" si="24"/>
        <v>39277.526980000002</v>
      </c>
      <c r="S39" s="8">
        <v>33167</v>
      </c>
      <c r="T39" s="8">
        <f t="shared" si="25"/>
        <v>6110.5269800000024</v>
      </c>
      <c r="U39" s="133">
        <f t="shared" si="26"/>
        <v>-780.6921629608114</v>
      </c>
      <c r="V39" s="33">
        <v>98.103650000000002</v>
      </c>
      <c r="W39" s="7">
        <f t="shared" si="16"/>
        <v>100021</v>
      </c>
      <c r="X39" s="7">
        <f t="shared" si="13"/>
        <v>99490.6</v>
      </c>
      <c r="Y39" s="7">
        <v>10858.8</v>
      </c>
      <c r="Z39" s="7">
        <v>768.3</v>
      </c>
      <c r="AA39" s="7">
        <f t="shared" si="8"/>
        <v>11627.099999999999</v>
      </c>
      <c r="AB39" s="7">
        <v>530.4</v>
      </c>
      <c r="AC39" s="7">
        <f t="shared" si="14"/>
        <v>87863.5</v>
      </c>
      <c r="AD39" s="89"/>
      <c r="AG39" s="131">
        <f t="shared" si="27"/>
        <v>-780.6921629608114</v>
      </c>
    </row>
    <row r="40" spans="1:33" ht="18.75" customHeight="1">
      <c r="A40" s="35"/>
      <c r="B40" s="23" t="s">
        <v>45</v>
      </c>
      <c r="C40" s="75">
        <v>107683.723</v>
      </c>
      <c r="D40" s="75"/>
      <c r="E40" s="90">
        <v>551200</v>
      </c>
      <c r="F40" s="90">
        <f t="shared" si="17"/>
        <v>703</v>
      </c>
      <c r="G40" s="90">
        <v>180200</v>
      </c>
      <c r="H40" s="90">
        <f t="shared" si="18"/>
        <v>233.4</v>
      </c>
      <c r="I40" s="100">
        <v>6190.7</v>
      </c>
      <c r="J40" s="99">
        <f t="shared" si="19"/>
        <v>6438.3</v>
      </c>
      <c r="K40" s="99">
        <f>'Расчет ЗП ДОШ на 2018 год  (2)'!S40</f>
        <v>607.17548799999349</v>
      </c>
      <c r="L40" s="99">
        <v>1878.8054160000011</v>
      </c>
      <c r="M40" s="110">
        <v>172</v>
      </c>
      <c r="N40" s="110">
        <f t="shared" si="20"/>
        <v>175</v>
      </c>
      <c r="O40" s="110">
        <f t="shared" si="21"/>
        <v>117366.31911387602</v>
      </c>
      <c r="P40" s="110">
        <f t="shared" si="22"/>
        <v>116138.40390399999</v>
      </c>
      <c r="Q40" s="167">
        <f t="shared" si="23"/>
        <v>43187</v>
      </c>
      <c r="R40" s="198">
        <f t="shared" si="24"/>
        <v>42925.286780000002</v>
      </c>
      <c r="S40" s="121">
        <v>39244</v>
      </c>
      <c r="T40" s="8">
        <f t="shared" si="25"/>
        <v>3681.2867800000022</v>
      </c>
      <c r="U40" s="133">
        <f t="shared" si="26"/>
        <v>-1227.9152098760242</v>
      </c>
      <c r="V40" s="33">
        <v>98.103650000000002</v>
      </c>
      <c r="W40" s="7">
        <f t="shared" si="16"/>
        <v>116057.60000000001</v>
      </c>
      <c r="X40" s="7">
        <f t="shared" si="13"/>
        <v>115837.8</v>
      </c>
      <c r="Y40" s="7">
        <v>2266.0007999999998</v>
      </c>
      <c r="Z40" s="7">
        <v>290.90000000000003</v>
      </c>
      <c r="AA40" s="7">
        <f t="shared" si="8"/>
        <v>2556.9007999999999</v>
      </c>
      <c r="AB40" s="7">
        <v>219.8</v>
      </c>
      <c r="AC40" s="7">
        <f t="shared" si="14"/>
        <v>113280.8992</v>
      </c>
      <c r="AD40" s="89"/>
      <c r="AG40" s="131">
        <f t="shared" si="27"/>
        <v>-1227.9152098760242</v>
      </c>
    </row>
    <row r="41" spans="1:33" ht="18.75" customHeight="1">
      <c r="A41" s="35"/>
      <c r="B41" s="23" t="s">
        <v>46</v>
      </c>
      <c r="C41" s="75">
        <v>118529.772</v>
      </c>
      <c r="D41" s="75"/>
      <c r="E41" s="90">
        <v>0</v>
      </c>
      <c r="F41" s="90">
        <f t="shared" si="17"/>
        <v>0</v>
      </c>
      <c r="G41" s="90">
        <v>0</v>
      </c>
      <c r="H41" s="90">
        <f t="shared" si="18"/>
        <v>0</v>
      </c>
      <c r="I41" s="100">
        <v>2228.5</v>
      </c>
      <c r="J41" s="99">
        <f t="shared" si="19"/>
        <v>2317.6</v>
      </c>
      <c r="K41" s="99">
        <f>'Расчет ЗП ДОШ на 2018 год  (2)'!S41</f>
        <v>1031.4902736000004</v>
      </c>
      <c r="L41" s="99">
        <v>2731.5993936000004</v>
      </c>
      <c r="M41" s="110">
        <v>198</v>
      </c>
      <c r="N41" s="110">
        <f t="shared" si="20"/>
        <v>202</v>
      </c>
      <c r="O41" s="110">
        <f t="shared" si="21"/>
        <v>124551.5018718096</v>
      </c>
      <c r="P41" s="110">
        <f t="shared" si="22"/>
        <v>124610.46166720001</v>
      </c>
      <c r="Q41" s="167">
        <f t="shared" si="23"/>
        <v>39705</v>
      </c>
      <c r="R41" s="198">
        <f t="shared" si="24"/>
        <v>39464.387699999999</v>
      </c>
      <c r="S41" s="8">
        <v>36178</v>
      </c>
      <c r="T41" s="8">
        <f t="shared" si="25"/>
        <v>3286.3876999999993</v>
      </c>
      <c r="U41" s="133">
        <f t="shared" si="26"/>
        <v>58.95979539041582</v>
      </c>
      <c r="V41" s="33">
        <v>98.103650000000002</v>
      </c>
      <c r="W41" s="7">
        <f t="shared" si="16"/>
        <v>122829.5</v>
      </c>
      <c r="X41" s="7">
        <f t="shared" si="13"/>
        <v>122829.5</v>
      </c>
      <c r="Y41" s="7">
        <v>8363.9</v>
      </c>
      <c r="Z41" s="7">
        <v>559.4</v>
      </c>
      <c r="AA41" s="7">
        <f t="shared" si="8"/>
        <v>8923.2999999999993</v>
      </c>
      <c r="AB41" s="7"/>
      <c r="AC41" s="7">
        <f t="shared" si="14"/>
        <v>113906.2</v>
      </c>
      <c r="AD41" s="89"/>
      <c r="AG41" s="131">
        <f t="shared" si="27"/>
        <v>58.95979539041582</v>
      </c>
    </row>
    <row r="42" spans="1:33" ht="18.75" customHeight="1">
      <c r="A42" s="35"/>
      <c r="B42" s="23" t="s">
        <v>47</v>
      </c>
      <c r="C42" s="75">
        <v>80728.581999999995</v>
      </c>
      <c r="D42" s="75"/>
      <c r="E42" s="90">
        <v>420000</v>
      </c>
      <c r="F42" s="90">
        <f t="shared" si="17"/>
        <v>535.6</v>
      </c>
      <c r="G42" s="90">
        <v>52900</v>
      </c>
      <c r="H42" s="90">
        <f t="shared" si="18"/>
        <v>68.5</v>
      </c>
      <c r="I42" s="100">
        <v>4189.8</v>
      </c>
      <c r="J42" s="99">
        <f t="shared" si="19"/>
        <v>4357.3999999999996</v>
      </c>
      <c r="K42" s="99">
        <f>'Расчет ЗП ДОШ на 2018 год  (2)'!S42</f>
        <v>575.66232159999709</v>
      </c>
      <c r="L42" s="99">
        <v>-69.706772000000456</v>
      </c>
      <c r="M42" s="110">
        <v>114</v>
      </c>
      <c r="N42" s="110">
        <f t="shared" si="20"/>
        <v>116</v>
      </c>
      <c r="O42" s="110">
        <f t="shared" si="21"/>
        <v>85917.8184514272</v>
      </c>
      <c r="P42" s="110">
        <f t="shared" si="22"/>
        <v>85124.837549599979</v>
      </c>
      <c r="Q42" s="167">
        <f t="shared" si="23"/>
        <v>47695</v>
      </c>
      <c r="R42" s="198">
        <f t="shared" si="24"/>
        <v>47405.9683</v>
      </c>
      <c r="S42" s="8">
        <v>45345</v>
      </c>
      <c r="T42" s="8">
        <f t="shared" si="25"/>
        <v>2060.9683000000005</v>
      </c>
      <c r="U42" s="133">
        <f t="shared" si="26"/>
        <v>-792.9809018272208</v>
      </c>
      <c r="V42" s="33">
        <v>98.103650000000002</v>
      </c>
      <c r="W42" s="7">
        <f t="shared" si="16"/>
        <v>84951.3</v>
      </c>
      <c r="X42" s="7">
        <f t="shared" si="13"/>
        <v>84931</v>
      </c>
      <c r="Y42" s="7">
        <v>1755.7</v>
      </c>
      <c r="Z42" s="7">
        <v>0</v>
      </c>
      <c r="AA42" s="7">
        <f t="shared" si="8"/>
        <v>1755.7</v>
      </c>
      <c r="AB42" s="7">
        <v>20.3</v>
      </c>
      <c r="AC42" s="7">
        <f t="shared" si="14"/>
        <v>83175.3</v>
      </c>
      <c r="AD42" s="89"/>
      <c r="AG42" s="131">
        <f t="shared" si="27"/>
        <v>-792.9809018272208</v>
      </c>
    </row>
    <row r="43" spans="1:33" s="162" customFormat="1" ht="18.75" customHeight="1">
      <c r="A43" s="150"/>
      <c r="B43" s="151" t="s">
        <v>48</v>
      </c>
      <c r="C43" s="152">
        <v>99891.099000000002</v>
      </c>
      <c r="D43" s="152"/>
      <c r="E43" s="153">
        <v>256700</v>
      </c>
      <c r="F43" s="153">
        <f t="shared" si="17"/>
        <v>327.39999999999998</v>
      </c>
      <c r="G43" s="153">
        <v>0</v>
      </c>
      <c r="H43" s="153">
        <f t="shared" si="18"/>
        <v>0</v>
      </c>
      <c r="I43" s="154">
        <v>3793.4</v>
      </c>
      <c r="J43" s="155">
        <f t="shared" si="19"/>
        <v>3945.1</v>
      </c>
      <c r="K43" s="155">
        <f>'Расчет ЗП ДОШ на 2018 год  (2)'!S43</f>
        <v>707.01096799999868</v>
      </c>
      <c r="L43" s="155">
        <v>-462.14675919999991</v>
      </c>
      <c r="M43" s="156">
        <v>141</v>
      </c>
      <c r="N43" s="156">
        <f t="shared" si="20"/>
        <v>144</v>
      </c>
      <c r="O43" s="110">
        <f t="shared" si="21"/>
        <v>104308.56924929282</v>
      </c>
      <c r="P43" s="110">
        <f t="shared" si="22"/>
        <v>103753.66320880002</v>
      </c>
      <c r="Q43" s="167">
        <f t="shared" si="23"/>
        <v>46645</v>
      </c>
      <c r="R43" s="198">
        <f t="shared" si="24"/>
        <v>46362.331300000005</v>
      </c>
      <c r="S43" s="158">
        <v>44821</v>
      </c>
      <c r="T43" s="8">
        <f t="shared" si="25"/>
        <v>1541.3313000000053</v>
      </c>
      <c r="U43" s="133">
        <f t="shared" si="26"/>
        <v>-554.90604049280228</v>
      </c>
      <c r="V43" s="159">
        <v>98.103650000000002</v>
      </c>
      <c r="W43" s="160">
        <f t="shared" si="16"/>
        <v>102758.2</v>
      </c>
      <c r="X43" s="160">
        <f t="shared" si="13"/>
        <v>102590.3</v>
      </c>
      <c r="Y43" s="160">
        <v>5869.9</v>
      </c>
      <c r="Z43" s="160">
        <v>121.4</v>
      </c>
      <c r="AA43" s="160">
        <f t="shared" si="8"/>
        <v>5991.2999999999993</v>
      </c>
      <c r="AB43" s="160">
        <v>167.9</v>
      </c>
      <c r="AC43" s="160">
        <f t="shared" si="14"/>
        <v>96599</v>
      </c>
      <c r="AD43" s="161"/>
      <c r="AG43" s="131">
        <f t="shared" si="27"/>
        <v>-554.90604049280228</v>
      </c>
    </row>
    <row r="44" spans="1:33" ht="18.75" customHeight="1">
      <c r="A44" s="35"/>
      <c r="B44" s="23" t="s">
        <v>63</v>
      </c>
      <c r="C44" s="75">
        <v>131604.58199999999</v>
      </c>
      <c r="D44" s="75"/>
      <c r="E44" s="90">
        <v>701400</v>
      </c>
      <c r="F44" s="90">
        <f t="shared" si="17"/>
        <v>894.5</v>
      </c>
      <c r="G44" s="90">
        <v>24000</v>
      </c>
      <c r="H44" s="90">
        <f t="shared" si="18"/>
        <v>31.1</v>
      </c>
      <c r="I44" s="100">
        <v>2234.8000000000002</v>
      </c>
      <c r="J44" s="99">
        <f t="shared" si="19"/>
        <v>2324.1999999999998</v>
      </c>
      <c r="K44" s="99">
        <f>'Расчет ЗП ДОШ на 2018 год  (2)'!S44</f>
        <v>2574.0883728000044</v>
      </c>
      <c r="L44" s="99">
        <v>0</v>
      </c>
      <c r="M44" s="110">
        <v>263</v>
      </c>
      <c r="N44" s="110">
        <f t="shared" si="20"/>
        <v>268</v>
      </c>
      <c r="O44" s="110">
        <f t="shared" si="21"/>
        <v>135514.23795741893</v>
      </c>
      <c r="P44" s="110">
        <f t="shared" si="22"/>
        <v>135639.47037280002</v>
      </c>
      <c r="Q44" s="167">
        <f t="shared" si="23"/>
        <v>32561</v>
      </c>
      <c r="R44" s="198">
        <f t="shared" si="24"/>
        <v>32363.680340000003</v>
      </c>
      <c r="S44" s="8">
        <v>31431</v>
      </c>
      <c r="T44" s="8">
        <f t="shared" si="25"/>
        <v>932.68034000000262</v>
      </c>
      <c r="U44" s="133">
        <f t="shared" si="26"/>
        <v>125.23241538109141</v>
      </c>
      <c r="V44" s="33">
        <v>98.103650000000002</v>
      </c>
      <c r="W44" s="7">
        <f t="shared" si="16"/>
        <v>133796.79999999999</v>
      </c>
      <c r="X44" s="7">
        <f t="shared" si="13"/>
        <v>133167.69999999998</v>
      </c>
      <c r="Y44" s="7">
        <v>15694.6</v>
      </c>
      <c r="Z44" s="7">
        <v>63.3</v>
      </c>
      <c r="AA44" s="7">
        <f t="shared" si="8"/>
        <v>15757.9</v>
      </c>
      <c r="AB44" s="7">
        <v>629.1</v>
      </c>
      <c r="AC44" s="7">
        <f t="shared" si="14"/>
        <v>117409.79999999999</v>
      </c>
      <c r="AD44" s="89"/>
      <c r="AG44" s="131">
        <f t="shared" si="27"/>
        <v>125.23241538109141</v>
      </c>
    </row>
    <row r="45" spans="1:33" ht="18.75" customHeight="1">
      <c r="A45" s="35"/>
      <c r="B45" s="23" t="s">
        <v>49</v>
      </c>
      <c r="C45" s="75">
        <v>166263.33300000001</v>
      </c>
      <c r="D45" s="75"/>
      <c r="E45" s="90">
        <v>1144600</v>
      </c>
      <c r="F45" s="90">
        <f t="shared" si="17"/>
        <v>1459.7</v>
      </c>
      <c r="G45" s="90">
        <v>254500</v>
      </c>
      <c r="H45" s="90">
        <f t="shared" si="18"/>
        <v>329.6</v>
      </c>
      <c r="I45" s="100">
        <v>4910.3999999999996</v>
      </c>
      <c r="J45" s="99">
        <f t="shared" si="19"/>
        <v>5106.8</v>
      </c>
      <c r="K45" s="99">
        <f>'Расчет ЗП ДОШ на 2018 год  (2)'!S45</f>
        <v>2060.1934039999906</v>
      </c>
      <c r="L45" s="99">
        <v>5250.9838575999966</v>
      </c>
      <c r="M45" s="110">
        <v>313</v>
      </c>
      <c r="N45" s="110">
        <f t="shared" si="20"/>
        <v>319</v>
      </c>
      <c r="O45" s="110">
        <f t="shared" si="21"/>
        <v>178006.78621745712</v>
      </c>
      <c r="P45" s="110">
        <f t="shared" si="22"/>
        <v>177551.21026159998</v>
      </c>
      <c r="Q45" s="167">
        <f t="shared" si="23"/>
        <v>35933</v>
      </c>
      <c r="R45" s="198">
        <f t="shared" si="24"/>
        <v>35715.246019999999</v>
      </c>
      <c r="S45" s="8">
        <v>35571</v>
      </c>
      <c r="T45" s="8">
        <f t="shared" si="25"/>
        <v>144.24601999999868</v>
      </c>
      <c r="U45" s="133">
        <f t="shared" si="26"/>
        <v>-455.57595585714444</v>
      </c>
      <c r="V45" s="33">
        <v>98.103650000000002</v>
      </c>
      <c r="W45" s="7">
        <f t="shared" si="16"/>
        <v>175723.6</v>
      </c>
      <c r="X45" s="7">
        <f t="shared" si="13"/>
        <v>175723.6</v>
      </c>
      <c r="Y45" s="7">
        <v>4197.3999999999996</v>
      </c>
      <c r="Z45" s="7">
        <v>0</v>
      </c>
      <c r="AA45" s="7">
        <f t="shared" si="8"/>
        <v>4197.3999999999996</v>
      </c>
      <c r="AB45" s="7"/>
      <c r="AC45" s="7">
        <f t="shared" si="14"/>
        <v>171526.2</v>
      </c>
      <c r="AD45" s="89"/>
      <c r="AG45" s="131">
        <f t="shared" si="27"/>
        <v>-455.57595585714444</v>
      </c>
    </row>
    <row r="46" spans="1:33" ht="18.75" customHeight="1">
      <c r="A46" s="35"/>
      <c r="B46" s="23" t="s">
        <v>64</v>
      </c>
      <c r="C46" s="75">
        <v>243165.76300000001</v>
      </c>
      <c r="D46" s="75"/>
      <c r="E46" s="90">
        <v>2013100</v>
      </c>
      <c r="F46" s="90">
        <f t="shared" si="17"/>
        <v>2567.3000000000002</v>
      </c>
      <c r="G46" s="90">
        <v>42700</v>
      </c>
      <c r="H46" s="90">
        <f t="shared" si="18"/>
        <v>55.3</v>
      </c>
      <c r="I46" s="100">
        <v>15444.8</v>
      </c>
      <c r="J46" s="99">
        <f t="shared" si="19"/>
        <v>16062.6</v>
      </c>
      <c r="K46" s="99">
        <f>'Расчет ЗП ДОШ на 2018 год  (2)'!S46</f>
        <v>2154.7462336000026</v>
      </c>
      <c r="L46" s="99">
        <v>0</v>
      </c>
      <c r="M46" s="110">
        <v>388</v>
      </c>
      <c r="N46" s="110">
        <f t="shared" si="20"/>
        <v>395</v>
      </c>
      <c r="O46" s="110">
        <f t="shared" si="21"/>
        <v>262121.54207883839</v>
      </c>
      <c r="P46" s="110">
        <f t="shared" si="22"/>
        <v>258871.10923360003</v>
      </c>
      <c r="Q46" s="167">
        <f t="shared" si="23"/>
        <v>42732</v>
      </c>
      <c r="R46" s="198">
        <f t="shared" si="24"/>
        <v>42473.04408</v>
      </c>
      <c r="S46" s="8">
        <v>43800</v>
      </c>
      <c r="T46" s="8">
        <f t="shared" si="25"/>
        <v>-1326.9559200000003</v>
      </c>
      <c r="U46" s="133">
        <f t="shared" si="26"/>
        <v>-3250.4328452383634</v>
      </c>
      <c r="V46" s="33">
        <v>98.103650000000002</v>
      </c>
      <c r="W46" s="7">
        <f t="shared" si="16"/>
        <v>259046.2</v>
      </c>
      <c r="X46" s="7">
        <f t="shared" si="13"/>
        <v>259046.2</v>
      </c>
      <c r="Y46" s="7">
        <v>13278.2</v>
      </c>
      <c r="Z46" s="7">
        <v>1144.8</v>
      </c>
      <c r="AA46" s="7">
        <f t="shared" si="8"/>
        <v>14423</v>
      </c>
      <c r="AB46" s="7"/>
      <c r="AC46" s="7">
        <f t="shared" si="14"/>
        <v>244623.2</v>
      </c>
      <c r="AD46" s="89"/>
      <c r="AG46" s="131">
        <f t="shared" si="27"/>
        <v>-3250.4328452383634</v>
      </c>
    </row>
    <row r="47" spans="1:33" ht="18.75" customHeight="1">
      <c r="A47" s="35"/>
      <c r="B47" s="23" t="s">
        <v>50</v>
      </c>
      <c r="C47" s="75">
        <v>219322.26500000001</v>
      </c>
      <c r="D47" s="75"/>
      <c r="E47" s="90">
        <v>3733100</v>
      </c>
      <c r="F47" s="90">
        <f t="shared" si="17"/>
        <v>4760.8999999999996</v>
      </c>
      <c r="G47" s="90">
        <v>0</v>
      </c>
      <c r="H47" s="90">
        <f t="shared" si="18"/>
        <v>0</v>
      </c>
      <c r="I47" s="100">
        <v>11756.3</v>
      </c>
      <c r="J47" s="99">
        <f t="shared" si="19"/>
        <v>12226.6</v>
      </c>
      <c r="K47" s="99">
        <f>'Расчет ЗП ДОШ на 2018 год  (2)'!S47</f>
        <v>2201.6058047999977</v>
      </c>
      <c r="L47" s="99">
        <v>3082.5187760000044</v>
      </c>
      <c r="M47" s="110">
        <v>362</v>
      </c>
      <c r="N47" s="110">
        <f t="shared" si="20"/>
        <v>369</v>
      </c>
      <c r="O47" s="110">
        <f t="shared" si="21"/>
        <v>234335.64672808419</v>
      </c>
      <c r="P47" s="110">
        <f t="shared" si="22"/>
        <v>232072.08958080004</v>
      </c>
      <c r="Q47" s="167">
        <f t="shared" si="23"/>
        <v>40894</v>
      </c>
      <c r="R47" s="198">
        <f t="shared" si="24"/>
        <v>40646.182359999999</v>
      </c>
      <c r="S47" s="8">
        <v>40325</v>
      </c>
      <c r="T47" s="8">
        <f t="shared" si="25"/>
        <v>321.18235999999888</v>
      </c>
      <c r="U47" s="133">
        <f t="shared" si="26"/>
        <v>-2263.5571472841548</v>
      </c>
      <c r="V47" s="33">
        <v>98.103650000000002</v>
      </c>
      <c r="W47" s="7">
        <f t="shared" si="16"/>
        <v>231291.9</v>
      </c>
      <c r="X47" s="7">
        <f t="shared" si="13"/>
        <v>231291.9</v>
      </c>
      <c r="Y47" s="7"/>
      <c r="Z47" s="7">
        <v>0</v>
      </c>
      <c r="AA47" s="7">
        <f t="shared" si="8"/>
        <v>0</v>
      </c>
      <c r="AB47" s="7"/>
      <c r="AC47" s="7">
        <f t="shared" si="14"/>
        <v>231291.9</v>
      </c>
      <c r="AD47" s="89"/>
      <c r="AG47" s="131">
        <f t="shared" si="27"/>
        <v>-2263.5571472841548</v>
      </c>
    </row>
    <row r="48" spans="1:33" ht="18.75" customHeight="1">
      <c r="A48" s="35"/>
      <c r="B48" s="23" t="s">
        <v>51</v>
      </c>
      <c r="C48" s="75">
        <v>160428.204</v>
      </c>
      <c r="D48" s="75"/>
      <c r="E48" s="90">
        <v>1019600</v>
      </c>
      <c r="F48" s="90">
        <f t="shared" si="17"/>
        <v>1300.3</v>
      </c>
      <c r="G48" s="90">
        <v>143800</v>
      </c>
      <c r="H48" s="90">
        <f t="shared" si="18"/>
        <v>186.2</v>
      </c>
      <c r="I48" s="100">
        <v>11305.2</v>
      </c>
      <c r="J48" s="99">
        <f t="shared" si="19"/>
        <v>11757.4</v>
      </c>
      <c r="K48" s="99">
        <f>'Расчет ЗП ДОШ на 2018 год  (2)'!S48</f>
        <v>1646.3330176000163</v>
      </c>
      <c r="L48" s="99">
        <v>4662.1403063999996</v>
      </c>
      <c r="M48" s="110">
        <v>283</v>
      </c>
      <c r="N48" s="110">
        <f t="shared" si="20"/>
        <v>288</v>
      </c>
      <c r="O48" s="110">
        <f t="shared" si="21"/>
        <v>179832.49055396352</v>
      </c>
      <c r="P48" s="110">
        <f t="shared" si="22"/>
        <v>177379.97732400001</v>
      </c>
      <c r="Q48" s="167">
        <f t="shared" si="23"/>
        <v>40209</v>
      </c>
      <c r="R48" s="198">
        <f t="shared" si="24"/>
        <v>39965.333460000002</v>
      </c>
      <c r="S48" s="8">
        <v>36533</v>
      </c>
      <c r="T48" s="8">
        <f t="shared" si="25"/>
        <v>3432.3334600000017</v>
      </c>
      <c r="U48" s="133">
        <f t="shared" si="26"/>
        <v>-2452.5132299635152</v>
      </c>
      <c r="V48" s="33">
        <v>98.103650000000002</v>
      </c>
      <c r="W48" s="7">
        <f t="shared" si="16"/>
        <v>177787.8</v>
      </c>
      <c r="X48" s="7">
        <f t="shared" si="13"/>
        <v>177787.8</v>
      </c>
      <c r="Y48" s="7">
        <v>5931.5</v>
      </c>
      <c r="Z48" s="7">
        <v>65.400000000000006</v>
      </c>
      <c r="AA48" s="7">
        <f t="shared" si="8"/>
        <v>5996.9</v>
      </c>
      <c r="AB48" s="7"/>
      <c r="AC48" s="7">
        <f t="shared" si="14"/>
        <v>171790.9</v>
      </c>
      <c r="AD48" s="89"/>
      <c r="AG48" s="131">
        <f t="shared" si="27"/>
        <v>-2452.5132299635152</v>
      </c>
    </row>
    <row r="49" spans="1:33" ht="18.75" customHeight="1">
      <c r="A49" s="35"/>
      <c r="B49" s="23" t="s">
        <v>52</v>
      </c>
      <c r="C49" s="75">
        <v>208841.95</v>
      </c>
      <c r="D49" s="75"/>
      <c r="E49" s="90">
        <v>2622600</v>
      </c>
      <c r="F49" s="90">
        <f t="shared" si="17"/>
        <v>3344.6</v>
      </c>
      <c r="G49" s="90">
        <v>537800</v>
      </c>
      <c r="H49" s="90">
        <f t="shared" si="18"/>
        <v>696.5</v>
      </c>
      <c r="I49" s="100">
        <v>13866.4</v>
      </c>
      <c r="J49" s="99">
        <f t="shared" si="19"/>
        <v>14421.1</v>
      </c>
      <c r="K49" s="99">
        <f>'Расчет ЗП ДОШ на 2018 год  (2)'!S49</f>
        <v>1544.8716728000145</v>
      </c>
      <c r="L49" s="99">
        <v>27347.893499199996</v>
      </c>
      <c r="M49" s="110">
        <v>371</v>
      </c>
      <c r="N49" s="110">
        <f t="shared" si="20"/>
        <v>378</v>
      </c>
      <c r="O49" s="110">
        <f t="shared" si="21"/>
        <v>252325.4926380048</v>
      </c>
      <c r="P49" s="110">
        <f t="shared" si="22"/>
        <v>249507.71517200003</v>
      </c>
      <c r="Q49" s="167">
        <f t="shared" si="23"/>
        <v>42985</v>
      </c>
      <c r="R49" s="198">
        <f t="shared" si="24"/>
        <v>42724.510900000001</v>
      </c>
      <c r="S49" s="8">
        <v>37858</v>
      </c>
      <c r="T49" s="8">
        <f t="shared" si="25"/>
        <v>4866.5109000000011</v>
      </c>
      <c r="U49" s="133">
        <f t="shared" si="26"/>
        <v>-2817.7774660047726</v>
      </c>
      <c r="V49" s="33">
        <v>98.103650000000002</v>
      </c>
      <c r="W49" s="7">
        <f t="shared" si="16"/>
        <v>249162.7</v>
      </c>
      <c r="X49" s="7">
        <f t="shared" si="13"/>
        <v>248584.22140000001</v>
      </c>
      <c r="Y49" s="7">
        <v>11905.1</v>
      </c>
      <c r="Z49" s="7">
        <v>772.8</v>
      </c>
      <c r="AA49" s="7">
        <f t="shared" si="8"/>
        <v>12677.9</v>
      </c>
      <c r="AB49" s="7">
        <v>578.47860000000003</v>
      </c>
      <c r="AC49" s="7">
        <f t="shared" si="14"/>
        <v>235906.32140000002</v>
      </c>
      <c r="AD49" s="89"/>
      <c r="AG49" s="131">
        <f t="shared" si="27"/>
        <v>-2817.7774660047726</v>
      </c>
    </row>
    <row r="50" spans="1:33" ht="18.75" customHeight="1">
      <c r="A50" s="35"/>
      <c r="B50" s="23" t="s">
        <v>53</v>
      </c>
      <c r="C50" s="75">
        <v>217575.033</v>
      </c>
      <c r="D50" s="75"/>
      <c r="E50" s="90">
        <v>1089100</v>
      </c>
      <c r="F50" s="90">
        <f t="shared" si="17"/>
        <v>1388.9</v>
      </c>
      <c r="G50" s="90">
        <v>20700</v>
      </c>
      <c r="H50" s="90">
        <f t="shared" si="18"/>
        <v>26.8</v>
      </c>
      <c r="I50" s="100">
        <v>12467</v>
      </c>
      <c r="J50" s="99">
        <f t="shared" si="19"/>
        <v>12965.7</v>
      </c>
      <c r="K50" s="99">
        <f>'Расчет ЗП ДОШ на 2018 год  (2)'!S50</f>
        <v>994.0935823999971</v>
      </c>
      <c r="L50" s="99">
        <v>8216.3403952000008</v>
      </c>
      <c r="M50" s="110">
        <v>324</v>
      </c>
      <c r="N50" s="110">
        <f t="shared" si="20"/>
        <v>330</v>
      </c>
      <c r="O50" s="110">
        <f t="shared" si="21"/>
        <v>240834.10748997598</v>
      </c>
      <c r="P50" s="110">
        <f t="shared" si="22"/>
        <v>238389.06697760001</v>
      </c>
      <c r="Q50" s="167">
        <f t="shared" si="23"/>
        <v>46995</v>
      </c>
      <c r="R50" s="198">
        <f t="shared" si="24"/>
        <v>46710.210299999999</v>
      </c>
      <c r="S50" s="8">
        <v>43811</v>
      </c>
      <c r="T50" s="8">
        <f t="shared" si="25"/>
        <v>2899.2102999999988</v>
      </c>
      <c r="U50" s="133">
        <f t="shared" si="26"/>
        <v>-2445.0405123759701</v>
      </c>
      <c r="V50" s="33">
        <v>98.103650000000002</v>
      </c>
      <c r="W50" s="7">
        <f t="shared" si="16"/>
        <v>237897</v>
      </c>
      <c r="X50" s="7">
        <f t="shared" si="13"/>
        <v>237897</v>
      </c>
      <c r="Y50" s="7">
        <v>2273.6999999999998</v>
      </c>
      <c r="Z50" s="7">
        <v>205.39999999999998</v>
      </c>
      <c r="AA50" s="7">
        <f t="shared" si="8"/>
        <v>2479.1</v>
      </c>
      <c r="AB50" s="7"/>
      <c r="AC50" s="7">
        <f t="shared" si="14"/>
        <v>235417.9</v>
      </c>
      <c r="AD50" s="89"/>
      <c r="AG50" s="131">
        <f t="shared" si="27"/>
        <v>-2445.0405123759701</v>
      </c>
    </row>
    <row r="51" spans="1:33" s="162" customFormat="1" ht="18.75" customHeight="1">
      <c r="A51" s="150"/>
      <c r="B51" s="151" t="s">
        <v>54</v>
      </c>
      <c r="C51" s="152">
        <v>70105.328999999998</v>
      </c>
      <c r="D51" s="152"/>
      <c r="E51" s="153">
        <v>478800</v>
      </c>
      <c r="F51" s="153">
        <f t="shared" si="17"/>
        <v>610.6</v>
      </c>
      <c r="G51" s="153">
        <v>0</v>
      </c>
      <c r="H51" s="153">
        <f t="shared" si="18"/>
        <v>0</v>
      </c>
      <c r="I51" s="154">
        <v>2307.1</v>
      </c>
      <c r="J51" s="155">
        <f t="shared" si="19"/>
        <v>2399.4</v>
      </c>
      <c r="K51" s="155">
        <f>'Расчет ЗП ДОШ на 2018 год  (2)'!S51</f>
        <v>1421.0036567999996</v>
      </c>
      <c r="L51" s="155">
        <v>-619.35925199999974</v>
      </c>
      <c r="M51" s="156">
        <v>140</v>
      </c>
      <c r="N51" s="156">
        <f t="shared" si="20"/>
        <v>143</v>
      </c>
      <c r="O51" s="110">
        <f t="shared" si="21"/>
        <v>72976.398712176961</v>
      </c>
      <c r="P51" s="110">
        <f t="shared" si="22"/>
        <v>72695.773404799984</v>
      </c>
      <c r="Q51" s="167">
        <f t="shared" si="23"/>
        <v>32862</v>
      </c>
      <c r="R51" s="198">
        <f t="shared" si="24"/>
        <v>32662.85628</v>
      </c>
      <c r="S51" s="158">
        <v>32234</v>
      </c>
      <c r="T51" s="8">
        <f t="shared" si="25"/>
        <v>428.85627999999997</v>
      </c>
      <c r="U51" s="133">
        <f t="shared" si="26"/>
        <v>-280.62530737697671</v>
      </c>
      <c r="V51" s="159">
        <v>98.103650000000002</v>
      </c>
      <c r="W51" s="160">
        <f t="shared" si="16"/>
        <v>71881</v>
      </c>
      <c r="X51" s="160">
        <f t="shared" si="13"/>
        <v>71881</v>
      </c>
      <c r="Y51" s="160">
        <v>6596.4</v>
      </c>
      <c r="Z51" s="160">
        <v>0</v>
      </c>
      <c r="AA51" s="160">
        <f t="shared" si="8"/>
        <v>6596.4</v>
      </c>
      <c r="AB51" s="160"/>
      <c r="AC51" s="160">
        <f t="shared" si="14"/>
        <v>65284.6</v>
      </c>
      <c r="AD51" s="161"/>
      <c r="AG51" s="131">
        <f t="shared" si="27"/>
        <v>-280.62530737697671</v>
      </c>
    </row>
    <row r="52" spans="1:33" ht="18.75" customHeight="1">
      <c r="A52" s="35"/>
      <c r="B52" s="23" t="s">
        <v>66</v>
      </c>
      <c r="C52" s="75">
        <v>1121620.0160000001</v>
      </c>
      <c r="D52" s="75">
        <v>9634.9279999999999</v>
      </c>
      <c r="E52" s="90">
        <v>10124200</v>
      </c>
      <c r="F52" s="90">
        <f t="shared" si="17"/>
        <v>12911.5</v>
      </c>
      <c r="G52" s="90">
        <v>11314700</v>
      </c>
      <c r="H52" s="90">
        <f t="shared" si="18"/>
        <v>14653.1</v>
      </c>
      <c r="I52" s="100">
        <v>1923.3</v>
      </c>
      <c r="J52" s="99">
        <f t="shared" si="19"/>
        <v>2000.2</v>
      </c>
      <c r="K52" s="99">
        <f>'Расчет ЗП ДОШ на 2018 год  (2)'!S52</f>
        <v>33132.877620800282</v>
      </c>
      <c r="L52" s="99">
        <v>0</v>
      </c>
      <c r="M52" s="110">
        <v>2171</v>
      </c>
      <c r="N52" s="110">
        <f>ROUND(M52*$N$14,0)-2</f>
        <v>2209</v>
      </c>
      <c r="O52" s="110">
        <f t="shared" si="21"/>
        <v>1142503.5358015273</v>
      </c>
      <c r="P52" s="110">
        <f t="shared" si="22"/>
        <v>1148859.7656208002</v>
      </c>
      <c r="Q52" s="167">
        <f t="shared" si="23"/>
        <v>33305</v>
      </c>
      <c r="R52" s="198">
        <f t="shared" si="24"/>
        <v>33103.171699999999</v>
      </c>
      <c r="S52" s="8">
        <v>32312</v>
      </c>
      <c r="T52" s="8">
        <f t="shared" si="25"/>
        <v>791.17169999999896</v>
      </c>
      <c r="U52" s="133">
        <f t="shared" si="26"/>
        <v>6356.2298192728776</v>
      </c>
      <c r="V52" s="33">
        <v>98.103650000000002</v>
      </c>
      <c r="W52" s="7">
        <f t="shared" si="16"/>
        <v>1129695.7</v>
      </c>
      <c r="X52" s="7">
        <f t="shared" si="13"/>
        <v>1122550.7146000001</v>
      </c>
      <c r="Y52" s="7">
        <v>202365.2</v>
      </c>
      <c r="Z52" s="7">
        <v>0</v>
      </c>
      <c r="AA52" s="7">
        <f t="shared" si="8"/>
        <v>202365.2</v>
      </c>
      <c r="AB52" s="7">
        <v>7144.9853999999996</v>
      </c>
      <c r="AC52" s="7">
        <f t="shared" si="14"/>
        <v>920185.51460000011</v>
      </c>
      <c r="AD52" s="89"/>
      <c r="AG52" s="131">
        <f t="shared" si="27"/>
        <v>6356.2298192728776</v>
      </c>
    </row>
    <row r="53" spans="1:33" ht="18.75" customHeight="1">
      <c r="A53" s="35"/>
      <c r="B53" s="23" t="s">
        <v>67</v>
      </c>
      <c r="C53" s="75">
        <v>800806.84900000005</v>
      </c>
      <c r="D53" s="75"/>
      <c r="E53" s="90">
        <v>6060700</v>
      </c>
      <c r="F53" s="90">
        <f t="shared" si="17"/>
        <v>7729.3</v>
      </c>
      <c r="G53" s="90">
        <v>4565400</v>
      </c>
      <c r="H53" s="90">
        <f t="shared" si="18"/>
        <v>5912.4</v>
      </c>
      <c r="I53" s="100">
        <v>0</v>
      </c>
      <c r="J53" s="99">
        <f t="shared" si="19"/>
        <v>0</v>
      </c>
      <c r="K53" s="99">
        <f>'Расчет ЗП ДОШ на 2018 год  (2)'!S53</f>
        <v>27864.967628799961</v>
      </c>
      <c r="L53" s="99">
        <v>0</v>
      </c>
      <c r="M53" s="110">
        <v>1279</v>
      </c>
      <c r="N53" s="110">
        <f t="shared" si="20"/>
        <v>1303</v>
      </c>
      <c r="O53" s="110">
        <f t="shared" si="21"/>
        <v>821852.65983074706</v>
      </c>
      <c r="P53" s="110">
        <f t="shared" si="22"/>
        <v>826854.91662879998</v>
      </c>
      <c r="Q53" s="167">
        <f t="shared" si="23"/>
        <v>40616</v>
      </c>
      <c r="R53" s="198">
        <f t="shared" si="24"/>
        <v>40369.867040000005</v>
      </c>
      <c r="S53" s="8">
        <v>34903</v>
      </c>
      <c r="T53" s="8">
        <f t="shared" si="25"/>
        <v>5466.8670400000046</v>
      </c>
      <c r="U53" s="133">
        <f t="shared" si="26"/>
        <v>5002.2567980529275</v>
      </c>
      <c r="V53" s="33">
        <v>98.103650000000002</v>
      </c>
      <c r="W53" s="7">
        <f t="shared" si="16"/>
        <v>811633.4</v>
      </c>
      <c r="X53" s="7">
        <f t="shared" si="13"/>
        <v>806544.14240000001</v>
      </c>
      <c r="Y53" s="7">
        <v>165691.1</v>
      </c>
      <c r="Z53" s="7">
        <v>0</v>
      </c>
      <c r="AA53" s="7">
        <f t="shared" si="8"/>
        <v>165691.1</v>
      </c>
      <c r="AB53" s="7">
        <v>5089.2576000000008</v>
      </c>
      <c r="AC53" s="7">
        <f t="shared" si="14"/>
        <v>640853.04240000003</v>
      </c>
      <c r="AD53" s="89"/>
      <c r="AG53" s="131">
        <f t="shared" si="27"/>
        <v>5002.2567980529275</v>
      </c>
    </row>
    <row r="54" spans="1:33" s="162" customFormat="1" ht="18.75" customHeight="1">
      <c r="A54" s="150"/>
      <c r="B54" s="151" t="s">
        <v>68</v>
      </c>
      <c r="C54" s="152">
        <v>255378.98199999999</v>
      </c>
      <c r="D54" s="152">
        <v>5163.5039999999999</v>
      </c>
      <c r="E54" s="153">
        <v>3270500</v>
      </c>
      <c r="F54" s="153">
        <f t="shared" si="17"/>
        <v>4170.8999999999996</v>
      </c>
      <c r="G54" s="153">
        <v>2636400</v>
      </c>
      <c r="H54" s="153">
        <f t="shared" si="18"/>
        <v>3414.3</v>
      </c>
      <c r="I54" s="154">
        <v>2153.8000000000002</v>
      </c>
      <c r="J54" s="155">
        <f t="shared" si="19"/>
        <v>2240</v>
      </c>
      <c r="K54" s="155">
        <f>'Расчет ЗП ДОШ на 2018 год  (2)'!S54</f>
        <v>8872.41715199998</v>
      </c>
      <c r="L54" s="155">
        <v>-1703.3202800000004</v>
      </c>
      <c r="M54" s="156">
        <v>466</v>
      </c>
      <c r="N54" s="156">
        <f t="shared" si="20"/>
        <v>475</v>
      </c>
      <c r="O54" s="110">
        <f t="shared" si="21"/>
        <v>257968.38112315201</v>
      </c>
      <c r="P54" s="110">
        <f t="shared" si="22"/>
        <v>258867.97487199996</v>
      </c>
      <c r="Q54" s="167">
        <f t="shared" si="23"/>
        <v>34972</v>
      </c>
      <c r="R54" s="198">
        <f t="shared" si="24"/>
        <v>34760.069680000001</v>
      </c>
      <c r="S54" s="158">
        <v>32180</v>
      </c>
      <c r="T54" s="8">
        <f t="shared" si="25"/>
        <v>2580.0696800000005</v>
      </c>
      <c r="U54" s="133">
        <f t="shared" si="26"/>
        <v>899.59374884795398</v>
      </c>
      <c r="V54" s="159">
        <v>98.103650000000002</v>
      </c>
      <c r="W54" s="160">
        <f t="shared" si="16"/>
        <v>254623.6</v>
      </c>
      <c r="X54" s="160">
        <f t="shared" si="13"/>
        <v>250493.5258</v>
      </c>
      <c r="Y54" s="160">
        <v>50619.7</v>
      </c>
      <c r="Z54" s="160">
        <v>0</v>
      </c>
      <c r="AA54" s="160">
        <f t="shared" si="8"/>
        <v>50619.7</v>
      </c>
      <c r="AB54" s="160">
        <v>4130.0742</v>
      </c>
      <c r="AC54" s="160">
        <f t="shared" si="14"/>
        <v>199873.82579999999</v>
      </c>
      <c r="AD54" s="161"/>
      <c r="AG54" s="131">
        <f t="shared" si="27"/>
        <v>899.59374884795398</v>
      </c>
    </row>
    <row r="55" spans="1:33" ht="18.75" customHeight="1">
      <c r="A55" s="35"/>
      <c r="B55" s="23" t="s">
        <v>69</v>
      </c>
      <c r="C55" s="75">
        <v>135163.25700000001</v>
      </c>
      <c r="D55" s="75"/>
      <c r="E55" s="90">
        <v>1332200</v>
      </c>
      <c r="F55" s="90">
        <f t="shared" si="17"/>
        <v>1699</v>
      </c>
      <c r="G55" s="90">
        <v>367200</v>
      </c>
      <c r="H55" s="90">
        <f t="shared" si="18"/>
        <v>475.5</v>
      </c>
      <c r="I55" s="100"/>
      <c r="J55" s="99">
        <f t="shared" si="19"/>
        <v>0</v>
      </c>
      <c r="K55" s="99">
        <f>'Расчет ЗП ДОШ на 2018 год  (2)'!S55</f>
        <v>4739.2023216000089</v>
      </c>
      <c r="L55" s="99">
        <v>0</v>
      </c>
      <c r="M55" s="110">
        <v>282</v>
      </c>
      <c r="N55" s="110">
        <f t="shared" si="20"/>
        <v>287</v>
      </c>
      <c r="O55" s="110">
        <f t="shared" si="21"/>
        <v>137838.99247516945</v>
      </c>
      <c r="P55" s="110">
        <f t="shared" si="22"/>
        <v>138678.95932160004</v>
      </c>
      <c r="Q55" s="167">
        <f t="shared" si="23"/>
        <v>30927</v>
      </c>
      <c r="R55" s="198">
        <f t="shared" si="24"/>
        <v>30739.58238</v>
      </c>
      <c r="S55" s="8">
        <v>28143</v>
      </c>
      <c r="T55" s="8">
        <f t="shared" si="25"/>
        <v>2596.5823799999998</v>
      </c>
      <c r="U55" s="133">
        <f t="shared" si="26"/>
        <v>839.96684643058688</v>
      </c>
      <c r="V55" s="33">
        <v>98.103650000000002</v>
      </c>
      <c r="W55" s="7">
        <f t="shared" si="16"/>
        <v>136263.4</v>
      </c>
      <c r="X55" s="7">
        <f t="shared" si="13"/>
        <v>135875.66439999998</v>
      </c>
      <c r="Y55" s="7">
        <v>38740.6</v>
      </c>
      <c r="Z55" s="7">
        <v>0</v>
      </c>
      <c r="AA55" s="7">
        <f t="shared" si="8"/>
        <v>38740.6</v>
      </c>
      <c r="AB55" s="7">
        <v>387.73560000000003</v>
      </c>
      <c r="AC55" s="7">
        <f t="shared" si="14"/>
        <v>97135.064399999974</v>
      </c>
      <c r="AD55" s="89"/>
      <c r="AG55" s="131">
        <f t="shared" si="27"/>
        <v>839.96684643058688</v>
      </c>
    </row>
    <row r="56" spans="1:33" s="162" customFormat="1" ht="18.75" customHeight="1">
      <c r="A56" s="150"/>
      <c r="B56" s="151" t="s">
        <v>55</v>
      </c>
      <c r="C56" s="152">
        <v>143160.06700000001</v>
      </c>
      <c r="D56" s="152"/>
      <c r="E56" s="153">
        <v>1443300</v>
      </c>
      <c r="F56" s="153">
        <f t="shared" si="17"/>
        <v>1840.7</v>
      </c>
      <c r="G56" s="153">
        <v>217200</v>
      </c>
      <c r="H56" s="153">
        <f t="shared" si="18"/>
        <v>281.3</v>
      </c>
      <c r="I56" s="154">
        <v>0</v>
      </c>
      <c r="J56" s="155">
        <f t="shared" si="19"/>
        <v>0</v>
      </c>
      <c r="K56" s="155">
        <f>'Расчет ЗП ДОШ на 2018 год  (2)'!S56</f>
        <v>4751.0643543999904</v>
      </c>
      <c r="L56" s="155">
        <v>-3836.250508000001</v>
      </c>
      <c r="M56" s="156">
        <v>274</v>
      </c>
      <c r="N56" s="156">
        <f t="shared" si="20"/>
        <v>279</v>
      </c>
      <c r="O56" s="110">
        <f t="shared" si="21"/>
        <v>141652.63593917855</v>
      </c>
      <c r="P56" s="110">
        <f t="shared" si="22"/>
        <v>142515.48084639999</v>
      </c>
      <c r="Q56" s="167">
        <f t="shared" si="23"/>
        <v>32694</v>
      </c>
      <c r="R56" s="198">
        <f t="shared" si="24"/>
        <v>32495.874360000002</v>
      </c>
      <c r="S56" s="158">
        <v>30806</v>
      </c>
      <c r="T56" s="8">
        <f t="shared" si="25"/>
        <v>1689.8743600000016</v>
      </c>
      <c r="U56" s="133">
        <f t="shared" si="26"/>
        <v>862.84490722144255</v>
      </c>
      <c r="V56" s="159">
        <v>98.103650000000002</v>
      </c>
      <c r="W56" s="160">
        <f t="shared" si="16"/>
        <v>139962.20000000001</v>
      </c>
      <c r="X56" s="160">
        <f t="shared" si="13"/>
        <v>137511.57560000001</v>
      </c>
      <c r="Y56" s="160">
        <v>22894.400000000001</v>
      </c>
      <c r="Z56" s="160">
        <v>0</v>
      </c>
      <c r="AA56" s="160">
        <f t="shared" si="8"/>
        <v>22894.400000000001</v>
      </c>
      <c r="AB56" s="160">
        <v>2450.6244000000002</v>
      </c>
      <c r="AC56" s="160">
        <f t="shared" si="14"/>
        <v>114617.17560000002</v>
      </c>
      <c r="AD56" s="161"/>
      <c r="AG56" s="131">
        <f t="shared" si="27"/>
        <v>862.84490722144255</v>
      </c>
    </row>
    <row r="57" spans="1:33" ht="18.75" customHeight="1">
      <c r="A57" s="35"/>
      <c r="B57" s="23" t="s">
        <v>70</v>
      </c>
      <c r="C57" s="75">
        <v>101350.33500000001</v>
      </c>
      <c r="D57" s="75"/>
      <c r="E57" s="90">
        <v>1051900</v>
      </c>
      <c r="F57" s="90">
        <f t="shared" si="17"/>
        <v>1341.5</v>
      </c>
      <c r="G57" s="90">
        <v>718800</v>
      </c>
      <c r="H57" s="90">
        <f t="shared" si="18"/>
        <v>930.9</v>
      </c>
      <c r="I57" s="100">
        <v>0</v>
      </c>
      <c r="J57" s="99">
        <f t="shared" si="19"/>
        <v>0</v>
      </c>
      <c r="K57" s="99">
        <f>'Расчет ЗП ДОШ на 2018 год  (2)'!S57</f>
        <v>4129.310903199992</v>
      </c>
      <c r="L57" s="99">
        <v>0</v>
      </c>
      <c r="M57" s="110">
        <v>216</v>
      </c>
      <c r="N57" s="110">
        <f t="shared" si="20"/>
        <v>220</v>
      </c>
      <c r="O57" s="110">
        <f t="shared" si="21"/>
        <v>104430.62969317441</v>
      </c>
      <c r="P57" s="110">
        <f t="shared" si="22"/>
        <v>105069.04590319999</v>
      </c>
      <c r="Q57" s="167">
        <f t="shared" si="23"/>
        <v>30567</v>
      </c>
      <c r="R57" s="198">
        <f t="shared" si="24"/>
        <v>30381.76398</v>
      </c>
      <c r="S57" s="8">
        <v>29977</v>
      </c>
      <c r="T57" s="8">
        <f t="shared" si="25"/>
        <v>404.76397999999972</v>
      </c>
      <c r="U57" s="133">
        <f t="shared" si="26"/>
        <v>638.41621002557804</v>
      </c>
      <c r="V57" s="32">
        <v>98.252899999999997</v>
      </c>
      <c r="W57" s="7">
        <f t="shared" si="16"/>
        <v>103157</v>
      </c>
      <c r="X57" s="7">
        <f t="shared" si="13"/>
        <v>103157</v>
      </c>
      <c r="Y57" s="7">
        <v>28162</v>
      </c>
      <c r="Z57" s="7"/>
      <c r="AA57" s="7">
        <f t="shared" si="8"/>
        <v>28162</v>
      </c>
      <c r="AB57" s="7"/>
      <c r="AC57" s="7">
        <f t="shared" si="14"/>
        <v>74995</v>
      </c>
      <c r="AD57" s="89"/>
      <c r="AG57" s="131">
        <f>C57-D57-F57+H57+J57+K57+L57-O57</f>
        <v>638.41621002557804</v>
      </c>
    </row>
    <row r="58" spans="1:33" ht="18.75" customHeight="1">
      <c r="A58" s="35"/>
      <c r="B58" s="23" t="s">
        <v>107</v>
      </c>
      <c r="C58" s="75" t="s">
        <v>128</v>
      </c>
      <c r="D58" s="75"/>
      <c r="E58" s="90"/>
      <c r="F58" s="90">
        <f t="shared" si="17"/>
        <v>0</v>
      </c>
      <c r="G58" s="90">
        <v>0</v>
      </c>
      <c r="H58" s="90">
        <f t="shared" si="18"/>
        <v>0</v>
      </c>
      <c r="I58" s="101">
        <v>0</v>
      </c>
      <c r="J58" s="99">
        <f t="shared" si="19"/>
        <v>0</v>
      </c>
      <c r="K58" s="99">
        <f>'Расчет ЗП ДОШ на 2018 год  (2)'!S58</f>
        <v>7.1460800000750169E-2</v>
      </c>
      <c r="L58" s="99">
        <v>0</v>
      </c>
      <c r="M58" s="110"/>
      <c r="N58" s="110">
        <f t="shared" si="20"/>
        <v>0</v>
      </c>
      <c r="O58" s="110">
        <f t="shared" si="21"/>
        <v>0</v>
      </c>
      <c r="P58" s="110"/>
      <c r="Q58" s="167"/>
      <c r="R58" s="198">
        <f t="shared" si="24"/>
        <v>0</v>
      </c>
      <c r="S58" s="8">
        <v>0</v>
      </c>
      <c r="T58" s="8">
        <f t="shared" si="25"/>
        <v>0</v>
      </c>
      <c r="U58" s="133">
        <f t="shared" si="26"/>
        <v>0</v>
      </c>
      <c r="V58" s="6">
        <v>100</v>
      </c>
      <c r="W58" s="7">
        <f t="shared" si="16"/>
        <v>0</v>
      </c>
      <c r="X58" s="7">
        <f t="shared" si="13"/>
        <v>0</v>
      </c>
      <c r="Y58" s="7">
        <v>1810</v>
      </c>
      <c r="Z58" s="7"/>
      <c r="AA58" s="7">
        <f t="shared" si="8"/>
        <v>1810</v>
      </c>
      <c r="AB58" s="7"/>
      <c r="AC58" s="7">
        <f t="shared" si="14"/>
        <v>-1810</v>
      </c>
      <c r="AD58" s="89"/>
      <c r="AG58" s="131"/>
    </row>
    <row r="59" spans="1:33" s="43" customFormat="1" ht="18.75" customHeight="1">
      <c r="A59" s="63"/>
      <c r="B59" s="124"/>
      <c r="C59" s="141">
        <f>SUM(C33:C58)</f>
        <v>5336687.0750000002</v>
      </c>
      <c r="D59" s="141">
        <f t="shared" ref="D59:W59" si="28">SUM(D33:D58)</f>
        <v>14798.432000000001</v>
      </c>
      <c r="E59" s="125">
        <f t="shared" si="28"/>
        <v>46449504</v>
      </c>
      <c r="F59" s="141">
        <f t="shared" si="28"/>
        <v>59237.599999999999</v>
      </c>
      <c r="G59" s="125">
        <f t="shared" si="28"/>
        <v>22895300</v>
      </c>
      <c r="H59" s="125">
        <f t="shared" si="28"/>
        <v>29650.699999999997</v>
      </c>
      <c r="I59" s="125">
        <f t="shared" si="28"/>
        <v>139647.29999999996</v>
      </c>
      <c r="J59" s="125">
        <f t="shared" si="28"/>
        <v>145233.10000000003</v>
      </c>
      <c r="K59" s="125">
        <f t="shared" ref="K59:L59" si="29">SUM(K33:K58)</f>
        <v>111770.65093680023</v>
      </c>
      <c r="L59" s="125">
        <f t="shared" si="29"/>
        <v>49369.518133599995</v>
      </c>
      <c r="M59" s="125">
        <f t="shared" ref="M59" si="30">SUM(M33:M58)</f>
        <v>9524</v>
      </c>
      <c r="N59" s="129">
        <f t="shared" si="28"/>
        <v>9700</v>
      </c>
      <c r="O59" s="129">
        <f>SUM(O33:O58)</f>
        <v>5608342.4444875009</v>
      </c>
      <c r="P59" s="129">
        <f>SUM(P33:P58)</f>
        <v>5598674.9406096013</v>
      </c>
      <c r="Q59" s="168">
        <f>((P59-J59)/1.302+J59)/12*1000/N59</f>
        <v>37231.481944309846</v>
      </c>
      <c r="R59" s="199">
        <f>O59/N59/12/1.302*1000</f>
        <v>37005.864916303093</v>
      </c>
      <c r="S59" s="126"/>
      <c r="T59" s="8">
        <f t="shared" si="25"/>
        <v>37005.864916303093</v>
      </c>
      <c r="U59" s="129">
        <f t="shared" si="28"/>
        <v>-9667.5038778997405</v>
      </c>
      <c r="V59" s="125">
        <f t="shared" si="28"/>
        <v>2552.7404999999999</v>
      </c>
      <c r="W59" s="125">
        <f t="shared" si="28"/>
        <v>5539954.3000000007</v>
      </c>
      <c r="X59" s="125">
        <f t="shared" ref="X59:AG59" si="31">SUM(X33:X58)</f>
        <v>5517215.0442000004</v>
      </c>
      <c r="Y59" s="125">
        <f t="shared" si="31"/>
        <v>677416.20079999999</v>
      </c>
      <c r="Z59" s="125">
        <f t="shared" si="31"/>
        <v>7972.6999999999989</v>
      </c>
      <c r="AA59" s="125">
        <f t="shared" si="31"/>
        <v>685388.90079999994</v>
      </c>
      <c r="AB59" s="125">
        <f t="shared" si="31"/>
        <v>22739.255800000003</v>
      </c>
      <c r="AC59" s="125">
        <f t="shared" si="31"/>
        <v>4831826.1433999995</v>
      </c>
      <c r="AD59" s="125">
        <f t="shared" si="31"/>
        <v>0</v>
      </c>
      <c r="AE59" s="125">
        <f t="shared" si="31"/>
        <v>0</v>
      </c>
      <c r="AF59" s="125">
        <f t="shared" si="31"/>
        <v>0</v>
      </c>
      <c r="AG59" s="125">
        <f t="shared" si="31"/>
        <v>-9667.5038778997405</v>
      </c>
    </row>
    <row r="60" spans="1:33" ht="18.75" customHeight="1">
      <c r="A60" s="62"/>
      <c r="B60" s="23" t="s">
        <v>118</v>
      </c>
      <c r="C60" s="104">
        <v>446756.1</v>
      </c>
      <c r="D60" s="75"/>
      <c r="E60" s="90">
        <v>7537099.9999999972</v>
      </c>
      <c r="F60" s="90"/>
      <c r="G60" s="102">
        <v>127700</v>
      </c>
      <c r="H60" s="90">
        <v>166.3</v>
      </c>
      <c r="I60" s="90">
        <f>5489.6</f>
        <v>5489.6</v>
      </c>
      <c r="J60" s="99"/>
      <c r="K60" s="99"/>
      <c r="L60" s="99"/>
      <c r="M60" s="114"/>
      <c r="N60" s="114">
        <v>773</v>
      </c>
      <c r="O60" s="110">
        <f>C60-D60-F60+H60+K60</f>
        <v>446922.39999999997</v>
      </c>
      <c r="P60" s="110"/>
      <c r="Q60" s="167">
        <f>ROUND((O60/1.302+J60)/12/N60*1000,0)</f>
        <v>37005</v>
      </c>
      <c r="R60" s="198"/>
      <c r="S60" s="8">
        <v>34903.699999999997</v>
      </c>
      <c r="T60" s="8"/>
      <c r="U60" s="133"/>
      <c r="V60" s="6">
        <v>95</v>
      </c>
      <c r="W60" s="7">
        <v>827282.0818080001</v>
      </c>
      <c r="X60" s="7">
        <v>804542.78180800006</v>
      </c>
      <c r="Y60" s="7">
        <v>677641.3</v>
      </c>
      <c r="Z60" s="7">
        <v>7972.7</v>
      </c>
      <c r="AA60" s="7">
        <v>685614</v>
      </c>
      <c r="AB60" s="7">
        <v>22739.3</v>
      </c>
      <c r="AC60" s="7">
        <v>118928.78180800006</v>
      </c>
      <c r="AD60" s="12"/>
    </row>
    <row r="61" spans="1:33" s="43" customFormat="1" ht="28.5" customHeight="1">
      <c r="A61" s="63"/>
      <c r="B61" s="13" t="s">
        <v>119</v>
      </c>
      <c r="C61" s="97">
        <f>C59+C60</f>
        <v>5783443.1749999998</v>
      </c>
      <c r="D61" s="97">
        <f t="shared" ref="D61:N61" si="32">D59+D60</f>
        <v>14798.432000000001</v>
      </c>
      <c r="E61" s="97">
        <f t="shared" si="32"/>
        <v>53986604</v>
      </c>
      <c r="F61" s="97">
        <f t="shared" si="32"/>
        <v>59237.599999999999</v>
      </c>
      <c r="G61" s="97">
        <f t="shared" si="32"/>
        <v>23023000</v>
      </c>
      <c r="H61" s="97">
        <f t="shared" si="32"/>
        <v>29816.999999999996</v>
      </c>
      <c r="I61" s="97">
        <f t="shared" si="32"/>
        <v>145136.89999999997</v>
      </c>
      <c r="J61" s="97">
        <f t="shared" si="32"/>
        <v>145233.10000000003</v>
      </c>
      <c r="K61" s="97">
        <f t="shared" si="32"/>
        <v>111770.65093680023</v>
      </c>
      <c r="L61" s="97">
        <f t="shared" si="32"/>
        <v>49369.518133599995</v>
      </c>
      <c r="M61" s="97">
        <f t="shared" si="32"/>
        <v>9524</v>
      </c>
      <c r="N61" s="97">
        <f t="shared" si="32"/>
        <v>10473</v>
      </c>
      <c r="O61" s="97">
        <f>O59+O60</f>
        <v>6055264.8444875013</v>
      </c>
      <c r="P61" s="97">
        <f>P59+P60</f>
        <v>5598674.9406096013</v>
      </c>
      <c r="Q61" s="168"/>
      <c r="R61" s="199"/>
      <c r="S61" s="120"/>
      <c r="T61" s="120"/>
      <c r="U61" s="108">
        <f t="shared" ref="U61" si="33">U59+U60</f>
        <v>-9667.5038778997405</v>
      </c>
      <c r="V61" s="97">
        <f t="shared" ref="V61" si="34">V59+V60</f>
        <v>2647.7404999999999</v>
      </c>
      <c r="W61" s="97">
        <f t="shared" ref="W61" si="35">W59+W60</f>
        <v>6367236.3818080006</v>
      </c>
      <c r="X61" s="15"/>
      <c r="Y61" s="15"/>
      <c r="Z61" s="15"/>
      <c r="AA61" s="15"/>
      <c r="AB61" s="15"/>
      <c r="AC61" s="6" t="e">
        <f>#REF!+AC32</f>
        <v>#REF!</v>
      </c>
      <c r="AD61" s="16"/>
    </row>
    <row r="62" spans="1:33" ht="29.25" customHeight="1">
      <c r="B62" s="64"/>
      <c r="C62" s="98"/>
      <c r="D62" s="64"/>
      <c r="E62" s="98"/>
      <c r="F62" s="98"/>
      <c r="G62" s="98"/>
      <c r="H62" s="98"/>
      <c r="I62" s="98"/>
      <c r="J62" s="98"/>
      <c r="K62" s="98">
        <f>111769.4</f>
        <v>111769.4</v>
      </c>
      <c r="L62" s="98">
        <v>58904.5</v>
      </c>
      <c r="M62" s="107"/>
      <c r="N62" s="107"/>
      <c r="O62" s="107">
        <f>O59+J59</f>
        <v>5753575.5444875006</v>
      </c>
      <c r="P62" s="107"/>
      <c r="Q62" s="164"/>
      <c r="R62" s="200"/>
      <c r="S62" s="119"/>
      <c r="T62" s="119"/>
      <c r="U62" s="107"/>
      <c r="V62" s="65"/>
      <c r="W62" s="65"/>
      <c r="X62" s="65"/>
      <c r="Y62" s="65"/>
      <c r="Z62" s="65"/>
      <c r="AA62" s="65"/>
      <c r="AB62" s="65"/>
      <c r="AC62" s="66"/>
      <c r="AD62" s="66"/>
    </row>
    <row r="63" spans="1:33" ht="15.75">
      <c r="A63" s="62"/>
      <c r="B63" s="17"/>
      <c r="C63" s="17"/>
      <c r="D63" s="17"/>
      <c r="E63" s="90"/>
      <c r="F63" s="90"/>
      <c r="G63" s="17"/>
      <c r="H63" s="17"/>
      <c r="I63" s="123"/>
      <c r="J63" s="123"/>
      <c r="K63" s="123">
        <f>K62-K61</f>
        <v>-1.2509368002356496</v>
      </c>
      <c r="L63" s="123">
        <f>L62-L61</f>
        <v>9534.9818664000049</v>
      </c>
      <c r="AA63" s="67"/>
      <c r="AC63" s="68"/>
      <c r="AD63" s="18"/>
    </row>
    <row r="64" spans="1:33" ht="15.75">
      <c r="A64" s="62"/>
      <c r="B64" s="69"/>
      <c r="C64" s="69"/>
      <c r="D64" s="69"/>
      <c r="E64" s="69"/>
      <c r="F64" s="69"/>
      <c r="G64" s="69"/>
      <c r="H64" s="103"/>
      <c r="I64" s="69"/>
      <c r="J64" s="69"/>
      <c r="K64" s="69"/>
      <c r="L64" s="69"/>
      <c r="V64" s="20"/>
      <c r="Y64" s="67"/>
      <c r="AA64" s="67"/>
      <c r="AC64" s="70"/>
      <c r="AD64" s="71"/>
    </row>
    <row r="65" spans="13:30" ht="29.25" customHeight="1">
      <c r="AC65" s="68"/>
      <c r="AD65" s="71"/>
    </row>
    <row r="66" spans="13:30" s="72" customFormat="1" ht="20.25">
      <c r="M66" s="106"/>
      <c r="N66" s="106"/>
      <c r="O66" s="106"/>
      <c r="P66" s="106"/>
      <c r="Q66" s="163"/>
      <c r="R66" s="195"/>
      <c r="S66" s="118"/>
      <c r="T66" s="118"/>
      <c r="U66" s="106"/>
      <c r="X66" s="25"/>
      <c r="Z66" s="25" t="s">
        <v>76</v>
      </c>
      <c r="AC66" s="68"/>
      <c r="AD66" s="71"/>
    </row>
    <row r="67" spans="13:30" s="72" customFormat="1">
      <c r="M67" s="106"/>
      <c r="N67" s="106"/>
      <c r="O67" s="106"/>
      <c r="P67" s="106"/>
      <c r="Q67" s="163"/>
      <c r="R67" s="195"/>
      <c r="S67" s="118"/>
      <c r="T67" s="118"/>
      <c r="U67" s="106"/>
    </row>
    <row r="68" spans="13:30" s="25" customFormat="1" ht="20.25">
      <c r="M68" s="105"/>
      <c r="N68" s="105"/>
      <c r="O68" s="105"/>
      <c r="P68" s="105"/>
      <c r="Q68" s="163"/>
      <c r="R68" s="195"/>
      <c r="S68" s="117"/>
      <c r="T68" s="117"/>
      <c r="U68" s="105"/>
    </row>
  </sheetData>
  <mergeCells count="28">
    <mergeCell ref="AD5:AD7"/>
    <mergeCell ref="B3:AC3"/>
    <mergeCell ref="A5:A7"/>
    <mergeCell ref="B5:B7"/>
    <mergeCell ref="C5:C7"/>
    <mergeCell ref="D5:D7"/>
    <mergeCell ref="E5:E7"/>
    <mergeCell ref="I5:I7"/>
    <mergeCell ref="M5:M7"/>
    <mergeCell ref="Q5:Q7"/>
    <mergeCell ref="V5:V7"/>
    <mergeCell ref="R5:R7"/>
    <mergeCell ref="AD10:AD12"/>
    <mergeCell ref="AD14:AD32"/>
    <mergeCell ref="G5:G7"/>
    <mergeCell ref="F5:F7"/>
    <mergeCell ref="H5:H7"/>
    <mergeCell ref="J5:J7"/>
    <mergeCell ref="S5:S7"/>
    <mergeCell ref="U5:U7"/>
    <mergeCell ref="N5:N7"/>
    <mergeCell ref="K5:K7"/>
    <mergeCell ref="L5:L7"/>
    <mergeCell ref="W5:W7"/>
    <mergeCell ref="X5:X7"/>
    <mergeCell ref="Y5:AA6"/>
    <mergeCell ref="AB5:AB7"/>
    <mergeCell ref="AC5:AC7"/>
  </mergeCells>
  <pageMargins left="0" right="0" top="0" bottom="0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DS128"/>
  <sheetViews>
    <sheetView tabSelected="1" zoomScale="80" zoomScaleNormal="80" zoomScaleSheetLayoutView="80" workbookViewId="0">
      <pane xSplit="2" ySplit="10" topLeftCell="W71" activePane="bottomRight" state="frozen"/>
      <selection pane="topRight" activeCell="C1" sqref="C1"/>
      <selection pane="bottomLeft" activeCell="A13" sqref="A13"/>
      <selection pane="bottomRight" activeCell="AE69" sqref="AE69"/>
    </sheetView>
  </sheetViews>
  <sheetFormatPr defaultRowHeight="15.75"/>
  <cols>
    <col min="1" max="1" width="4.42578125" style="207" customWidth="1"/>
    <col min="2" max="2" width="24.140625" style="207" customWidth="1"/>
    <col min="3" max="3" width="18.42578125" style="207" hidden="1" customWidth="1"/>
    <col min="4" max="4" width="14.42578125" style="207" hidden="1" customWidth="1"/>
    <col min="5" max="5" width="26" style="207" hidden="1" customWidth="1"/>
    <col min="6" max="6" width="19.42578125" style="207" hidden="1" customWidth="1"/>
    <col min="7" max="7" width="19.7109375" style="207" hidden="1" customWidth="1"/>
    <col min="8" max="8" width="20.28515625" style="207" hidden="1" customWidth="1"/>
    <col min="9" max="10" width="24.28515625" style="207" hidden="1" customWidth="1"/>
    <col min="11" max="11" width="19.140625" style="207" hidden="1" customWidth="1"/>
    <col min="12" max="12" width="17.7109375" style="207" hidden="1" customWidth="1"/>
    <col min="13" max="13" width="60.140625" style="207" hidden="1" customWidth="1"/>
    <col min="14" max="14" width="17.5703125" style="207" hidden="1" customWidth="1"/>
    <col min="15" max="15" width="29.85546875" style="207" hidden="1" customWidth="1"/>
    <col min="16" max="21" width="0" style="207" hidden="1" customWidth="1"/>
    <col min="22" max="22" width="8.28515625" style="207" hidden="1" customWidth="1"/>
    <col min="23" max="23" width="13.28515625" style="207" customWidth="1"/>
    <col min="24" max="24" width="19.140625" style="207" customWidth="1"/>
    <col min="25" max="25" width="17" style="207" customWidth="1"/>
    <col min="26" max="26" width="18.85546875" style="207" customWidth="1"/>
    <col min="27" max="27" width="18.5703125" style="209" customWidth="1"/>
    <col min="28" max="28" width="17" style="207" customWidth="1"/>
    <col min="29" max="29" width="14.85546875" style="207" customWidth="1"/>
    <col min="30" max="30" width="14.28515625" style="207" customWidth="1"/>
    <col min="31" max="31" width="16.7109375" style="207" customWidth="1"/>
    <col min="32" max="32" width="17" style="210" customWidth="1"/>
    <col min="33" max="33" width="17" style="207" customWidth="1"/>
    <col min="34" max="34" width="19.5703125" style="207" customWidth="1"/>
    <col min="35" max="35" width="25.5703125" style="207" hidden="1" customWidth="1"/>
    <col min="36" max="36" width="31.42578125" style="210" hidden="1" customWidth="1"/>
    <col min="37" max="37" width="14.7109375" style="207" hidden="1" customWidth="1"/>
    <col min="38" max="38" width="11.42578125" style="207" hidden="1" customWidth="1"/>
    <col min="39" max="39" width="24.7109375" style="207" hidden="1" customWidth="1"/>
    <col min="40" max="40" width="18.140625" style="207" hidden="1" customWidth="1"/>
    <col min="41" max="41" width="18.5703125" style="211" hidden="1" customWidth="1"/>
    <col min="42" max="42" width="17" style="211" hidden="1" customWidth="1"/>
    <col min="43" max="46" width="19" style="211" hidden="1" customWidth="1"/>
    <col min="47" max="48" width="19" style="207" hidden="1" customWidth="1"/>
    <col min="49" max="49" width="20.85546875" style="207" hidden="1" customWidth="1"/>
    <col min="50" max="50" width="16.140625" style="207" hidden="1" customWidth="1"/>
    <col min="51" max="120" width="0" style="207" hidden="1" customWidth="1"/>
    <col min="121" max="121" width="11" style="207" hidden="1" customWidth="1"/>
    <col min="122" max="122" width="19.5703125" style="207" customWidth="1"/>
    <col min="123" max="123" width="18.7109375" style="207" customWidth="1"/>
    <col min="124" max="16384" width="9.140625" style="207"/>
  </cols>
  <sheetData>
    <row r="1" spans="1:123" ht="12" hidden="1" customHeight="1">
      <c r="A1" s="358" t="s">
        <v>160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358"/>
      <c r="BK1" s="358"/>
      <c r="BL1" s="358"/>
      <c r="BM1" s="358"/>
      <c r="BN1" s="358"/>
      <c r="BO1" s="358"/>
      <c r="BP1" s="358"/>
      <c r="BQ1" s="358"/>
      <c r="BR1" s="358"/>
      <c r="BS1" s="358"/>
      <c r="BT1" s="358"/>
      <c r="BU1" s="358"/>
      <c r="BV1" s="358"/>
      <c r="BW1" s="358"/>
      <c r="BX1" s="358"/>
      <c r="BY1" s="358"/>
      <c r="BZ1" s="358"/>
      <c r="CA1" s="358"/>
      <c r="CB1" s="358"/>
      <c r="CC1" s="358"/>
      <c r="CD1" s="358"/>
      <c r="CE1" s="358"/>
      <c r="CF1" s="358"/>
      <c r="CG1" s="358"/>
      <c r="CH1" s="358"/>
      <c r="CI1" s="358"/>
      <c r="CJ1" s="358"/>
      <c r="CK1" s="358"/>
      <c r="CL1" s="358"/>
      <c r="CM1" s="358"/>
      <c r="CN1" s="358"/>
      <c r="CO1" s="358"/>
      <c r="CP1" s="358"/>
      <c r="CQ1" s="358"/>
      <c r="CR1" s="358"/>
      <c r="CS1" s="358"/>
      <c r="CT1" s="358"/>
      <c r="CU1" s="358"/>
      <c r="CV1" s="358"/>
      <c r="CW1" s="358"/>
      <c r="CX1" s="358"/>
      <c r="CY1" s="358"/>
      <c r="CZ1" s="358"/>
      <c r="DA1" s="358"/>
      <c r="DB1" s="358"/>
      <c r="DC1" s="358"/>
      <c r="DD1" s="358"/>
      <c r="DE1" s="358"/>
      <c r="DF1" s="358"/>
      <c r="DG1" s="358"/>
      <c r="DH1" s="358"/>
      <c r="DI1" s="358"/>
      <c r="DJ1" s="358"/>
      <c r="DK1" s="358"/>
      <c r="DL1" s="358"/>
      <c r="DM1" s="358"/>
      <c r="DN1" s="358"/>
      <c r="DO1" s="358"/>
      <c r="DP1" s="358"/>
      <c r="DQ1" s="358"/>
      <c r="DR1" s="358"/>
      <c r="DS1" s="358"/>
    </row>
    <row r="2" spans="1:123" ht="15.75" hidden="1" customHeight="1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  <c r="BA2" s="358"/>
      <c r="BB2" s="358"/>
      <c r="BC2" s="358"/>
      <c r="BD2" s="358"/>
      <c r="BE2" s="358"/>
      <c r="BF2" s="358"/>
      <c r="BG2" s="358"/>
      <c r="BH2" s="358"/>
      <c r="BI2" s="358"/>
      <c r="BJ2" s="358"/>
      <c r="BK2" s="358"/>
      <c r="BL2" s="358"/>
      <c r="BM2" s="358"/>
      <c r="BN2" s="358"/>
      <c r="BO2" s="358"/>
      <c r="BP2" s="358"/>
      <c r="BQ2" s="358"/>
      <c r="BR2" s="358"/>
      <c r="BS2" s="358"/>
      <c r="BT2" s="358"/>
      <c r="BU2" s="358"/>
      <c r="BV2" s="358"/>
      <c r="BW2" s="358"/>
      <c r="BX2" s="358"/>
      <c r="BY2" s="358"/>
      <c r="BZ2" s="358"/>
      <c r="CA2" s="358"/>
      <c r="CB2" s="358"/>
      <c r="CC2" s="358"/>
      <c r="CD2" s="358"/>
      <c r="CE2" s="358"/>
      <c r="CF2" s="358"/>
      <c r="CG2" s="358"/>
      <c r="CH2" s="358"/>
      <c r="CI2" s="358"/>
      <c r="CJ2" s="358"/>
      <c r="CK2" s="358"/>
      <c r="CL2" s="358"/>
      <c r="CM2" s="358"/>
      <c r="CN2" s="358"/>
      <c r="CO2" s="358"/>
      <c r="CP2" s="358"/>
      <c r="CQ2" s="358"/>
      <c r="CR2" s="358"/>
      <c r="CS2" s="358"/>
      <c r="CT2" s="358"/>
      <c r="CU2" s="358"/>
      <c r="CV2" s="358"/>
      <c r="CW2" s="358"/>
      <c r="CX2" s="358"/>
      <c r="CY2" s="358"/>
      <c r="CZ2" s="358"/>
      <c r="DA2" s="358"/>
      <c r="DB2" s="358"/>
      <c r="DC2" s="358"/>
      <c r="DD2" s="358"/>
      <c r="DE2" s="358"/>
      <c r="DF2" s="358"/>
      <c r="DG2" s="358"/>
      <c r="DH2" s="358"/>
      <c r="DI2" s="358"/>
      <c r="DJ2" s="358"/>
      <c r="DK2" s="358"/>
      <c r="DL2" s="358"/>
      <c r="DM2" s="358"/>
      <c r="DN2" s="358"/>
      <c r="DO2" s="358"/>
      <c r="DP2" s="358"/>
      <c r="DQ2" s="358"/>
      <c r="DR2" s="358"/>
      <c r="DS2" s="358"/>
    </row>
    <row r="3" spans="1:123" s="208" customFormat="1" ht="96" customHeight="1">
      <c r="A3" s="358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8"/>
      <c r="AO3" s="358"/>
      <c r="AP3" s="358"/>
      <c r="AQ3" s="358"/>
      <c r="AR3" s="358"/>
      <c r="AS3" s="358"/>
      <c r="AT3" s="358"/>
      <c r="AU3" s="358"/>
      <c r="AV3" s="358"/>
      <c r="AW3" s="358"/>
      <c r="AX3" s="358"/>
      <c r="AY3" s="358"/>
      <c r="AZ3" s="358"/>
      <c r="BA3" s="358"/>
      <c r="BB3" s="358"/>
      <c r="BC3" s="358"/>
      <c r="BD3" s="358"/>
      <c r="BE3" s="358"/>
      <c r="BF3" s="358"/>
      <c r="BG3" s="358"/>
      <c r="BH3" s="358"/>
      <c r="BI3" s="358"/>
      <c r="BJ3" s="358"/>
      <c r="BK3" s="358"/>
      <c r="BL3" s="358"/>
      <c r="BM3" s="358"/>
      <c r="BN3" s="358"/>
      <c r="BO3" s="358"/>
      <c r="BP3" s="358"/>
      <c r="BQ3" s="358"/>
      <c r="BR3" s="358"/>
      <c r="BS3" s="358"/>
      <c r="BT3" s="358"/>
      <c r="BU3" s="358"/>
      <c r="BV3" s="358"/>
      <c r="BW3" s="358"/>
      <c r="BX3" s="358"/>
      <c r="BY3" s="358"/>
      <c r="BZ3" s="358"/>
      <c r="CA3" s="358"/>
      <c r="CB3" s="358"/>
      <c r="CC3" s="358"/>
      <c r="CD3" s="358"/>
      <c r="CE3" s="358"/>
      <c r="CF3" s="358"/>
      <c r="CG3" s="358"/>
      <c r="CH3" s="358"/>
      <c r="CI3" s="358"/>
      <c r="CJ3" s="358"/>
      <c r="CK3" s="358"/>
      <c r="CL3" s="358"/>
      <c r="CM3" s="358"/>
      <c r="CN3" s="358"/>
      <c r="CO3" s="358"/>
      <c r="CP3" s="358"/>
      <c r="CQ3" s="358"/>
      <c r="CR3" s="358"/>
      <c r="CS3" s="358"/>
      <c r="CT3" s="358"/>
      <c r="CU3" s="358"/>
      <c r="CV3" s="358"/>
      <c r="CW3" s="358"/>
      <c r="CX3" s="358"/>
      <c r="CY3" s="358"/>
      <c r="CZ3" s="358"/>
      <c r="DA3" s="358"/>
      <c r="DB3" s="358"/>
      <c r="DC3" s="358"/>
      <c r="DD3" s="358"/>
      <c r="DE3" s="358"/>
      <c r="DF3" s="358"/>
      <c r="DG3" s="358"/>
      <c r="DH3" s="358"/>
      <c r="DI3" s="358"/>
      <c r="DJ3" s="358"/>
      <c r="DK3" s="358"/>
      <c r="DL3" s="358"/>
      <c r="DM3" s="358"/>
      <c r="DN3" s="358"/>
      <c r="DO3" s="358"/>
      <c r="DP3" s="358"/>
      <c r="DQ3" s="358"/>
      <c r="DR3" s="358"/>
      <c r="DS3" s="358"/>
    </row>
    <row r="4" spans="1:123" ht="18.75" hidden="1">
      <c r="AJ4" s="355" t="s">
        <v>0</v>
      </c>
      <c r="AK4" s="355"/>
      <c r="AL4" s="355"/>
      <c r="AM4" s="355"/>
      <c r="AN4" s="355"/>
      <c r="AO4" s="355"/>
      <c r="AP4" s="355"/>
      <c r="AQ4" s="355"/>
      <c r="AR4" s="355"/>
      <c r="AV4" s="212" t="s">
        <v>1</v>
      </c>
    </row>
    <row r="5" spans="1:123" ht="171.75" hidden="1" customHeight="1">
      <c r="A5" s="1"/>
      <c r="B5" s="206" t="s">
        <v>2</v>
      </c>
      <c r="C5" s="206"/>
      <c r="D5" s="206"/>
      <c r="E5" s="213"/>
      <c r="F5" s="214"/>
      <c r="G5" s="214"/>
      <c r="H5" s="214" t="s">
        <v>3</v>
      </c>
      <c r="I5" s="214" t="s">
        <v>4</v>
      </c>
      <c r="J5" s="214" t="s">
        <v>5</v>
      </c>
      <c r="K5" s="214"/>
      <c r="L5" s="214"/>
      <c r="M5" s="214"/>
      <c r="N5" s="206"/>
      <c r="O5" s="206"/>
      <c r="P5" s="206"/>
      <c r="Q5" s="206"/>
      <c r="R5" s="206"/>
      <c r="S5" s="206" t="s">
        <v>3</v>
      </c>
      <c r="T5" s="206" t="s">
        <v>4</v>
      </c>
      <c r="U5" s="206" t="s">
        <v>5</v>
      </c>
      <c r="V5" s="206"/>
      <c r="W5" s="206"/>
      <c r="X5" s="206"/>
      <c r="Y5" s="206"/>
      <c r="Z5" s="206"/>
      <c r="AA5" s="215"/>
      <c r="AB5" s="206"/>
      <c r="AC5" s="206"/>
      <c r="AD5" s="206"/>
      <c r="AE5" s="206"/>
      <c r="AF5" s="216"/>
      <c r="AG5" s="206"/>
      <c r="AH5" s="216" t="s">
        <v>7</v>
      </c>
      <c r="AI5" s="206" t="s">
        <v>6</v>
      </c>
      <c r="AJ5" s="216" t="s">
        <v>7</v>
      </c>
      <c r="AK5" s="206"/>
      <c r="AL5" s="214"/>
      <c r="AM5" s="214" t="s">
        <v>8</v>
      </c>
      <c r="AN5" s="214" t="s">
        <v>9</v>
      </c>
      <c r="AO5" s="217" t="s">
        <v>10</v>
      </c>
      <c r="AP5" s="217" t="s">
        <v>11</v>
      </c>
      <c r="AQ5" s="217" t="s">
        <v>12</v>
      </c>
      <c r="AR5" s="217" t="s">
        <v>13</v>
      </c>
      <c r="AS5" s="217" t="s">
        <v>14</v>
      </c>
      <c r="AT5" s="217" t="s">
        <v>15</v>
      </c>
      <c r="AU5" s="204" t="s">
        <v>16</v>
      </c>
      <c r="AV5" s="204" t="s">
        <v>17</v>
      </c>
    </row>
    <row r="6" spans="1:123" s="222" customFormat="1" ht="18" hidden="1" customHeight="1">
      <c r="A6" s="1">
        <v>1</v>
      </c>
      <c r="B6" s="1">
        <v>2</v>
      </c>
      <c r="C6" s="218"/>
      <c r="D6" s="218"/>
      <c r="E6" s="219"/>
      <c r="F6" s="219"/>
      <c r="G6" s="219"/>
      <c r="H6" s="219"/>
      <c r="I6" s="219"/>
      <c r="J6" s="219"/>
      <c r="K6" s="219"/>
      <c r="L6" s="219"/>
      <c r="M6" s="21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20"/>
      <c r="AB6" s="1"/>
      <c r="AC6" s="1"/>
      <c r="AD6" s="1"/>
      <c r="AE6" s="1"/>
      <c r="AF6" s="221"/>
      <c r="AG6" s="1"/>
      <c r="AH6" s="1"/>
      <c r="AI6" s="206">
        <v>3</v>
      </c>
      <c r="AJ6" s="221">
        <v>4</v>
      </c>
      <c r="AK6" s="1"/>
      <c r="AL6" s="1"/>
      <c r="AM6" s="1" t="s">
        <v>18</v>
      </c>
      <c r="AN6" s="1" t="s">
        <v>19</v>
      </c>
      <c r="AO6" s="202" t="s">
        <v>20</v>
      </c>
      <c r="AP6" s="202" t="s">
        <v>21</v>
      </c>
      <c r="AQ6" s="202" t="s">
        <v>22</v>
      </c>
      <c r="AR6" s="202" t="s">
        <v>23</v>
      </c>
      <c r="AS6" s="202" t="s">
        <v>24</v>
      </c>
      <c r="AT6" s="202" t="s">
        <v>25</v>
      </c>
      <c r="AU6" s="1" t="s">
        <v>26</v>
      </c>
      <c r="AV6" s="1" t="s">
        <v>27</v>
      </c>
    </row>
    <row r="7" spans="1:123" ht="81" hidden="1" customHeight="1">
      <c r="A7" s="3">
        <v>1</v>
      </c>
      <c r="B7" s="223" t="s">
        <v>28</v>
      </c>
      <c r="C7" s="224">
        <v>7210.9</v>
      </c>
      <c r="D7" s="225">
        <v>29420</v>
      </c>
      <c r="E7" s="224">
        <v>100</v>
      </c>
      <c r="F7" s="226">
        <f t="shared" ref="F7:F10" si="0">C7*D7*12*1.302/1000</f>
        <v>3314548.4490720001</v>
      </c>
      <c r="G7" s="226">
        <f>F7-K7</f>
        <v>3304925.349072</v>
      </c>
      <c r="H7" s="226">
        <v>3413618.6867999998</v>
      </c>
      <c r="I7" s="226">
        <v>64735.519999999997</v>
      </c>
      <c r="J7" s="226">
        <f>H7+I7</f>
        <v>3478354.2067999998</v>
      </c>
      <c r="K7" s="226">
        <v>9623.1</v>
      </c>
      <c r="L7" s="226">
        <f>G7-J7</f>
        <v>-173428.8577279998</v>
      </c>
      <c r="M7" s="227" t="s">
        <v>29</v>
      </c>
      <c r="N7" s="228">
        <v>7210.9</v>
      </c>
      <c r="O7" s="228">
        <v>29420</v>
      </c>
      <c r="P7" s="228">
        <v>100</v>
      </c>
      <c r="Q7" s="228">
        <v>3314548.4490720001</v>
      </c>
      <c r="R7" s="228">
        <v>3304925.349072</v>
      </c>
      <c r="S7" s="228">
        <v>3413618.6867999998</v>
      </c>
      <c r="T7" s="228">
        <v>64735.519999999997</v>
      </c>
      <c r="U7" s="228">
        <v>3478354.2067999998</v>
      </c>
      <c r="V7" s="228">
        <v>9623.1</v>
      </c>
      <c r="W7" s="228"/>
      <c r="X7" s="228"/>
      <c r="Y7" s="228"/>
      <c r="Z7" s="228"/>
      <c r="AA7" s="229"/>
      <c r="AB7" s="228"/>
      <c r="AC7" s="228"/>
      <c r="AD7" s="228"/>
      <c r="AE7" s="228"/>
      <c r="AF7" s="230"/>
      <c r="AG7" s="228"/>
      <c r="AH7" s="228"/>
      <c r="AI7" s="206"/>
      <c r="AJ7" s="230">
        <v>-173428.8577279998</v>
      </c>
      <c r="AK7" s="3"/>
      <c r="AL7" s="3"/>
      <c r="AM7" s="3"/>
      <c r="AN7" s="3"/>
      <c r="AO7" s="203"/>
      <c r="AP7" s="203"/>
      <c r="AQ7" s="203"/>
      <c r="AR7" s="203"/>
      <c r="AS7" s="203"/>
      <c r="AT7" s="203"/>
      <c r="AU7" s="3"/>
      <c r="AV7" s="3"/>
    </row>
    <row r="8" spans="1:123" ht="45" hidden="1" customHeight="1">
      <c r="A8" s="3">
        <v>2</v>
      </c>
      <c r="B8" s="223" t="s">
        <v>30</v>
      </c>
      <c r="C8" s="224">
        <f t="shared" ref="C8" si="1">C9+C10</f>
        <v>10565</v>
      </c>
      <c r="D8" s="225">
        <v>34903.699999999997</v>
      </c>
      <c r="E8" s="224">
        <v>100</v>
      </c>
      <c r="F8" s="226">
        <f t="shared" si="0"/>
        <v>5761468.5939719994</v>
      </c>
      <c r="G8" s="226">
        <f t="shared" ref="G8:G10" si="2">F8-K8</f>
        <v>5731651.587572</v>
      </c>
      <c r="H8" s="224">
        <f t="shared" ref="H8:J8" si="3">H9+H10</f>
        <v>5508195.1956000002</v>
      </c>
      <c r="I8" s="224">
        <f t="shared" si="3"/>
        <v>145136.87</v>
      </c>
      <c r="J8" s="224">
        <f t="shared" si="3"/>
        <v>5653332.0655999994</v>
      </c>
      <c r="K8" s="224">
        <v>29817.006399999489</v>
      </c>
      <c r="L8" s="226">
        <f>G8-J8</f>
        <v>78319.521972000599</v>
      </c>
      <c r="M8" s="356" t="s">
        <v>31</v>
      </c>
      <c r="N8" s="228">
        <v>10565</v>
      </c>
      <c r="O8" s="228">
        <v>34903.699999999997</v>
      </c>
      <c r="P8" s="228">
        <v>100</v>
      </c>
      <c r="Q8" s="228">
        <v>5761468.5939719994</v>
      </c>
      <c r="R8" s="228">
        <v>5731651.587572</v>
      </c>
      <c r="S8" s="228">
        <v>5508195.1956000002</v>
      </c>
      <c r="T8" s="228">
        <v>145136.87</v>
      </c>
      <c r="U8" s="228">
        <v>5653332.0655999994</v>
      </c>
      <c r="V8" s="228">
        <v>29817.006399999489</v>
      </c>
      <c r="W8" s="228"/>
      <c r="X8" s="228"/>
      <c r="Y8" s="228"/>
      <c r="Z8" s="228"/>
      <c r="AA8" s="229"/>
      <c r="AB8" s="228"/>
      <c r="AC8" s="228"/>
      <c r="AD8" s="228"/>
      <c r="AE8" s="228"/>
      <c r="AF8" s="230"/>
      <c r="AG8" s="228"/>
      <c r="AH8" s="228"/>
      <c r="AI8" s="228"/>
      <c r="AJ8" s="230">
        <v>78319.521972000599</v>
      </c>
      <c r="AK8" s="3"/>
      <c r="AL8" s="3"/>
      <c r="AM8" s="3"/>
      <c r="AN8" s="3"/>
      <c r="AO8" s="203"/>
      <c r="AP8" s="203"/>
      <c r="AQ8" s="203"/>
      <c r="AR8" s="203"/>
      <c r="AS8" s="203"/>
      <c r="AT8" s="203"/>
      <c r="AU8" s="3"/>
      <c r="AV8" s="3"/>
    </row>
    <row r="9" spans="1:123" ht="36.75" hidden="1" customHeight="1">
      <c r="A9" s="3"/>
      <c r="B9" s="223" t="s">
        <v>32</v>
      </c>
      <c r="C9" s="224">
        <v>773</v>
      </c>
      <c r="D9" s="225">
        <v>34903.699999999997</v>
      </c>
      <c r="E9" s="224">
        <v>100</v>
      </c>
      <c r="F9" s="226">
        <f t="shared" si="0"/>
        <v>421544.27100239997</v>
      </c>
      <c r="G9" s="226">
        <f t="shared" si="2"/>
        <v>421377.97100240004</v>
      </c>
      <c r="H9" s="226">
        <f>417219.1-5489.6</f>
        <v>411729.5</v>
      </c>
      <c r="I9" s="226">
        <v>5489.6</v>
      </c>
      <c r="J9" s="226">
        <f t="shared" ref="J9:J10" si="4">H9+I9</f>
        <v>417219.1</v>
      </c>
      <c r="K9" s="226">
        <v>166.29999999993015</v>
      </c>
      <c r="L9" s="231">
        <f t="shared" ref="L9:L10" si="5">G9-J9</f>
        <v>4158.8710024000611</v>
      </c>
      <c r="M9" s="356"/>
      <c r="N9" s="228">
        <v>773</v>
      </c>
      <c r="O9" s="228">
        <v>34903.699999999997</v>
      </c>
      <c r="P9" s="228">
        <v>100</v>
      </c>
      <c r="Q9" s="228">
        <v>421544.27100239997</v>
      </c>
      <c r="R9" s="228">
        <v>421377.97100240004</v>
      </c>
      <c r="S9" s="228">
        <v>411729.5</v>
      </c>
      <c r="T9" s="228">
        <v>5489.6</v>
      </c>
      <c r="U9" s="228">
        <v>417219.1</v>
      </c>
      <c r="V9" s="228">
        <v>166.29999999993015</v>
      </c>
      <c r="W9" s="228"/>
      <c r="X9" s="228"/>
      <c r="Y9" s="228"/>
      <c r="Z9" s="228"/>
      <c r="AA9" s="229"/>
      <c r="AB9" s="228"/>
      <c r="AC9" s="228"/>
      <c r="AD9" s="228"/>
      <c r="AE9" s="228"/>
      <c r="AF9" s="230"/>
      <c r="AG9" s="228"/>
      <c r="AH9" s="228"/>
      <c r="AI9" s="228"/>
      <c r="AJ9" s="230">
        <v>4158.8710024000611</v>
      </c>
      <c r="AK9" s="3"/>
      <c r="AL9" s="3"/>
      <c r="AM9" s="3"/>
      <c r="AN9" s="3"/>
      <c r="AO9" s="203"/>
      <c r="AP9" s="203"/>
      <c r="AQ9" s="203"/>
      <c r="AR9" s="203"/>
      <c r="AS9" s="203"/>
      <c r="AT9" s="203"/>
      <c r="AU9" s="3"/>
      <c r="AV9" s="3"/>
    </row>
    <row r="10" spans="1:123" ht="57.75" hidden="1" customHeight="1">
      <c r="A10" s="3"/>
      <c r="B10" s="223" t="s">
        <v>33</v>
      </c>
      <c r="C10" s="224">
        <v>9792</v>
      </c>
      <c r="D10" s="225">
        <v>34903.699999999997</v>
      </c>
      <c r="E10" s="224">
        <v>100</v>
      </c>
      <c r="F10" s="226">
        <f t="shared" si="0"/>
        <v>5339924.3229695996</v>
      </c>
      <c r="G10" s="226">
        <f t="shared" si="2"/>
        <v>5310273.6165696001</v>
      </c>
      <c r="H10" s="226">
        <v>5096465.6956000002</v>
      </c>
      <c r="I10" s="226">
        <v>139647.26999999999</v>
      </c>
      <c r="J10" s="226">
        <f t="shared" si="4"/>
        <v>5236112.9655999998</v>
      </c>
      <c r="K10" s="226">
        <v>29650.706399999559</v>
      </c>
      <c r="L10" s="226">
        <f t="shared" si="5"/>
        <v>74160.650969600305</v>
      </c>
      <c r="M10" s="356"/>
      <c r="N10" s="228">
        <v>9792</v>
      </c>
      <c r="O10" s="228">
        <v>34903.699999999997</v>
      </c>
      <c r="P10" s="228">
        <v>100</v>
      </c>
      <c r="Q10" s="228">
        <v>5339924.3229695996</v>
      </c>
      <c r="R10" s="228">
        <v>5310273.6165696001</v>
      </c>
      <c r="S10" s="228">
        <v>5096465.6956000002</v>
      </c>
      <c r="T10" s="228">
        <v>139647.26999999999</v>
      </c>
      <c r="U10" s="228">
        <v>5236112.9655999998</v>
      </c>
      <c r="V10" s="228">
        <v>29650.706399999559</v>
      </c>
      <c r="W10" s="228"/>
      <c r="X10" s="228"/>
      <c r="Y10" s="228"/>
      <c r="Z10" s="228"/>
      <c r="AA10" s="229"/>
      <c r="AB10" s="228"/>
      <c r="AC10" s="228"/>
      <c r="AD10" s="228"/>
      <c r="AE10" s="228"/>
      <c r="AF10" s="230"/>
      <c r="AG10" s="228"/>
      <c r="AH10" s="228"/>
      <c r="AI10" s="228"/>
      <c r="AJ10" s="230">
        <v>74160.650969600305</v>
      </c>
      <c r="AK10" s="3"/>
      <c r="AL10" s="3"/>
      <c r="AM10" s="3"/>
      <c r="AN10" s="3"/>
      <c r="AO10" s="203"/>
      <c r="AP10" s="203"/>
      <c r="AQ10" s="203"/>
      <c r="AR10" s="203"/>
      <c r="AS10" s="203"/>
      <c r="AT10" s="203"/>
      <c r="AU10" s="3"/>
      <c r="AV10" s="3"/>
    </row>
    <row r="11" spans="1:123" ht="36.75" hidden="1" customHeight="1">
      <c r="A11" s="232"/>
      <c r="B11" s="13" t="s">
        <v>34</v>
      </c>
      <c r="C11" s="233">
        <f>C12+C15+C30</f>
        <v>1937.6</v>
      </c>
      <c r="D11" s="234">
        <v>34072.800000000003</v>
      </c>
      <c r="E11" s="233">
        <v>95</v>
      </c>
      <c r="F11" s="234">
        <f>F12+F15+F30</f>
        <v>1031493.7835215199</v>
      </c>
      <c r="G11" s="234">
        <f>G12+G15+G30</f>
        <v>1004196.0277215198</v>
      </c>
      <c r="H11" s="234">
        <f t="shared" ref="H11:J11" si="6">H12+H15+H30</f>
        <v>924754.98600000003</v>
      </c>
      <c r="I11" s="234">
        <f t="shared" si="6"/>
        <v>13858.02</v>
      </c>
      <c r="J11" s="234">
        <f t="shared" si="6"/>
        <v>938613.00599999994</v>
      </c>
      <c r="K11" s="234">
        <f>K12+K15+K30</f>
        <v>27297.755800000003</v>
      </c>
      <c r="L11" s="234">
        <f>L12+L15+L30</f>
        <v>65583.021721519981</v>
      </c>
      <c r="M11" s="354" t="s">
        <v>35</v>
      </c>
      <c r="N11" s="235">
        <v>1937</v>
      </c>
      <c r="O11" s="236">
        <v>34072.800000000003</v>
      </c>
      <c r="P11" s="235">
        <v>95</v>
      </c>
      <c r="Q11" s="235">
        <v>1031174.3698127199</v>
      </c>
      <c r="R11" s="235">
        <v>1003876.6140127198</v>
      </c>
      <c r="S11" s="235">
        <v>926564.98600000003</v>
      </c>
      <c r="T11" s="235">
        <v>13858.02</v>
      </c>
      <c r="U11" s="235">
        <v>940423.00599999994</v>
      </c>
      <c r="V11" s="235">
        <v>27297.755800000003</v>
      </c>
      <c r="W11" s="235"/>
      <c r="X11" s="235"/>
      <c r="Y11" s="235"/>
      <c r="Z11" s="235"/>
      <c r="AA11" s="237"/>
      <c r="AB11" s="235"/>
      <c r="AC11" s="235"/>
      <c r="AD11" s="235"/>
      <c r="AE11" s="235"/>
      <c r="AF11" s="235"/>
      <c r="AG11" s="235"/>
      <c r="AH11" s="235"/>
      <c r="AI11" s="235"/>
      <c r="AJ11" s="238">
        <v>63453.608012719982</v>
      </c>
      <c r="AK11" s="239">
        <f t="shared" ref="AK11:AK28" si="7">C11-N11</f>
        <v>0.59999999999990905</v>
      </c>
      <c r="AL11" s="240">
        <f t="shared" ref="AL11:AL28" si="8">L11-AJ11</f>
        <v>2129.4137087999989</v>
      </c>
      <c r="AM11" s="240"/>
      <c r="AN11" s="240"/>
      <c r="AO11" s="241">
        <f>AJ11/100</f>
        <v>634.53608012719985</v>
      </c>
      <c r="AP11" s="242">
        <f>AJ11*99/100</f>
        <v>62819.071932592786</v>
      </c>
      <c r="AQ11" s="241"/>
      <c r="AR11" s="241"/>
      <c r="AS11" s="241"/>
      <c r="AT11" s="241"/>
      <c r="AU11" s="232"/>
      <c r="AV11" s="232"/>
    </row>
    <row r="12" spans="1:123" ht="24.75" hidden="1" customHeight="1">
      <c r="A12" s="232" t="s">
        <v>36</v>
      </c>
      <c r="B12" s="243" t="s">
        <v>37</v>
      </c>
      <c r="C12" s="233">
        <f>C13+C14</f>
        <v>154</v>
      </c>
      <c r="D12" s="234">
        <v>34072.800000000003</v>
      </c>
      <c r="E12" s="233">
        <v>95</v>
      </c>
      <c r="F12" s="238">
        <f>F13+F14</f>
        <v>81982.427788800007</v>
      </c>
      <c r="G12" s="238">
        <f t="shared" ref="G12:I12" si="9">G13+G14</f>
        <v>77932.427788800007</v>
      </c>
      <c r="H12" s="238">
        <f t="shared" si="9"/>
        <v>67707.299999999988</v>
      </c>
      <c r="I12" s="238">
        <f t="shared" si="9"/>
        <v>184.1</v>
      </c>
      <c r="J12" s="238">
        <f>J13+J14</f>
        <v>67891.399999999994</v>
      </c>
      <c r="K12" s="238">
        <f>K13+K14</f>
        <v>4050</v>
      </c>
      <c r="L12" s="238">
        <f>L13+L14</f>
        <v>10041.02778880002</v>
      </c>
      <c r="M12" s="354"/>
      <c r="N12" s="235">
        <v>150</v>
      </c>
      <c r="O12" s="235">
        <v>34072.800000000003</v>
      </c>
      <c r="P12" s="235">
        <v>95</v>
      </c>
      <c r="Q12" s="235">
        <v>79853.014080000008</v>
      </c>
      <c r="R12" s="235">
        <v>75803.014080000008</v>
      </c>
      <c r="S12" s="235">
        <v>67707.299999999988</v>
      </c>
      <c r="T12" s="235">
        <v>184.1</v>
      </c>
      <c r="U12" s="235">
        <v>67891.399999999994</v>
      </c>
      <c r="V12" s="235">
        <v>4050</v>
      </c>
      <c r="W12" s="235"/>
      <c r="X12" s="235"/>
      <c r="Y12" s="235"/>
      <c r="Z12" s="235"/>
      <c r="AA12" s="237"/>
      <c r="AB12" s="235"/>
      <c r="AC12" s="235"/>
      <c r="AD12" s="235"/>
      <c r="AE12" s="235"/>
      <c r="AF12" s="235"/>
      <c r="AG12" s="235"/>
      <c r="AH12" s="235"/>
      <c r="AI12" s="235"/>
      <c r="AJ12" s="238">
        <v>7911.6140800000176</v>
      </c>
      <c r="AK12" s="239">
        <f t="shared" si="7"/>
        <v>4</v>
      </c>
      <c r="AL12" s="240">
        <f t="shared" si="8"/>
        <v>2129.4137088000025</v>
      </c>
      <c r="AM12" s="240"/>
      <c r="AN12" s="240"/>
      <c r="AO12" s="241">
        <f t="shared" ref="AO12:AO23" si="10">AJ12/100</f>
        <v>79.116140800000181</v>
      </c>
      <c r="AP12" s="241"/>
      <c r="AQ12" s="241"/>
      <c r="AR12" s="241"/>
      <c r="AS12" s="241"/>
      <c r="AT12" s="241"/>
      <c r="AU12" s="232"/>
      <c r="AV12" s="232"/>
    </row>
    <row r="13" spans="1:123" ht="22.5" hidden="1" customHeight="1">
      <c r="A13" s="232" t="s">
        <v>38</v>
      </c>
      <c r="B13" s="243" t="s">
        <v>39</v>
      </c>
      <c r="C13" s="233">
        <v>114</v>
      </c>
      <c r="D13" s="234">
        <v>34072.800000000003</v>
      </c>
      <c r="E13" s="233">
        <v>95</v>
      </c>
      <c r="F13" s="238">
        <f>C13*D13*12*1.302/1000</f>
        <v>60688.290700800011</v>
      </c>
      <c r="G13" s="238">
        <f t="shared" ref="G13" si="11">F13-K13</f>
        <v>57851.590700800014</v>
      </c>
      <c r="H13" s="238">
        <v>50986.7</v>
      </c>
      <c r="I13" s="238"/>
      <c r="J13" s="238">
        <f t="shared" ref="J13:J55" si="12">H13+I13</f>
        <v>50986.7</v>
      </c>
      <c r="K13" s="238">
        <v>2836.7</v>
      </c>
      <c r="L13" s="238">
        <f>G13-J13</f>
        <v>6864.8907008000169</v>
      </c>
      <c r="M13" s="354"/>
      <c r="N13" s="235">
        <v>113</v>
      </c>
      <c r="O13" s="235">
        <v>34072.800000000003</v>
      </c>
      <c r="P13" s="235">
        <v>95</v>
      </c>
      <c r="Q13" s="235">
        <v>60155.937273600008</v>
      </c>
      <c r="R13" s="235">
        <v>57319.237273600011</v>
      </c>
      <c r="S13" s="235">
        <v>50986.7</v>
      </c>
      <c r="T13" s="235"/>
      <c r="U13" s="235">
        <v>50986.7</v>
      </c>
      <c r="V13" s="235">
        <v>2836.7</v>
      </c>
      <c r="W13" s="235"/>
      <c r="X13" s="235"/>
      <c r="Y13" s="235"/>
      <c r="Z13" s="235"/>
      <c r="AA13" s="237"/>
      <c r="AB13" s="235"/>
      <c r="AC13" s="235"/>
      <c r="AD13" s="235"/>
      <c r="AE13" s="235"/>
      <c r="AF13" s="235"/>
      <c r="AG13" s="235"/>
      <c r="AH13" s="235"/>
      <c r="AI13" s="235"/>
      <c r="AJ13" s="238">
        <v>6332.5372736000136</v>
      </c>
      <c r="AK13" s="239">
        <f t="shared" si="7"/>
        <v>1</v>
      </c>
      <c r="AL13" s="240">
        <f t="shared" si="8"/>
        <v>532.35342720000335</v>
      </c>
      <c r="AM13" s="240"/>
      <c r="AN13" s="240"/>
      <c r="AO13" s="241">
        <f t="shared" si="10"/>
        <v>63.325372736000134</v>
      </c>
      <c r="AP13" s="241"/>
      <c r="AQ13" s="241"/>
      <c r="AR13" s="241"/>
      <c r="AS13" s="241"/>
      <c r="AT13" s="241"/>
      <c r="AU13" s="232"/>
      <c r="AV13" s="232"/>
    </row>
    <row r="14" spans="1:123" ht="22.5" hidden="1" customHeight="1">
      <c r="A14" s="232" t="s">
        <v>40</v>
      </c>
      <c r="B14" s="243" t="s">
        <v>41</v>
      </c>
      <c r="C14" s="233">
        <v>40</v>
      </c>
      <c r="D14" s="234">
        <v>34072.800000000003</v>
      </c>
      <c r="E14" s="233">
        <v>95</v>
      </c>
      <c r="F14" s="238">
        <f>C14*D14*12*1.302/1000</f>
        <v>21294.137087999999</v>
      </c>
      <c r="G14" s="238">
        <f>F14-K14</f>
        <v>20080.837088</v>
      </c>
      <c r="H14" s="238">
        <v>16720.599999999999</v>
      </c>
      <c r="I14" s="238">
        <v>184.1</v>
      </c>
      <c r="J14" s="238">
        <f t="shared" si="12"/>
        <v>16904.699999999997</v>
      </c>
      <c r="K14" s="238">
        <v>1213.3</v>
      </c>
      <c r="L14" s="238">
        <f t="shared" ref="L14" si="13">G14-J14</f>
        <v>3176.1370880000031</v>
      </c>
      <c r="M14" s="354"/>
      <c r="N14" s="235">
        <v>37</v>
      </c>
      <c r="O14" s="235">
        <v>34072.800000000003</v>
      </c>
      <c r="P14" s="235">
        <v>95</v>
      </c>
      <c r="Q14" s="235">
        <v>19697.0768064</v>
      </c>
      <c r="R14" s="235">
        <v>18483.776806400001</v>
      </c>
      <c r="S14" s="235">
        <v>16720.599999999999</v>
      </c>
      <c r="T14" s="235">
        <v>184.1</v>
      </c>
      <c r="U14" s="235">
        <v>16904.699999999997</v>
      </c>
      <c r="V14" s="235">
        <v>1213.3</v>
      </c>
      <c r="W14" s="235"/>
      <c r="X14" s="235"/>
      <c r="Y14" s="235"/>
      <c r="Z14" s="235"/>
      <c r="AA14" s="237"/>
      <c r="AB14" s="235"/>
      <c r="AC14" s="235"/>
      <c r="AD14" s="235"/>
      <c r="AE14" s="235"/>
      <c r="AF14" s="235"/>
      <c r="AG14" s="235"/>
      <c r="AH14" s="235"/>
      <c r="AI14" s="235"/>
      <c r="AJ14" s="238">
        <v>1579.076806400004</v>
      </c>
      <c r="AK14" s="239">
        <f t="shared" si="7"/>
        <v>3</v>
      </c>
      <c r="AL14" s="240">
        <f t="shared" si="8"/>
        <v>1597.0602815999991</v>
      </c>
      <c r="AM14" s="240"/>
      <c r="AN14" s="240"/>
      <c r="AO14" s="241">
        <f t="shared" si="10"/>
        <v>15.790768064000041</v>
      </c>
      <c r="AP14" s="241"/>
      <c r="AQ14" s="241"/>
      <c r="AR14" s="241"/>
      <c r="AS14" s="241"/>
      <c r="AT14" s="241"/>
      <c r="AU14" s="232"/>
      <c r="AV14" s="232"/>
    </row>
    <row r="15" spans="1:123" ht="45.75" hidden="1" customHeight="1">
      <c r="A15" s="232" t="s">
        <v>42</v>
      </c>
      <c r="B15" s="13" t="s">
        <v>33</v>
      </c>
      <c r="C15" s="233">
        <f>SUM(C16:C28)</f>
        <v>233.40000000000003</v>
      </c>
      <c r="D15" s="234">
        <v>38109.4</v>
      </c>
      <c r="E15" s="233">
        <f>38109.4/35656.8*100</f>
        <v>106.87835139440442</v>
      </c>
      <c r="F15" s="238">
        <f>SUM(F16:F28)</f>
        <v>138971.35573272</v>
      </c>
      <c r="G15" s="238">
        <f t="shared" ref="G15:L15" si="14">SUM(G16:G28)</f>
        <v>138462.85573272</v>
      </c>
      <c r="H15" s="238">
        <f t="shared" si="14"/>
        <v>181441.4852</v>
      </c>
      <c r="I15" s="238">
        <f t="shared" si="14"/>
        <v>5701.22</v>
      </c>
      <c r="J15" s="238">
        <f t="shared" si="14"/>
        <v>187142.7052</v>
      </c>
      <c r="K15" s="238">
        <f t="shared" si="14"/>
        <v>508.5</v>
      </c>
      <c r="L15" s="238">
        <f t="shared" si="14"/>
        <v>-48679.849467279993</v>
      </c>
      <c r="M15" s="354"/>
      <c r="N15" s="235">
        <v>233.40000000000003</v>
      </c>
      <c r="O15" s="238">
        <v>38109.4</v>
      </c>
      <c r="P15" s="235">
        <v>106.87835139440442</v>
      </c>
      <c r="Q15" s="235">
        <v>138971.35573272</v>
      </c>
      <c r="R15" s="235">
        <v>138462.85573272</v>
      </c>
      <c r="S15" s="235">
        <v>181441.4852</v>
      </c>
      <c r="T15" s="235">
        <v>5701.22</v>
      </c>
      <c r="U15" s="235">
        <v>187142.7052</v>
      </c>
      <c r="V15" s="235">
        <v>508.5</v>
      </c>
      <c r="W15" s="235"/>
      <c r="X15" s="235"/>
      <c r="Y15" s="235"/>
      <c r="Z15" s="235"/>
      <c r="AA15" s="237"/>
      <c r="AB15" s="235"/>
      <c r="AC15" s="235"/>
      <c r="AD15" s="235"/>
      <c r="AE15" s="235"/>
      <c r="AF15" s="235"/>
      <c r="AG15" s="235"/>
      <c r="AH15" s="235"/>
      <c r="AI15" s="235"/>
      <c r="AJ15" s="238">
        <v>-48679.849467279993</v>
      </c>
      <c r="AK15" s="239">
        <f t="shared" si="7"/>
        <v>0</v>
      </c>
      <c r="AL15" s="240">
        <f t="shared" si="8"/>
        <v>0</v>
      </c>
      <c r="AM15" s="240"/>
      <c r="AN15" s="240"/>
      <c r="AO15" s="241">
        <f t="shared" si="10"/>
        <v>-486.79849467279996</v>
      </c>
      <c r="AP15" s="241"/>
      <c r="AQ15" s="241"/>
      <c r="AR15" s="241"/>
      <c r="AS15" s="241"/>
      <c r="AT15" s="241"/>
      <c r="AU15" s="232"/>
      <c r="AV15" s="232"/>
    </row>
    <row r="16" spans="1:123" ht="24.75" hidden="1" customHeight="1">
      <c r="A16" s="232"/>
      <c r="B16" s="13" t="s">
        <v>43</v>
      </c>
      <c r="C16" s="233">
        <v>8</v>
      </c>
      <c r="D16" s="244">
        <v>35457.599999999999</v>
      </c>
      <c r="E16" s="233">
        <v>100</v>
      </c>
      <c r="F16" s="238">
        <f t="shared" ref="F16:F28" si="15">C16*D16*12*1.302/1000</f>
        <v>4431.9163391999991</v>
      </c>
      <c r="G16" s="238">
        <f t="shared" ref="G16:G55" si="16">F16-K16</f>
        <v>4431.9163391999991</v>
      </c>
      <c r="H16" s="238">
        <v>6015.7128000000002</v>
      </c>
      <c r="I16" s="238">
        <v>343.8</v>
      </c>
      <c r="J16" s="238">
        <f t="shared" si="12"/>
        <v>6359.5128000000004</v>
      </c>
      <c r="K16" s="238"/>
      <c r="L16" s="238">
        <f t="shared" ref="L16:L55" si="17">G16-J16</f>
        <v>-1927.5964608000013</v>
      </c>
      <c r="M16" s="354"/>
      <c r="N16" s="235">
        <v>8</v>
      </c>
      <c r="O16" s="235">
        <v>35457.599999999999</v>
      </c>
      <c r="P16" s="235">
        <v>100</v>
      </c>
      <c r="Q16" s="235">
        <v>4431.9163391999991</v>
      </c>
      <c r="R16" s="235">
        <v>4431.9163391999991</v>
      </c>
      <c r="S16" s="235">
        <v>6015.7128000000002</v>
      </c>
      <c r="T16" s="235">
        <v>343.8</v>
      </c>
      <c r="U16" s="235">
        <v>6359.5128000000004</v>
      </c>
      <c r="V16" s="235"/>
      <c r="W16" s="235"/>
      <c r="X16" s="235"/>
      <c r="Y16" s="235"/>
      <c r="Z16" s="235"/>
      <c r="AA16" s="237"/>
      <c r="AB16" s="235"/>
      <c r="AC16" s="235"/>
      <c r="AD16" s="235"/>
      <c r="AE16" s="235"/>
      <c r="AF16" s="235"/>
      <c r="AG16" s="235"/>
      <c r="AH16" s="235"/>
      <c r="AI16" s="235"/>
      <c r="AJ16" s="238">
        <v>-1927.5964608000013</v>
      </c>
      <c r="AK16" s="239">
        <f t="shared" si="7"/>
        <v>0</v>
      </c>
      <c r="AL16" s="240">
        <f t="shared" si="8"/>
        <v>0</v>
      </c>
      <c r="AM16" s="240"/>
      <c r="AN16" s="240"/>
      <c r="AO16" s="241">
        <f t="shared" si="10"/>
        <v>-19.275964608000013</v>
      </c>
      <c r="AP16" s="241"/>
      <c r="AQ16" s="241"/>
      <c r="AR16" s="241"/>
      <c r="AS16" s="241"/>
      <c r="AT16" s="241"/>
      <c r="AU16" s="232"/>
      <c r="AV16" s="232"/>
    </row>
    <row r="17" spans="1:49" ht="20.25" hidden="1" customHeight="1">
      <c r="A17" s="232"/>
      <c r="B17" s="245" t="s">
        <v>44</v>
      </c>
      <c r="C17" s="246">
        <v>7</v>
      </c>
      <c r="D17" s="244">
        <v>33433.199999999997</v>
      </c>
      <c r="E17" s="233">
        <v>100</v>
      </c>
      <c r="F17" s="238">
        <f t="shared" si="15"/>
        <v>3656.5222176000002</v>
      </c>
      <c r="G17" s="238">
        <f t="shared" si="16"/>
        <v>3656.5222176000002</v>
      </c>
      <c r="H17" s="238">
        <v>4045.4708000000001</v>
      </c>
      <c r="I17" s="238">
        <v>227.62</v>
      </c>
      <c r="J17" s="238">
        <f t="shared" si="12"/>
        <v>4273.0907999999999</v>
      </c>
      <c r="K17" s="238"/>
      <c r="L17" s="238">
        <f t="shared" si="17"/>
        <v>-616.56858239999974</v>
      </c>
      <c r="M17" s="354"/>
      <c r="N17" s="235">
        <v>7</v>
      </c>
      <c r="O17" s="235">
        <v>33433.199999999997</v>
      </c>
      <c r="P17" s="235">
        <v>100</v>
      </c>
      <c r="Q17" s="235">
        <v>3656.5222176000002</v>
      </c>
      <c r="R17" s="235">
        <v>3656.5222176000002</v>
      </c>
      <c r="S17" s="235">
        <v>4045.4708000000001</v>
      </c>
      <c r="T17" s="235">
        <v>227.62</v>
      </c>
      <c r="U17" s="235">
        <v>4273.0907999999999</v>
      </c>
      <c r="V17" s="235"/>
      <c r="W17" s="235"/>
      <c r="X17" s="235"/>
      <c r="Y17" s="235"/>
      <c r="Z17" s="235"/>
      <c r="AA17" s="237"/>
      <c r="AB17" s="235"/>
      <c r="AC17" s="235"/>
      <c r="AD17" s="235"/>
      <c r="AE17" s="235"/>
      <c r="AF17" s="235"/>
      <c r="AG17" s="235"/>
      <c r="AH17" s="235"/>
      <c r="AI17" s="235"/>
      <c r="AJ17" s="238">
        <v>-616.56858239999974</v>
      </c>
      <c r="AK17" s="239">
        <f t="shared" si="7"/>
        <v>0</v>
      </c>
      <c r="AL17" s="240">
        <f t="shared" si="8"/>
        <v>0</v>
      </c>
      <c r="AM17" s="240"/>
      <c r="AN17" s="240"/>
      <c r="AO17" s="241">
        <f t="shared" si="10"/>
        <v>-6.165685823999997</v>
      </c>
      <c r="AP17" s="241"/>
      <c r="AQ17" s="241"/>
      <c r="AR17" s="241"/>
      <c r="AS17" s="241"/>
      <c r="AT17" s="241"/>
      <c r="AU17" s="232"/>
      <c r="AV17" s="232"/>
    </row>
    <row r="18" spans="1:49" ht="20.25" hidden="1" customHeight="1">
      <c r="A18" s="232"/>
      <c r="B18" s="245" t="s">
        <v>45</v>
      </c>
      <c r="C18" s="247">
        <v>7.4</v>
      </c>
      <c r="D18" s="244">
        <v>39387.800000000003</v>
      </c>
      <c r="E18" s="233">
        <v>100</v>
      </c>
      <c r="F18" s="238">
        <f t="shared" si="15"/>
        <v>4553.9229052800001</v>
      </c>
      <c r="G18" s="238">
        <f t="shared" si="16"/>
        <v>4553.9229052800001</v>
      </c>
      <c r="H18" s="238">
        <v>6523.4463999999998</v>
      </c>
      <c r="I18" s="238">
        <v>253.2</v>
      </c>
      <c r="J18" s="238">
        <f t="shared" si="12"/>
        <v>6776.6463999999996</v>
      </c>
      <c r="K18" s="238"/>
      <c r="L18" s="238">
        <f t="shared" si="17"/>
        <v>-2222.7234947199995</v>
      </c>
      <c r="M18" s="354"/>
      <c r="N18" s="235">
        <v>7.4</v>
      </c>
      <c r="O18" s="235">
        <v>39387.800000000003</v>
      </c>
      <c r="P18" s="235">
        <v>100</v>
      </c>
      <c r="Q18" s="235">
        <v>4553.9229052800001</v>
      </c>
      <c r="R18" s="235">
        <v>4553.9229052800001</v>
      </c>
      <c r="S18" s="235">
        <v>6523.4463999999998</v>
      </c>
      <c r="T18" s="235">
        <v>253.2</v>
      </c>
      <c r="U18" s="235">
        <v>6776.6463999999996</v>
      </c>
      <c r="V18" s="235"/>
      <c r="W18" s="235"/>
      <c r="X18" s="235"/>
      <c r="Y18" s="235"/>
      <c r="Z18" s="235"/>
      <c r="AA18" s="237"/>
      <c r="AB18" s="235"/>
      <c r="AC18" s="235"/>
      <c r="AD18" s="235"/>
      <c r="AE18" s="235"/>
      <c r="AF18" s="235"/>
      <c r="AG18" s="235"/>
      <c r="AH18" s="235"/>
      <c r="AI18" s="235"/>
      <c r="AJ18" s="238">
        <v>-2222.7234947199995</v>
      </c>
      <c r="AK18" s="239">
        <f t="shared" si="7"/>
        <v>0</v>
      </c>
      <c r="AL18" s="240">
        <f t="shared" si="8"/>
        <v>0</v>
      </c>
      <c r="AM18" s="240"/>
      <c r="AN18" s="240"/>
      <c r="AO18" s="241">
        <f t="shared" si="10"/>
        <v>-22.227234947199996</v>
      </c>
      <c r="AP18" s="241"/>
      <c r="AQ18" s="241"/>
      <c r="AR18" s="241"/>
      <c r="AS18" s="241"/>
      <c r="AT18" s="241"/>
      <c r="AU18" s="232"/>
      <c r="AV18" s="232"/>
    </row>
    <row r="19" spans="1:49" ht="20.25" hidden="1" customHeight="1">
      <c r="A19" s="232"/>
      <c r="B19" s="245" t="s">
        <v>46</v>
      </c>
      <c r="C19" s="247">
        <v>9</v>
      </c>
      <c r="D19" s="244">
        <v>36311.5</v>
      </c>
      <c r="E19" s="233">
        <v>100</v>
      </c>
      <c r="F19" s="238">
        <f t="shared" si="15"/>
        <v>5105.9778840000008</v>
      </c>
      <c r="G19" s="238">
        <f t="shared" si="16"/>
        <v>5105.9778840000008</v>
      </c>
      <c r="H19" s="238">
        <v>6350.0464000000002</v>
      </c>
      <c r="I19" s="238">
        <v>0</v>
      </c>
      <c r="J19" s="238">
        <f t="shared" si="12"/>
        <v>6350.0464000000002</v>
      </c>
      <c r="K19" s="238"/>
      <c r="L19" s="238">
        <f t="shared" si="17"/>
        <v>-1244.0685159999994</v>
      </c>
      <c r="M19" s="354"/>
      <c r="N19" s="235">
        <v>9</v>
      </c>
      <c r="O19" s="235">
        <v>36311.5</v>
      </c>
      <c r="P19" s="235">
        <v>100</v>
      </c>
      <c r="Q19" s="235">
        <v>5105.9778840000008</v>
      </c>
      <c r="R19" s="235">
        <v>5105.9778840000008</v>
      </c>
      <c r="S19" s="235">
        <v>6350.0464000000002</v>
      </c>
      <c r="T19" s="235">
        <v>0</v>
      </c>
      <c r="U19" s="235">
        <v>6350.0464000000002</v>
      </c>
      <c r="V19" s="235"/>
      <c r="W19" s="235"/>
      <c r="X19" s="235"/>
      <c r="Y19" s="235"/>
      <c r="Z19" s="235"/>
      <c r="AA19" s="237"/>
      <c r="AB19" s="235"/>
      <c r="AC19" s="235"/>
      <c r="AD19" s="235"/>
      <c r="AE19" s="235"/>
      <c r="AF19" s="235"/>
      <c r="AG19" s="235"/>
      <c r="AH19" s="235"/>
      <c r="AI19" s="235"/>
      <c r="AJ19" s="238">
        <v>-1244.0685159999994</v>
      </c>
      <c r="AK19" s="239">
        <f t="shared" si="7"/>
        <v>0</v>
      </c>
      <c r="AL19" s="240">
        <f t="shared" si="8"/>
        <v>0</v>
      </c>
      <c r="AM19" s="240"/>
      <c r="AN19" s="240"/>
      <c r="AO19" s="241">
        <f t="shared" si="10"/>
        <v>-12.440685159999994</v>
      </c>
      <c r="AP19" s="241"/>
      <c r="AQ19" s="241"/>
      <c r="AR19" s="241"/>
      <c r="AS19" s="241"/>
      <c r="AT19" s="241"/>
      <c r="AU19" s="232"/>
      <c r="AV19" s="232"/>
    </row>
    <row r="20" spans="1:49" ht="20.25" hidden="1" customHeight="1">
      <c r="A20" s="232"/>
      <c r="B20" s="245" t="s">
        <v>47</v>
      </c>
      <c r="C20" s="247">
        <v>8</v>
      </c>
      <c r="D20" s="244">
        <v>46453.1</v>
      </c>
      <c r="E20" s="233">
        <v>100</v>
      </c>
      <c r="F20" s="238">
        <f t="shared" si="15"/>
        <v>5806.2658751999998</v>
      </c>
      <c r="G20" s="238">
        <f t="shared" si="16"/>
        <v>5806.2658751999998</v>
      </c>
      <c r="H20" s="238">
        <v>5849.3940000000002</v>
      </c>
      <c r="I20" s="238">
        <v>386</v>
      </c>
      <c r="J20" s="238">
        <f t="shared" si="12"/>
        <v>6235.3940000000002</v>
      </c>
      <c r="K20" s="238"/>
      <c r="L20" s="238">
        <f t="shared" si="17"/>
        <v>-429.12812480000048</v>
      </c>
      <c r="M20" s="354"/>
      <c r="N20" s="235">
        <v>8</v>
      </c>
      <c r="O20" s="235">
        <v>46453.1</v>
      </c>
      <c r="P20" s="235">
        <v>100</v>
      </c>
      <c r="Q20" s="235">
        <v>5806.2658751999998</v>
      </c>
      <c r="R20" s="235">
        <v>5806.2658751999998</v>
      </c>
      <c r="S20" s="235">
        <v>5849.3940000000002</v>
      </c>
      <c r="T20" s="235">
        <v>386</v>
      </c>
      <c r="U20" s="235">
        <v>6235.3940000000002</v>
      </c>
      <c r="V20" s="235"/>
      <c r="W20" s="235"/>
      <c r="X20" s="235"/>
      <c r="Y20" s="235"/>
      <c r="Z20" s="235"/>
      <c r="AA20" s="237"/>
      <c r="AB20" s="235"/>
      <c r="AC20" s="235"/>
      <c r="AD20" s="235"/>
      <c r="AE20" s="235"/>
      <c r="AF20" s="235"/>
      <c r="AG20" s="235"/>
      <c r="AH20" s="235"/>
      <c r="AI20" s="235"/>
      <c r="AJ20" s="238">
        <v>-429.12812480000048</v>
      </c>
      <c r="AK20" s="239">
        <f t="shared" si="7"/>
        <v>0</v>
      </c>
      <c r="AL20" s="240">
        <f t="shared" si="8"/>
        <v>0</v>
      </c>
      <c r="AM20" s="240"/>
      <c r="AN20" s="240"/>
      <c r="AO20" s="241">
        <f t="shared" si="10"/>
        <v>-4.2912812480000051</v>
      </c>
      <c r="AP20" s="241"/>
      <c r="AQ20" s="241"/>
      <c r="AR20" s="241"/>
      <c r="AS20" s="241"/>
      <c r="AT20" s="241"/>
      <c r="AU20" s="232"/>
      <c r="AV20" s="232"/>
    </row>
    <row r="21" spans="1:49" ht="20.25" hidden="1" customHeight="1">
      <c r="A21" s="232"/>
      <c r="B21" s="245" t="s">
        <v>48</v>
      </c>
      <c r="C21" s="247">
        <v>6</v>
      </c>
      <c r="D21" s="244">
        <v>43188.2</v>
      </c>
      <c r="E21" s="233">
        <v>95</v>
      </c>
      <c r="F21" s="238">
        <f t="shared" si="15"/>
        <v>4048.6346208</v>
      </c>
      <c r="G21" s="238">
        <f t="shared" si="16"/>
        <v>4048.6346208</v>
      </c>
      <c r="H21" s="238">
        <v>4048.6</v>
      </c>
      <c r="I21" s="238">
        <v>0</v>
      </c>
      <c r="J21" s="238">
        <f t="shared" si="12"/>
        <v>4048.6</v>
      </c>
      <c r="K21" s="238"/>
      <c r="L21" s="238">
        <f t="shared" si="17"/>
        <v>3.4620800000084273E-2</v>
      </c>
      <c r="M21" s="354"/>
      <c r="N21" s="235">
        <v>6</v>
      </c>
      <c r="O21" s="235">
        <v>43188.2</v>
      </c>
      <c r="P21" s="235">
        <v>95</v>
      </c>
      <c r="Q21" s="235">
        <v>4048.6346208</v>
      </c>
      <c r="R21" s="235">
        <v>4048.6346208</v>
      </c>
      <c r="S21" s="235">
        <v>4048.6</v>
      </c>
      <c r="T21" s="235">
        <v>0</v>
      </c>
      <c r="U21" s="235">
        <v>4048.6</v>
      </c>
      <c r="V21" s="235"/>
      <c r="W21" s="235"/>
      <c r="X21" s="235"/>
      <c r="Y21" s="235"/>
      <c r="Z21" s="235"/>
      <c r="AA21" s="237"/>
      <c r="AB21" s="235"/>
      <c r="AC21" s="235"/>
      <c r="AD21" s="235"/>
      <c r="AE21" s="235"/>
      <c r="AF21" s="235"/>
      <c r="AG21" s="235"/>
      <c r="AH21" s="235"/>
      <c r="AI21" s="235"/>
      <c r="AJ21" s="238">
        <v>3.4620800000084273E-2</v>
      </c>
      <c r="AK21" s="239">
        <f t="shared" si="7"/>
        <v>0</v>
      </c>
      <c r="AL21" s="240">
        <f t="shared" si="8"/>
        <v>0</v>
      </c>
      <c r="AM21" s="240"/>
      <c r="AN21" s="240"/>
      <c r="AO21" s="241">
        <f t="shared" si="10"/>
        <v>3.4620800000084273E-4</v>
      </c>
      <c r="AP21" s="241"/>
      <c r="AQ21" s="241"/>
      <c r="AR21" s="241"/>
      <c r="AS21" s="241"/>
      <c r="AT21" s="241"/>
      <c r="AU21" s="232"/>
      <c r="AV21" s="232"/>
    </row>
    <row r="22" spans="1:49" ht="21" hidden="1" customHeight="1">
      <c r="A22" s="232"/>
      <c r="B22" s="245" t="s">
        <v>49</v>
      </c>
      <c r="C22" s="233">
        <v>25.2</v>
      </c>
      <c r="D22" s="244">
        <v>37192.5</v>
      </c>
      <c r="E22" s="233">
        <v>100</v>
      </c>
      <c r="F22" s="238">
        <f t="shared" si="15"/>
        <v>14643.609624000001</v>
      </c>
      <c r="G22" s="238">
        <f t="shared" si="16"/>
        <v>14385.309624000001</v>
      </c>
      <c r="H22" s="238">
        <v>18144.170600000001</v>
      </c>
      <c r="I22" s="238">
        <v>0</v>
      </c>
      <c r="J22" s="238">
        <f t="shared" si="12"/>
        <v>18144.170600000001</v>
      </c>
      <c r="K22" s="238">
        <v>258.3</v>
      </c>
      <c r="L22" s="238">
        <f t="shared" si="17"/>
        <v>-3758.8609759999999</v>
      </c>
      <c r="M22" s="354"/>
      <c r="N22" s="235">
        <v>25.2</v>
      </c>
      <c r="O22" s="235">
        <v>37192.5</v>
      </c>
      <c r="P22" s="235">
        <v>100</v>
      </c>
      <c r="Q22" s="235">
        <v>14643.609624000001</v>
      </c>
      <c r="R22" s="235">
        <v>14385.309624000001</v>
      </c>
      <c r="S22" s="235">
        <v>18144.170600000001</v>
      </c>
      <c r="T22" s="235">
        <v>0</v>
      </c>
      <c r="U22" s="235">
        <v>18144.170600000001</v>
      </c>
      <c r="V22" s="235">
        <v>258.3</v>
      </c>
      <c r="W22" s="235"/>
      <c r="X22" s="235"/>
      <c r="Y22" s="235"/>
      <c r="Z22" s="235"/>
      <c r="AA22" s="237"/>
      <c r="AB22" s="235"/>
      <c r="AC22" s="235"/>
      <c r="AD22" s="235"/>
      <c r="AE22" s="235"/>
      <c r="AF22" s="235"/>
      <c r="AG22" s="235"/>
      <c r="AH22" s="235"/>
      <c r="AI22" s="235"/>
      <c r="AJ22" s="238">
        <v>-3758.8609759999999</v>
      </c>
      <c r="AK22" s="239">
        <f t="shared" si="7"/>
        <v>0</v>
      </c>
      <c r="AL22" s="240">
        <f t="shared" si="8"/>
        <v>0</v>
      </c>
      <c r="AM22" s="240"/>
      <c r="AN22" s="240"/>
      <c r="AO22" s="241">
        <f t="shared" si="10"/>
        <v>-37.588609759999997</v>
      </c>
      <c r="AP22" s="241"/>
      <c r="AQ22" s="241"/>
      <c r="AR22" s="241"/>
      <c r="AS22" s="241"/>
      <c r="AT22" s="241"/>
      <c r="AU22" s="232"/>
      <c r="AV22" s="232"/>
    </row>
    <row r="23" spans="1:49" ht="21" hidden="1" customHeight="1">
      <c r="A23" s="232"/>
      <c r="B23" s="245" t="s">
        <v>50</v>
      </c>
      <c r="C23" s="247">
        <v>75.7</v>
      </c>
      <c r="D23" s="244">
        <v>40721.599999999999</v>
      </c>
      <c r="E23" s="233">
        <v>100</v>
      </c>
      <c r="F23" s="238">
        <f t="shared" si="15"/>
        <v>48162.934874880004</v>
      </c>
      <c r="G23" s="238">
        <f t="shared" si="16"/>
        <v>48162.934874880004</v>
      </c>
      <c r="H23" s="238">
        <v>46025.100599999998</v>
      </c>
      <c r="I23" s="238">
        <v>3139.4</v>
      </c>
      <c r="J23" s="238">
        <f t="shared" si="12"/>
        <v>49164.500599999999</v>
      </c>
      <c r="K23" s="238"/>
      <c r="L23" s="238">
        <f t="shared" si="17"/>
        <v>-1001.5657251199955</v>
      </c>
      <c r="M23" s="354"/>
      <c r="N23" s="235">
        <v>75.7</v>
      </c>
      <c r="O23" s="235">
        <v>40721.599999999999</v>
      </c>
      <c r="P23" s="235">
        <v>100</v>
      </c>
      <c r="Q23" s="235">
        <v>48162.934874880004</v>
      </c>
      <c r="R23" s="235">
        <v>48162.934874880004</v>
      </c>
      <c r="S23" s="235">
        <v>46025.100599999998</v>
      </c>
      <c r="T23" s="235">
        <v>3139.4</v>
      </c>
      <c r="U23" s="235">
        <v>49164.500599999999</v>
      </c>
      <c r="V23" s="235"/>
      <c r="W23" s="235"/>
      <c r="X23" s="235"/>
      <c r="Y23" s="235"/>
      <c r="Z23" s="235"/>
      <c r="AA23" s="237"/>
      <c r="AB23" s="235"/>
      <c r="AC23" s="235"/>
      <c r="AD23" s="235"/>
      <c r="AE23" s="235"/>
      <c r="AF23" s="235"/>
      <c r="AG23" s="235"/>
      <c r="AH23" s="235"/>
      <c r="AI23" s="235"/>
      <c r="AJ23" s="238">
        <v>-1001.5657251199955</v>
      </c>
      <c r="AK23" s="239">
        <f t="shared" si="7"/>
        <v>0</v>
      </c>
      <c r="AL23" s="240">
        <f t="shared" si="8"/>
        <v>0</v>
      </c>
      <c r="AM23" s="240"/>
      <c r="AN23" s="240"/>
      <c r="AO23" s="241">
        <f t="shared" si="10"/>
        <v>-10.015657251199954</v>
      </c>
      <c r="AP23" s="241"/>
      <c r="AQ23" s="241"/>
      <c r="AR23" s="241"/>
      <c r="AS23" s="241"/>
      <c r="AT23" s="241"/>
      <c r="AU23" s="232"/>
      <c r="AV23" s="232"/>
    </row>
    <row r="24" spans="1:49" ht="21" hidden="1" customHeight="1">
      <c r="A24" s="232"/>
      <c r="B24" s="245" t="s">
        <v>51</v>
      </c>
      <c r="C24" s="247">
        <v>2.4</v>
      </c>
      <c r="D24" s="244">
        <v>37349.699999999997</v>
      </c>
      <c r="E24" s="233">
        <v>100</v>
      </c>
      <c r="F24" s="238">
        <f t="shared" si="15"/>
        <v>1400.5241107199997</v>
      </c>
      <c r="G24" s="238">
        <f t="shared" si="16"/>
        <v>1400.5241107199997</v>
      </c>
      <c r="H24" s="238">
        <v>5320.0103999999992</v>
      </c>
      <c r="I24" s="238">
        <v>63.9</v>
      </c>
      <c r="J24" s="238">
        <f t="shared" si="12"/>
        <v>5383.9103999999988</v>
      </c>
      <c r="K24" s="238"/>
      <c r="L24" s="238">
        <f t="shared" si="17"/>
        <v>-3983.3862892799989</v>
      </c>
      <c r="M24" s="354"/>
      <c r="N24" s="235">
        <v>2.4</v>
      </c>
      <c r="O24" s="235">
        <v>37349.699999999997</v>
      </c>
      <c r="P24" s="235">
        <v>100</v>
      </c>
      <c r="Q24" s="235">
        <v>1400.5241107199997</v>
      </c>
      <c r="R24" s="235">
        <v>1400.5241107199997</v>
      </c>
      <c r="S24" s="235">
        <v>5320.0103999999992</v>
      </c>
      <c r="T24" s="235">
        <v>63.9</v>
      </c>
      <c r="U24" s="235">
        <v>5383.9103999999988</v>
      </c>
      <c r="V24" s="235"/>
      <c r="W24" s="235"/>
      <c r="X24" s="235"/>
      <c r="Y24" s="235"/>
      <c r="Z24" s="235"/>
      <c r="AA24" s="237"/>
      <c r="AB24" s="235"/>
      <c r="AC24" s="235"/>
      <c r="AD24" s="235"/>
      <c r="AE24" s="235"/>
      <c r="AF24" s="235"/>
      <c r="AG24" s="235"/>
      <c r="AH24" s="235"/>
      <c r="AI24" s="235"/>
      <c r="AJ24" s="238">
        <v>-3983.3862892799989</v>
      </c>
      <c r="AK24" s="239">
        <f t="shared" si="7"/>
        <v>0</v>
      </c>
      <c r="AL24" s="240">
        <f t="shared" si="8"/>
        <v>0</v>
      </c>
      <c r="AM24" s="240"/>
      <c r="AN24" s="240"/>
      <c r="AO24" s="241"/>
      <c r="AP24" s="241"/>
      <c r="AQ24" s="241"/>
      <c r="AR24" s="241"/>
      <c r="AS24" s="241"/>
      <c r="AT24" s="241"/>
      <c r="AU24" s="232"/>
      <c r="AV24" s="232"/>
    </row>
    <row r="25" spans="1:49" ht="21" hidden="1" customHeight="1">
      <c r="A25" s="232"/>
      <c r="B25" s="245" t="s">
        <v>52</v>
      </c>
      <c r="C25" s="247">
        <v>33.9</v>
      </c>
      <c r="D25" s="244">
        <v>38406.9</v>
      </c>
      <c r="E25" s="233">
        <v>100</v>
      </c>
      <c r="F25" s="238">
        <f t="shared" si="15"/>
        <v>20342.352849839997</v>
      </c>
      <c r="G25" s="238">
        <f t="shared" si="16"/>
        <v>20342.352849839997</v>
      </c>
      <c r="H25" s="238">
        <v>44328.68499999999</v>
      </c>
      <c r="I25" s="238">
        <v>987.7</v>
      </c>
      <c r="J25" s="238">
        <f t="shared" si="12"/>
        <v>45316.384999999987</v>
      </c>
      <c r="K25" s="238"/>
      <c r="L25" s="238">
        <f t="shared" si="17"/>
        <v>-24974.03215015999</v>
      </c>
      <c r="M25" s="354"/>
      <c r="N25" s="235">
        <v>33.9</v>
      </c>
      <c r="O25" s="235">
        <v>38406.9</v>
      </c>
      <c r="P25" s="235">
        <v>100</v>
      </c>
      <c r="Q25" s="235">
        <v>20342.352849839997</v>
      </c>
      <c r="R25" s="235">
        <v>20342.352849839997</v>
      </c>
      <c r="S25" s="235">
        <v>44328.68499999999</v>
      </c>
      <c r="T25" s="235">
        <v>987.7</v>
      </c>
      <c r="U25" s="235">
        <v>45316.384999999987</v>
      </c>
      <c r="V25" s="235"/>
      <c r="W25" s="235"/>
      <c r="X25" s="235"/>
      <c r="Y25" s="235"/>
      <c r="Z25" s="235"/>
      <c r="AA25" s="237"/>
      <c r="AB25" s="235"/>
      <c r="AC25" s="235"/>
      <c r="AD25" s="235"/>
      <c r="AE25" s="235"/>
      <c r="AF25" s="235"/>
      <c r="AG25" s="235"/>
      <c r="AH25" s="235"/>
      <c r="AI25" s="235"/>
      <c r="AJ25" s="238">
        <v>-24974.03215015999</v>
      </c>
      <c r="AK25" s="239">
        <f t="shared" si="7"/>
        <v>0</v>
      </c>
      <c r="AL25" s="240">
        <f t="shared" si="8"/>
        <v>0</v>
      </c>
      <c r="AM25" s="240"/>
      <c r="AN25" s="240"/>
      <c r="AO25" s="241"/>
      <c r="AP25" s="241"/>
      <c r="AQ25" s="241"/>
      <c r="AR25" s="241"/>
      <c r="AS25" s="241"/>
      <c r="AT25" s="241"/>
      <c r="AU25" s="232"/>
      <c r="AV25" s="232"/>
    </row>
    <row r="26" spans="1:49" ht="21" hidden="1" customHeight="1">
      <c r="A26" s="232"/>
      <c r="B26" s="245" t="s">
        <v>53</v>
      </c>
      <c r="C26" s="247">
        <v>13</v>
      </c>
      <c r="D26" s="244">
        <v>44307.5</v>
      </c>
      <c r="E26" s="233">
        <v>100</v>
      </c>
      <c r="F26" s="238">
        <f t="shared" si="15"/>
        <v>8999.3849399999999</v>
      </c>
      <c r="G26" s="238">
        <f t="shared" si="16"/>
        <v>8999.3849399999999</v>
      </c>
      <c r="H26" s="238">
        <v>16744.248200000002</v>
      </c>
      <c r="I26" s="238">
        <v>299.60000000000002</v>
      </c>
      <c r="J26" s="238">
        <f t="shared" si="12"/>
        <v>17043.8482</v>
      </c>
      <c r="K26" s="238"/>
      <c r="L26" s="238">
        <f t="shared" si="17"/>
        <v>-8044.4632600000004</v>
      </c>
      <c r="M26" s="354"/>
      <c r="N26" s="235">
        <v>13</v>
      </c>
      <c r="O26" s="235">
        <v>44307.5</v>
      </c>
      <c r="P26" s="235">
        <v>100</v>
      </c>
      <c r="Q26" s="235">
        <v>8999.3849399999999</v>
      </c>
      <c r="R26" s="235">
        <v>8999.3849399999999</v>
      </c>
      <c r="S26" s="235">
        <v>16744.248200000002</v>
      </c>
      <c r="T26" s="235">
        <v>299.60000000000002</v>
      </c>
      <c r="U26" s="235">
        <v>17043.8482</v>
      </c>
      <c r="V26" s="235"/>
      <c r="W26" s="235"/>
      <c r="X26" s="235"/>
      <c r="Y26" s="235"/>
      <c r="Z26" s="235"/>
      <c r="AA26" s="237"/>
      <c r="AB26" s="235"/>
      <c r="AC26" s="235"/>
      <c r="AD26" s="235"/>
      <c r="AE26" s="235"/>
      <c r="AF26" s="235"/>
      <c r="AG26" s="235"/>
      <c r="AH26" s="235"/>
      <c r="AI26" s="235"/>
      <c r="AJ26" s="238">
        <v>-8044.4632600000004</v>
      </c>
      <c r="AK26" s="239">
        <f t="shared" si="7"/>
        <v>0</v>
      </c>
      <c r="AL26" s="240">
        <f t="shared" si="8"/>
        <v>0</v>
      </c>
      <c r="AM26" s="240"/>
      <c r="AN26" s="240"/>
      <c r="AO26" s="241"/>
      <c r="AP26" s="241"/>
      <c r="AQ26" s="241"/>
      <c r="AR26" s="241"/>
      <c r="AS26" s="241"/>
      <c r="AT26" s="241"/>
      <c r="AU26" s="232"/>
      <c r="AV26" s="232"/>
    </row>
    <row r="27" spans="1:49" ht="21" hidden="1" customHeight="1">
      <c r="A27" s="232"/>
      <c r="B27" s="245" t="s">
        <v>54</v>
      </c>
      <c r="C27" s="247">
        <v>7.8</v>
      </c>
      <c r="D27" s="244">
        <v>32126</v>
      </c>
      <c r="E27" s="233">
        <v>95</v>
      </c>
      <c r="F27" s="238">
        <f t="shared" si="15"/>
        <v>3915.1056671999995</v>
      </c>
      <c r="G27" s="238">
        <f t="shared" si="16"/>
        <v>3915.1056671999995</v>
      </c>
      <c r="H27" s="238">
        <v>3915.1</v>
      </c>
      <c r="I27" s="238"/>
      <c r="J27" s="238">
        <f t="shared" si="12"/>
        <v>3915.1</v>
      </c>
      <c r="K27" s="238"/>
      <c r="L27" s="238">
        <f t="shared" si="17"/>
        <v>5.6671999996069644E-3</v>
      </c>
      <c r="M27" s="354"/>
      <c r="N27" s="235">
        <v>7.8</v>
      </c>
      <c r="O27" s="235">
        <v>32126</v>
      </c>
      <c r="P27" s="235">
        <v>95</v>
      </c>
      <c r="Q27" s="235">
        <v>3915.1056671999995</v>
      </c>
      <c r="R27" s="235">
        <v>3915.1056671999995</v>
      </c>
      <c r="S27" s="235">
        <v>3915.1</v>
      </c>
      <c r="T27" s="235"/>
      <c r="U27" s="235">
        <v>3915.1</v>
      </c>
      <c r="V27" s="235"/>
      <c r="W27" s="235"/>
      <c r="X27" s="235"/>
      <c r="Y27" s="235"/>
      <c r="Z27" s="235"/>
      <c r="AA27" s="237"/>
      <c r="AB27" s="235"/>
      <c r="AC27" s="235"/>
      <c r="AD27" s="235"/>
      <c r="AE27" s="235"/>
      <c r="AF27" s="235"/>
      <c r="AG27" s="235"/>
      <c r="AH27" s="235"/>
      <c r="AI27" s="235"/>
      <c r="AJ27" s="238">
        <v>5.6671999996069644E-3</v>
      </c>
      <c r="AK27" s="239">
        <f t="shared" si="7"/>
        <v>0</v>
      </c>
      <c r="AL27" s="240">
        <f t="shared" si="8"/>
        <v>0</v>
      </c>
      <c r="AM27" s="240"/>
      <c r="AN27" s="240"/>
      <c r="AO27" s="241"/>
      <c r="AP27" s="241"/>
      <c r="AQ27" s="241"/>
      <c r="AR27" s="241"/>
      <c r="AS27" s="241"/>
      <c r="AT27" s="241"/>
      <c r="AU27" s="232"/>
      <c r="AV27" s="232"/>
    </row>
    <row r="28" spans="1:49" ht="21" hidden="1" customHeight="1">
      <c r="A28" s="232"/>
      <c r="B28" s="245" t="s">
        <v>55</v>
      </c>
      <c r="C28" s="233">
        <v>30</v>
      </c>
      <c r="D28" s="244">
        <v>29664.2</v>
      </c>
      <c r="E28" s="233">
        <v>95</v>
      </c>
      <c r="F28" s="238">
        <f t="shared" si="15"/>
        <v>13904.203824</v>
      </c>
      <c r="G28" s="238">
        <f t="shared" si="16"/>
        <v>13654.003823999999</v>
      </c>
      <c r="H28" s="238">
        <v>14131.5</v>
      </c>
      <c r="I28" s="238"/>
      <c r="J28" s="238">
        <f t="shared" si="12"/>
        <v>14131.5</v>
      </c>
      <c r="K28" s="238">
        <v>250.2</v>
      </c>
      <c r="L28" s="238">
        <f t="shared" si="17"/>
        <v>-477.49617600000056</v>
      </c>
      <c r="M28" s="354"/>
      <c r="N28" s="235">
        <v>30</v>
      </c>
      <c r="O28" s="235">
        <v>29664.2</v>
      </c>
      <c r="P28" s="235">
        <v>95</v>
      </c>
      <c r="Q28" s="235">
        <v>13904.203824</v>
      </c>
      <c r="R28" s="235">
        <v>13654.003823999999</v>
      </c>
      <c r="S28" s="235">
        <v>14131.5</v>
      </c>
      <c r="T28" s="235"/>
      <c r="U28" s="235">
        <v>14131.5</v>
      </c>
      <c r="V28" s="235">
        <v>250.2</v>
      </c>
      <c r="W28" s="235"/>
      <c r="X28" s="235"/>
      <c r="Y28" s="235"/>
      <c r="Z28" s="235"/>
      <c r="AA28" s="237"/>
      <c r="AB28" s="235"/>
      <c r="AC28" s="235"/>
      <c r="AD28" s="235"/>
      <c r="AE28" s="235"/>
      <c r="AF28" s="235"/>
      <c r="AG28" s="235"/>
      <c r="AH28" s="235"/>
      <c r="AI28" s="235"/>
      <c r="AJ28" s="238">
        <v>-477.49617600000056</v>
      </c>
      <c r="AK28" s="239">
        <f t="shared" si="7"/>
        <v>0</v>
      </c>
      <c r="AL28" s="240">
        <f t="shared" si="8"/>
        <v>0</v>
      </c>
      <c r="AM28" s="240"/>
      <c r="AN28" s="240"/>
      <c r="AO28" s="241"/>
      <c r="AP28" s="241"/>
      <c r="AQ28" s="241"/>
      <c r="AR28" s="241"/>
      <c r="AS28" s="241"/>
      <c r="AT28" s="241"/>
      <c r="AU28" s="232"/>
      <c r="AV28" s="232"/>
    </row>
    <row r="29" spans="1:49" ht="21" hidden="1" customHeight="1">
      <c r="A29" s="232"/>
      <c r="B29" s="245"/>
      <c r="C29" s="233"/>
      <c r="D29" s="244"/>
      <c r="E29" s="233"/>
      <c r="F29" s="238"/>
      <c r="G29" s="238"/>
      <c r="H29" s="238"/>
      <c r="I29" s="238"/>
      <c r="J29" s="238"/>
      <c r="K29" s="238"/>
      <c r="L29" s="238"/>
      <c r="M29" s="354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7"/>
      <c r="AB29" s="235"/>
      <c r="AC29" s="235"/>
      <c r="AD29" s="235"/>
      <c r="AE29" s="235"/>
      <c r="AF29" s="235"/>
      <c r="AG29" s="235"/>
      <c r="AH29" s="235"/>
      <c r="AI29" s="235"/>
      <c r="AJ29" s="238"/>
      <c r="AK29" s="239"/>
      <c r="AL29" s="240"/>
      <c r="AM29" s="240"/>
      <c r="AN29" s="240"/>
      <c r="AO29" s="242">
        <f>AJ30-AO30-AP30</f>
        <v>62688.922799999949</v>
      </c>
      <c r="AP29" s="241"/>
      <c r="AQ29" s="242">
        <f>AJ30-AQ30-AR30</f>
        <v>86009.177599999966</v>
      </c>
      <c r="AR29" s="241"/>
      <c r="AS29" s="242">
        <f>AJ30-AS30-AT30</f>
        <v>59745.586399999971</v>
      </c>
      <c r="AT29" s="241"/>
      <c r="AU29" s="248">
        <f>AJ30-AU30-AV30</f>
        <v>0</v>
      </c>
      <c r="AV29" s="232"/>
    </row>
    <row r="30" spans="1:49" ht="48" hidden="1" customHeight="1">
      <c r="A30" s="232"/>
      <c r="B30" s="249" t="s">
        <v>56</v>
      </c>
      <c r="C30" s="233">
        <f>SUM(C31:C55)</f>
        <v>1550.1999999999998</v>
      </c>
      <c r="D30" s="234">
        <v>33466.6</v>
      </c>
      <c r="E30" s="233">
        <f>D30/35656.8*100</f>
        <v>93.857553117497915</v>
      </c>
      <c r="F30" s="250">
        <f t="shared" ref="F30:L30" si="18">SUM(F31:F55)</f>
        <v>810539.99999999988</v>
      </c>
      <c r="G30" s="234">
        <f t="shared" si="18"/>
        <v>787800.74419999984</v>
      </c>
      <c r="H30" s="234">
        <f t="shared" si="18"/>
        <v>675606.20079999999</v>
      </c>
      <c r="I30" s="234">
        <f t="shared" si="18"/>
        <v>7972.6999999999989</v>
      </c>
      <c r="J30" s="234">
        <f t="shared" si="18"/>
        <v>683578.90079999994</v>
      </c>
      <c r="K30" s="234">
        <f t="shared" si="18"/>
        <v>22739.255800000003</v>
      </c>
      <c r="L30" s="234">
        <f t="shared" si="18"/>
        <v>104221.84339999995</v>
      </c>
      <c r="M30" s="354"/>
      <c r="N30" s="235">
        <v>1553.6</v>
      </c>
      <c r="O30" s="236">
        <v>33466.6</v>
      </c>
      <c r="P30" s="235">
        <v>93.857553117497915</v>
      </c>
      <c r="Q30" s="235">
        <v>812349.99999999988</v>
      </c>
      <c r="R30" s="235">
        <v>789610.74419999984</v>
      </c>
      <c r="S30" s="235">
        <v>677416.20079999999</v>
      </c>
      <c r="T30" s="235">
        <v>7972.6999999999989</v>
      </c>
      <c r="U30" s="235">
        <v>685388.90079999994</v>
      </c>
      <c r="V30" s="235">
        <v>22739.255800000003</v>
      </c>
      <c r="W30" s="235"/>
      <c r="X30" s="235"/>
      <c r="Y30" s="235"/>
      <c r="Z30" s="235"/>
      <c r="AA30" s="237"/>
      <c r="AB30" s="235"/>
      <c r="AC30" s="235"/>
      <c r="AD30" s="235"/>
      <c r="AE30" s="235"/>
      <c r="AF30" s="235"/>
      <c r="AG30" s="235"/>
      <c r="AH30" s="235"/>
      <c r="AI30" s="251">
        <f>SUM(AI31:AI55)</f>
        <v>48680</v>
      </c>
      <c r="AJ30" s="252">
        <f>SUM(AJ31:AJ55)</f>
        <v>104221.84339999995</v>
      </c>
      <c r="AK30" s="251">
        <f>SUM(AK31:AK55)</f>
        <v>0</v>
      </c>
      <c r="AL30" s="251">
        <f>SUM(AL31:AL55)</f>
        <v>0</v>
      </c>
      <c r="AM30" s="251">
        <f>SUM(AM31:AM55)</f>
        <v>55541.843399999983</v>
      </c>
      <c r="AN30" s="251"/>
      <c r="AO30" s="253">
        <f t="shared" ref="AO30:AW30" si="19">SUM(AO31:AO55)</f>
        <v>16613.168239999999</v>
      </c>
      <c r="AP30" s="253">
        <f t="shared" si="19"/>
        <v>24919.752360000006</v>
      </c>
      <c r="AQ30" s="253">
        <f t="shared" si="19"/>
        <v>8195.6996099999997</v>
      </c>
      <c r="AR30" s="253">
        <f t="shared" si="19"/>
        <v>10016.966189999999</v>
      </c>
      <c r="AS30" s="253">
        <f t="shared" si="19"/>
        <v>22238.128499999992</v>
      </c>
      <c r="AT30" s="253">
        <f t="shared" si="19"/>
        <v>22238.128499999992</v>
      </c>
      <c r="AU30" s="251">
        <f t="shared" si="19"/>
        <v>47046.996349999979</v>
      </c>
      <c r="AV30" s="251">
        <f t="shared" si="19"/>
        <v>57174.847050000004</v>
      </c>
      <c r="AW30" s="251">
        <f t="shared" si="19"/>
        <v>104221.84339999995</v>
      </c>
    </row>
    <row r="31" spans="1:49" ht="18.75" hidden="1" customHeight="1">
      <c r="A31" s="3"/>
      <c r="B31" s="254" t="s">
        <v>57</v>
      </c>
      <c r="C31" s="255">
        <v>72.8</v>
      </c>
      <c r="D31" s="256">
        <v>33869.9</v>
      </c>
      <c r="E31" s="255">
        <v>98</v>
      </c>
      <c r="F31" s="257">
        <f>ROUND(C31*D31*12*1.302/1000,1)</f>
        <v>38524.5</v>
      </c>
      <c r="G31" s="257">
        <f t="shared" si="16"/>
        <v>37476.6</v>
      </c>
      <c r="H31" s="257">
        <v>28757.8</v>
      </c>
      <c r="I31" s="257">
        <v>232.8</v>
      </c>
      <c r="J31" s="257">
        <f t="shared" si="12"/>
        <v>28990.6</v>
      </c>
      <c r="K31" s="257">
        <v>1047.9000000000001</v>
      </c>
      <c r="L31" s="257">
        <f t="shared" si="17"/>
        <v>8486</v>
      </c>
      <c r="M31" s="258"/>
      <c r="N31" s="259">
        <v>72.8</v>
      </c>
      <c r="O31" s="259">
        <v>33869.9</v>
      </c>
      <c r="P31" s="259">
        <v>98</v>
      </c>
      <c r="Q31" s="259">
        <v>38524.5</v>
      </c>
      <c r="R31" s="259">
        <v>37476.6</v>
      </c>
      <c r="S31" s="259">
        <v>28757.8</v>
      </c>
      <c r="T31" s="259">
        <v>232.8</v>
      </c>
      <c r="U31" s="259">
        <v>28990.6</v>
      </c>
      <c r="V31" s="259">
        <v>1047.9000000000001</v>
      </c>
      <c r="W31" s="259"/>
      <c r="X31" s="259"/>
      <c r="Y31" s="259"/>
      <c r="Z31" s="259"/>
      <c r="AA31" s="260"/>
      <c r="AB31" s="259"/>
      <c r="AC31" s="259"/>
      <c r="AD31" s="259"/>
      <c r="AE31" s="259"/>
      <c r="AF31" s="235"/>
      <c r="AG31" s="259"/>
      <c r="AH31" s="259"/>
      <c r="AI31" s="9"/>
      <c r="AJ31" s="261">
        <v>8486</v>
      </c>
      <c r="AK31" s="9">
        <f t="shared" ref="AK31:AK55" si="20">C31-N31</f>
        <v>0</v>
      </c>
      <c r="AL31" s="9">
        <f t="shared" ref="AL31:AL55" si="21">L31-AJ31</f>
        <v>0</v>
      </c>
      <c r="AM31" s="9">
        <f>AJ31-AI31</f>
        <v>8486</v>
      </c>
      <c r="AN31" s="262">
        <v>0.83</v>
      </c>
      <c r="AO31" s="201">
        <f>AJ31*40/100</f>
        <v>3394.4</v>
      </c>
      <c r="AP31" s="201">
        <f>AJ31*60/100</f>
        <v>5091.6000000000004</v>
      </c>
      <c r="AQ31" s="201"/>
      <c r="AR31" s="201"/>
      <c r="AS31" s="201"/>
      <c r="AT31" s="201"/>
      <c r="AU31" s="9">
        <f>AO31+AQ31+AS31</f>
        <v>3394.4</v>
      </c>
      <c r="AV31" s="9">
        <f>AP31+AR31+AT31</f>
        <v>5091.6000000000004</v>
      </c>
      <c r="AW31" s="263">
        <f>AU31+AV31</f>
        <v>8486</v>
      </c>
    </row>
    <row r="32" spans="1:49" ht="18.75" hidden="1" customHeight="1">
      <c r="A32" s="3"/>
      <c r="B32" s="254" t="s">
        <v>58</v>
      </c>
      <c r="C32" s="255">
        <v>28</v>
      </c>
      <c r="D32" s="256">
        <v>34528.6</v>
      </c>
      <c r="E32" s="255">
        <v>98</v>
      </c>
      <c r="F32" s="257">
        <f t="shared" ref="F32:F55" si="22">ROUND(C32*D32*12*1.302/1000,1)</f>
        <v>15105.3</v>
      </c>
      <c r="G32" s="257">
        <f t="shared" si="16"/>
        <v>15073.5</v>
      </c>
      <c r="H32" s="257">
        <v>12046</v>
      </c>
      <c r="I32" s="257">
        <v>875.5</v>
      </c>
      <c r="J32" s="257">
        <f t="shared" si="12"/>
        <v>12921.5</v>
      </c>
      <c r="K32" s="257">
        <v>31.8</v>
      </c>
      <c r="L32" s="257">
        <f t="shared" si="17"/>
        <v>2152</v>
      </c>
      <c r="M32" s="258"/>
      <c r="N32" s="259">
        <v>28</v>
      </c>
      <c r="O32" s="259">
        <v>34528.6</v>
      </c>
      <c r="P32" s="259">
        <v>98</v>
      </c>
      <c r="Q32" s="259">
        <v>15105.3</v>
      </c>
      <c r="R32" s="259">
        <v>15073.5</v>
      </c>
      <c r="S32" s="259">
        <v>12046</v>
      </c>
      <c r="T32" s="259">
        <v>875.5</v>
      </c>
      <c r="U32" s="259">
        <v>12921.5</v>
      </c>
      <c r="V32" s="259">
        <v>31.8</v>
      </c>
      <c r="W32" s="259"/>
      <c r="X32" s="259"/>
      <c r="Y32" s="259"/>
      <c r="Z32" s="259"/>
      <c r="AA32" s="260"/>
      <c r="AB32" s="259"/>
      <c r="AC32" s="259"/>
      <c r="AD32" s="259"/>
      <c r="AE32" s="259"/>
      <c r="AF32" s="235"/>
      <c r="AG32" s="259"/>
      <c r="AH32" s="259"/>
      <c r="AI32" s="9"/>
      <c r="AJ32" s="261">
        <v>2152</v>
      </c>
      <c r="AK32" s="9">
        <f t="shared" si="20"/>
        <v>0</v>
      </c>
      <c r="AL32" s="9">
        <f t="shared" si="21"/>
        <v>0</v>
      </c>
      <c r="AM32" s="9">
        <f t="shared" ref="AM32:AM55" si="23">AJ32-AI32</f>
        <v>2152</v>
      </c>
      <c r="AN32" s="262">
        <v>0.74299999999999999</v>
      </c>
      <c r="AO32" s="201">
        <f t="shared" ref="AO32:AO55" si="24">AJ32*40/100</f>
        <v>860.8</v>
      </c>
      <c r="AP32" s="201">
        <f t="shared" ref="AP32:AP55" si="25">AJ32*60/100</f>
        <v>1291.2</v>
      </c>
      <c r="AQ32" s="201"/>
      <c r="AR32" s="201"/>
      <c r="AS32" s="201"/>
      <c r="AT32" s="201"/>
      <c r="AU32" s="9">
        <f t="shared" ref="AU32:AV55" si="26">AO32+AQ32+AS32</f>
        <v>860.8</v>
      </c>
      <c r="AV32" s="9">
        <f t="shared" si="26"/>
        <v>1291.2</v>
      </c>
      <c r="AW32" s="263">
        <f t="shared" ref="AW32:AW63" si="27">AU32+AV32</f>
        <v>2152</v>
      </c>
    </row>
    <row r="33" spans="1:49" ht="18.75" hidden="1" customHeight="1">
      <c r="A33" s="3"/>
      <c r="B33" s="254" t="s">
        <v>59</v>
      </c>
      <c r="C33" s="255">
        <v>12</v>
      </c>
      <c r="D33" s="256">
        <v>34785.199999999997</v>
      </c>
      <c r="E33" s="255">
        <v>98</v>
      </c>
      <c r="F33" s="257">
        <f t="shared" si="22"/>
        <v>6521.8</v>
      </c>
      <c r="G33" s="257">
        <f t="shared" si="16"/>
        <v>6493</v>
      </c>
      <c r="H33" s="257">
        <v>5040.6000000000004</v>
      </c>
      <c r="I33" s="257">
        <v>508.2</v>
      </c>
      <c r="J33" s="257">
        <f t="shared" si="12"/>
        <v>5548.8</v>
      </c>
      <c r="K33" s="257">
        <v>28.8</v>
      </c>
      <c r="L33" s="257">
        <f t="shared" si="17"/>
        <v>944.19999999999982</v>
      </c>
      <c r="M33" s="258"/>
      <c r="N33" s="259">
        <v>12</v>
      </c>
      <c r="O33" s="259">
        <v>34785.199999999997</v>
      </c>
      <c r="P33" s="259">
        <v>98</v>
      </c>
      <c r="Q33" s="259">
        <v>6521.8</v>
      </c>
      <c r="R33" s="259">
        <v>6493</v>
      </c>
      <c r="S33" s="259">
        <v>5040.6000000000004</v>
      </c>
      <c r="T33" s="259">
        <v>508.2</v>
      </c>
      <c r="U33" s="259">
        <v>5548.8</v>
      </c>
      <c r="V33" s="259">
        <v>28.8</v>
      </c>
      <c r="W33" s="259"/>
      <c r="X33" s="259"/>
      <c r="Y33" s="259"/>
      <c r="Z33" s="259"/>
      <c r="AA33" s="260"/>
      <c r="AB33" s="259"/>
      <c r="AC33" s="259"/>
      <c r="AD33" s="259"/>
      <c r="AE33" s="259"/>
      <c r="AF33" s="235"/>
      <c r="AG33" s="259"/>
      <c r="AH33" s="259"/>
      <c r="AI33" s="9">
        <v>1927.6</v>
      </c>
      <c r="AJ33" s="261">
        <v>944.19999999999982</v>
      </c>
      <c r="AK33" s="9">
        <f t="shared" si="20"/>
        <v>0</v>
      </c>
      <c r="AL33" s="9">
        <f t="shared" si="21"/>
        <v>0</v>
      </c>
      <c r="AM33" s="9">
        <f t="shared" si="23"/>
        <v>-983.40000000000009</v>
      </c>
      <c r="AN33" s="262">
        <v>0.81299999999999994</v>
      </c>
      <c r="AO33" s="201">
        <f t="shared" si="24"/>
        <v>377.67999999999995</v>
      </c>
      <c r="AP33" s="201">
        <f t="shared" si="25"/>
        <v>566.51999999999987</v>
      </c>
      <c r="AQ33" s="201"/>
      <c r="AR33" s="201"/>
      <c r="AS33" s="201"/>
      <c r="AT33" s="201"/>
      <c r="AU33" s="9">
        <f t="shared" si="26"/>
        <v>377.67999999999995</v>
      </c>
      <c r="AV33" s="9">
        <f t="shared" si="26"/>
        <v>566.51999999999987</v>
      </c>
      <c r="AW33" s="263">
        <f t="shared" si="27"/>
        <v>944.19999999999982</v>
      </c>
    </row>
    <row r="34" spans="1:49" ht="18.75" hidden="1" customHeight="1">
      <c r="A34" s="3"/>
      <c r="B34" s="254" t="s">
        <v>60</v>
      </c>
      <c r="C34" s="255">
        <v>16.399999999999999</v>
      </c>
      <c r="D34" s="256">
        <v>37761</v>
      </c>
      <c r="E34" s="255">
        <v>98</v>
      </c>
      <c r="F34" s="257">
        <f t="shared" si="22"/>
        <v>9675.6</v>
      </c>
      <c r="G34" s="257">
        <f t="shared" si="16"/>
        <v>9608.2000000000007</v>
      </c>
      <c r="H34" s="257">
        <v>7614.1</v>
      </c>
      <c r="I34" s="257">
        <v>991</v>
      </c>
      <c r="J34" s="257">
        <f t="shared" si="12"/>
        <v>8605.1</v>
      </c>
      <c r="K34" s="257">
        <v>67.400000000000006</v>
      </c>
      <c r="L34" s="257">
        <f t="shared" si="17"/>
        <v>1003.1000000000004</v>
      </c>
      <c r="M34" s="258"/>
      <c r="N34" s="259">
        <v>16.399999999999999</v>
      </c>
      <c r="O34" s="259">
        <v>37761</v>
      </c>
      <c r="P34" s="259">
        <v>98</v>
      </c>
      <c r="Q34" s="259">
        <v>9675.6</v>
      </c>
      <c r="R34" s="259">
        <v>9608.2000000000007</v>
      </c>
      <c r="S34" s="259">
        <v>7614.1</v>
      </c>
      <c r="T34" s="259">
        <v>991</v>
      </c>
      <c r="U34" s="259">
        <v>8605.1</v>
      </c>
      <c r="V34" s="259">
        <v>67.400000000000006</v>
      </c>
      <c r="W34" s="259"/>
      <c r="X34" s="259"/>
      <c r="Y34" s="259"/>
      <c r="Z34" s="259"/>
      <c r="AA34" s="260"/>
      <c r="AB34" s="259"/>
      <c r="AC34" s="259"/>
      <c r="AD34" s="259"/>
      <c r="AE34" s="259"/>
      <c r="AF34" s="235"/>
      <c r="AG34" s="259"/>
      <c r="AH34" s="259"/>
      <c r="AI34" s="9"/>
      <c r="AJ34" s="261">
        <v>1003.1000000000004</v>
      </c>
      <c r="AK34" s="9">
        <f t="shared" si="20"/>
        <v>0</v>
      </c>
      <c r="AL34" s="9">
        <f t="shared" si="21"/>
        <v>0</v>
      </c>
      <c r="AM34" s="9">
        <f t="shared" si="23"/>
        <v>1003.1000000000004</v>
      </c>
      <c r="AN34" s="262">
        <v>0.86499999999999999</v>
      </c>
      <c r="AO34" s="201">
        <f t="shared" si="24"/>
        <v>401.24000000000012</v>
      </c>
      <c r="AP34" s="201">
        <f t="shared" si="25"/>
        <v>601.86000000000024</v>
      </c>
      <c r="AQ34" s="201"/>
      <c r="AR34" s="201"/>
      <c r="AS34" s="201"/>
      <c r="AT34" s="201"/>
      <c r="AU34" s="9">
        <f t="shared" si="26"/>
        <v>401.24000000000012</v>
      </c>
      <c r="AV34" s="9">
        <f t="shared" si="26"/>
        <v>601.86000000000024</v>
      </c>
      <c r="AW34" s="263">
        <f t="shared" si="27"/>
        <v>1003.1000000000004</v>
      </c>
    </row>
    <row r="35" spans="1:49" ht="18.75" hidden="1" customHeight="1">
      <c r="A35" s="3"/>
      <c r="B35" s="254" t="s">
        <v>61</v>
      </c>
      <c r="C35" s="255">
        <v>27.2</v>
      </c>
      <c r="D35" s="256">
        <v>30879.8</v>
      </c>
      <c r="E35" s="255">
        <v>98</v>
      </c>
      <c r="F35" s="257">
        <f t="shared" si="22"/>
        <v>13123.1</v>
      </c>
      <c r="G35" s="257">
        <f t="shared" si="16"/>
        <v>12908.4</v>
      </c>
      <c r="H35" s="257">
        <v>10295.6</v>
      </c>
      <c r="I35" s="257">
        <v>0</v>
      </c>
      <c r="J35" s="257">
        <f t="shared" si="12"/>
        <v>10295.6</v>
      </c>
      <c r="K35" s="257">
        <v>214.7</v>
      </c>
      <c r="L35" s="257">
        <f t="shared" si="17"/>
        <v>2612.7999999999993</v>
      </c>
      <c r="M35" s="258"/>
      <c r="N35" s="259">
        <v>27.2</v>
      </c>
      <c r="O35" s="259">
        <v>30879.8</v>
      </c>
      <c r="P35" s="259">
        <v>98</v>
      </c>
      <c r="Q35" s="259">
        <v>13123.1</v>
      </c>
      <c r="R35" s="259">
        <v>12908.4</v>
      </c>
      <c r="S35" s="259">
        <v>10295.6</v>
      </c>
      <c r="T35" s="259">
        <v>0</v>
      </c>
      <c r="U35" s="259">
        <v>10295.6</v>
      </c>
      <c r="V35" s="259">
        <v>214.7</v>
      </c>
      <c r="W35" s="259"/>
      <c r="X35" s="259"/>
      <c r="Y35" s="259"/>
      <c r="Z35" s="259"/>
      <c r="AA35" s="260"/>
      <c r="AB35" s="259"/>
      <c r="AC35" s="259"/>
      <c r="AD35" s="259"/>
      <c r="AE35" s="259"/>
      <c r="AF35" s="235"/>
      <c r="AG35" s="259"/>
      <c r="AH35" s="259"/>
      <c r="AI35" s="9"/>
      <c r="AJ35" s="261">
        <v>2612.7999999999993</v>
      </c>
      <c r="AK35" s="9">
        <f t="shared" si="20"/>
        <v>0</v>
      </c>
      <c r="AL35" s="9">
        <f t="shared" si="21"/>
        <v>0</v>
      </c>
      <c r="AM35" s="9">
        <f t="shared" si="23"/>
        <v>2612.7999999999993</v>
      </c>
      <c r="AN35" s="262">
        <v>0.81299999999999994</v>
      </c>
      <c r="AO35" s="201">
        <f t="shared" si="24"/>
        <v>1045.1199999999997</v>
      </c>
      <c r="AP35" s="201">
        <f t="shared" si="25"/>
        <v>1567.6799999999994</v>
      </c>
      <c r="AQ35" s="201"/>
      <c r="AR35" s="201"/>
      <c r="AS35" s="201"/>
      <c r="AT35" s="201"/>
      <c r="AU35" s="9">
        <f t="shared" si="26"/>
        <v>1045.1199999999997</v>
      </c>
      <c r="AV35" s="9">
        <f t="shared" si="26"/>
        <v>1567.6799999999994</v>
      </c>
      <c r="AW35" s="263">
        <f t="shared" si="27"/>
        <v>2612.7999999999993</v>
      </c>
    </row>
    <row r="36" spans="1:49" ht="18.75" hidden="1" customHeight="1">
      <c r="A36" s="3"/>
      <c r="B36" s="254" t="s">
        <v>62</v>
      </c>
      <c r="C36" s="255">
        <v>37</v>
      </c>
      <c r="D36" s="256">
        <v>36225.300000000003</v>
      </c>
      <c r="E36" s="255">
        <v>98</v>
      </c>
      <c r="F36" s="257">
        <f t="shared" si="22"/>
        <v>20941.400000000001</v>
      </c>
      <c r="G36" s="257">
        <f t="shared" si="16"/>
        <v>20941.400000000001</v>
      </c>
      <c r="H36" s="257">
        <v>14387.9</v>
      </c>
      <c r="I36" s="257">
        <v>1373.5</v>
      </c>
      <c r="J36" s="257">
        <f t="shared" si="12"/>
        <v>15761.4</v>
      </c>
      <c r="K36" s="257"/>
      <c r="L36" s="257">
        <f t="shared" si="17"/>
        <v>5180.0000000000018</v>
      </c>
      <c r="M36" s="258"/>
      <c r="N36" s="259">
        <v>37</v>
      </c>
      <c r="O36" s="259">
        <v>36225.300000000003</v>
      </c>
      <c r="P36" s="259">
        <v>98</v>
      </c>
      <c r="Q36" s="259">
        <v>20941.400000000001</v>
      </c>
      <c r="R36" s="259">
        <v>20941.400000000001</v>
      </c>
      <c r="S36" s="259">
        <v>14387.9</v>
      </c>
      <c r="T36" s="259">
        <v>1373.5</v>
      </c>
      <c r="U36" s="259">
        <v>15761.4</v>
      </c>
      <c r="V36" s="259"/>
      <c r="W36" s="259"/>
      <c r="X36" s="259"/>
      <c r="Y36" s="259"/>
      <c r="Z36" s="259"/>
      <c r="AA36" s="260"/>
      <c r="AB36" s="259"/>
      <c r="AC36" s="259"/>
      <c r="AD36" s="259"/>
      <c r="AE36" s="259"/>
      <c r="AF36" s="235"/>
      <c r="AG36" s="259"/>
      <c r="AH36" s="259"/>
      <c r="AI36" s="9"/>
      <c r="AJ36" s="261">
        <v>5180.0000000000018</v>
      </c>
      <c r="AK36" s="9">
        <f t="shared" si="20"/>
        <v>0</v>
      </c>
      <c r="AL36" s="9">
        <f t="shared" si="21"/>
        <v>0</v>
      </c>
      <c r="AM36" s="9">
        <f t="shared" si="23"/>
        <v>5180.0000000000018</v>
      </c>
      <c r="AN36" s="262">
        <v>0.80800000000000005</v>
      </c>
      <c r="AO36" s="201">
        <f t="shared" si="24"/>
        <v>2072.0000000000005</v>
      </c>
      <c r="AP36" s="201">
        <f t="shared" si="25"/>
        <v>3108.0000000000014</v>
      </c>
      <c r="AQ36" s="201"/>
      <c r="AR36" s="201"/>
      <c r="AS36" s="201"/>
      <c r="AT36" s="201"/>
      <c r="AU36" s="9">
        <f t="shared" si="26"/>
        <v>2072.0000000000005</v>
      </c>
      <c r="AV36" s="9">
        <f t="shared" si="26"/>
        <v>3108.0000000000014</v>
      </c>
      <c r="AW36" s="263">
        <f t="shared" si="27"/>
        <v>5180.0000000000018</v>
      </c>
    </row>
    <row r="37" spans="1:49" ht="18.75" hidden="1" customHeight="1">
      <c r="A37" s="3"/>
      <c r="B37" s="254" t="s">
        <v>44</v>
      </c>
      <c r="C37" s="255">
        <v>26.3</v>
      </c>
      <c r="D37" s="256">
        <v>32799.199999999997</v>
      </c>
      <c r="E37" s="255">
        <v>98</v>
      </c>
      <c r="F37" s="257">
        <f t="shared" si="22"/>
        <v>13477.6</v>
      </c>
      <c r="G37" s="257">
        <f t="shared" si="16"/>
        <v>12947.2</v>
      </c>
      <c r="H37" s="257">
        <v>10858.8</v>
      </c>
      <c r="I37" s="257">
        <v>768.3</v>
      </c>
      <c r="J37" s="257">
        <f t="shared" si="12"/>
        <v>11627.099999999999</v>
      </c>
      <c r="K37" s="257">
        <v>530.4</v>
      </c>
      <c r="L37" s="257">
        <f t="shared" si="17"/>
        <v>1320.1000000000022</v>
      </c>
      <c r="M37" s="258"/>
      <c r="N37" s="259">
        <v>26.3</v>
      </c>
      <c r="O37" s="259">
        <v>32799.199999999997</v>
      </c>
      <c r="P37" s="259">
        <v>98</v>
      </c>
      <c r="Q37" s="259">
        <v>13477.6</v>
      </c>
      <c r="R37" s="259">
        <v>12947.2</v>
      </c>
      <c r="S37" s="259">
        <v>10858.8</v>
      </c>
      <c r="T37" s="259">
        <v>768.3</v>
      </c>
      <c r="U37" s="259">
        <v>11627.099999999999</v>
      </c>
      <c r="V37" s="259">
        <v>530.4</v>
      </c>
      <c r="W37" s="259"/>
      <c r="X37" s="259"/>
      <c r="Y37" s="259"/>
      <c r="Z37" s="259"/>
      <c r="AA37" s="260"/>
      <c r="AB37" s="259"/>
      <c r="AC37" s="259"/>
      <c r="AD37" s="259"/>
      <c r="AE37" s="259"/>
      <c r="AF37" s="235"/>
      <c r="AG37" s="259"/>
      <c r="AH37" s="259"/>
      <c r="AI37" s="9">
        <v>616.6</v>
      </c>
      <c r="AJ37" s="261">
        <v>1320.1000000000022</v>
      </c>
      <c r="AK37" s="9">
        <f t="shared" si="20"/>
        <v>0</v>
      </c>
      <c r="AL37" s="9">
        <f t="shared" si="21"/>
        <v>0</v>
      </c>
      <c r="AM37" s="9">
        <f t="shared" si="23"/>
        <v>703.50000000000216</v>
      </c>
      <c r="AN37" s="262">
        <v>0.82299999999999995</v>
      </c>
      <c r="AO37" s="201">
        <f t="shared" si="24"/>
        <v>528.04000000000087</v>
      </c>
      <c r="AP37" s="201">
        <f t="shared" si="25"/>
        <v>792.06000000000131</v>
      </c>
      <c r="AQ37" s="201"/>
      <c r="AR37" s="201"/>
      <c r="AS37" s="201"/>
      <c r="AT37" s="201"/>
      <c r="AU37" s="9">
        <f t="shared" si="26"/>
        <v>528.04000000000087</v>
      </c>
      <c r="AV37" s="9">
        <f t="shared" si="26"/>
        <v>792.06000000000131</v>
      </c>
      <c r="AW37" s="263">
        <f t="shared" si="27"/>
        <v>1320.1000000000022</v>
      </c>
    </row>
    <row r="38" spans="1:49" ht="18.75" hidden="1" customHeight="1">
      <c r="A38" s="3"/>
      <c r="B38" s="254" t="s">
        <v>45</v>
      </c>
      <c r="C38" s="255">
        <v>6.3</v>
      </c>
      <c r="D38" s="256">
        <v>38640.800000000003</v>
      </c>
      <c r="E38" s="255">
        <v>98</v>
      </c>
      <c r="F38" s="257">
        <f t="shared" si="22"/>
        <v>3803.5</v>
      </c>
      <c r="G38" s="257">
        <f t="shared" si="16"/>
        <v>3583.7</v>
      </c>
      <c r="H38" s="257">
        <v>2266.0007999999998</v>
      </c>
      <c r="I38" s="257">
        <v>290.90000000000003</v>
      </c>
      <c r="J38" s="257">
        <f t="shared" si="12"/>
        <v>2556.9007999999999</v>
      </c>
      <c r="K38" s="257">
        <v>219.8</v>
      </c>
      <c r="L38" s="257">
        <f t="shared" si="17"/>
        <v>1026.7991999999999</v>
      </c>
      <c r="M38" s="258"/>
      <c r="N38" s="259">
        <v>6.3</v>
      </c>
      <c r="O38" s="259">
        <v>38640.800000000003</v>
      </c>
      <c r="P38" s="259">
        <v>98</v>
      </c>
      <c r="Q38" s="259">
        <v>3803.5</v>
      </c>
      <c r="R38" s="259">
        <v>3583.7</v>
      </c>
      <c r="S38" s="259">
        <v>2266.0007999999998</v>
      </c>
      <c r="T38" s="259">
        <v>290.90000000000003</v>
      </c>
      <c r="U38" s="259">
        <v>2556.9007999999999</v>
      </c>
      <c r="V38" s="259">
        <v>219.8</v>
      </c>
      <c r="W38" s="259"/>
      <c r="X38" s="259"/>
      <c r="Y38" s="259"/>
      <c r="Z38" s="259"/>
      <c r="AA38" s="260"/>
      <c r="AB38" s="259"/>
      <c r="AC38" s="259"/>
      <c r="AD38" s="259"/>
      <c r="AE38" s="259"/>
      <c r="AF38" s="235"/>
      <c r="AG38" s="259"/>
      <c r="AH38" s="259"/>
      <c r="AI38" s="9">
        <v>2222.6999999999998</v>
      </c>
      <c r="AJ38" s="261">
        <v>1026.7991999999999</v>
      </c>
      <c r="AK38" s="9">
        <f t="shared" si="20"/>
        <v>0</v>
      </c>
      <c r="AL38" s="9">
        <f t="shared" si="21"/>
        <v>0</v>
      </c>
      <c r="AM38" s="9">
        <f t="shared" si="23"/>
        <v>-1195.9007999999999</v>
      </c>
      <c r="AN38" s="262">
        <v>0.77600000000000002</v>
      </c>
      <c r="AO38" s="201">
        <f t="shared" si="24"/>
        <v>410.71967999999993</v>
      </c>
      <c r="AP38" s="201">
        <f t="shared" si="25"/>
        <v>616.07952</v>
      </c>
      <c r="AQ38" s="201"/>
      <c r="AR38" s="201"/>
      <c r="AS38" s="201"/>
      <c r="AT38" s="201"/>
      <c r="AU38" s="9">
        <f t="shared" si="26"/>
        <v>410.71967999999993</v>
      </c>
      <c r="AV38" s="9">
        <f t="shared" si="26"/>
        <v>616.07952</v>
      </c>
      <c r="AW38" s="263">
        <f t="shared" si="27"/>
        <v>1026.7991999999999</v>
      </c>
    </row>
    <row r="39" spans="1:49" ht="18.75" hidden="1" customHeight="1">
      <c r="A39" s="3"/>
      <c r="B39" s="254" t="s">
        <v>46</v>
      </c>
      <c r="C39" s="255">
        <v>20</v>
      </c>
      <c r="D39" s="256">
        <v>35622.9</v>
      </c>
      <c r="E39" s="255">
        <v>98</v>
      </c>
      <c r="F39" s="257">
        <f t="shared" si="22"/>
        <v>11131.4</v>
      </c>
      <c r="G39" s="257">
        <f t="shared" si="16"/>
        <v>11131.4</v>
      </c>
      <c r="H39" s="257">
        <v>8363.9</v>
      </c>
      <c r="I39" s="257">
        <v>559.4</v>
      </c>
      <c r="J39" s="257">
        <f t="shared" si="12"/>
        <v>8923.2999999999993</v>
      </c>
      <c r="K39" s="257"/>
      <c r="L39" s="257">
        <f t="shared" si="17"/>
        <v>2208.1000000000004</v>
      </c>
      <c r="M39" s="258"/>
      <c r="N39" s="259">
        <v>20</v>
      </c>
      <c r="O39" s="259">
        <v>35622.9</v>
      </c>
      <c r="P39" s="259">
        <v>98</v>
      </c>
      <c r="Q39" s="259">
        <v>11131.4</v>
      </c>
      <c r="R39" s="259">
        <v>11131.4</v>
      </c>
      <c r="S39" s="259">
        <v>8363.9</v>
      </c>
      <c r="T39" s="259">
        <v>559.4</v>
      </c>
      <c r="U39" s="259">
        <v>8923.2999999999993</v>
      </c>
      <c r="V39" s="259"/>
      <c r="W39" s="259"/>
      <c r="X39" s="259"/>
      <c r="Y39" s="259"/>
      <c r="Z39" s="259"/>
      <c r="AA39" s="260"/>
      <c r="AB39" s="259"/>
      <c r="AC39" s="259"/>
      <c r="AD39" s="259"/>
      <c r="AE39" s="259"/>
      <c r="AF39" s="235"/>
      <c r="AG39" s="259"/>
      <c r="AH39" s="259"/>
      <c r="AI39" s="9">
        <v>1244.0999999999999</v>
      </c>
      <c r="AJ39" s="261">
        <v>2208.1000000000004</v>
      </c>
      <c r="AK39" s="9">
        <f t="shared" si="20"/>
        <v>0</v>
      </c>
      <c r="AL39" s="9">
        <f t="shared" si="21"/>
        <v>0</v>
      </c>
      <c r="AM39" s="9">
        <f t="shared" si="23"/>
        <v>964.00000000000045</v>
      </c>
      <c r="AN39" s="262">
        <v>0.84899999999999998</v>
      </c>
      <c r="AO39" s="201">
        <f t="shared" si="24"/>
        <v>883.24000000000012</v>
      </c>
      <c r="AP39" s="201">
        <f t="shared" si="25"/>
        <v>1324.8600000000004</v>
      </c>
      <c r="AQ39" s="201"/>
      <c r="AR39" s="201"/>
      <c r="AS39" s="201"/>
      <c r="AT39" s="201"/>
      <c r="AU39" s="9">
        <f t="shared" si="26"/>
        <v>883.24000000000012</v>
      </c>
      <c r="AV39" s="9">
        <f t="shared" si="26"/>
        <v>1324.8600000000004</v>
      </c>
      <c r="AW39" s="263">
        <f t="shared" si="27"/>
        <v>2208.1000000000004</v>
      </c>
    </row>
    <row r="40" spans="1:49" ht="18.75" hidden="1" customHeight="1">
      <c r="A40" s="3"/>
      <c r="B40" s="254" t="s">
        <v>47</v>
      </c>
      <c r="C40" s="255">
        <v>3</v>
      </c>
      <c r="D40" s="256">
        <v>45572.2</v>
      </c>
      <c r="E40" s="255">
        <v>98</v>
      </c>
      <c r="F40" s="257">
        <f t="shared" si="22"/>
        <v>2136.1</v>
      </c>
      <c r="G40" s="257">
        <f t="shared" si="16"/>
        <v>2115.7999999999997</v>
      </c>
      <c r="H40" s="257">
        <v>1755.7</v>
      </c>
      <c r="I40" s="257">
        <v>0</v>
      </c>
      <c r="J40" s="257">
        <f t="shared" si="12"/>
        <v>1755.7</v>
      </c>
      <c r="K40" s="257">
        <v>20.3</v>
      </c>
      <c r="L40" s="257">
        <f t="shared" si="17"/>
        <v>360.09999999999968</v>
      </c>
      <c r="M40" s="258"/>
      <c r="N40" s="259">
        <v>3</v>
      </c>
      <c r="O40" s="259">
        <v>45572.2</v>
      </c>
      <c r="P40" s="259">
        <v>98</v>
      </c>
      <c r="Q40" s="259">
        <v>2136.1</v>
      </c>
      <c r="R40" s="259">
        <v>2115.7999999999997</v>
      </c>
      <c r="S40" s="259">
        <v>1755.7</v>
      </c>
      <c r="T40" s="259">
        <v>0</v>
      </c>
      <c r="U40" s="259">
        <v>1755.7</v>
      </c>
      <c r="V40" s="259">
        <v>20.3</v>
      </c>
      <c r="W40" s="259"/>
      <c r="X40" s="259"/>
      <c r="Y40" s="259"/>
      <c r="Z40" s="259"/>
      <c r="AA40" s="260"/>
      <c r="AB40" s="259"/>
      <c r="AC40" s="259"/>
      <c r="AD40" s="259"/>
      <c r="AE40" s="259"/>
      <c r="AF40" s="235"/>
      <c r="AG40" s="259"/>
      <c r="AH40" s="259"/>
      <c r="AI40" s="9">
        <v>429.1</v>
      </c>
      <c r="AJ40" s="261">
        <v>360.09999999999968</v>
      </c>
      <c r="AK40" s="9">
        <f t="shared" si="20"/>
        <v>0</v>
      </c>
      <c r="AL40" s="9">
        <f t="shared" si="21"/>
        <v>0</v>
      </c>
      <c r="AM40" s="9">
        <f t="shared" si="23"/>
        <v>-69.000000000000341</v>
      </c>
      <c r="AN40" s="262">
        <v>0.86899999999999999</v>
      </c>
      <c r="AO40" s="201">
        <f t="shared" si="24"/>
        <v>144.03999999999988</v>
      </c>
      <c r="AP40" s="201">
        <f t="shared" si="25"/>
        <v>216.05999999999983</v>
      </c>
      <c r="AQ40" s="201"/>
      <c r="AR40" s="201"/>
      <c r="AS40" s="201"/>
      <c r="AT40" s="201"/>
      <c r="AU40" s="9">
        <f t="shared" si="26"/>
        <v>144.03999999999988</v>
      </c>
      <c r="AV40" s="9">
        <f t="shared" si="26"/>
        <v>216.05999999999983</v>
      </c>
      <c r="AW40" s="263">
        <f t="shared" si="27"/>
        <v>360.09999999999968</v>
      </c>
    </row>
    <row r="41" spans="1:49" ht="18.75" hidden="1" customHeight="1">
      <c r="A41" s="3"/>
      <c r="B41" s="254" t="s">
        <v>48</v>
      </c>
      <c r="C41" s="255">
        <v>13.8</v>
      </c>
      <c r="D41" s="256">
        <v>44773.5</v>
      </c>
      <c r="E41" s="255">
        <v>98</v>
      </c>
      <c r="F41" s="257">
        <f t="shared" si="22"/>
        <v>9653.7000000000007</v>
      </c>
      <c r="G41" s="257">
        <f t="shared" si="16"/>
        <v>9485.8000000000011</v>
      </c>
      <c r="H41" s="257">
        <v>5869.9</v>
      </c>
      <c r="I41" s="257">
        <v>121.4</v>
      </c>
      <c r="J41" s="257">
        <f t="shared" si="12"/>
        <v>5991.2999999999993</v>
      </c>
      <c r="K41" s="257">
        <v>167.9</v>
      </c>
      <c r="L41" s="257">
        <f t="shared" si="17"/>
        <v>3494.5000000000018</v>
      </c>
      <c r="M41" s="258"/>
      <c r="N41" s="259">
        <v>13.8</v>
      </c>
      <c r="O41" s="259">
        <v>44773.5</v>
      </c>
      <c r="P41" s="259">
        <v>98</v>
      </c>
      <c r="Q41" s="259">
        <v>9653.7000000000007</v>
      </c>
      <c r="R41" s="259">
        <v>9485.8000000000011</v>
      </c>
      <c r="S41" s="259">
        <v>5869.9</v>
      </c>
      <c r="T41" s="259">
        <v>121.4</v>
      </c>
      <c r="U41" s="259">
        <v>5991.2999999999993</v>
      </c>
      <c r="V41" s="259">
        <v>167.9</v>
      </c>
      <c r="W41" s="259"/>
      <c r="X41" s="259"/>
      <c r="Y41" s="259"/>
      <c r="Z41" s="259"/>
      <c r="AA41" s="260"/>
      <c r="AB41" s="259"/>
      <c r="AC41" s="259"/>
      <c r="AD41" s="259"/>
      <c r="AE41" s="259"/>
      <c r="AF41" s="235"/>
      <c r="AG41" s="259"/>
      <c r="AH41" s="259"/>
      <c r="AI41" s="9"/>
      <c r="AJ41" s="261">
        <v>3494.5000000000018</v>
      </c>
      <c r="AK41" s="9">
        <f t="shared" si="20"/>
        <v>0</v>
      </c>
      <c r="AL41" s="9">
        <f t="shared" si="21"/>
        <v>0</v>
      </c>
      <c r="AM41" s="9">
        <f t="shared" si="23"/>
        <v>3494.5000000000018</v>
      </c>
      <c r="AN41" s="262">
        <v>1.355</v>
      </c>
      <c r="AO41" s="201"/>
      <c r="AP41" s="201"/>
      <c r="AQ41" s="201"/>
      <c r="AR41" s="201"/>
      <c r="AS41" s="201">
        <f>AJ41*50/100</f>
        <v>1747.2500000000009</v>
      </c>
      <c r="AT41" s="201">
        <f>AJ41*50/100</f>
        <v>1747.2500000000009</v>
      </c>
      <c r="AU41" s="9">
        <f t="shared" si="26"/>
        <v>1747.2500000000009</v>
      </c>
      <c r="AV41" s="9">
        <f t="shared" si="26"/>
        <v>1747.2500000000009</v>
      </c>
      <c r="AW41" s="263">
        <f t="shared" si="27"/>
        <v>3494.5000000000018</v>
      </c>
    </row>
    <row r="42" spans="1:49" ht="18.75" hidden="1" customHeight="1">
      <c r="A42" s="3"/>
      <c r="B42" s="254" t="s">
        <v>63</v>
      </c>
      <c r="C42" s="255">
        <v>36.700000000000003</v>
      </c>
      <c r="D42" s="256">
        <v>31111.7</v>
      </c>
      <c r="E42" s="255">
        <v>98</v>
      </c>
      <c r="F42" s="257">
        <f t="shared" si="22"/>
        <v>17839.5</v>
      </c>
      <c r="G42" s="257">
        <f t="shared" si="16"/>
        <v>17210.400000000001</v>
      </c>
      <c r="H42" s="257">
        <v>15694.6</v>
      </c>
      <c r="I42" s="257">
        <v>63.3</v>
      </c>
      <c r="J42" s="257">
        <f t="shared" si="12"/>
        <v>15757.9</v>
      </c>
      <c r="K42" s="257">
        <v>629.1</v>
      </c>
      <c r="L42" s="257">
        <f t="shared" si="17"/>
        <v>1452.5000000000018</v>
      </c>
      <c r="M42" s="258"/>
      <c r="N42" s="259">
        <v>36.700000000000003</v>
      </c>
      <c r="O42" s="259">
        <v>31111.7</v>
      </c>
      <c r="P42" s="259">
        <v>98</v>
      </c>
      <c r="Q42" s="259">
        <v>17839.5</v>
      </c>
      <c r="R42" s="259">
        <v>17210.400000000001</v>
      </c>
      <c r="S42" s="259">
        <v>15694.6</v>
      </c>
      <c r="T42" s="259">
        <v>63.3</v>
      </c>
      <c r="U42" s="259">
        <v>15757.9</v>
      </c>
      <c r="V42" s="259">
        <v>629.1</v>
      </c>
      <c r="W42" s="259"/>
      <c r="X42" s="259"/>
      <c r="Y42" s="259"/>
      <c r="Z42" s="259"/>
      <c r="AA42" s="260"/>
      <c r="AB42" s="259"/>
      <c r="AC42" s="259"/>
      <c r="AD42" s="259"/>
      <c r="AE42" s="259"/>
      <c r="AF42" s="235"/>
      <c r="AG42" s="259"/>
      <c r="AH42" s="259"/>
      <c r="AI42" s="9"/>
      <c r="AJ42" s="261">
        <v>1452.5000000000018</v>
      </c>
      <c r="AK42" s="9">
        <f t="shared" si="20"/>
        <v>0</v>
      </c>
      <c r="AL42" s="9">
        <f t="shared" si="21"/>
        <v>0</v>
      </c>
      <c r="AM42" s="9">
        <f t="shared" si="23"/>
        <v>1452.5000000000018</v>
      </c>
      <c r="AN42" s="262">
        <v>0.877</v>
      </c>
      <c r="AO42" s="201">
        <f t="shared" si="24"/>
        <v>581.00000000000068</v>
      </c>
      <c r="AP42" s="201">
        <f t="shared" si="25"/>
        <v>871.50000000000114</v>
      </c>
      <c r="AQ42" s="201"/>
      <c r="AR42" s="201"/>
      <c r="AS42" s="201"/>
      <c r="AT42" s="201"/>
      <c r="AU42" s="9">
        <f t="shared" si="26"/>
        <v>581.00000000000068</v>
      </c>
      <c r="AV42" s="9">
        <f t="shared" si="26"/>
        <v>871.50000000000114</v>
      </c>
      <c r="AW42" s="263">
        <f t="shared" si="27"/>
        <v>1452.5000000000018</v>
      </c>
    </row>
    <row r="43" spans="1:49" ht="18.75" hidden="1" customHeight="1">
      <c r="A43" s="3"/>
      <c r="B43" s="254" t="s">
        <v>49</v>
      </c>
      <c r="C43" s="255">
        <v>10</v>
      </c>
      <c r="D43" s="256">
        <v>36487.199999999997</v>
      </c>
      <c r="E43" s="255">
        <v>98</v>
      </c>
      <c r="F43" s="257">
        <f t="shared" si="22"/>
        <v>5700.8</v>
      </c>
      <c r="G43" s="257">
        <f t="shared" si="16"/>
        <v>5700.8</v>
      </c>
      <c r="H43" s="257">
        <v>4197.3999999999996</v>
      </c>
      <c r="I43" s="257">
        <v>0</v>
      </c>
      <c r="J43" s="257">
        <f t="shared" si="12"/>
        <v>4197.3999999999996</v>
      </c>
      <c r="K43" s="257"/>
      <c r="L43" s="257">
        <f t="shared" si="17"/>
        <v>1503.4000000000005</v>
      </c>
      <c r="M43" s="258"/>
      <c r="N43" s="259">
        <v>10</v>
      </c>
      <c r="O43" s="259">
        <v>36487.199999999997</v>
      </c>
      <c r="P43" s="259">
        <v>98</v>
      </c>
      <c r="Q43" s="259">
        <v>5700.8</v>
      </c>
      <c r="R43" s="259">
        <v>5700.8</v>
      </c>
      <c r="S43" s="259">
        <v>4197.3999999999996</v>
      </c>
      <c r="T43" s="259">
        <v>0</v>
      </c>
      <c r="U43" s="259">
        <v>4197.3999999999996</v>
      </c>
      <c r="V43" s="259"/>
      <c r="W43" s="259"/>
      <c r="X43" s="259"/>
      <c r="Y43" s="259"/>
      <c r="Z43" s="259"/>
      <c r="AA43" s="260"/>
      <c r="AB43" s="259"/>
      <c r="AC43" s="259"/>
      <c r="AD43" s="259"/>
      <c r="AE43" s="259"/>
      <c r="AF43" s="235"/>
      <c r="AG43" s="259"/>
      <c r="AH43" s="259"/>
      <c r="AI43" s="9">
        <v>3758.9</v>
      </c>
      <c r="AJ43" s="261">
        <v>1503.4000000000005</v>
      </c>
      <c r="AK43" s="9">
        <f t="shared" si="20"/>
        <v>0</v>
      </c>
      <c r="AL43" s="9">
        <f t="shared" si="21"/>
        <v>0</v>
      </c>
      <c r="AM43" s="9">
        <f t="shared" si="23"/>
        <v>-2255.4999999999995</v>
      </c>
      <c r="AN43" s="262">
        <v>0.86399999999999999</v>
      </c>
      <c r="AO43" s="201">
        <f t="shared" si="24"/>
        <v>601.36000000000024</v>
      </c>
      <c r="AP43" s="201">
        <f t="shared" si="25"/>
        <v>902.0400000000003</v>
      </c>
      <c r="AQ43" s="201"/>
      <c r="AR43" s="201"/>
      <c r="AS43" s="201"/>
      <c r="AT43" s="201"/>
      <c r="AU43" s="9">
        <f t="shared" si="26"/>
        <v>601.36000000000024</v>
      </c>
      <c r="AV43" s="9">
        <f t="shared" si="26"/>
        <v>902.0400000000003</v>
      </c>
      <c r="AW43" s="263">
        <f t="shared" si="27"/>
        <v>1503.4000000000005</v>
      </c>
    </row>
    <row r="44" spans="1:49" ht="18.75" hidden="1" customHeight="1">
      <c r="A44" s="3"/>
      <c r="B44" s="254" t="s">
        <v>64</v>
      </c>
      <c r="C44" s="255">
        <v>28.2</v>
      </c>
      <c r="D44" s="256">
        <v>43545</v>
      </c>
      <c r="E44" s="255">
        <v>98</v>
      </c>
      <c r="F44" s="257">
        <f t="shared" si="22"/>
        <v>19185.8</v>
      </c>
      <c r="G44" s="257">
        <f t="shared" si="16"/>
        <v>19185.8</v>
      </c>
      <c r="H44" s="257">
        <v>13278.2</v>
      </c>
      <c r="I44" s="257">
        <v>1144.8</v>
      </c>
      <c r="J44" s="257">
        <f t="shared" si="12"/>
        <v>14423</v>
      </c>
      <c r="K44" s="257"/>
      <c r="L44" s="257">
        <f t="shared" si="17"/>
        <v>4762.7999999999993</v>
      </c>
      <c r="M44" s="258"/>
      <c r="N44" s="259">
        <v>28.2</v>
      </c>
      <c r="O44" s="259">
        <v>43545</v>
      </c>
      <c r="P44" s="259">
        <v>98</v>
      </c>
      <c r="Q44" s="259">
        <v>19185.8</v>
      </c>
      <c r="R44" s="259">
        <v>19185.8</v>
      </c>
      <c r="S44" s="259">
        <v>13278.2</v>
      </c>
      <c r="T44" s="259">
        <v>1144.8</v>
      </c>
      <c r="U44" s="259">
        <v>14423</v>
      </c>
      <c r="V44" s="259"/>
      <c r="W44" s="259"/>
      <c r="X44" s="259"/>
      <c r="Y44" s="259"/>
      <c r="Z44" s="259"/>
      <c r="AA44" s="260"/>
      <c r="AB44" s="259"/>
      <c r="AC44" s="259"/>
      <c r="AD44" s="259"/>
      <c r="AE44" s="259"/>
      <c r="AF44" s="235"/>
      <c r="AG44" s="259"/>
      <c r="AH44" s="259"/>
      <c r="AI44" s="9"/>
      <c r="AJ44" s="261">
        <v>4762.7999999999993</v>
      </c>
      <c r="AK44" s="9">
        <f t="shared" si="20"/>
        <v>0</v>
      </c>
      <c r="AL44" s="9">
        <f t="shared" si="21"/>
        <v>0</v>
      </c>
      <c r="AM44" s="9">
        <f t="shared" si="23"/>
        <v>4762.7999999999993</v>
      </c>
      <c r="AN44" s="262">
        <v>0.81299999999999994</v>
      </c>
      <c r="AO44" s="201">
        <f t="shared" si="24"/>
        <v>1905.1199999999997</v>
      </c>
      <c r="AP44" s="201">
        <f t="shared" si="25"/>
        <v>2857.6799999999994</v>
      </c>
      <c r="AQ44" s="201"/>
      <c r="AR44" s="201"/>
      <c r="AS44" s="201"/>
      <c r="AT44" s="201"/>
      <c r="AU44" s="9">
        <f t="shared" si="26"/>
        <v>1905.1199999999997</v>
      </c>
      <c r="AV44" s="9">
        <f t="shared" si="26"/>
        <v>2857.6799999999994</v>
      </c>
      <c r="AW44" s="263">
        <f t="shared" si="27"/>
        <v>4762.7999999999993</v>
      </c>
    </row>
    <row r="45" spans="1:49" ht="33.75" hidden="1" customHeight="1">
      <c r="A45" s="3"/>
      <c r="B45" s="264" t="s">
        <v>65</v>
      </c>
      <c r="C45" s="255"/>
      <c r="D45" s="256">
        <v>39949.4</v>
      </c>
      <c r="E45" s="255">
        <v>98</v>
      </c>
      <c r="F45" s="257">
        <f t="shared" si="22"/>
        <v>0</v>
      </c>
      <c r="G45" s="257">
        <f t="shared" si="16"/>
        <v>0</v>
      </c>
      <c r="H45" s="257"/>
      <c r="I45" s="257">
        <v>0</v>
      </c>
      <c r="J45" s="257">
        <f t="shared" si="12"/>
        <v>0</v>
      </c>
      <c r="K45" s="257"/>
      <c r="L45" s="257">
        <f t="shared" si="17"/>
        <v>0</v>
      </c>
      <c r="M45" s="258"/>
      <c r="N45" s="259"/>
      <c r="O45" s="259">
        <v>39949.4</v>
      </c>
      <c r="P45" s="259">
        <v>98</v>
      </c>
      <c r="Q45" s="259">
        <v>0</v>
      </c>
      <c r="R45" s="259">
        <v>0</v>
      </c>
      <c r="S45" s="259"/>
      <c r="T45" s="259">
        <v>0</v>
      </c>
      <c r="U45" s="259">
        <v>0</v>
      </c>
      <c r="V45" s="259"/>
      <c r="W45" s="259"/>
      <c r="X45" s="259"/>
      <c r="Y45" s="259"/>
      <c r="Z45" s="259"/>
      <c r="AA45" s="260"/>
      <c r="AB45" s="259"/>
      <c r="AC45" s="259"/>
      <c r="AD45" s="259"/>
      <c r="AE45" s="259"/>
      <c r="AF45" s="235"/>
      <c r="AG45" s="259"/>
      <c r="AH45" s="259"/>
      <c r="AI45" s="9">
        <v>1001.6</v>
      </c>
      <c r="AJ45" s="261">
        <v>0</v>
      </c>
      <c r="AK45" s="9">
        <f t="shared" si="20"/>
        <v>0</v>
      </c>
      <c r="AL45" s="9">
        <f t="shared" si="21"/>
        <v>0</v>
      </c>
      <c r="AM45" s="9">
        <f t="shared" si="23"/>
        <v>-1001.6</v>
      </c>
      <c r="AN45" s="262">
        <v>0.89</v>
      </c>
      <c r="AO45" s="201">
        <f t="shared" si="24"/>
        <v>0</v>
      </c>
      <c r="AP45" s="201">
        <f t="shared" si="25"/>
        <v>0</v>
      </c>
      <c r="AQ45" s="201"/>
      <c r="AR45" s="201"/>
      <c r="AS45" s="201"/>
      <c r="AT45" s="201"/>
      <c r="AU45" s="9">
        <f t="shared" si="26"/>
        <v>0</v>
      </c>
      <c r="AV45" s="9">
        <f t="shared" si="26"/>
        <v>0</v>
      </c>
      <c r="AW45" s="263">
        <f t="shared" si="27"/>
        <v>0</v>
      </c>
    </row>
    <row r="46" spans="1:49" ht="18.75" hidden="1" customHeight="1">
      <c r="A46" s="3"/>
      <c r="B46" s="254" t="s">
        <v>51</v>
      </c>
      <c r="C46" s="255">
        <v>13.7</v>
      </c>
      <c r="D46" s="256">
        <v>36641.4</v>
      </c>
      <c r="E46" s="255">
        <v>98</v>
      </c>
      <c r="F46" s="257">
        <f t="shared" si="22"/>
        <v>7843</v>
      </c>
      <c r="G46" s="257">
        <f t="shared" si="16"/>
        <v>7843</v>
      </c>
      <c r="H46" s="257">
        <v>5931.5</v>
      </c>
      <c r="I46" s="257">
        <v>65.400000000000006</v>
      </c>
      <c r="J46" s="257">
        <f t="shared" si="12"/>
        <v>5996.9</v>
      </c>
      <c r="K46" s="257"/>
      <c r="L46" s="257">
        <f t="shared" si="17"/>
        <v>1846.1000000000004</v>
      </c>
      <c r="M46" s="258"/>
      <c r="N46" s="259">
        <v>13.7</v>
      </c>
      <c r="O46" s="259">
        <v>36641.4</v>
      </c>
      <c r="P46" s="259">
        <v>98</v>
      </c>
      <c r="Q46" s="259">
        <v>7843</v>
      </c>
      <c r="R46" s="259">
        <v>7843</v>
      </c>
      <c r="S46" s="259">
        <v>5931.5</v>
      </c>
      <c r="T46" s="259">
        <v>65.400000000000006</v>
      </c>
      <c r="U46" s="259">
        <v>5996.9</v>
      </c>
      <c r="V46" s="259"/>
      <c r="W46" s="259"/>
      <c r="X46" s="259"/>
      <c r="Y46" s="259"/>
      <c r="Z46" s="259"/>
      <c r="AA46" s="260"/>
      <c r="AB46" s="259"/>
      <c r="AC46" s="259"/>
      <c r="AD46" s="259"/>
      <c r="AE46" s="259"/>
      <c r="AF46" s="235"/>
      <c r="AG46" s="259"/>
      <c r="AH46" s="259"/>
      <c r="AI46" s="9">
        <v>3983.4</v>
      </c>
      <c r="AJ46" s="261">
        <v>1846.1000000000004</v>
      </c>
      <c r="AK46" s="9">
        <f t="shared" si="20"/>
        <v>0</v>
      </c>
      <c r="AL46" s="9">
        <f t="shared" si="21"/>
        <v>0</v>
      </c>
      <c r="AM46" s="9">
        <f t="shared" si="23"/>
        <v>-2137.2999999999997</v>
      </c>
      <c r="AN46" s="262">
        <v>0.94599999999999995</v>
      </c>
      <c r="AO46" s="201"/>
      <c r="AP46" s="201"/>
      <c r="AQ46" s="201">
        <f>AJ46*45/100</f>
        <v>830.74500000000012</v>
      </c>
      <c r="AR46" s="201">
        <f>AJ46*55/100</f>
        <v>1015.3550000000001</v>
      </c>
      <c r="AS46" s="201"/>
      <c r="AT46" s="201"/>
      <c r="AU46" s="9">
        <f t="shared" si="26"/>
        <v>830.74500000000012</v>
      </c>
      <c r="AV46" s="9">
        <f t="shared" si="26"/>
        <v>1015.3550000000001</v>
      </c>
      <c r="AW46" s="263">
        <f t="shared" si="27"/>
        <v>1846.1000000000004</v>
      </c>
    </row>
    <row r="47" spans="1:49" ht="18.75" hidden="1" customHeight="1">
      <c r="A47" s="3"/>
      <c r="B47" s="254" t="s">
        <v>52</v>
      </c>
      <c r="C47" s="255">
        <v>31.4</v>
      </c>
      <c r="D47" s="256">
        <v>37678.5</v>
      </c>
      <c r="E47" s="255">
        <v>98</v>
      </c>
      <c r="F47" s="257">
        <f t="shared" si="22"/>
        <v>18484.8</v>
      </c>
      <c r="G47" s="257">
        <f t="shared" si="16"/>
        <v>17906.321400000001</v>
      </c>
      <c r="H47" s="257">
        <v>11905.1</v>
      </c>
      <c r="I47" s="257">
        <v>772.8</v>
      </c>
      <c r="J47" s="257">
        <f t="shared" si="12"/>
        <v>12677.9</v>
      </c>
      <c r="K47" s="257">
        <v>578.47860000000003</v>
      </c>
      <c r="L47" s="257">
        <f t="shared" si="17"/>
        <v>5228.4214000000011</v>
      </c>
      <c r="M47" s="258"/>
      <c r="N47" s="259">
        <v>31.4</v>
      </c>
      <c r="O47" s="259">
        <v>37678.5</v>
      </c>
      <c r="P47" s="259">
        <v>98</v>
      </c>
      <c r="Q47" s="259">
        <v>18484.8</v>
      </c>
      <c r="R47" s="259">
        <v>17906.321400000001</v>
      </c>
      <c r="S47" s="259">
        <v>11905.1</v>
      </c>
      <c r="T47" s="259">
        <v>772.8</v>
      </c>
      <c r="U47" s="259">
        <v>12677.9</v>
      </c>
      <c r="V47" s="259">
        <v>578.47860000000003</v>
      </c>
      <c r="W47" s="259"/>
      <c r="X47" s="259"/>
      <c r="Y47" s="259"/>
      <c r="Z47" s="259"/>
      <c r="AA47" s="260"/>
      <c r="AB47" s="259"/>
      <c r="AC47" s="259"/>
      <c r="AD47" s="259"/>
      <c r="AE47" s="259"/>
      <c r="AF47" s="235"/>
      <c r="AG47" s="259"/>
      <c r="AH47" s="259"/>
      <c r="AI47" s="9">
        <v>24974</v>
      </c>
      <c r="AJ47" s="261">
        <v>5228.4214000000011</v>
      </c>
      <c r="AK47" s="9">
        <f t="shared" si="20"/>
        <v>0</v>
      </c>
      <c r="AL47" s="9">
        <f t="shared" si="21"/>
        <v>0</v>
      </c>
      <c r="AM47" s="9">
        <f t="shared" si="23"/>
        <v>-19745.578600000001</v>
      </c>
      <c r="AN47" s="262">
        <v>0.83199999999999996</v>
      </c>
      <c r="AO47" s="201">
        <f t="shared" si="24"/>
        <v>2091.3685600000003</v>
      </c>
      <c r="AP47" s="201">
        <f t="shared" si="25"/>
        <v>3137.0528400000003</v>
      </c>
      <c r="AQ47" s="201"/>
      <c r="AR47" s="201"/>
      <c r="AS47" s="201"/>
      <c r="AT47" s="201"/>
      <c r="AU47" s="9">
        <f t="shared" si="26"/>
        <v>2091.3685600000003</v>
      </c>
      <c r="AV47" s="9">
        <f t="shared" si="26"/>
        <v>3137.0528400000003</v>
      </c>
      <c r="AW47" s="263">
        <f t="shared" si="27"/>
        <v>5228.4214000000011</v>
      </c>
    </row>
    <row r="48" spans="1:49" ht="18.75" hidden="1" customHeight="1">
      <c r="A48" s="3"/>
      <c r="B48" s="254" t="s">
        <v>53</v>
      </c>
      <c r="C48" s="255">
        <v>6</v>
      </c>
      <c r="D48" s="256">
        <v>43467.3</v>
      </c>
      <c r="E48" s="255">
        <v>98</v>
      </c>
      <c r="F48" s="257">
        <f t="shared" si="22"/>
        <v>4074.8</v>
      </c>
      <c r="G48" s="257">
        <f t="shared" si="16"/>
        <v>4074.8</v>
      </c>
      <c r="H48" s="257">
        <v>2273.6999999999998</v>
      </c>
      <c r="I48" s="257">
        <v>205.39999999999998</v>
      </c>
      <c r="J48" s="257">
        <f t="shared" si="12"/>
        <v>2479.1</v>
      </c>
      <c r="K48" s="257"/>
      <c r="L48" s="257">
        <f t="shared" si="17"/>
        <v>1595.7000000000003</v>
      </c>
      <c r="M48" s="258"/>
      <c r="N48" s="259">
        <v>6</v>
      </c>
      <c r="O48" s="259">
        <v>43467.3</v>
      </c>
      <c r="P48" s="259">
        <v>98</v>
      </c>
      <c r="Q48" s="259">
        <v>4074.8</v>
      </c>
      <c r="R48" s="259">
        <v>4074.8</v>
      </c>
      <c r="S48" s="259">
        <v>2273.6999999999998</v>
      </c>
      <c r="T48" s="259">
        <v>205.39999999999998</v>
      </c>
      <c r="U48" s="259">
        <v>2479.1</v>
      </c>
      <c r="V48" s="259"/>
      <c r="W48" s="259"/>
      <c r="X48" s="259"/>
      <c r="Y48" s="259"/>
      <c r="Z48" s="259"/>
      <c r="AA48" s="260"/>
      <c r="AB48" s="259"/>
      <c r="AC48" s="259"/>
      <c r="AD48" s="259"/>
      <c r="AE48" s="259"/>
      <c r="AF48" s="235"/>
      <c r="AG48" s="259"/>
      <c r="AH48" s="259"/>
      <c r="AI48" s="9">
        <v>8044.5</v>
      </c>
      <c r="AJ48" s="261">
        <v>1595.7000000000003</v>
      </c>
      <c r="AK48" s="9">
        <f t="shared" si="20"/>
        <v>0</v>
      </c>
      <c r="AL48" s="9">
        <f t="shared" si="21"/>
        <v>0</v>
      </c>
      <c r="AM48" s="9">
        <f t="shared" si="23"/>
        <v>-6448.7999999999993</v>
      </c>
      <c r="AN48" s="262">
        <v>0.879</v>
      </c>
      <c r="AO48" s="201">
        <f t="shared" si="24"/>
        <v>638.2800000000002</v>
      </c>
      <c r="AP48" s="201">
        <f t="shared" si="25"/>
        <v>957.42000000000019</v>
      </c>
      <c r="AQ48" s="201"/>
      <c r="AR48" s="201"/>
      <c r="AS48" s="201"/>
      <c r="AT48" s="201"/>
      <c r="AU48" s="9">
        <f t="shared" si="26"/>
        <v>638.2800000000002</v>
      </c>
      <c r="AV48" s="9">
        <f t="shared" si="26"/>
        <v>957.42000000000019</v>
      </c>
      <c r="AW48" s="263">
        <f t="shared" si="27"/>
        <v>1595.7000000000003</v>
      </c>
    </row>
    <row r="49" spans="1:49" ht="18.75" hidden="1" customHeight="1">
      <c r="A49" s="3"/>
      <c r="B49" s="254" t="s">
        <v>54</v>
      </c>
      <c r="C49" s="255">
        <v>16</v>
      </c>
      <c r="D49" s="256">
        <v>33175.5</v>
      </c>
      <c r="E49" s="255">
        <v>98</v>
      </c>
      <c r="F49" s="257">
        <f t="shared" si="22"/>
        <v>8293.2999999999993</v>
      </c>
      <c r="G49" s="257">
        <f t="shared" si="16"/>
        <v>8293.2999999999993</v>
      </c>
      <c r="H49" s="257">
        <v>6596.4</v>
      </c>
      <c r="I49" s="257">
        <v>0</v>
      </c>
      <c r="J49" s="257">
        <f t="shared" si="12"/>
        <v>6596.4</v>
      </c>
      <c r="K49" s="257"/>
      <c r="L49" s="257">
        <f t="shared" si="17"/>
        <v>1696.8999999999996</v>
      </c>
      <c r="M49" s="258"/>
      <c r="N49" s="259">
        <v>16</v>
      </c>
      <c r="O49" s="259">
        <v>33175.5</v>
      </c>
      <c r="P49" s="259">
        <v>98</v>
      </c>
      <c r="Q49" s="259">
        <v>8293.2999999999993</v>
      </c>
      <c r="R49" s="259">
        <v>8293.2999999999993</v>
      </c>
      <c r="S49" s="259">
        <v>6596.4</v>
      </c>
      <c r="T49" s="259">
        <v>0</v>
      </c>
      <c r="U49" s="259">
        <v>6596.4</v>
      </c>
      <c r="V49" s="259"/>
      <c r="W49" s="259"/>
      <c r="X49" s="259"/>
      <c r="Y49" s="259"/>
      <c r="Z49" s="259"/>
      <c r="AA49" s="260"/>
      <c r="AB49" s="259"/>
      <c r="AC49" s="259"/>
      <c r="AD49" s="259"/>
      <c r="AE49" s="259"/>
      <c r="AF49" s="235"/>
      <c r="AG49" s="259"/>
      <c r="AH49" s="259"/>
      <c r="AI49" s="9"/>
      <c r="AJ49" s="261">
        <v>1696.8999999999996</v>
      </c>
      <c r="AK49" s="9">
        <f t="shared" si="20"/>
        <v>0</v>
      </c>
      <c r="AL49" s="9">
        <f t="shared" si="21"/>
        <v>0</v>
      </c>
      <c r="AM49" s="9">
        <f t="shared" si="23"/>
        <v>1696.8999999999996</v>
      </c>
      <c r="AN49" s="262">
        <v>0.84599999999999997</v>
      </c>
      <c r="AO49" s="201">
        <f t="shared" si="24"/>
        <v>678.75999999999988</v>
      </c>
      <c r="AP49" s="201">
        <f t="shared" si="25"/>
        <v>1018.1399999999998</v>
      </c>
      <c r="AQ49" s="201"/>
      <c r="AR49" s="201"/>
      <c r="AS49" s="201"/>
      <c r="AT49" s="201"/>
      <c r="AU49" s="9">
        <f t="shared" si="26"/>
        <v>678.75999999999988</v>
      </c>
      <c r="AV49" s="9">
        <f t="shared" si="26"/>
        <v>1018.1399999999998</v>
      </c>
      <c r="AW49" s="263">
        <f t="shared" si="27"/>
        <v>1696.8999999999996</v>
      </c>
    </row>
    <row r="50" spans="1:49" ht="18.75" hidden="1" customHeight="1">
      <c r="A50" s="3"/>
      <c r="B50" s="254" t="s">
        <v>66</v>
      </c>
      <c r="C50" s="255">
        <v>463.8</v>
      </c>
      <c r="D50" s="256">
        <v>32446.3</v>
      </c>
      <c r="E50" s="255">
        <v>98</v>
      </c>
      <c r="F50" s="257">
        <f t="shared" si="22"/>
        <v>235119.2</v>
      </c>
      <c r="G50" s="257">
        <f t="shared" si="16"/>
        <v>227974.21460000001</v>
      </c>
      <c r="H50" s="257">
        <v>202365.2</v>
      </c>
      <c r="I50" s="257">
        <v>0</v>
      </c>
      <c r="J50" s="257">
        <f t="shared" si="12"/>
        <v>202365.2</v>
      </c>
      <c r="K50" s="257">
        <v>7144.9853999999996</v>
      </c>
      <c r="L50" s="257">
        <f t="shared" si="17"/>
        <v>25609.014599999995</v>
      </c>
      <c r="M50" s="258"/>
      <c r="N50" s="259">
        <v>463.8</v>
      </c>
      <c r="O50" s="259">
        <v>32446.3</v>
      </c>
      <c r="P50" s="259">
        <v>98</v>
      </c>
      <c r="Q50" s="259">
        <v>235119.2</v>
      </c>
      <c r="R50" s="259">
        <v>227974.21460000001</v>
      </c>
      <c r="S50" s="259">
        <v>202365.2</v>
      </c>
      <c r="T50" s="259">
        <v>0</v>
      </c>
      <c r="U50" s="259">
        <v>202365.2</v>
      </c>
      <c r="V50" s="259">
        <v>7144.9853999999996</v>
      </c>
      <c r="W50" s="259"/>
      <c r="X50" s="259"/>
      <c r="Y50" s="259"/>
      <c r="Z50" s="259"/>
      <c r="AA50" s="260"/>
      <c r="AB50" s="259"/>
      <c r="AC50" s="259"/>
      <c r="AD50" s="259"/>
      <c r="AE50" s="259"/>
      <c r="AF50" s="235"/>
      <c r="AG50" s="259"/>
      <c r="AH50" s="259"/>
      <c r="AI50" s="9"/>
      <c r="AJ50" s="261">
        <v>25609.014599999995</v>
      </c>
      <c r="AK50" s="9">
        <f t="shared" si="20"/>
        <v>0</v>
      </c>
      <c r="AL50" s="9">
        <f t="shared" si="21"/>
        <v>0</v>
      </c>
      <c r="AM50" s="9">
        <f t="shared" si="23"/>
        <v>25609.014599999995</v>
      </c>
      <c r="AN50" s="262">
        <v>1.0169999999999999</v>
      </c>
      <c r="AO50" s="201"/>
      <c r="AP50" s="201"/>
      <c r="AQ50" s="201"/>
      <c r="AR50" s="201"/>
      <c r="AS50" s="201">
        <f t="shared" ref="AS50:AS51" si="28">AJ50*50/100</f>
        <v>12804.507299999997</v>
      </c>
      <c r="AT50" s="201">
        <f>AJ50*50/100</f>
        <v>12804.507299999997</v>
      </c>
      <c r="AU50" s="9">
        <f t="shared" si="26"/>
        <v>12804.507299999997</v>
      </c>
      <c r="AV50" s="9">
        <f t="shared" si="26"/>
        <v>12804.507299999997</v>
      </c>
      <c r="AW50" s="263">
        <f t="shared" si="27"/>
        <v>25609.014599999995</v>
      </c>
    </row>
    <row r="51" spans="1:49" ht="18.75" hidden="1" customHeight="1">
      <c r="A51" s="3"/>
      <c r="B51" s="254" t="s">
        <v>67</v>
      </c>
      <c r="C51" s="255">
        <v>337.7</v>
      </c>
      <c r="D51" s="256">
        <v>35281.5</v>
      </c>
      <c r="E51" s="255">
        <v>98</v>
      </c>
      <c r="F51" s="257">
        <f t="shared" si="22"/>
        <v>186153.1</v>
      </c>
      <c r="G51" s="257">
        <f t="shared" si="16"/>
        <v>181063.84239999999</v>
      </c>
      <c r="H51" s="257">
        <v>165691.1</v>
      </c>
      <c r="I51" s="257">
        <v>0</v>
      </c>
      <c r="J51" s="257">
        <f t="shared" si="12"/>
        <v>165691.1</v>
      </c>
      <c r="K51" s="257">
        <v>5089.2576000000008</v>
      </c>
      <c r="L51" s="257">
        <f t="shared" si="17"/>
        <v>15372.742399999988</v>
      </c>
      <c r="M51" s="258"/>
      <c r="N51" s="259">
        <v>337.7</v>
      </c>
      <c r="O51" s="259">
        <v>35281.5</v>
      </c>
      <c r="P51" s="259">
        <v>98</v>
      </c>
      <c r="Q51" s="259">
        <v>186153.1</v>
      </c>
      <c r="R51" s="259">
        <v>181063.84239999999</v>
      </c>
      <c r="S51" s="259">
        <v>165691.1</v>
      </c>
      <c r="T51" s="259">
        <v>0</v>
      </c>
      <c r="U51" s="259">
        <v>165691.1</v>
      </c>
      <c r="V51" s="259">
        <v>5089.2576000000008</v>
      </c>
      <c r="W51" s="259"/>
      <c r="X51" s="259"/>
      <c r="Y51" s="259"/>
      <c r="Z51" s="259"/>
      <c r="AA51" s="260"/>
      <c r="AB51" s="259"/>
      <c r="AC51" s="259"/>
      <c r="AD51" s="259"/>
      <c r="AE51" s="259"/>
      <c r="AF51" s="235"/>
      <c r="AG51" s="259"/>
      <c r="AH51" s="259"/>
      <c r="AI51" s="9"/>
      <c r="AJ51" s="261">
        <v>15372.742399999988</v>
      </c>
      <c r="AK51" s="9">
        <f t="shared" si="20"/>
        <v>0</v>
      </c>
      <c r="AL51" s="9">
        <f t="shared" si="21"/>
        <v>0</v>
      </c>
      <c r="AM51" s="9">
        <f t="shared" si="23"/>
        <v>15372.742399999988</v>
      </c>
      <c r="AN51" s="262">
        <v>1.2250000000000001</v>
      </c>
      <c r="AO51" s="201"/>
      <c r="AP51" s="201"/>
      <c r="AQ51" s="201"/>
      <c r="AR51" s="201"/>
      <c r="AS51" s="201">
        <f t="shared" si="28"/>
        <v>7686.3711999999941</v>
      </c>
      <c r="AT51" s="201">
        <f t="shared" ref="AT51" si="29">AJ51*50/100</f>
        <v>7686.3711999999941</v>
      </c>
      <c r="AU51" s="9">
        <f t="shared" si="26"/>
        <v>7686.3711999999941</v>
      </c>
      <c r="AV51" s="9">
        <f t="shared" si="26"/>
        <v>7686.3711999999941</v>
      </c>
      <c r="AW51" s="263">
        <f t="shared" si="27"/>
        <v>15372.742399999988</v>
      </c>
    </row>
    <row r="52" spans="1:49" ht="18.75" hidden="1" customHeight="1">
      <c r="A52" s="3"/>
      <c r="B52" s="254" t="s">
        <v>68</v>
      </c>
      <c r="C52" s="255">
        <v>125.6</v>
      </c>
      <c r="D52" s="256">
        <v>32294.6</v>
      </c>
      <c r="E52" s="255">
        <v>98</v>
      </c>
      <c r="F52" s="257">
        <f t="shared" si="22"/>
        <v>63374.1</v>
      </c>
      <c r="G52" s="257">
        <f t="shared" si="16"/>
        <v>59244.025799999996</v>
      </c>
      <c r="H52" s="257">
        <v>50619.7</v>
      </c>
      <c r="I52" s="257">
        <v>0</v>
      </c>
      <c r="J52" s="257">
        <f t="shared" si="12"/>
        <v>50619.7</v>
      </c>
      <c r="K52" s="257">
        <v>4130.0742</v>
      </c>
      <c r="L52" s="257">
        <f t="shared" si="17"/>
        <v>8624.3257999999987</v>
      </c>
      <c r="M52" s="258"/>
      <c r="N52" s="259">
        <v>125.6</v>
      </c>
      <c r="O52" s="259">
        <v>32294.6</v>
      </c>
      <c r="P52" s="259">
        <v>98</v>
      </c>
      <c r="Q52" s="259">
        <v>63374.1</v>
      </c>
      <c r="R52" s="259">
        <v>59244.025799999996</v>
      </c>
      <c r="S52" s="259">
        <v>50619.7</v>
      </c>
      <c r="T52" s="259">
        <v>0</v>
      </c>
      <c r="U52" s="259">
        <v>50619.7</v>
      </c>
      <c r="V52" s="259">
        <v>4130.0742</v>
      </c>
      <c r="W52" s="259"/>
      <c r="X52" s="259"/>
      <c r="Y52" s="259"/>
      <c r="Z52" s="259"/>
      <c r="AA52" s="260"/>
      <c r="AB52" s="259"/>
      <c r="AC52" s="259"/>
      <c r="AD52" s="259"/>
      <c r="AE52" s="259"/>
      <c r="AF52" s="235"/>
      <c r="AG52" s="259"/>
      <c r="AH52" s="259"/>
      <c r="AI52" s="9"/>
      <c r="AJ52" s="261">
        <v>8624.3257999999987</v>
      </c>
      <c r="AK52" s="9">
        <f t="shared" si="20"/>
        <v>0</v>
      </c>
      <c r="AL52" s="9">
        <f t="shared" si="21"/>
        <v>0</v>
      </c>
      <c r="AM52" s="9">
        <f t="shared" si="23"/>
        <v>8624.3257999999987</v>
      </c>
      <c r="AN52" s="262">
        <v>0.90300000000000002</v>
      </c>
      <c r="AO52" s="201"/>
      <c r="AP52" s="201"/>
      <c r="AQ52" s="201">
        <f t="shared" ref="AQ52:AQ54" si="30">AJ52*45/100</f>
        <v>3880.9466099999995</v>
      </c>
      <c r="AR52" s="201">
        <f>AJ52*55/100</f>
        <v>4743.3791899999997</v>
      </c>
      <c r="AS52" s="201"/>
      <c r="AT52" s="201"/>
      <c r="AU52" s="9">
        <f t="shared" si="26"/>
        <v>3880.9466099999995</v>
      </c>
      <c r="AV52" s="9">
        <f t="shared" si="26"/>
        <v>4743.3791899999997</v>
      </c>
      <c r="AW52" s="263">
        <f t="shared" si="27"/>
        <v>8624.3257999999987</v>
      </c>
    </row>
    <row r="53" spans="1:49" ht="18.75" hidden="1" customHeight="1">
      <c r="A53" s="3"/>
      <c r="B53" s="254" t="s">
        <v>69</v>
      </c>
      <c r="C53" s="255">
        <v>98.3</v>
      </c>
      <c r="D53" s="256">
        <v>28104.3</v>
      </c>
      <c r="E53" s="255">
        <v>98</v>
      </c>
      <c r="F53" s="257">
        <f t="shared" si="22"/>
        <v>43163.7</v>
      </c>
      <c r="G53" s="257">
        <f t="shared" si="16"/>
        <v>42775.964399999997</v>
      </c>
      <c r="H53" s="257">
        <v>38740.6</v>
      </c>
      <c r="I53" s="257">
        <v>0</v>
      </c>
      <c r="J53" s="257">
        <f t="shared" si="12"/>
        <v>38740.6</v>
      </c>
      <c r="K53" s="257">
        <v>387.73560000000003</v>
      </c>
      <c r="L53" s="257">
        <f t="shared" si="17"/>
        <v>4035.3643999999986</v>
      </c>
      <c r="M53" s="258"/>
      <c r="N53" s="259">
        <v>98.3</v>
      </c>
      <c r="O53" s="259">
        <v>28104.3</v>
      </c>
      <c r="P53" s="259">
        <v>98</v>
      </c>
      <c r="Q53" s="259">
        <v>43163.7</v>
      </c>
      <c r="R53" s="259">
        <v>42775.964399999997</v>
      </c>
      <c r="S53" s="259">
        <v>38740.6</v>
      </c>
      <c r="T53" s="259">
        <v>0</v>
      </c>
      <c r="U53" s="259">
        <v>38740.6</v>
      </c>
      <c r="V53" s="259">
        <v>387.73560000000003</v>
      </c>
      <c r="W53" s="259"/>
      <c r="X53" s="259"/>
      <c r="Y53" s="259"/>
      <c r="Z53" s="259"/>
      <c r="AA53" s="260"/>
      <c r="AB53" s="259"/>
      <c r="AC53" s="259"/>
      <c r="AD53" s="259"/>
      <c r="AE53" s="259"/>
      <c r="AF53" s="235"/>
      <c r="AG53" s="259"/>
      <c r="AH53" s="259"/>
      <c r="AI53" s="9"/>
      <c r="AJ53" s="261">
        <v>4035.3643999999986</v>
      </c>
      <c r="AK53" s="9">
        <f t="shared" si="20"/>
        <v>0</v>
      </c>
      <c r="AL53" s="9">
        <f t="shared" si="21"/>
        <v>0</v>
      </c>
      <c r="AM53" s="9">
        <f t="shared" si="23"/>
        <v>4035.3643999999986</v>
      </c>
      <c r="AN53" s="262">
        <v>0.93600000000000005</v>
      </c>
      <c r="AO53" s="201"/>
      <c r="AP53" s="201"/>
      <c r="AQ53" s="201">
        <f t="shared" si="30"/>
        <v>1815.9139799999994</v>
      </c>
      <c r="AR53" s="201">
        <f t="shared" ref="AR53:AR54" si="31">AJ53*55/100</f>
        <v>2219.4504199999992</v>
      </c>
      <c r="AS53" s="201"/>
      <c r="AT53" s="201"/>
      <c r="AU53" s="9">
        <f t="shared" si="26"/>
        <v>1815.9139799999994</v>
      </c>
      <c r="AV53" s="9">
        <f t="shared" si="26"/>
        <v>2219.4504199999992</v>
      </c>
      <c r="AW53" s="263">
        <f t="shared" si="27"/>
        <v>4035.3643999999986</v>
      </c>
    </row>
    <row r="54" spans="1:49" ht="18.75" hidden="1" customHeight="1">
      <c r="A54" s="3"/>
      <c r="B54" s="254" t="s">
        <v>55</v>
      </c>
      <c r="C54" s="255">
        <v>60.7</v>
      </c>
      <c r="D54" s="256">
        <v>30633.3</v>
      </c>
      <c r="E54" s="255">
        <v>98</v>
      </c>
      <c r="F54" s="257">
        <f t="shared" si="22"/>
        <v>29051.9</v>
      </c>
      <c r="G54" s="257">
        <f t="shared" si="16"/>
        <v>26601.275600000001</v>
      </c>
      <c r="H54" s="257">
        <v>22894.400000000001</v>
      </c>
      <c r="I54" s="257">
        <v>0</v>
      </c>
      <c r="J54" s="257">
        <f t="shared" si="12"/>
        <v>22894.400000000001</v>
      </c>
      <c r="K54" s="257">
        <v>2450.6244000000002</v>
      </c>
      <c r="L54" s="257">
        <f t="shared" si="17"/>
        <v>3706.8755999999994</v>
      </c>
      <c r="M54" s="258"/>
      <c r="N54" s="259">
        <v>60.7</v>
      </c>
      <c r="O54" s="259">
        <v>30633.3</v>
      </c>
      <c r="P54" s="259">
        <v>98</v>
      </c>
      <c r="Q54" s="259">
        <v>29051.9</v>
      </c>
      <c r="R54" s="259">
        <v>26601.275600000001</v>
      </c>
      <c r="S54" s="259">
        <v>22894.400000000001</v>
      </c>
      <c r="T54" s="259">
        <v>0</v>
      </c>
      <c r="U54" s="259">
        <v>22894.400000000001</v>
      </c>
      <c r="V54" s="259">
        <v>2450.6244000000002</v>
      </c>
      <c r="W54" s="259"/>
      <c r="X54" s="259"/>
      <c r="Y54" s="259"/>
      <c r="Z54" s="259"/>
      <c r="AA54" s="260"/>
      <c r="AB54" s="259"/>
      <c r="AC54" s="259"/>
      <c r="AD54" s="259"/>
      <c r="AE54" s="259"/>
      <c r="AF54" s="235"/>
      <c r="AG54" s="259"/>
      <c r="AH54" s="259"/>
      <c r="AI54" s="9">
        <v>477.5</v>
      </c>
      <c r="AJ54" s="261">
        <v>3706.8755999999994</v>
      </c>
      <c r="AK54" s="9">
        <f t="shared" si="20"/>
        <v>0</v>
      </c>
      <c r="AL54" s="9">
        <f t="shared" si="21"/>
        <v>0</v>
      </c>
      <c r="AM54" s="9">
        <f t="shared" si="23"/>
        <v>3229.3755999999994</v>
      </c>
      <c r="AN54" s="262">
        <v>0.97699999999999998</v>
      </c>
      <c r="AO54" s="201"/>
      <c r="AP54" s="201"/>
      <c r="AQ54" s="201">
        <f t="shared" si="30"/>
        <v>1668.0940199999998</v>
      </c>
      <c r="AR54" s="201">
        <f t="shared" si="31"/>
        <v>2038.7815799999996</v>
      </c>
      <c r="AS54" s="201"/>
      <c r="AT54" s="201"/>
      <c r="AU54" s="9">
        <f t="shared" si="26"/>
        <v>1668.0940199999998</v>
      </c>
      <c r="AV54" s="9">
        <f t="shared" si="26"/>
        <v>2038.7815799999996</v>
      </c>
      <c r="AW54" s="263">
        <f t="shared" si="27"/>
        <v>3706.8755999999994</v>
      </c>
    </row>
    <row r="55" spans="1:49" ht="18.75" hidden="1" customHeight="1">
      <c r="A55" s="3"/>
      <c r="B55" s="254" t="s">
        <v>70</v>
      </c>
      <c r="C55" s="255">
        <v>59.3</v>
      </c>
      <c r="D55" s="256">
        <v>30396</v>
      </c>
      <c r="E55" s="255">
        <v>98</v>
      </c>
      <c r="F55" s="257">
        <f t="shared" si="22"/>
        <v>28162</v>
      </c>
      <c r="G55" s="257">
        <f t="shared" si="16"/>
        <v>28162</v>
      </c>
      <c r="H55" s="257">
        <v>28162</v>
      </c>
      <c r="I55" s="257"/>
      <c r="J55" s="257">
        <f t="shared" si="12"/>
        <v>28162</v>
      </c>
      <c r="K55" s="257"/>
      <c r="L55" s="257">
        <f t="shared" si="17"/>
        <v>0</v>
      </c>
      <c r="M55" s="258"/>
      <c r="N55" s="259">
        <v>59.3</v>
      </c>
      <c r="O55" s="259">
        <v>30396</v>
      </c>
      <c r="P55" s="259">
        <v>98</v>
      </c>
      <c r="Q55" s="259">
        <v>28162</v>
      </c>
      <c r="R55" s="259">
        <v>28162</v>
      </c>
      <c r="S55" s="259">
        <v>28162</v>
      </c>
      <c r="T55" s="259"/>
      <c r="U55" s="259">
        <v>28162</v>
      </c>
      <c r="V55" s="259"/>
      <c r="W55" s="259"/>
      <c r="X55" s="259"/>
      <c r="Y55" s="259"/>
      <c r="Z55" s="259"/>
      <c r="AA55" s="260"/>
      <c r="AB55" s="259"/>
      <c r="AC55" s="259"/>
      <c r="AD55" s="259"/>
      <c r="AE55" s="259"/>
      <c r="AF55" s="235"/>
      <c r="AG55" s="259"/>
      <c r="AH55" s="259"/>
      <c r="AI55" s="9"/>
      <c r="AJ55" s="261">
        <v>0</v>
      </c>
      <c r="AK55" s="9">
        <f t="shared" si="20"/>
        <v>0</v>
      </c>
      <c r="AL55" s="9">
        <f t="shared" si="21"/>
        <v>0</v>
      </c>
      <c r="AM55" s="9">
        <f t="shared" si="23"/>
        <v>0</v>
      </c>
      <c r="AN55" s="262">
        <v>1.24</v>
      </c>
      <c r="AO55" s="201">
        <f t="shared" si="24"/>
        <v>0</v>
      </c>
      <c r="AP55" s="201">
        <f t="shared" si="25"/>
        <v>0</v>
      </c>
      <c r="AQ55" s="201">
        <f t="shared" ref="AQ55" si="32">AJ55*5/100</f>
        <v>0</v>
      </c>
      <c r="AR55" s="201">
        <f t="shared" ref="AR55" si="33">AJ55*95/100</f>
        <v>0</v>
      </c>
      <c r="AS55" s="201">
        <f t="shared" ref="AS55:AS63" si="34">AJ55*10/100</f>
        <v>0</v>
      </c>
      <c r="AT55" s="201">
        <f t="shared" ref="AT55" si="35">AJ55*90/100</f>
        <v>0</v>
      </c>
      <c r="AU55" s="9">
        <f t="shared" si="26"/>
        <v>0</v>
      </c>
      <c r="AV55" s="9">
        <f t="shared" si="26"/>
        <v>0</v>
      </c>
      <c r="AW55" s="263">
        <f t="shared" si="27"/>
        <v>0</v>
      </c>
    </row>
    <row r="56" spans="1:49" ht="18.75" hidden="1" customHeight="1">
      <c r="A56" s="265"/>
      <c r="B56" s="266"/>
      <c r="C56" s="267">
        <v>1554</v>
      </c>
      <c r="D56" s="268">
        <v>34073</v>
      </c>
      <c r="E56" s="267">
        <v>95</v>
      </c>
      <c r="F56" s="269">
        <v>827282.0818080001</v>
      </c>
      <c r="G56" s="269">
        <v>804542.78180800006</v>
      </c>
      <c r="H56" s="269">
        <v>677641.3</v>
      </c>
      <c r="I56" s="269">
        <v>7972.7</v>
      </c>
      <c r="J56" s="269">
        <v>685614</v>
      </c>
      <c r="K56" s="269">
        <v>22739.3</v>
      </c>
      <c r="L56" s="269">
        <v>118928.78180800006</v>
      </c>
      <c r="M56" s="270"/>
      <c r="N56" s="271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72"/>
      <c r="AB56" s="265"/>
      <c r="AC56" s="265"/>
      <c r="AD56" s="265"/>
      <c r="AE56" s="265"/>
      <c r="AF56" s="273"/>
      <c r="AG56" s="265"/>
      <c r="AH56" s="265"/>
      <c r="AI56" s="265"/>
      <c r="AJ56" s="274"/>
      <c r="AS56" s="275">
        <f t="shared" si="34"/>
        <v>0</v>
      </c>
      <c r="AW56" s="263">
        <f t="shared" si="27"/>
        <v>0</v>
      </c>
    </row>
    <row r="57" spans="1:49" s="210" customFormat="1" ht="28.5" hidden="1" customHeight="1">
      <c r="A57" s="273"/>
      <c r="B57" s="13" t="s">
        <v>71</v>
      </c>
      <c r="C57" s="233"/>
      <c r="D57" s="233"/>
      <c r="E57" s="233"/>
      <c r="F57" s="233"/>
      <c r="G57" s="233"/>
      <c r="H57" s="233"/>
      <c r="I57" s="233"/>
      <c r="J57" s="233"/>
      <c r="K57" s="233"/>
      <c r="L57" s="255" t="e">
        <f>#REF!+L30</f>
        <v>#REF!</v>
      </c>
      <c r="M57" s="276"/>
      <c r="N57" s="277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8"/>
      <c r="AB57" s="273"/>
      <c r="AC57" s="273"/>
      <c r="AD57" s="273"/>
      <c r="AE57" s="273"/>
      <c r="AF57" s="273"/>
      <c r="AG57" s="273"/>
      <c r="AH57" s="273"/>
      <c r="AI57" s="265"/>
      <c r="AJ57" s="274"/>
      <c r="AO57" s="279"/>
      <c r="AP57" s="279"/>
      <c r="AQ57" s="279"/>
      <c r="AR57" s="279"/>
      <c r="AS57" s="280">
        <f t="shared" si="34"/>
        <v>0</v>
      </c>
      <c r="AT57" s="279"/>
      <c r="AW57" s="263">
        <f t="shared" si="27"/>
        <v>0</v>
      </c>
    </row>
    <row r="58" spans="1:49" ht="29.25" hidden="1" customHeight="1">
      <c r="B58" s="281" t="s">
        <v>72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2"/>
      <c r="M58" s="282"/>
      <c r="N58" s="271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72"/>
      <c r="AB58" s="265"/>
      <c r="AC58" s="265"/>
      <c r="AD58" s="265"/>
      <c r="AE58" s="265"/>
      <c r="AF58" s="273"/>
      <c r="AG58" s="265"/>
      <c r="AH58" s="265"/>
      <c r="AI58" s="265"/>
      <c r="AJ58" s="274"/>
      <c r="AS58" s="280">
        <f t="shared" si="34"/>
        <v>0</v>
      </c>
      <c r="AW58" s="263">
        <f t="shared" si="27"/>
        <v>0</v>
      </c>
    </row>
    <row r="59" spans="1:49" ht="78.75" hidden="1">
      <c r="A59" s="265"/>
      <c r="B59" s="283" t="s">
        <v>33</v>
      </c>
      <c r="J59" s="284">
        <v>16904.7</v>
      </c>
      <c r="L59" s="285">
        <v>181433</v>
      </c>
      <c r="M59" s="286" t="s">
        <v>73</v>
      </c>
      <c r="N59" s="271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72"/>
      <c r="AB59" s="265"/>
      <c r="AC59" s="265"/>
      <c r="AD59" s="265"/>
      <c r="AE59" s="265"/>
      <c r="AF59" s="273"/>
      <c r="AG59" s="265"/>
      <c r="AH59" s="265"/>
      <c r="AI59" s="265"/>
      <c r="AJ59" s="274"/>
      <c r="AS59" s="280">
        <f t="shared" si="34"/>
        <v>0</v>
      </c>
      <c r="AW59" s="263">
        <f t="shared" si="27"/>
        <v>0</v>
      </c>
    </row>
    <row r="60" spans="1:49" ht="78.75" hidden="1">
      <c r="A60" s="265"/>
      <c r="B60" s="19" t="s">
        <v>74</v>
      </c>
      <c r="E60" s="287"/>
      <c r="H60" s="284"/>
      <c r="J60" s="284">
        <f>J59-I14</f>
        <v>16720.600000000002</v>
      </c>
      <c r="L60" s="288" t="e">
        <f>L57-L59</f>
        <v>#REF!</v>
      </c>
      <c r="M60" s="210"/>
      <c r="N60" s="271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72"/>
      <c r="AB60" s="265"/>
      <c r="AC60" s="265"/>
      <c r="AD60" s="265"/>
      <c r="AE60" s="265"/>
      <c r="AF60" s="273"/>
      <c r="AG60" s="265"/>
      <c r="AH60" s="265"/>
      <c r="AI60" s="265"/>
      <c r="AJ60" s="274"/>
      <c r="AS60" s="280">
        <f t="shared" si="34"/>
        <v>0</v>
      </c>
      <c r="AW60" s="263">
        <f t="shared" si="27"/>
        <v>0</v>
      </c>
    </row>
    <row r="61" spans="1:49" ht="29.25" hidden="1" customHeight="1">
      <c r="E61" s="207" t="s">
        <v>75</v>
      </c>
      <c r="L61" s="285"/>
      <c r="M61" s="210"/>
      <c r="N61" s="271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72"/>
      <c r="AB61" s="265"/>
      <c r="AC61" s="265"/>
      <c r="AD61" s="265"/>
      <c r="AE61" s="265"/>
      <c r="AF61" s="273"/>
      <c r="AG61" s="265"/>
      <c r="AH61" s="265"/>
      <c r="AI61" s="265"/>
      <c r="AJ61" s="274"/>
      <c r="AS61" s="280">
        <f t="shared" si="34"/>
        <v>0</v>
      </c>
      <c r="AW61" s="263">
        <f t="shared" si="27"/>
        <v>0</v>
      </c>
    </row>
    <row r="62" spans="1:49" hidden="1">
      <c r="I62" s="207" t="s">
        <v>76</v>
      </c>
      <c r="L62" s="285"/>
      <c r="M62" s="210"/>
      <c r="N62" s="271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72"/>
      <c r="AB62" s="265"/>
      <c r="AC62" s="265"/>
      <c r="AD62" s="265"/>
      <c r="AE62" s="265"/>
      <c r="AF62" s="273"/>
      <c r="AG62" s="265"/>
      <c r="AH62" s="265"/>
      <c r="AI62" s="265"/>
      <c r="AJ62" s="274"/>
      <c r="AS62" s="280">
        <f t="shared" si="34"/>
        <v>0</v>
      </c>
      <c r="AW62" s="263">
        <f t="shared" si="27"/>
        <v>0</v>
      </c>
    </row>
    <row r="63" spans="1:49" hidden="1">
      <c r="N63" s="271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72"/>
      <c r="AB63" s="265"/>
      <c r="AC63" s="265"/>
      <c r="AD63" s="265"/>
      <c r="AE63" s="265"/>
      <c r="AF63" s="273"/>
      <c r="AG63" s="265"/>
      <c r="AH63" s="265"/>
      <c r="AI63" s="265"/>
      <c r="AJ63" s="274"/>
      <c r="AS63" s="280">
        <f t="shared" si="34"/>
        <v>0</v>
      </c>
      <c r="AW63" s="263">
        <f t="shared" si="27"/>
        <v>0</v>
      </c>
    </row>
    <row r="64" spans="1:49" hidden="1"/>
    <row r="65" spans="1:123" ht="18.75" hidden="1">
      <c r="B65" s="289"/>
      <c r="AI65" s="289" t="s">
        <v>77</v>
      </c>
      <c r="AJ65" s="290">
        <f>AU30</f>
        <v>47046.996349999979</v>
      </c>
      <c r="AM65" s="291">
        <f>AJ65/AJ30</f>
        <v>0.4514120535119992</v>
      </c>
    </row>
    <row r="66" spans="1:123" ht="18.75" hidden="1">
      <c r="B66" s="289"/>
      <c r="AI66" s="289" t="s">
        <v>78</v>
      </c>
      <c r="AJ66" s="290">
        <f>AV30</f>
        <v>57174.847050000004</v>
      </c>
      <c r="AM66" s="291">
        <f>AJ66/AJ30</f>
        <v>0.54858794648800113</v>
      </c>
    </row>
    <row r="67" spans="1:123" hidden="1"/>
    <row r="68" spans="1:123" s="295" customFormat="1" ht="48" customHeight="1">
      <c r="A68" s="348"/>
      <c r="B68" s="348" t="s">
        <v>2</v>
      </c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349" t="s">
        <v>149</v>
      </c>
      <c r="X68" s="348" t="s">
        <v>150</v>
      </c>
      <c r="Y68" s="348" t="s">
        <v>158</v>
      </c>
      <c r="Z68" s="363" t="s">
        <v>159</v>
      </c>
      <c r="AA68" s="365" t="s">
        <v>79</v>
      </c>
      <c r="AB68" s="362" t="s">
        <v>80</v>
      </c>
      <c r="AC68" s="366" t="s">
        <v>81</v>
      </c>
      <c r="AD68" s="367"/>
      <c r="AE68" s="367"/>
      <c r="AF68" s="368"/>
      <c r="AG68" s="362" t="s">
        <v>82</v>
      </c>
      <c r="AH68" s="352" t="s">
        <v>7</v>
      </c>
      <c r="AI68" s="292"/>
      <c r="AJ68" s="293"/>
      <c r="AK68" s="292"/>
      <c r="AL68" s="292"/>
      <c r="AM68" s="292"/>
      <c r="AN68" s="362" t="s">
        <v>9</v>
      </c>
      <c r="AO68" s="361" t="s">
        <v>113</v>
      </c>
      <c r="AP68" s="361"/>
      <c r="AQ68" s="361"/>
      <c r="AR68" s="361"/>
      <c r="AS68" s="361"/>
      <c r="AT68" s="361"/>
      <c r="AU68" s="357" t="s">
        <v>85</v>
      </c>
      <c r="AV68" s="357" t="s">
        <v>86</v>
      </c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4"/>
      <c r="CB68" s="294"/>
      <c r="CC68" s="294"/>
      <c r="CD68" s="294"/>
      <c r="CE68" s="294"/>
      <c r="CF68" s="294"/>
      <c r="CG68" s="294"/>
      <c r="CH68" s="294"/>
      <c r="CI68" s="294"/>
      <c r="CJ68" s="294"/>
      <c r="CK68" s="294"/>
      <c r="CL68" s="294"/>
      <c r="CM68" s="294"/>
      <c r="CN68" s="294"/>
      <c r="CO68" s="294"/>
      <c r="CP68" s="294"/>
      <c r="CQ68" s="294"/>
      <c r="CR68" s="294"/>
      <c r="CS68" s="294"/>
      <c r="CT68" s="294"/>
      <c r="CU68" s="294"/>
      <c r="CV68" s="294"/>
      <c r="CW68" s="294"/>
      <c r="CX68" s="294"/>
      <c r="CY68" s="294"/>
      <c r="CZ68" s="294"/>
      <c r="DA68" s="294"/>
      <c r="DB68" s="294"/>
      <c r="DC68" s="294"/>
      <c r="DD68" s="294"/>
      <c r="DE68" s="294"/>
      <c r="DF68" s="294"/>
      <c r="DG68" s="294"/>
      <c r="DH68" s="294"/>
      <c r="DI68" s="294"/>
      <c r="DJ68" s="294"/>
      <c r="DK68" s="294"/>
      <c r="DL68" s="294"/>
      <c r="DM68" s="294"/>
      <c r="DN68" s="294"/>
      <c r="DO68" s="294"/>
      <c r="DP68" s="294"/>
      <c r="DQ68" s="294"/>
      <c r="DR68" s="353" t="s">
        <v>155</v>
      </c>
      <c r="DS68" s="353"/>
    </row>
    <row r="69" spans="1:123" s="295" customFormat="1" ht="156.75" customHeight="1">
      <c r="A69" s="348"/>
      <c r="B69" s="348"/>
      <c r="C69" s="292"/>
      <c r="D69" s="292"/>
      <c r="E69" s="296"/>
      <c r="F69" s="297"/>
      <c r="G69" s="297"/>
      <c r="H69" s="297"/>
      <c r="I69" s="297"/>
      <c r="J69" s="297"/>
      <c r="K69" s="297"/>
      <c r="L69" s="297"/>
      <c r="M69" s="297"/>
      <c r="N69" s="292"/>
      <c r="O69" s="292"/>
      <c r="P69" s="292"/>
      <c r="Q69" s="292"/>
      <c r="R69" s="292"/>
      <c r="S69" s="292"/>
      <c r="T69" s="292"/>
      <c r="U69" s="292"/>
      <c r="V69" s="292"/>
      <c r="W69" s="350"/>
      <c r="X69" s="348"/>
      <c r="Y69" s="348"/>
      <c r="Z69" s="363"/>
      <c r="AA69" s="365"/>
      <c r="AB69" s="362"/>
      <c r="AC69" s="297" t="s">
        <v>151</v>
      </c>
      <c r="AD69" s="297" t="s">
        <v>152</v>
      </c>
      <c r="AE69" s="297" t="s">
        <v>4</v>
      </c>
      <c r="AF69" s="298" t="s">
        <v>5</v>
      </c>
      <c r="AG69" s="362"/>
      <c r="AH69" s="352"/>
      <c r="AI69" s="292" t="s">
        <v>93</v>
      </c>
      <c r="AJ69" s="352" t="s">
        <v>7</v>
      </c>
      <c r="AK69" s="292"/>
      <c r="AL69" s="297"/>
      <c r="AM69" s="297" t="s">
        <v>8</v>
      </c>
      <c r="AN69" s="362"/>
      <c r="AO69" s="351" t="s">
        <v>10</v>
      </c>
      <c r="AP69" s="351" t="s">
        <v>11</v>
      </c>
      <c r="AQ69" s="351" t="s">
        <v>12</v>
      </c>
      <c r="AR69" s="351" t="s">
        <v>13</v>
      </c>
      <c r="AS69" s="351" t="s">
        <v>14</v>
      </c>
      <c r="AT69" s="351" t="s">
        <v>15</v>
      </c>
      <c r="AU69" s="357"/>
      <c r="AV69" s="357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4"/>
      <c r="CB69" s="294"/>
      <c r="CC69" s="294"/>
      <c r="CD69" s="294"/>
      <c r="CE69" s="294"/>
      <c r="CF69" s="294"/>
      <c r="CG69" s="294"/>
      <c r="CH69" s="294"/>
      <c r="CI69" s="294"/>
      <c r="CJ69" s="294"/>
      <c r="CK69" s="294"/>
      <c r="CL69" s="294"/>
      <c r="CM69" s="294"/>
      <c r="CN69" s="294"/>
      <c r="CO69" s="294"/>
      <c r="CP69" s="294"/>
      <c r="CQ69" s="294"/>
      <c r="CR69" s="294"/>
      <c r="CS69" s="294"/>
      <c r="CT69" s="294"/>
      <c r="CU69" s="294"/>
      <c r="CV69" s="294"/>
      <c r="CW69" s="294"/>
      <c r="CX69" s="294"/>
      <c r="CY69" s="294"/>
      <c r="CZ69" s="294"/>
      <c r="DA69" s="294"/>
      <c r="DB69" s="294"/>
      <c r="DC69" s="294"/>
      <c r="DD69" s="294"/>
      <c r="DE69" s="294"/>
      <c r="DF69" s="294"/>
      <c r="DG69" s="294"/>
      <c r="DH69" s="294"/>
      <c r="DI69" s="294"/>
      <c r="DJ69" s="294"/>
      <c r="DK69" s="294"/>
      <c r="DL69" s="294"/>
      <c r="DM69" s="294"/>
      <c r="DN69" s="294"/>
      <c r="DO69" s="294"/>
      <c r="DP69" s="294"/>
      <c r="DQ69" s="294"/>
      <c r="DR69" s="299" t="s">
        <v>156</v>
      </c>
      <c r="DS69" s="299" t="s">
        <v>157</v>
      </c>
    </row>
    <row r="70" spans="1:123" ht="90.75" hidden="1" customHeight="1">
      <c r="A70" s="348"/>
      <c r="B70" s="348"/>
      <c r="C70" s="206"/>
      <c r="D70" s="206"/>
      <c r="E70" s="213"/>
      <c r="F70" s="214"/>
      <c r="G70" s="214"/>
      <c r="H70" s="214" t="s">
        <v>3</v>
      </c>
      <c r="I70" s="214" t="s">
        <v>4</v>
      </c>
      <c r="J70" s="214" t="s">
        <v>5</v>
      </c>
      <c r="K70" s="214"/>
      <c r="L70" s="214"/>
      <c r="M70" s="214"/>
      <c r="N70" s="206"/>
      <c r="O70" s="206"/>
      <c r="P70" s="206"/>
      <c r="Q70" s="206"/>
      <c r="R70" s="206"/>
      <c r="S70" s="206" t="s">
        <v>3</v>
      </c>
      <c r="T70" s="206" t="s">
        <v>4</v>
      </c>
      <c r="U70" s="206" t="s">
        <v>5</v>
      </c>
      <c r="V70" s="206"/>
      <c r="W70" s="206"/>
      <c r="X70" s="348"/>
      <c r="Y70" s="348"/>
      <c r="Z70" s="364"/>
      <c r="AA70" s="365"/>
      <c r="AB70" s="362"/>
      <c r="AC70" s="214"/>
      <c r="AD70" s="214"/>
      <c r="AE70" s="214" t="s">
        <v>4</v>
      </c>
      <c r="AF70" s="300" t="s">
        <v>5</v>
      </c>
      <c r="AG70" s="362"/>
      <c r="AH70" s="352"/>
      <c r="AI70" s="206"/>
      <c r="AJ70" s="352"/>
      <c r="AK70" s="206"/>
      <c r="AL70" s="214"/>
      <c r="AM70" s="214"/>
      <c r="AN70" s="362"/>
      <c r="AO70" s="351"/>
      <c r="AP70" s="351"/>
      <c r="AQ70" s="351"/>
      <c r="AR70" s="351"/>
      <c r="AS70" s="351"/>
      <c r="AT70" s="351"/>
      <c r="AU70" s="357"/>
      <c r="AV70" s="357"/>
      <c r="AW70" s="301"/>
      <c r="AX70" s="301"/>
      <c r="AY70" s="301"/>
      <c r="AZ70" s="301"/>
      <c r="BA70" s="301"/>
      <c r="BB70" s="301"/>
      <c r="BC70" s="301"/>
      <c r="BD70" s="301"/>
      <c r="BE70" s="301"/>
      <c r="BF70" s="301"/>
      <c r="BG70" s="301"/>
      <c r="BH70" s="301"/>
      <c r="BI70" s="301"/>
      <c r="BJ70" s="301"/>
      <c r="BK70" s="301"/>
      <c r="BL70" s="301"/>
      <c r="BM70" s="301"/>
      <c r="BN70" s="301"/>
      <c r="BO70" s="301"/>
      <c r="BP70" s="301"/>
      <c r="BQ70" s="301"/>
      <c r="BR70" s="301"/>
      <c r="BS70" s="301"/>
      <c r="BT70" s="301"/>
      <c r="BU70" s="301"/>
      <c r="BV70" s="301"/>
      <c r="BW70" s="301"/>
      <c r="BX70" s="301"/>
      <c r="BY70" s="301"/>
      <c r="BZ70" s="301"/>
      <c r="CA70" s="301"/>
      <c r="CB70" s="301"/>
      <c r="CC70" s="301"/>
      <c r="CD70" s="301"/>
      <c r="CE70" s="301"/>
      <c r="CF70" s="301"/>
      <c r="CG70" s="301"/>
      <c r="CH70" s="301"/>
      <c r="CI70" s="301"/>
      <c r="CJ70" s="301"/>
      <c r="CK70" s="301"/>
      <c r="CL70" s="301"/>
      <c r="CM70" s="301"/>
      <c r="CN70" s="301"/>
      <c r="CO70" s="301"/>
      <c r="CP70" s="301"/>
      <c r="CQ70" s="301"/>
      <c r="CR70" s="301"/>
      <c r="CS70" s="301"/>
      <c r="CT70" s="301"/>
      <c r="CU70" s="301"/>
      <c r="CV70" s="301"/>
      <c r="CW70" s="301"/>
      <c r="CX70" s="301"/>
      <c r="CY70" s="301"/>
      <c r="CZ70" s="301"/>
      <c r="DA70" s="301"/>
      <c r="DB70" s="301"/>
      <c r="DC70" s="301"/>
      <c r="DD70" s="301"/>
      <c r="DE70" s="301"/>
      <c r="DF70" s="301"/>
      <c r="DG70" s="301"/>
      <c r="DH70" s="301"/>
      <c r="DI70" s="301"/>
      <c r="DJ70" s="301"/>
      <c r="DK70" s="301"/>
      <c r="DL70" s="301"/>
      <c r="DM70" s="301"/>
      <c r="DN70" s="301"/>
      <c r="DO70" s="301"/>
      <c r="DP70" s="301"/>
      <c r="DQ70" s="301"/>
      <c r="DR70" s="302"/>
      <c r="DS70" s="302"/>
    </row>
    <row r="71" spans="1:123" s="222" customFormat="1" ht="53.25" customHeight="1">
      <c r="A71" s="206">
        <v>1</v>
      </c>
      <c r="B71" s="206">
        <v>2</v>
      </c>
      <c r="C71" s="206"/>
      <c r="D71" s="206"/>
      <c r="E71" s="213"/>
      <c r="F71" s="213"/>
      <c r="G71" s="213"/>
      <c r="H71" s="213"/>
      <c r="I71" s="213"/>
      <c r="J71" s="213"/>
      <c r="K71" s="213"/>
      <c r="L71" s="213"/>
      <c r="M71" s="213"/>
      <c r="N71" s="206"/>
      <c r="O71" s="206"/>
      <c r="P71" s="206"/>
      <c r="Q71" s="206"/>
      <c r="R71" s="206"/>
      <c r="S71" s="206"/>
      <c r="T71" s="206"/>
      <c r="U71" s="206"/>
      <c r="V71" s="206"/>
      <c r="W71" s="206" t="s">
        <v>94</v>
      </c>
      <c r="X71" s="206">
        <v>3</v>
      </c>
      <c r="Y71" s="206" t="s">
        <v>96</v>
      </c>
      <c r="Z71" s="213">
        <v>5</v>
      </c>
      <c r="AA71" s="215" t="s">
        <v>95</v>
      </c>
      <c r="AB71" s="303" t="s">
        <v>97</v>
      </c>
      <c r="AC71" s="303">
        <v>8</v>
      </c>
      <c r="AD71" s="303" t="s">
        <v>153</v>
      </c>
      <c r="AE71" s="303">
        <v>9</v>
      </c>
      <c r="AF71" s="304" t="s">
        <v>154</v>
      </c>
      <c r="AG71" s="303">
        <v>11</v>
      </c>
      <c r="AH71" s="303" t="s">
        <v>98</v>
      </c>
      <c r="AI71" s="206">
        <v>3</v>
      </c>
      <c r="AJ71" s="216">
        <v>13</v>
      </c>
      <c r="AK71" s="206"/>
      <c r="AL71" s="206"/>
      <c r="AM71" s="206" t="s">
        <v>18</v>
      </c>
      <c r="AN71" s="206">
        <v>14</v>
      </c>
      <c r="AO71" s="205" t="s">
        <v>87</v>
      </c>
      <c r="AP71" s="205" t="s">
        <v>88</v>
      </c>
      <c r="AQ71" s="205" t="s">
        <v>89</v>
      </c>
      <c r="AR71" s="205" t="s">
        <v>90</v>
      </c>
      <c r="AS71" s="205" t="s">
        <v>91</v>
      </c>
      <c r="AT71" s="205" t="s">
        <v>92</v>
      </c>
      <c r="AU71" s="206" t="s">
        <v>99</v>
      </c>
      <c r="AV71" s="206" t="s">
        <v>100</v>
      </c>
      <c r="AW71" s="301"/>
      <c r="AX71" s="301"/>
      <c r="AY71" s="301"/>
      <c r="AZ71" s="301"/>
      <c r="BA71" s="301"/>
      <c r="BB71" s="301"/>
      <c r="BC71" s="301"/>
      <c r="BD71" s="301"/>
      <c r="BE71" s="301"/>
      <c r="BF71" s="301"/>
      <c r="BG71" s="301"/>
      <c r="BH71" s="301"/>
      <c r="BI71" s="301"/>
      <c r="BJ71" s="301"/>
      <c r="BK71" s="301"/>
      <c r="BL71" s="301"/>
      <c r="BM71" s="301"/>
      <c r="BN71" s="301"/>
      <c r="BO71" s="301"/>
      <c r="BP71" s="301"/>
      <c r="BQ71" s="301"/>
      <c r="BR71" s="301"/>
      <c r="BS71" s="301"/>
      <c r="BT71" s="301"/>
      <c r="BU71" s="301"/>
      <c r="BV71" s="301"/>
      <c r="BW71" s="301"/>
      <c r="BX71" s="301"/>
      <c r="BY71" s="301"/>
      <c r="BZ71" s="301"/>
      <c r="CA71" s="301"/>
      <c r="CB71" s="301"/>
      <c r="CC71" s="301"/>
      <c r="CD71" s="301"/>
      <c r="CE71" s="301"/>
      <c r="CF71" s="301"/>
      <c r="CG71" s="301"/>
      <c r="CH71" s="301"/>
      <c r="CI71" s="301"/>
      <c r="CJ71" s="301"/>
      <c r="CK71" s="301"/>
      <c r="CL71" s="301"/>
      <c r="CM71" s="301"/>
      <c r="CN71" s="301"/>
      <c r="CO71" s="301"/>
      <c r="CP71" s="301"/>
      <c r="CQ71" s="301"/>
      <c r="CR71" s="301"/>
      <c r="CS71" s="301"/>
      <c r="CT71" s="301"/>
      <c r="CU71" s="301"/>
      <c r="CV71" s="301"/>
      <c r="CW71" s="301"/>
      <c r="CX71" s="301"/>
      <c r="CY71" s="301"/>
      <c r="CZ71" s="301"/>
      <c r="DA71" s="301"/>
      <c r="DB71" s="301"/>
      <c r="DC71" s="301"/>
      <c r="DD71" s="301"/>
      <c r="DE71" s="301"/>
      <c r="DF71" s="301"/>
      <c r="DG71" s="301"/>
      <c r="DH71" s="301"/>
      <c r="DI71" s="301"/>
      <c r="DJ71" s="301"/>
      <c r="DK71" s="301"/>
      <c r="DL71" s="301"/>
      <c r="DM71" s="301"/>
      <c r="DN71" s="301"/>
      <c r="DO71" s="301"/>
      <c r="DP71" s="301"/>
      <c r="DQ71" s="301"/>
      <c r="DR71" s="303"/>
      <c r="DS71" s="303"/>
    </row>
    <row r="72" spans="1:123" ht="81" hidden="1" customHeight="1">
      <c r="A72" s="3">
        <v>1</v>
      </c>
      <c r="B72" s="223" t="s">
        <v>28</v>
      </c>
      <c r="C72" s="224">
        <v>7210.9</v>
      </c>
      <c r="D72" s="225">
        <v>29420</v>
      </c>
      <c r="E72" s="224">
        <v>100</v>
      </c>
      <c r="F72" s="226">
        <f t="shared" ref="F72:F75" si="36">C72*D72*12*1.302/1000</f>
        <v>3314548.4490720001</v>
      </c>
      <c r="G72" s="226">
        <f>F72-K72</f>
        <v>3304925.349072</v>
      </c>
      <c r="H72" s="226">
        <v>3413618.6867999998</v>
      </c>
      <c r="I72" s="226">
        <v>64735.519999999997</v>
      </c>
      <c r="J72" s="226">
        <f>H72+I72</f>
        <v>3478354.2067999998</v>
      </c>
      <c r="K72" s="226">
        <v>9623.1</v>
      </c>
      <c r="L72" s="226">
        <f>G72-J72</f>
        <v>-173428.8577279998</v>
      </c>
      <c r="M72" s="227" t="s">
        <v>29</v>
      </c>
      <c r="N72" s="228">
        <v>7210.9</v>
      </c>
      <c r="O72" s="228">
        <v>29420</v>
      </c>
      <c r="P72" s="228">
        <v>100</v>
      </c>
      <c r="Q72" s="228">
        <v>3314548.4490720001</v>
      </c>
      <c r="R72" s="228">
        <v>3304925.349072</v>
      </c>
      <c r="S72" s="228">
        <v>3413618.6867999998</v>
      </c>
      <c r="T72" s="228">
        <v>64735.519999999997</v>
      </c>
      <c r="U72" s="228">
        <v>3478354.2067999998</v>
      </c>
      <c r="V72" s="228">
        <v>9623.1</v>
      </c>
      <c r="W72" s="228"/>
      <c r="X72" s="223"/>
      <c r="Y72" s="223"/>
      <c r="Z72" s="219"/>
      <c r="AA72" s="305"/>
      <c r="AB72" s="306"/>
      <c r="AC72" s="306"/>
      <c r="AD72" s="306"/>
      <c r="AE72" s="228"/>
      <c r="AF72" s="230"/>
      <c r="AG72" s="228"/>
      <c r="AH72" s="228"/>
      <c r="AI72" s="206"/>
      <c r="AJ72" s="230">
        <v>-173428.8577279998</v>
      </c>
      <c r="AK72" s="3"/>
      <c r="AL72" s="3"/>
      <c r="AM72" s="3"/>
      <c r="AN72" s="3"/>
      <c r="AO72" s="203"/>
      <c r="AP72" s="203"/>
      <c r="AQ72" s="203"/>
      <c r="AR72" s="203"/>
      <c r="AS72" s="203"/>
      <c r="AT72" s="203"/>
      <c r="AU72" s="3"/>
      <c r="AV72" s="3"/>
      <c r="DR72" s="228"/>
      <c r="DS72" s="228"/>
    </row>
    <row r="73" spans="1:123" ht="45" hidden="1" customHeight="1">
      <c r="A73" s="3">
        <v>2</v>
      </c>
      <c r="B73" s="223" t="s">
        <v>30</v>
      </c>
      <c r="C73" s="224">
        <f t="shared" ref="C73" si="37">C74+C75</f>
        <v>10565</v>
      </c>
      <c r="D73" s="225">
        <v>34903.699999999997</v>
      </c>
      <c r="E73" s="224">
        <v>100</v>
      </c>
      <c r="F73" s="226">
        <f t="shared" si="36"/>
        <v>5761468.5939719994</v>
      </c>
      <c r="G73" s="226">
        <f t="shared" ref="G73:G75" si="38">F73-K73</f>
        <v>5731651.587572</v>
      </c>
      <c r="H73" s="224">
        <f t="shared" ref="H73:J73" si="39">H74+H75</f>
        <v>5508195.1956000002</v>
      </c>
      <c r="I73" s="224">
        <f t="shared" si="39"/>
        <v>145136.87</v>
      </c>
      <c r="J73" s="224">
        <f t="shared" si="39"/>
        <v>5653332.0655999994</v>
      </c>
      <c r="K73" s="224">
        <v>29817.006399999489</v>
      </c>
      <c r="L73" s="226">
        <f>G73-J73</f>
        <v>78319.521972000599</v>
      </c>
      <c r="M73" s="356" t="s">
        <v>31</v>
      </c>
      <c r="N73" s="228">
        <v>10565</v>
      </c>
      <c r="O73" s="228">
        <v>34903.699999999997</v>
      </c>
      <c r="P73" s="228">
        <v>100</v>
      </c>
      <c r="Q73" s="228">
        <v>5761468.5939719994</v>
      </c>
      <c r="R73" s="228">
        <v>5731651.587572</v>
      </c>
      <c r="S73" s="228">
        <v>5508195.1956000002</v>
      </c>
      <c r="T73" s="228">
        <v>145136.87</v>
      </c>
      <c r="U73" s="228">
        <v>5653332.0655999994</v>
      </c>
      <c r="V73" s="228">
        <v>29817.006399999489</v>
      </c>
      <c r="W73" s="228"/>
      <c r="X73" s="228"/>
      <c r="Y73" s="228"/>
      <c r="Z73" s="228"/>
      <c r="AA73" s="229"/>
      <c r="AB73" s="228"/>
      <c r="AC73" s="228"/>
      <c r="AD73" s="228"/>
      <c r="AE73" s="228"/>
      <c r="AF73" s="230"/>
      <c r="AG73" s="228"/>
      <c r="AH73" s="228"/>
      <c r="AI73" s="228"/>
      <c r="AJ73" s="230">
        <v>78319.521972000599</v>
      </c>
      <c r="AK73" s="3"/>
      <c r="AL73" s="3"/>
      <c r="AM73" s="3"/>
      <c r="AN73" s="3"/>
      <c r="AO73" s="203"/>
      <c r="AP73" s="203"/>
      <c r="AQ73" s="203"/>
      <c r="AR73" s="203"/>
      <c r="AS73" s="203"/>
      <c r="AT73" s="203"/>
      <c r="AU73" s="3"/>
      <c r="AV73" s="3"/>
      <c r="DR73" s="228"/>
      <c r="DS73" s="228"/>
    </row>
    <row r="74" spans="1:123" ht="36.75" hidden="1" customHeight="1">
      <c r="A74" s="3"/>
      <c r="B74" s="223" t="s">
        <v>32</v>
      </c>
      <c r="C74" s="224">
        <v>773</v>
      </c>
      <c r="D74" s="225">
        <v>34903.699999999997</v>
      </c>
      <c r="E74" s="224">
        <v>100</v>
      </c>
      <c r="F74" s="226">
        <f t="shared" si="36"/>
        <v>421544.27100239997</v>
      </c>
      <c r="G74" s="226">
        <f t="shared" si="38"/>
        <v>421377.97100240004</v>
      </c>
      <c r="H74" s="226">
        <f>417219.1-5489.6</f>
        <v>411729.5</v>
      </c>
      <c r="I74" s="226">
        <v>5489.6</v>
      </c>
      <c r="J74" s="226">
        <f t="shared" ref="J74:J75" si="40">H74+I74</f>
        <v>417219.1</v>
      </c>
      <c r="K74" s="226">
        <v>166.29999999993015</v>
      </c>
      <c r="L74" s="231">
        <f t="shared" ref="L74:L75" si="41">G74-J74</f>
        <v>4158.8710024000611</v>
      </c>
      <c r="M74" s="356"/>
      <c r="N74" s="228">
        <v>773</v>
      </c>
      <c r="O74" s="228">
        <v>34903.699999999997</v>
      </c>
      <c r="P74" s="228">
        <v>100</v>
      </c>
      <c r="Q74" s="228">
        <v>421544.27100239997</v>
      </c>
      <c r="R74" s="228">
        <v>421377.97100240004</v>
      </c>
      <c r="S74" s="228">
        <v>411729.5</v>
      </c>
      <c r="T74" s="228">
        <v>5489.6</v>
      </c>
      <c r="U74" s="228">
        <v>417219.1</v>
      </c>
      <c r="V74" s="228">
        <v>166.29999999993015</v>
      </c>
      <c r="W74" s="228"/>
      <c r="X74" s="228"/>
      <c r="Y74" s="228"/>
      <c r="Z74" s="228"/>
      <c r="AA74" s="229"/>
      <c r="AB74" s="228"/>
      <c r="AC74" s="228"/>
      <c r="AD74" s="228"/>
      <c r="AE74" s="228"/>
      <c r="AF74" s="230"/>
      <c r="AG74" s="228"/>
      <c r="AH74" s="228"/>
      <c r="AI74" s="228"/>
      <c r="AJ74" s="230">
        <v>4158.8710024000611</v>
      </c>
      <c r="AK74" s="3"/>
      <c r="AL74" s="3"/>
      <c r="AM74" s="3"/>
      <c r="AN74" s="3"/>
      <c r="AO74" s="203"/>
      <c r="AP74" s="203"/>
      <c r="AQ74" s="203"/>
      <c r="AR74" s="203"/>
      <c r="AS74" s="203"/>
      <c r="AT74" s="203"/>
      <c r="AU74" s="3"/>
      <c r="AV74" s="3"/>
      <c r="DR74" s="228"/>
      <c r="DS74" s="228"/>
    </row>
    <row r="75" spans="1:123" ht="57.75" hidden="1" customHeight="1">
      <c r="A75" s="3"/>
      <c r="B75" s="223" t="s">
        <v>33</v>
      </c>
      <c r="C75" s="224">
        <v>9792</v>
      </c>
      <c r="D75" s="225">
        <v>34903.699999999997</v>
      </c>
      <c r="E75" s="224">
        <v>100</v>
      </c>
      <c r="F75" s="226">
        <f t="shared" si="36"/>
        <v>5339924.3229695996</v>
      </c>
      <c r="G75" s="226">
        <f t="shared" si="38"/>
        <v>5310273.6165696001</v>
      </c>
      <c r="H75" s="226">
        <v>5096465.6956000002</v>
      </c>
      <c r="I75" s="226">
        <v>139647.26999999999</v>
      </c>
      <c r="J75" s="226">
        <f t="shared" si="40"/>
        <v>5236112.9655999998</v>
      </c>
      <c r="K75" s="226">
        <v>29650.706399999559</v>
      </c>
      <c r="L75" s="226">
        <f t="shared" si="41"/>
        <v>74160.650969600305</v>
      </c>
      <c r="M75" s="356"/>
      <c r="N75" s="228">
        <v>9792</v>
      </c>
      <c r="O75" s="228">
        <v>34903.699999999997</v>
      </c>
      <c r="P75" s="228">
        <v>100</v>
      </c>
      <c r="Q75" s="228">
        <v>5339924.3229695996</v>
      </c>
      <c r="R75" s="228">
        <v>5310273.6165696001</v>
      </c>
      <c r="S75" s="228">
        <v>5096465.6956000002</v>
      </c>
      <c r="T75" s="228">
        <v>139647.26999999999</v>
      </c>
      <c r="U75" s="228">
        <v>5236112.9655999998</v>
      </c>
      <c r="V75" s="228">
        <v>29650.706399999559</v>
      </c>
      <c r="W75" s="228"/>
      <c r="X75" s="228"/>
      <c r="Y75" s="228"/>
      <c r="Z75" s="228"/>
      <c r="AA75" s="229"/>
      <c r="AB75" s="228"/>
      <c r="AC75" s="228"/>
      <c r="AD75" s="228"/>
      <c r="AE75" s="228"/>
      <c r="AF75" s="230"/>
      <c r="AG75" s="228"/>
      <c r="AH75" s="228"/>
      <c r="AI75" s="228"/>
      <c r="AJ75" s="230">
        <v>74160.650969600305</v>
      </c>
      <c r="AK75" s="3"/>
      <c r="AL75" s="3"/>
      <c r="AM75" s="3"/>
      <c r="AN75" s="3"/>
      <c r="AO75" s="203"/>
      <c r="AP75" s="203"/>
      <c r="AQ75" s="203"/>
      <c r="AR75" s="203"/>
      <c r="AS75" s="203"/>
      <c r="AT75" s="203"/>
      <c r="AU75" s="3"/>
      <c r="AV75" s="3"/>
      <c r="DR75" s="228"/>
      <c r="DS75" s="228"/>
    </row>
    <row r="76" spans="1:123" ht="36.75" hidden="1" customHeight="1">
      <c r="A76" s="232"/>
      <c r="B76" s="13" t="s">
        <v>34</v>
      </c>
      <c r="C76" s="233">
        <f>C77+C80+C95</f>
        <v>1937.6</v>
      </c>
      <c r="D76" s="234">
        <v>34072.800000000003</v>
      </c>
      <c r="E76" s="233">
        <v>95</v>
      </c>
      <c r="F76" s="234">
        <f t="shared" ref="F76:L76" si="42">F77+F80+F95</f>
        <v>1031493.7835215199</v>
      </c>
      <c r="G76" s="234">
        <f t="shared" si="42"/>
        <v>1004196.0277215198</v>
      </c>
      <c r="H76" s="234">
        <f t="shared" si="42"/>
        <v>924754.98600000003</v>
      </c>
      <c r="I76" s="234">
        <f t="shared" si="42"/>
        <v>13858.02</v>
      </c>
      <c r="J76" s="234">
        <f t="shared" si="42"/>
        <v>938613.00599999994</v>
      </c>
      <c r="K76" s="234">
        <f t="shared" si="42"/>
        <v>27297.755800000003</v>
      </c>
      <c r="L76" s="234">
        <f t="shared" si="42"/>
        <v>65583.021721519981</v>
      </c>
      <c r="M76" s="354" t="s">
        <v>35</v>
      </c>
      <c r="N76" s="235">
        <v>1937</v>
      </c>
      <c r="O76" s="236">
        <v>34072.800000000003</v>
      </c>
      <c r="P76" s="235">
        <v>95</v>
      </c>
      <c r="Q76" s="235">
        <v>1031174.3698127199</v>
      </c>
      <c r="R76" s="235">
        <v>1003876.6140127198</v>
      </c>
      <c r="S76" s="235">
        <v>926564.98600000003</v>
      </c>
      <c r="T76" s="235">
        <v>13858.02</v>
      </c>
      <c r="U76" s="235">
        <v>940423.00599999994</v>
      </c>
      <c r="V76" s="235">
        <v>27297.755800000003</v>
      </c>
      <c r="W76" s="235"/>
      <c r="X76" s="235"/>
      <c r="Y76" s="235"/>
      <c r="Z76" s="235"/>
      <c r="AA76" s="237"/>
      <c r="AB76" s="235"/>
      <c r="AC76" s="235"/>
      <c r="AD76" s="235"/>
      <c r="AE76" s="235"/>
      <c r="AF76" s="235"/>
      <c r="AG76" s="235"/>
      <c r="AH76" s="235"/>
      <c r="AI76" s="235"/>
      <c r="AJ76" s="238">
        <v>63453.608012719982</v>
      </c>
      <c r="AK76" s="239">
        <f t="shared" ref="AK76:AK93" si="43">C76-N76</f>
        <v>0.59999999999990905</v>
      </c>
      <c r="AL76" s="240">
        <f t="shared" ref="AL76:AL93" si="44">L76-AJ76</f>
        <v>2129.4137087999989</v>
      </c>
      <c r="AM76" s="240"/>
      <c r="AN76" s="240"/>
      <c r="AO76" s="241">
        <f>AJ76/100</f>
        <v>634.53608012719985</v>
      </c>
      <c r="AP76" s="242">
        <f>AJ76*99/100</f>
        <v>62819.071932592786</v>
      </c>
      <c r="AQ76" s="241"/>
      <c r="AR76" s="241"/>
      <c r="AS76" s="241"/>
      <c r="AT76" s="241"/>
      <c r="AU76" s="232"/>
      <c r="AV76" s="232"/>
      <c r="DR76" s="235"/>
      <c r="DS76" s="235"/>
    </row>
    <row r="77" spans="1:123" ht="24.75" hidden="1" customHeight="1">
      <c r="A77" s="232" t="s">
        <v>36</v>
      </c>
      <c r="B77" s="243" t="s">
        <v>37</v>
      </c>
      <c r="C77" s="233">
        <f>C78+C79</f>
        <v>154</v>
      </c>
      <c r="D77" s="234">
        <v>34072.800000000003</v>
      </c>
      <c r="E77" s="233">
        <v>95</v>
      </c>
      <c r="F77" s="238">
        <f>F78+F79</f>
        <v>81982.427788800007</v>
      </c>
      <c r="G77" s="238">
        <f t="shared" ref="G77:I77" si="45">G78+G79</f>
        <v>77932.427788800007</v>
      </c>
      <c r="H77" s="238">
        <f t="shared" si="45"/>
        <v>67707.299999999988</v>
      </c>
      <c r="I77" s="238">
        <f t="shared" si="45"/>
        <v>184.1</v>
      </c>
      <c r="J77" s="238">
        <f>J78+J79</f>
        <v>67891.399999999994</v>
      </c>
      <c r="K77" s="238">
        <f>K78+K79</f>
        <v>4050</v>
      </c>
      <c r="L77" s="238">
        <f>L78+L79</f>
        <v>10041.02778880002</v>
      </c>
      <c r="M77" s="354"/>
      <c r="N77" s="235">
        <v>150</v>
      </c>
      <c r="O77" s="235">
        <v>34072.800000000003</v>
      </c>
      <c r="P77" s="235">
        <v>95</v>
      </c>
      <c r="Q77" s="235">
        <v>79853.014080000008</v>
      </c>
      <c r="R77" s="235">
        <v>75803.014080000008</v>
      </c>
      <c r="S77" s="235">
        <v>67707.299999999988</v>
      </c>
      <c r="T77" s="235">
        <v>184.1</v>
      </c>
      <c r="U77" s="235">
        <v>67891.399999999994</v>
      </c>
      <c r="V77" s="235">
        <v>4050</v>
      </c>
      <c r="W77" s="235"/>
      <c r="X77" s="235"/>
      <c r="Y77" s="235"/>
      <c r="Z77" s="235"/>
      <c r="AA77" s="237"/>
      <c r="AB77" s="235"/>
      <c r="AC77" s="235"/>
      <c r="AD77" s="235"/>
      <c r="AE77" s="235"/>
      <c r="AF77" s="235"/>
      <c r="AG77" s="235"/>
      <c r="AH77" s="235"/>
      <c r="AI77" s="235"/>
      <c r="AJ77" s="238">
        <v>7911.6140800000176</v>
      </c>
      <c r="AK77" s="239">
        <f t="shared" si="43"/>
        <v>4</v>
      </c>
      <c r="AL77" s="240">
        <f t="shared" si="44"/>
        <v>2129.4137088000025</v>
      </c>
      <c r="AM77" s="240"/>
      <c r="AN77" s="240"/>
      <c r="AO77" s="241">
        <f t="shared" ref="AO77:AO88" si="46">AJ77/100</f>
        <v>79.116140800000181</v>
      </c>
      <c r="AP77" s="241"/>
      <c r="AQ77" s="241"/>
      <c r="AR77" s="241"/>
      <c r="AS77" s="241"/>
      <c r="AT77" s="241"/>
      <c r="AU77" s="232"/>
      <c r="AV77" s="232"/>
      <c r="DR77" s="235"/>
      <c r="DS77" s="235"/>
    </row>
    <row r="78" spans="1:123" ht="22.5" hidden="1" customHeight="1">
      <c r="A78" s="232" t="s">
        <v>38</v>
      </c>
      <c r="B78" s="243" t="s">
        <v>39</v>
      </c>
      <c r="C78" s="233">
        <v>114</v>
      </c>
      <c r="D78" s="234">
        <v>34072.800000000003</v>
      </c>
      <c r="E78" s="233">
        <v>95</v>
      </c>
      <c r="F78" s="238">
        <f>C78*D78*12*1.302/1000</f>
        <v>60688.290700800011</v>
      </c>
      <c r="G78" s="238">
        <f t="shared" ref="G78" si="47">F78-K78</f>
        <v>57851.590700800014</v>
      </c>
      <c r="H78" s="238">
        <v>50986.7</v>
      </c>
      <c r="I78" s="238"/>
      <c r="J78" s="238">
        <f t="shared" ref="J78:J79" si="48">H78+I78</f>
        <v>50986.7</v>
      </c>
      <c r="K78" s="238">
        <v>2836.7</v>
      </c>
      <c r="L78" s="238">
        <f>G78-J78</f>
        <v>6864.8907008000169</v>
      </c>
      <c r="M78" s="354"/>
      <c r="N78" s="235">
        <v>113</v>
      </c>
      <c r="O78" s="235">
        <v>34072.800000000003</v>
      </c>
      <c r="P78" s="235">
        <v>95</v>
      </c>
      <c r="Q78" s="235">
        <v>60155.937273600008</v>
      </c>
      <c r="R78" s="235">
        <v>57319.237273600011</v>
      </c>
      <c r="S78" s="235">
        <v>50986.7</v>
      </c>
      <c r="T78" s="235"/>
      <c r="U78" s="235">
        <v>50986.7</v>
      </c>
      <c r="V78" s="235">
        <v>2836.7</v>
      </c>
      <c r="W78" s="235"/>
      <c r="X78" s="235"/>
      <c r="Y78" s="235"/>
      <c r="Z78" s="235"/>
      <c r="AA78" s="237"/>
      <c r="AB78" s="235"/>
      <c r="AC78" s="235"/>
      <c r="AD78" s="235"/>
      <c r="AE78" s="235"/>
      <c r="AF78" s="235"/>
      <c r="AG78" s="235"/>
      <c r="AH78" s="235"/>
      <c r="AI78" s="235"/>
      <c r="AJ78" s="238">
        <v>6332.5372736000136</v>
      </c>
      <c r="AK78" s="239">
        <f t="shared" si="43"/>
        <v>1</v>
      </c>
      <c r="AL78" s="240">
        <f t="shared" si="44"/>
        <v>532.35342720000335</v>
      </c>
      <c r="AM78" s="240"/>
      <c r="AN78" s="240"/>
      <c r="AO78" s="241">
        <f t="shared" si="46"/>
        <v>63.325372736000134</v>
      </c>
      <c r="AP78" s="241"/>
      <c r="AQ78" s="241"/>
      <c r="AR78" s="241"/>
      <c r="AS78" s="241"/>
      <c r="AT78" s="241"/>
      <c r="AU78" s="232"/>
      <c r="AV78" s="232"/>
      <c r="DR78" s="235"/>
      <c r="DS78" s="235"/>
    </row>
    <row r="79" spans="1:123" ht="22.5" hidden="1" customHeight="1">
      <c r="A79" s="232" t="s">
        <v>40</v>
      </c>
      <c r="B79" s="243" t="s">
        <v>41</v>
      </c>
      <c r="C79" s="233">
        <v>40</v>
      </c>
      <c r="D79" s="234">
        <v>34072.800000000003</v>
      </c>
      <c r="E79" s="233">
        <v>95</v>
      </c>
      <c r="F79" s="238">
        <f>C79*D79*12*1.302/1000</f>
        <v>21294.137087999999</v>
      </c>
      <c r="G79" s="238">
        <f>F79-K79</f>
        <v>20080.837088</v>
      </c>
      <c r="H79" s="238">
        <v>16720.599999999999</v>
      </c>
      <c r="I79" s="238">
        <v>184.1</v>
      </c>
      <c r="J79" s="238">
        <f t="shared" si="48"/>
        <v>16904.699999999997</v>
      </c>
      <c r="K79" s="238">
        <v>1213.3</v>
      </c>
      <c r="L79" s="238">
        <f t="shared" ref="L79" si="49">G79-J79</f>
        <v>3176.1370880000031</v>
      </c>
      <c r="M79" s="354"/>
      <c r="N79" s="235">
        <v>37</v>
      </c>
      <c r="O79" s="235">
        <v>34072.800000000003</v>
      </c>
      <c r="P79" s="235">
        <v>95</v>
      </c>
      <c r="Q79" s="235">
        <v>19697.0768064</v>
      </c>
      <c r="R79" s="235">
        <v>18483.776806400001</v>
      </c>
      <c r="S79" s="235">
        <v>16720.599999999999</v>
      </c>
      <c r="T79" s="235">
        <v>184.1</v>
      </c>
      <c r="U79" s="235">
        <v>16904.699999999997</v>
      </c>
      <c r="V79" s="235">
        <v>1213.3</v>
      </c>
      <c r="W79" s="235"/>
      <c r="X79" s="235"/>
      <c r="Y79" s="235"/>
      <c r="Z79" s="235"/>
      <c r="AA79" s="237"/>
      <c r="AB79" s="235"/>
      <c r="AC79" s="235"/>
      <c r="AD79" s="235"/>
      <c r="AE79" s="235"/>
      <c r="AF79" s="235"/>
      <c r="AG79" s="235"/>
      <c r="AH79" s="235"/>
      <c r="AI79" s="235"/>
      <c r="AJ79" s="238">
        <v>1579.076806400004</v>
      </c>
      <c r="AK79" s="239">
        <f t="shared" si="43"/>
        <v>3</v>
      </c>
      <c r="AL79" s="240">
        <f t="shared" si="44"/>
        <v>1597.0602815999991</v>
      </c>
      <c r="AM79" s="240"/>
      <c r="AN79" s="240"/>
      <c r="AO79" s="241">
        <f t="shared" si="46"/>
        <v>15.790768064000041</v>
      </c>
      <c r="AP79" s="241"/>
      <c r="AQ79" s="241"/>
      <c r="AR79" s="241"/>
      <c r="AS79" s="241"/>
      <c r="AT79" s="241"/>
      <c r="AU79" s="232"/>
      <c r="AV79" s="232"/>
      <c r="DR79" s="235"/>
      <c r="DS79" s="235"/>
    </row>
    <row r="80" spans="1:123" ht="45.75" hidden="1" customHeight="1">
      <c r="A80" s="232" t="s">
        <v>42</v>
      </c>
      <c r="B80" s="13" t="s">
        <v>33</v>
      </c>
      <c r="C80" s="233">
        <f>SUM(C81:C93)</f>
        <v>233.40000000000003</v>
      </c>
      <c r="D80" s="234">
        <v>38109.4</v>
      </c>
      <c r="E80" s="233">
        <f>38109.4/35656.8*100</f>
        <v>106.87835139440442</v>
      </c>
      <c r="F80" s="238">
        <f>SUM(F81:F93)</f>
        <v>138971.35573272</v>
      </c>
      <c r="G80" s="238">
        <f t="shared" ref="G80:L80" si="50">SUM(G81:G93)</f>
        <v>138462.85573272</v>
      </c>
      <c r="H80" s="238">
        <f t="shared" si="50"/>
        <v>181441.4852</v>
      </c>
      <c r="I80" s="238">
        <f t="shared" si="50"/>
        <v>5701.22</v>
      </c>
      <c r="J80" s="238">
        <f t="shared" si="50"/>
        <v>187142.7052</v>
      </c>
      <c r="K80" s="238">
        <f t="shared" si="50"/>
        <v>508.5</v>
      </c>
      <c r="L80" s="238">
        <f t="shared" si="50"/>
        <v>-48679.849467279993</v>
      </c>
      <c r="M80" s="354"/>
      <c r="N80" s="235">
        <v>233.40000000000003</v>
      </c>
      <c r="O80" s="238">
        <v>38109.4</v>
      </c>
      <c r="P80" s="235">
        <v>106.87835139440442</v>
      </c>
      <c r="Q80" s="235">
        <v>138971.35573272</v>
      </c>
      <c r="R80" s="235">
        <v>138462.85573272</v>
      </c>
      <c r="S80" s="235">
        <v>181441.4852</v>
      </c>
      <c r="T80" s="235">
        <v>5701.22</v>
      </c>
      <c r="U80" s="235">
        <v>187142.7052</v>
      </c>
      <c r="V80" s="235">
        <v>508.5</v>
      </c>
      <c r="W80" s="235"/>
      <c r="X80" s="235"/>
      <c r="Y80" s="235"/>
      <c r="Z80" s="235"/>
      <c r="AA80" s="237"/>
      <c r="AB80" s="235"/>
      <c r="AC80" s="235"/>
      <c r="AD80" s="235"/>
      <c r="AE80" s="235"/>
      <c r="AF80" s="235"/>
      <c r="AG80" s="235"/>
      <c r="AH80" s="235"/>
      <c r="AI80" s="235"/>
      <c r="AJ80" s="238">
        <v>-48679.849467279993</v>
      </c>
      <c r="AK80" s="239">
        <f t="shared" si="43"/>
        <v>0</v>
      </c>
      <c r="AL80" s="240">
        <f t="shared" si="44"/>
        <v>0</v>
      </c>
      <c r="AM80" s="240"/>
      <c r="AN80" s="240"/>
      <c r="AO80" s="241">
        <f t="shared" si="46"/>
        <v>-486.79849467279996</v>
      </c>
      <c r="AP80" s="241"/>
      <c r="AQ80" s="241"/>
      <c r="AR80" s="241"/>
      <c r="AS80" s="241"/>
      <c r="AT80" s="241"/>
      <c r="AU80" s="232"/>
      <c r="AV80" s="232"/>
      <c r="DR80" s="235"/>
      <c r="DS80" s="235"/>
    </row>
    <row r="81" spans="1:123" ht="24.75" hidden="1" customHeight="1">
      <c r="A81" s="232"/>
      <c r="B81" s="13" t="s">
        <v>43</v>
      </c>
      <c r="C81" s="233">
        <v>8</v>
      </c>
      <c r="D81" s="244">
        <v>35457.599999999999</v>
      </c>
      <c r="E81" s="233">
        <v>100</v>
      </c>
      <c r="F81" s="238">
        <f t="shared" ref="F81:F93" si="51">C81*D81*12*1.302/1000</f>
        <v>4431.9163391999991</v>
      </c>
      <c r="G81" s="238">
        <f t="shared" ref="G81:G93" si="52">F81-K81</f>
        <v>4431.9163391999991</v>
      </c>
      <c r="H81" s="238">
        <v>6015.7128000000002</v>
      </c>
      <c r="I81" s="238">
        <v>343.8</v>
      </c>
      <c r="J81" s="238">
        <f t="shared" ref="J81:J93" si="53">H81+I81</f>
        <v>6359.5128000000004</v>
      </c>
      <c r="K81" s="238"/>
      <c r="L81" s="238">
        <f t="shared" ref="L81:L93" si="54">G81-J81</f>
        <v>-1927.5964608000013</v>
      </c>
      <c r="M81" s="354"/>
      <c r="N81" s="235">
        <v>8</v>
      </c>
      <c r="O81" s="235">
        <v>35457.599999999999</v>
      </c>
      <c r="P81" s="235">
        <v>100</v>
      </c>
      <c r="Q81" s="235">
        <v>4431.9163391999991</v>
      </c>
      <c r="R81" s="235">
        <v>4431.9163391999991</v>
      </c>
      <c r="S81" s="235">
        <v>6015.7128000000002</v>
      </c>
      <c r="T81" s="235">
        <v>343.8</v>
      </c>
      <c r="U81" s="235">
        <v>6359.5128000000004</v>
      </c>
      <c r="V81" s="235"/>
      <c r="W81" s="235"/>
      <c r="X81" s="235"/>
      <c r="Y81" s="235"/>
      <c r="Z81" s="235"/>
      <c r="AA81" s="237"/>
      <c r="AB81" s="235"/>
      <c r="AC81" s="235"/>
      <c r="AD81" s="235"/>
      <c r="AE81" s="235"/>
      <c r="AF81" s="235"/>
      <c r="AG81" s="235"/>
      <c r="AH81" s="235"/>
      <c r="AI81" s="235"/>
      <c r="AJ81" s="238">
        <v>-1927.5964608000013</v>
      </c>
      <c r="AK81" s="239">
        <f t="shared" si="43"/>
        <v>0</v>
      </c>
      <c r="AL81" s="240">
        <f t="shared" si="44"/>
        <v>0</v>
      </c>
      <c r="AM81" s="240"/>
      <c r="AN81" s="240"/>
      <c r="AO81" s="241">
        <f t="shared" si="46"/>
        <v>-19.275964608000013</v>
      </c>
      <c r="AP81" s="241"/>
      <c r="AQ81" s="241"/>
      <c r="AR81" s="241"/>
      <c r="AS81" s="241"/>
      <c r="AT81" s="241"/>
      <c r="AU81" s="232"/>
      <c r="AV81" s="232"/>
      <c r="DR81" s="235"/>
      <c r="DS81" s="235"/>
    </row>
    <row r="82" spans="1:123" ht="20.25" hidden="1" customHeight="1">
      <c r="A82" s="232"/>
      <c r="B82" s="245" t="s">
        <v>44</v>
      </c>
      <c r="C82" s="246">
        <v>7</v>
      </c>
      <c r="D82" s="244">
        <v>33433.199999999997</v>
      </c>
      <c r="E82" s="233">
        <v>100</v>
      </c>
      <c r="F82" s="238">
        <f t="shared" si="51"/>
        <v>3656.5222176000002</v>
      </c>
      <c r="G82" s="238">
        <f t="shared" si="52"/>
        <v>3656.5222176000002</v>
      </c>
      <c r="H82" s="238">
        <v>4045.4708000000001</v>
      </c>
      <c r="I82" s="238">
        <v>227.62</v>
      </c>
      <c r="J82" s="238">
        <f t="shared" si="53"/>
        <v>4273.0907999999999</v>
      </c>
      <c r="K82" s="238"/>
      <c r="L82" s="238">
        <f t="shared" si="54"/>
        <v>-616.56858239999974</v>
      </c>
      <c r="M82" s="354"/>
      <c r="N82" s="235">
        <v>7</v>
      </c>
      <c r="O82" s="235">
        <v>33433.199999999997</v>
      </c>
      <c r="P82" s="235">
        <v>100</v>
      </c>
      <c r="Q82" s="235">
        <v>3656.5222176000002</v>
      </c>
      <c r="R82" s="235">
        <v>3656.5222176000002</v>
      </c>
      <c r="S82" s="235">
        <v>4045.4708000000001</v>
      </c>
      <c r="T82" s="235">
        <v>227.62</v>
      </c>
      <c r="U82" s="235">
        <v>4273.0907999999999</v>
      </c>
      <c r="V82" s="235"/>
      <c r="W82" s="235"/>
      <c r="X82" s="235"/>
      <c r="Y82" s="235"/>
      <c r="Z82" s="235"/>
      <c r="AA82" s="237"/>
      <c r="AB82" s="235"/>
      <c r="AC82" s="235"/>
      <c r="AD82" s="235"/>
      <c r="AE82" s="235"/>
      <c r="AF82" s="235"/>
      <c r="AG82" s="235"/>
      <c r="AH82" s="235"/>
      <c r="AI82" s="235"/>
      <c r="AJ82" s="238">
        <v>-616.56858239999974</v>
      </c>
      <c r="AK82" s="239">
        <f t="shared" si="43"/>
        <v>0</v>
      </c>
      <c r="AL82" s="240">
        <f t="shared" si="44"/>
        <v>0</v>
      </c>
      <c r="AM82" s="240"/>
      <c r="AN82" s="240"/>
      <c r="AO82" s="241">
        <f t="shared" si="46"/>
        <v>-6.165685823999997</v>
      </c>
      <c r="AP82" s="241"/>
      <c r="AQ82" s="241"/>
      <c r="AR82" s="241"/>
      <c r="AS82" s="241"/>
      <c r="AT82" s="241"/>
      <c r="AU82" s="232"/>
      <c r="AV82" s="232"/>
      <c r="DR82" s="235"/>
      <c r="DS82" s="235"/>
    </row>
    <row r="83" spans="1:123" ht="20.25" hidden="1" customHeight="1">
      <c r="A83" s="232"/>
      <c r="B83" s="245" t="s">
        <v>45</v>
      </c>
      <c r="C83" s="247">
        <v>7.4</v>
      </c>
      <c r="D83" s="244">
        <v>39387.800000000003</v>
      </c>
      <c r="E83" s="233">
        <v>100</v>
      </c>
      <c r="F83" s="238">
        <f t="shared" si="51"/>
        <v>4553.9229052800001</v>
      </c>
      <c r="G83" s="238">
        <f t="shared" si="52"/>
        <v>4553.9229052800001</v>
      </c>
      <c r="H83" s="238">
        <v>6523.4463999999998</v>
      </c>
      <c r="I83" s="238">
        <v>253.2</v>
      </c>
      <c r="J83" s="238">
        <f t="shared" si="53"/>
        <v>6776.6463999999996</v>
      </c>
      <c r="K83" s="238"/>
      <c r="L83" s="238">
        <f t="shared" si="54"/>
        <v>-2222.7234947199995</v>
      </c>
      <c r="M83" s="354"/>
      <c r="N83" s="235">
        <v>7.4</v>
      </c>
      <c r="O83" s="235">
        <v>39387.800000000003</v>
      </c>
      <c r="P83" s="235">
        <v>100</v>
      </c>
      <c r="Q83" s="235">
        <v>4553.9229052800001</v>
      </c>
      <c r="R83" s="235">
        <v>4553.9229052800001</v>
      </c>
      <c r="S83" s="235">
        <v>6523.4463999999998</v>
      </c>
      <c r="T83" s="235">
        <v>253.2</v>
      </c>
      <c r="U83" s="235">
        <v>6776.6463999999996</v>
      </c>
      <c r="V83" s="235"/>
      <c r="W83" s="235"/>
      <c r="X83" s="235"/>
      <c r="Y83" s="235"/>
      <c r="Z83" s="235"/>
      <c r="AA83" s="237"/>
      <c r="AB83" s="235"/>
      <c r="AC83" s="235"/>
      <c r="AD83" s="235"/>
      <c r="AE83" s="235"/>
      <c r="AF83" s="235"/>
      <c r="AG83" s="235"/>
      <c r="AH83" s="235"/>
      <c r="AI83" s="235"/>
      <c r="AJ83" s="238">
        <v>-2222.7234947199995</v>
      </c>
      <c r="AK83" s="239">
        <f t="shared" si="43"/>
        <v>0</v>
      </c>
      <c r="AL83" s="240">
        <f t="shared" si="44"/>
        <v>0</v>
      </c>
      <c r="AM83" s="240"/>
      <c r="AN83" s="240"/>
      <c r="AO83" s="241">
        <f t="shared" si="46"/>
        <v>-22.227234947199996</v>
      </c>
      <c r="AP83" s="241"/>
      <c r="AQ83" s="241"/>
      <c r="AR83" s="241"/>
      <c r="AS83" s="241"/>
      <c r="AT83" s="241"/>
      <c r="AU83" s="232"/>
      <c r="AV83" s="232"/>
      <c r="DR83" s="235"/>
      <c r="DS83" s="235"/>
    </row>
    <row r="84" spans="1:123" ht="20.25" hidden="1" customHeight="1">
      <c r="A84" s="232"/>
      <c r="B84" s="245" t="s">
        <v>46</v>
      </c>
      <c r="C84" s="247">
        <v>9</v>
      </c>
      <c r="D84" s="244">
        <v>36311.5</v>
      </c>
      <c r="E84" s="233">
        <v>100</v>
      </c>
      <c r="F84" s="238">
        <f t="shared" si="51"/>
        <v>5105.9778840000008</v>
      </c>
      <c r="G84" s="238">
        <f t="shared" si="52"/>
        <v>5105.9778840000008</v>
      </c>
      <c r="H84" s="238">
        <v>6350.0464000000002</v>
      </c>
      <c r="I84" s="238">
        <v>0</v>
      </c>
      <c r="J84" s="238">
        <f t="shared" si="53"/>
        <v>6350.0464000000002</v>
      </c>
      <c r="K84" s="238"/>
      <c r="L84" s="238">
        <f t="shared" si="54"/>
        <v>-1244.0685159999994</v>
      </c>
      <c r="M84" s="354"/>
      <c r="N84" s="235">
        <v>9</v>
      </c>
      <c r="O84" s="235">
        <v>36311.5</v>
      </c>
      <c r="P84" s="235">
        <v>100</v>
      </c>
      <c r="Q84" s="235">
        <v>5105.9778840000008</v>
      </c>
      <c r="R84" s="235">
        <v>5105.9778840000008</v>
      </c>
      <c r="S84" s="235">
        <v>6350.0464000000002</v>
      </c>
      <c r="T84" s="235">
        <v>0</v>
      </c>
      <c r="U84" s="235">
        <v>6350.0464000000002</v>
      </c>
      <c r="V84" s="235"/>
      <c r="W84" s="235"/>
      <c r="X84" s="235"/>
      <c r="Y84" s="235"/>
      <c r="Z84" s="235"/>
      <c r="AA84" s="237"/>
      <c r="AB84" s="235"/>
      <c r="AC84" s="235"/>
      <c r="AD84" s="235"/>
      <c r="AE84" s="235"/>
      <c r="AF84" s="235"/>
      <c r="AG84" s="235"/>
      <c r="AH84" s="235"/>
      <c r="AI84" s="235"/>
      <c r="AJ84" s="238">
        <v>-1244.0685159999994</v>
      </c>
      <c r="AK84" s="239">
        <f t="shared" si="43"/>
        <v>0</v>
      </c>
      <c r="AL84" s="240">
        <f t="shared" si="44"/>
        <v>0</v>
      </c>
      <c r="AM84" s="240"/>
      <c r="AN84" s="240"/>
      <c r="AO84" s="241">
        <f t="shared" si="46"/>
        <v>-12.440685159999994</v>
      </c>
      <c r="AP84" s="241"/>
      <c r="AQ84" s="241"/>
      <c r="AR84" s="241"/>
      <c r="AS84" s="241"/>
      <c r="AT84" s="241"/>
      <c r="AU84" s="232"/>
      <c r="AV84" s="232"/>
      <c r="DR84" s="235"/>
      <c r="DS84" s="235"/>
    </row>
    <row r="85" spans="1:123" ht="20.25" hidden="1" customHeight="1">
      <c r="A85" s="232"/>
      <c r="B85" s="245" t="s">
        <v>47</v>
      </c>
      <c r="C85" s="247">
        <v>8</v>
      </c>
      <c r="D85" s="244">
        <v>46453.1</v>
      </c>
      <c r="E85" s="233">
        <v>100</v>
      </c>
      <c r="F85" s="238">
        <f t="shared" si="51"/>
        <v>5806.2658751999998</v>
      </c>
      <c r="G85" s="238">
        <f t="shared" si="52"/>
        <v>5806.2658751999998</v>
      </c>
      <c r="H85" s="238">
        <v>5849.3940000000002</v>
      </c>
      <c r="I85" s="238">
        <v>386</v>
      </c>
      <c r="J85" s="238">
        <f t="shared" si="53"/>
        <v>6235.3940000000002</v>
      </c>
      <c r="K85" s="238"/>
      <c r="L85" s="238">
        <f t="shared" si="54"/>
        <v>-429.12812480000048</v>
      </c>
      <c r="M85" s="354"/>
      <c r="N85" s="235">
        <v>8</v>
      </c>
      <c r="O85" s="235">
        <v>46453.1</v>
      </c>
      <c r="P85" s="235">
        <v>100</v>
      </c>
      <c r="Q85" s="235">
        <v>5806.2658751999998</v>
      </c>
      <c r="R85" s="235">
        <v>5806.2658751999998</v>
      </c>
      <c r="S85" s="235">
        <v>5849.3940000000002</v>
      </c>
      <c r="T85" s="235">
        <v>386</v>
      </c>
      <c r="U85" s="235">
        <v>6235.3940000000002</v>
      </c>
      <c r="V85" s="235"/>
      <c r="W85" s="235"/>
      <c r="X85" s="235"/>
      <c r="Y85" s="235"/>
      <c r="Z85" s="235"/>
      <c r="AA85" s="237"/>
      <c r="AB85" s="235"/>
      <c r="AC85" s="235"/>
      <c r="AD85" s="235"/>
      <c r="AE85" s="235"/>
      <c r="AF85" s="235"/>
      <c r="AG85" s="235"/>
      <c r="AH85" s="235"/>
      <c r="AI85" s="235"/>
      <c r="AJ85" s="238">
        <v>-429.12812480000048</v>
      </c>
      <c r="AK85" s="239">
        <f t="shared" si="43"/>
        <v>0</v>
      </c>
      <c r="AL85" s="240">
        <f t="shared" si="44"/>
        <v>0</v>
      </c>
      <c r="AM85" s="240"/>
      <c r="AN85" s="240"/>
      <c r="AO85" s="241">
        <f t="shared" si="46"/>
        <v>-4.2912812480000051</v>
      </c>
      <c r="AP85" s="241"/>
      <c r="AQ85" s="241"/>
      <c r="AR85" s="241"/>
      <c r="AS85" s="241"/>
      <c r="AT85" s="241"/>
      <c r="AU85" s="232"/>
      <c r="AV85" s="232"/>
      <c r="DR85" s="235"/>
      <c r="DS85" s="235"/>
    </row>
    <row r="86" spans="1:123" ht="20.25" hidden="1" customHeight="1">
      <c r="A86" s="232"/>
      <c r="B86" s="245" t="s">
        <v>48</v>
      </c>
      <c r="C86" s="247">
        <v>6</v>
      </c>
      <c r="D86" s="244">
        <v>43188.2</v>
      </c>
      <c r="E86" s="233">
        <v>95</v>
      </c>
      <c r="F86" s="238">
        <f t="shared" si="51"/>
        <v>4048.6346208</v>
      </c>
      <c r="G86" s="238">
        <f t="shared" si="52"/>
        <v>4048.6346208</v>
      </c>
      <c r="H86" s="238">
        <v>4048.6</v>
      </c>
      <c r="I86" s="238">
        <v>0</v>
      </c>
      <c r="J86" s="238">
        <f t="shared" si="53"/>
        <v>4048.6</v>
      </c>
      <c r="K86" s="238"/>
      <c r="L86" s="238">
        <f t="shared" si="54"/>
        <v>3.4620800000084273E-2</v>
      </c>
      <c r="M86" s="354"/>
      <c r="N86" s="235">
        <v>6</v>
      </c>
      <c r="O86" s="235">
        <v>43188.2</v>
      </c>
      <c r="P86" s="235">
        <v>95</v>
      </c>
      <c r="Q86" s="235">
        <v>4048.6346208</v>
      </c>
      <c r="R86" s="235">
        <v>4048.6346208</v>
      </c>
      <c r="S86" s="235">
        <v>4048.6</v>
      </c>
      <c r="T86" s="235">
        <v>0</v>
      </c>
      <c r="U86" s="235">
        <v>4048.6</v>
      </c>
      <c r="V86" s="235"/>
      <c r="W86" s="235"/>
      <c r="X86" s="235"/>
      <c r="Y86" s="235"/>
      <c r="Z86" s="235"/>
      <c r="AA86" s="237"/>
      <c r="AB86" s="235"/>
      <c r="AC86" s="235"/>
      <c r="AD86" s="235"/>
      <c r="AE86" s="235"/>
      <c r="AF86" s="235"/>
      <c r="AG86" s="235"/>
      <c r="AH86" s="235"/>
      <c r="AI86" s="235"/>
      <c r="AJ86" s="238">
        <v>3.4620800000084273E-2</v>
      </c>
      <c r="AK86" s="239">
        <f t="shared" si="43"/>
        <v>0</v>
      </c>
      <c r="AL86" s="240">
        <f t="shared" si="44"/>
        <v>0</v>
      </c>
      <c r="AM86" s="240"/>
      <c r="AN86" s="240"/>
      <c r="AO86" s="241">
        <f t="shared" si="46"/>
        <v>3.4620800000084273E-4</v>
      </c>
      <c r="AP86" s="241"/>
      <c r="AQ86" s="241"/>
      <c r="AR86" s="241"/>
      <c r="AS86" s="241"/>
      <c r="AT86" s="241"/>
      <c r="AU86" s="232"/>
      <c r="AV86" s="232"/>
      <c r="DR86" s="235"/>
      <c r="DS86" s="235"/>
    </row>
    <row r="87" spans="1:123" ht="21" hidden="1" customHeight="1">
      <c r="A87" s="232"/>
      <c r="B87" s="245" t="s">
        <v>49</v>
      </c>
      <c r="C87" s="233">
        <v>25.2</v>
      </c>
      <c r="D87" s="244">
        <v>37192.5</v>
      </c>
      <c r="E87" s="233">
        <v>100</v>
      </c>
      <c r="F87" s="238">
        <f t="shared" si="51"/>
        <v>14643.609624000001</v>
      </c>
      <c r="G87" s="238">
        <f t="shared" si="52"/>
        <v>14385.309624000001</v>
      </c>
      <c r="H87" s="238">
        <v>18144.170600000001</v>
      </c>
      <c r="I87" s="238">
        <v>0</v>
      </c>
      <c r="J87" s="238">
        <f t="shared" si="53"/>
        <v>18144.170600000001</v>
      </c>
      <c r="K87" s="238">
        <v>258.3</v>
      </c>
      <c r="L87" s="238">
        <f t="shared" si="54"/>
        <v>-3758.8609759999999</v>
      </c>
      <c r="M87" s="354"/>
      <c r="N87" s="235">
        <v>25.2</v>
      </c>
      <c r="O87" s="235">
        <v>37192.5</v>
      </c>
      <c r="P87" s="235">
        <v>100</v>
      </c>
      <c r="Q87" s="235">
        <v>14643.609624000001</v>
      </c>
      <c r="R87" s="235">
        <v>14385.309624000001</v>
      </c>
      <c r="S87" s="235">
        <v>18144.170600000001</v>
      </c>
      <c r="T87" s="235">
        <v>0</v>
      </c>
      <c r="U87" s="235">
        <v>18144.170600000001</v>
      </c>
      <c r="V87" s="235">
        <v>258.3</v>
      </c>
      <c r="W87" s="235"/>
      <c r="X87" s="235"/>
      <c r="Y87" s="235"/>
      <c r="Z87" s="235"/>
      <c r="AA87" s="237"/>
      <c r="AB87" s="235"/>
      <c r="AC87" s="235"/>
      <c r="AD87" s="235"/>
      <c r="AE87" s="235"/>
      <c r="AF87" s="235"/>
      <c r="AG87" s="235"/>
      <c r="AH87" s="235"/>
      <c r="AI87" s="235"/>
      <c r="AJ87" s="238">
        <v>-3758.8609759999999</v>
      </c>
      <c r="AK87" s="239">
        <f t="shared" si="43"/>
        <v>0</v>
      </c>
      <c r="AL87" s="240">
        <f t="shared" si="44"/>
        <v>0</v>
      </c>
      <c r="AM87" s="240"/>
      <c r="AN87" s="240"/>
      <c r="AO87" s="241">
        <f t="shared" si="46"/>
        <v>-37.588609759999997</v>
      </c>
      <c r="AP87" s="241"/>
      <c r="AQ87" s="241"/>
      <c r="AR87" s="241"/>
      <c r="AS87" s="241"/>
      <c r="AT87" s="241"/>
      <c r="AU87" s="232"/>
      <c r="AV87" s="232"/>
      <c r="DR87" s="235"/>
      <c r="DS87" s="235"/>
    </row>
    <row r="88" spans="1:123" ht="21" hidden="1" customHeight="1">
      <c r="A88" s="232"/>
      <c r="B88" s="245" t="s">
        <v>50</v>
      </c>
      <c r="C88" s="247">
        <v>75.7</v>
      </c>
      <c r="D88" s="244">
        <v>40721.599999999999</v>
      </c>
      <c r="E88" s="233">
        <v>100</v>
      </c>
      <c r="F88" s="238">
        <f t="shared" si="51"/>
        <v>48162.934874880004</v>
      </c>
      <c r="G88" s="238">
        <f t="shared" si="52"/>
        <v>48162.934874880004</v>
      </c>
      <c r="H88" s="238">
        <v>46025.100599999998</v>
      </c>
      <c r="I88" s="238">
        <v>3139.4</v>
      </c>
      <c r="J88" s="238">
        <f t="shared" si="53"/>
        <v>49164.500599999999</v>
      </c>
      <c r="K88" s="238"/>
      <c r="L88" s="238">
        <f t="shared" si="54"/>
        <v>-1001.5657251199955</v>
      </c>
      <c r="M88" s="354"/>
      <c r="N88" s="235">
        <v>75.7</v>
      </c>
      <c r="O88" s="235">
        <v>40721.599999999999</v>
      </c>
      <c r="P88" s="235">
        <v>100</v>
      </c>
      <c r="Q88" s="235">
        <v>48162.934874880004</v>
      </c>
      <c r="R88" s="235">
        <v>48162.934874880004</v>
      </c>
      <c r="S88" s="235">
        <v>46025.100599999998</v>
      </c>
      <c r="T88" s="235">
        <v>3139.4</v>
      </c>
      <c r="U88" s="235">
        <v>49164.500599999999</v>
      </c>
      <c r="V88" s="235"/>
      <c r="W88" s="235"/>
      <c r="X88" s="235"/>
      <c r="Y88" s="235"/>
      <c r="Z88" s="235"/>
      <c r="AA88" s="237"/>
      <c r="AB88" s="235"/>
      <c r="AC88" s="235"/>
      <c r="AD88" s="235"/>
      <c r="AE88" s="235"/>
      <c r="AF88" s="235"/>
      <c r="AG88" s="235"/>
      <c r="AH88" s="235"/>
      <c r="AI88" s="235"/>
      <c r="AJ88" s="238">
        <v>-1001.5657251199955</v>
      </c>
      <c r="AK88" s="239">
        <f t="shared" si="43"/>
        <v>0</v>
      </c>
      <c r="AL88" s="240">
        <f t="shared" si="44"/>
        <v>0</v>
      </c>
      <c r="AM88" s="240"/>
      <c r="AN88" s="240"/>
      <c r="AO88" s="241">
        <f t="shared" si="46"/>
        <v>-10.015657251199954</v>
      </c>
      <c r="AP88" s="241"/>
      <c r="AQ88" s="241"/>
      <c r="AR88" s="241"/>
      <c r="AS88" s="241"/>
      <c r="AT88" s="241"/>
      <c r="AU88" s="232"/>
      <c r="AV88" s="232"/>
      <c r="DR88" s="235"/>
      <c r="DS88" s="235"/>
    </row>
    <row r="89" spans="1:123" ht="21" hidden="1" customHeight="1">
      <c r="A89" s="232"/>
      <c r="B89" s="245" t="s">
        <v>51</v>
      </c>
      <c r="C89" s="247">
        <v>2.4</v>
      </c>
      <c r="D89" s="244">
        <v>37349.699999999997</v>
      </c>
      <c r="E89" s="233">
        <v>100</v>
      </c>
      <c r="F89" s="238">
        <f t="shared" si="51"/>
        <v>1400.5241107199997</v>
      </c>
      <c r="G89" s="238">
        <f t="shared" si="52"/>
        <v>1400.5241107199997</v>
      </c>
      <c r="H89" s="238">
        <v>5320.0103999999992</v>
      </c>
      <c r="I89" s="238">
        <v>63.9</v>
      </c>
      <c r="J89" s="238">
        <f t="shared" si="53"/>
        <v>5383.9103999999988</v>
      </c>
      <c r="K89" s="238"/>
      <c r="L89" s="238">
        <f t="shared" si="54"/>
        <v>-3983.3862892799989</v>
      </c>
      <c r="M89" s="354"/>
      <c r="N89" s="235">
        <v>2.4</v>
      </c>
      <c r="O89" s="235">
        <v>37349.699999999997</v>
      </c>
      <c r="P89" s="235">
        <v>100</v>
      </c>
      <c r="Q89" s="235">
        <v>1400.5241107199997</v>
      </c>
      <c r="R89" s="235">
        <v>1400.5241107199997</v>
      </c>
      <c r="S89" s="235">
        <v>5320.0103999999992</v>
      </c>
      <c r="T89" s="235">
        <v>63.9</v>
      </c>
      <c r="U89" s="235">
        <v>5383.9103999999988</v>
      </c>
      <c r="V89" s="235"/>
      <c r="W89" s="235"/>
      <c r="X89" s="235"/>
      <c r="Y89" s="235"/>
      <c r="Z89" s="235"/>
      <c r="AA89" s="237"/>
      <c r="AB89" s="235"/>
      <c r="AC89" s="235"/>
      <c r="AD89" s="235"/>
      <c r="AE89" s="235"/>
      <c r="AF89" s="235"/>
      <c r="AG89" s="235"/>
      <c r="AH89" s="235"/>
      <c r="AI89" s="235"/>
      <c r="AJ89" s="238">
        <v>-3983.3862892799989</v>
      </c>
      <c r="AK89" s="239">
        <f t="shared" si="43"/>
        <v>0</v>
      </c>
      <c r="AL89" s="240">
        <f t="shared" si="44"/>
        <v>0</v>
      </c>
      <c r="AM89" s="240"/>
      <c r="AN89" s="240"/>
      <c r="AO89" s="241"/>
      <c r="AP89" s="241"/>
      <c r="AQ89" s="241"/>
      <c r="AR89" s="241"/>
      <c r="AS89" s="241"/>
      <c r="AT89" s="241"/>
      <c r="AU89" s="232"/>
      <c r="AV89" s="232"/>
      <c r="DR89" s="235"/>
      <c r="DS89" s="235"/>
    </row>
    <row r="90" spans="1:123" ht="21" hidden="1" customHeight="1">
      <c r="A90" s="232"/>
      <c r="B90" s="245" t="s">
        <v>52</v>
      </c>
      <c r="C90" s="247">
        <v>33.9</v>
      </c>
      <c r="D90" s="244">
        <v>38406.9</v>
      </c>
      <c r="E90" s="233">
        <v>100</v>
      </c>
      <c r="F90" s="238">
        <f t="shared" si="51"/>
        <v>20342.352849839997</v>
      </c>
      <c r="G90" s="238">
        <f t="shared" si="52"/>
        <v>20342.352849839997</v>
      </c>
      <c r="H90" s="238">
        <v>44328.68499999999</v>
      </c>
      <c r="I90" s="238">
        <v>987.7</v>
      </c>
      <c r="J90" s="238">
        <f t="shared" si="53"/>
        <v>45316.384999999987</v>
      </c>
      <c r="K90" s="238"/>
      <c r="L90" s="238">
        <f t="shared" si="54"/>
        <v>-24974.03215015999</v>
      </c>
      <c r="M90" s="354"/>
      <c r="N90" s="235">
        <v>33.9</v>
      </c>
      <c r="O90" s="235">
        <v>38406.9</v>
      </c>
      <c r="P90" s="235">
        <v>100</v>
      </c>
      <c r="Q90" s="235">
        <v>20342.352849839997</v>
      </c>
      <c r="R90" s="235">
        <v>20342.352849839997</v>
      </c>
      <c r="S90" s="235">
        <v>44328.68499999999</v>
      </c>
      <c r="T90" s="235">
        <v>987.7</v>
      </c>
      <c r="U90" s="235">
        <v>45316.384999999987</v>
      </c>
      <c r="V90" s="235"/>
      <c r="W90" s="235"/>
      <c r="X90" s="235"/>
      <c r="Y90" s="235"/>
      <c r="Z90" s="235"/>
      <c r="AA90" s="237"/>
      <c r="AB90" s="235"/>
      <c r="AC90" s="235"/>
      <c r="AD90" s="235"/>
      <c r="AE90" s="235"/>
      <c r="AF90" s="235"/>
      <c r="AG90" s="235"/>
      <c r="AH90" s="235"/>
      <c r="AI90" s="235"/>
      <c r="AJ90" s="238">
        <v>-24974.03215015999</v>
      </c>
      <c r="AK90" s="239">
        <f t="shared" si="43"/>
        <v>0</v>
      </c>
      <c r="AL90" s="240">
        <f t="shared" si="44"/>
        <v>0</v>
      </c>
      <c r="AM90" s="240"/>
      <c r="AN90" s="240"/>
      <c r="AO90" s="241"/>
      <c r="AP90" s="241"/>
      <c r="AQ90" s="241"/>
      <c r="AR90" s="241"/>
      <c r="AS90" s="241"/>
      <c r="AT90" s="241"/>
      <c r="AU90" s="232"/>
      <c r="AV90" s="232"/>
      <c r="DR90" s="235"/>
      <c r="DS90" s="235"/>
    </row>
    <row r="91" spans="1:123" ht="21" hidden="1" customHeight="1">
      <c r="A91" s="232"/>
      <c r="B91" s="245" t="s">
        <v>53</v>
      </c>
      <c r="C91" s="247">
        <v>13</v>
      </c>
      <c r="D91" s="244">
        <v>44307.5</v>
      </c>
      <c r="E91" s="233">
        <v>100</v>
      </c>
      <c r="F91" s="238">
        <f t="shared" si="51"/>
        <v>8999.3849399999999</v>
      </c>
      <c r="G91" s="238">
        <f t="shared" si="52"/>
        <v>8999.3849399999999</v>
      </c>
      <c r="H91" s="238">
        <v>16744.248200000002</v>
      </c>
      <c r="I91" s="238">
        <v>299.60000000000002</v>
      </c>
      <c r="J91" s="238">
        <f t="shared" si="53"/>
        <v>17043.8482</v>
      </c>
      <c r="K91" s="238"/>
      <c r="L91" s="238">
        <f t="shared" si="54"/>
        <v>-8044.4632600000004</v>
      </c>
      <c r="M91" s="354"/>
      <c r="N91" s="235">
        <v>13</v>
      </c>
      <c r="O91" s="235">
        <v>44307.5</v>
      </c>
      <c r="P91" s="235">
        <v>100</v>
      </c>
      <c r="Q91" s="235">
        <v>8999.3849399999999</v>
      </c>
      <c r="R91" s="235">
        <v>8999.3849399999999</v>
      </c>
      <c r="S91" s="235">
        <v>16744.248200000002</v>
      </c>
      <c r="T91" s="235">
        <v>299.60000000000002</v>
      </c>
      <c r="U91" s="235">
        <v>17043.8482</v>
      </c>
      <c r="V91" s="235"/>
      <c r="W91" s="235"/>
      <c r="X91" s="235"/>
      <c r="Y91" s="235"/>
      <c r="Z91" s="235"/>
      <c r="AA91" s="237"/>
      <c r="AB91" s="235"/>
      <c r="AC91" s="235"/>
      <c r="AD91" s="235"/>
      <c r="AE91" s="235"/>
      <c r="AF91" s="235"/>
      <c r="AG91" s="235"/>
      <c r="AH91" s="235"/>
      <c r="AI91" s="235"/>
      <c r="AJ91" s="238">
        <v>-8044.4632600000004</v>
      </c>
      <c r="AK91" s="239">
        <f t="shared" si="43"/>
        <v>0</v>
      </c>
      <c r="AL91" s="240">
        <f t="shared" si="44"/>
        <v>0</v>
      </c>
      <c r="AM91" s="240"/>
      <c r="AN91" s="240"/>
      <c r="AO91" s="241"/>
      <c r="AP91" s="241"/>
      <c r="AQ91" s="241"/>
      <c r="AR91" s="241"/>
      <c r="AS91" s="241"/>
      <c r="AT91" s="241"/>
      <c r="AU91" s="232"/>
      <c r="AV91" s="232"/>
      <c r="DR91" s="235"/>
      <c r="DS91" s="235"/>
    </row>
    <row r="92" spans="1:123" ht="21" hidden="1" customHeight="1">
      <c r="A92" s="232"/>
      <c r="B92" s="245" t="s">
        <v>54</v>
      </c>
      <c r="C92" s="247">
        <v>7.8</v>
      </c>
      <c r="D92" s="244">
        <v>32126</v>
      </c>
      <c r="E92" s="233">
        <v>95</v>
      </c>
      <c r="F92" s="238">
        <f t="shared" si="51"/>
        <v>3915.1056671999995</v>
      </c>
      <c r="G92" s="238">
        <f t="shared" si="52"/>
        <v>3915.1056671999995</v>
      </c>
      <c r="H92" s="238">
        <v>3915.1</v>
      </c>
      <c r="I92" s="238"/>
      <c r="J92" s="238">
        <f t="shared" si="53"/>
        <v>3915.1</v>
      </c>
      <c r="K92" s="238"/>
      <c r="L92" s="238">
        <f t="shared" si="54"/>
        <v>5.6671999996069644E-3</v>
      </c>
      <c r="M92" s="354"/>
      <c r="N92" s="235">
        <v>7.8</v>
      </c>
      <c r="O92" s="235">
        <v>32126</v>
      </c>
      <c r="P92" s="235">
        <v>95</v>
      </c>
      <c r="Q92" s="235">
        <v>3915.1056671999995</v>
      </c>
      <c r="R92" s="235">
        <v>3915.1056671999995</v>
      </c>
      <c r="S92" s="235">
        <v>3915.1</v>
      </c>
      <c r="T92" s="235"/>
      <c r="U92" s="235">
        <v>3915.1</v>
      </c>
      <c r="V92" s="235"/>
      <c r="W92" s="235"/>
      <c r="X92" s="235"/>
      <c r="Y92" s="235"/>
      <c r="Z92" s="235"/>
      <c r="AA92" s="237"/>
      <c r="AB92" s="235"/>
      <c r="AC92" s="235"/>
      <c r="AD92" s="235"/>
      <c r="AE92" s="235"/>
      <c r="AF92" s="235"/>
      <c r="AG92" s="235"/>
      <c r="AH92" s="235"/>
      <c r="AI92" s="235"/>
      <c r="AJ92" s="238">
        <v>5.6671999996069644E-3</v>
      </c>
      <c r="AK92" s="239">
        <f t="shared" si="43"/>
        <v>0</v>
      </c>
      <c r="AL92" s="240">
        <f t="shared" si="44"/>
        <v>0</v>
      </c>
      <c r="AM92" s="240"/>
      <c r="AN92" s="240"/>
      <c r="AO92" s="241"/>
      <c r="AP92" s="241"/>
      <c r="AQ92" s="241"/>
      <c r="AR92" s="241"/>
      <c r="AS92" s="241"/>
      <c r="AT92" s="241"/>
      <c r="AU92" s="232"/>
      <c r="AV92" s="232"/>
      <c r="DR92" s="235"/>
      <c r="DS92" s="235"/>
    </row>
    <row r="93" spans="1:123" ht="21" hidden="1" customHeight="1">
      <c r="A93" s="232"/>
      <c r="B93" s="245" t="s">
        <v>55</v>
      </c>
      <c r="C93" s="233">
        <v>30</v>
      </c>
      <c r="D93" s="244">
        <v>29664.2</v>
      </c>
      <c r="E93" s="233">
        <v>95</v>
      </c>
      <c r="F93" s="238">
        <f t="shared" si="51"/>
        <v>13904.203824</v>
      </c>
      <c r="G93" s="238">
        <f t="shared" si="52"/>
        <v>13654.003823999999</v>
      </c>
      <c r="H93" s="238">
        <v>14131.5</v>
      </c>
      <c r="I93" s="238"/>
      <c r="J93" s="238">
        <f t="shared" si="53"/>
        <v>14131.5</v>
      </c>
      <c r="K93" s="238">
        <v>250.2</v>
      </c>
      <c r="L93" s="238">
        <f t="shared" si="54"/>
        <v>-477.49617600000056</v>
      </c>
      <c r="M93" s="354"/>
      <c r="N93" s="235">
        <v>30</v>
      </c>
      <c r="O93" s="235">
        <v>29664.2</v>
      </c>
      <c r="P93" s="235">
        <v>95</v>
      </c>
      <c r="Q93" s="235">
        <v>13904.203824</v>
      </c>
      <c r="R93" s="235">
        <v>13654.003823999999</v>
      </c>
      <c r="S93" s="235">
        <v>14131.5</v>
      </c>
      <c r="T93" s="235"/>
      <c r="U93" s="235">
        <v>14131.5</v>
      </c>
      <c r="V93" s="235">
        <v>250.2</v>
      </c>
      <c r="W93" s="235"/>
      <c r="X93" s="235"/>
      <c r="Y93" s="235"/>
      <c r="Z93" s="235"/>
      <c r="AA93" s="237"/>
      <c r="AB93" s="235"/>
      <c r="AC93" s="235"/>
      <c r="AD93" s="235"/>
      <c r="AE93" s="235"/>
      <c r="AF93" s="235"/>
      <c r="AG93" s="235"/>
      <c r="AH93" s="235"/>
      <c r="AI93" s="235"/>
      <c r="AJ93" s="238">
        <v>-477.49617600000056</v>
      </c>
      <c r="AK93" s="239">
        <f t="shared" si="43"/>
        <v>0</v>
      </c>
      <c r="AL93" s="240">
        <f t="shared" si="44"/>
        <v>0</v>
      </c>
      <c r="AM93" s="240"/>
      <c r="AN93" s="240"/>
      <c r="AO93" s="241"/>
      <c r="AP93" s="241"/>
      <c r="AQ93" s="241"/>
      <c r="AR93" s="241"/>
      <c r="AS93" s="241"/>
      <c r="AT93" s="241"/>
      <c r="AU93" s="232"/>
      <c r="AV93" s="232"/>
      <c r="DR93" s="235"/>
      <c r="DS93" s="235"/>
    </row>
    <row r="94" spans="1:123" ht="21" hidden="1" customHeight="1">
      <c r="A94" s="232"/>
      <c r="B94" s="245"/>
      <c r="C94" s="233"/>
      <c r="D94" s="244"/>
      <c r="E94" s="233"/>
      <c r="F94" s="238"/>
      <c r="G94" s="238"/>
      <c r="H94" s="238"/>
      <c r="I94" s="238"/>
      <c r="J94" s="238"/>
      <c r="K94" s="238"/>
      <c r="L94" s="238"/>
      <c r="M94" s="354"/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7"/>
      <c r="AB94" s="235"/>
      <c r="AC94" s="235"/>
      <c r="AD94" s="235"/>
      <c r="AE94" s="235"/>
      <c r="AF94" s="235"/>
      <c r="AG94" s="235"/>
      <c r="AH94" s="235"/>
      <c r="AI94" s="235"/>
      <c r="AJ94" s="238"/>
      <c r="AK94" s="239"/>
      <c r="AL94" s="240"/>
      <c r="AM94" s="240"/>
      <c r="AN94" s="240"/>
      <c r="AO94" s="242">
        <f>AJ95-AO95-AP95</f>
        <v>104204410.84604</v>
      </c>
      <c r="AP94" s="241"/>
      <c r="AQ94" s="242">
        <f>AJ95-AQ95-AR95</f>
        <v>104207603.66725999</v>
      </c>
      <c r="AR94" s="241"/>
      <c r="AS94" s="242">
        <f>AJ95-AS95-AT95</f>
        <v>104173971.29800001</v>
      </c>
      <c r="AT94" s="241"/>
      <c r="AU94" s="248">
        <f>AJ95-AU95-AV95</f>
        <v>104142407.81130001</v>
      </c>
      <c r="AV94" s="232"/>
      <c r="DR94" s="235"/>
      <c r="DS94" s="235"/>
    </row>
    <row r="95" spans="1:123" ht="48" customHeight="1">
      <c r="A95" s="232"/>
      <c r="B95" s="249" t="s">
        <v>56</v>
      </c>
      <c r="C95" s="233">
        <f>SUM(C96:C120)</f>
        <v>1550.1999999999998</v>
      </c>
      <c r="D95" s="234">
        <v>33466.6</v>
      </c>
      <c r="E95" s="233">
        <f>D95/35656.8*100</f>
        <v>93.857553117497915</v>
      </c>
      <c r="F95" s="250">
        <f t="shared" ref="F95:L95" si="55">SUM(F96:F120)</f>
        <v>810539.99999999988</v>
      </c>
      <c r="G95" s="234">
        <f t="shared" si="55"/>
        <v>787800.74419999984</v>
      </c>
      <c r="H95" s="234">
        <f t="shared" si="55"/>
        <v>675606.20079999999</v>
      </c>
      <c r="I95" s="234">
        <f t="shared" si="55"/>
        <v>7972.6999999999989</v>
      </c>
      <c r="J95" s="234">
        <f t="shared" si="55"/>
        <v>683578.90079999994</v>
      </c>
      <c r="K95" s="234">
        <f t="shared" si="55"/>
        <v>22739.255800000003</v>
      </c>
      <c r="L95" s="234">
        <f t="shared" si="55"/>
        <v>104221.84339999995</v>
      </c>
      <c r="M95" s="354"/>
      <c r="N95" s="235">
        <v>1553.6</v>
      </c>
      <c r="O95" s="236">
        <v>33466.6</v>
      </c>
      <c r="P95" s="235">
        <v>93.857553117497915</v>
      </c>
      <c r="Q95" s="235">
        <v>812349.99999999988</v>
      </c>
      <c r="R95" s="235">
        <v>789610.74419999984</v>
      </c>
      <c r="S95" s="235">
        <v>677416.20079999999</v>
      </c>
      <c r="T95" s="235">
        <v>7972.6999999999989</v>
      </c>
      <c r="U95" s="235">
        <v>685388.90079999994</v>
      </c>
      <c r="V95" s="235">
        <v>22739.255800000003</v>
      </c>
      <c r="W95" s="235"/>
      <c r="X95" s="234">
        <f>SUM(X96:X121)</f>
        <v>1542.1</v>
      </c>
      <c r="Y95" s="307">
        <f>AA95/X95/12/1.302*1000</f>
        <v>37005.001093560677</v>
      </c>
      <c r="Z95" s="308">
        <f>Y95/37005*100</f>
        <v>100.00000295517005</v>
      </c>
      <c r="AA95" s="309">
        <f>SUM(AA96:AA121)</f>
        <v>891590</v>
      </c>
      <c r="AB95" s="234">
        <f>SUM(AB96:AB121)</f>
        <v>868850.84419999993</v>
      </c>
      <c r="AC95" s="234">
        <f>SUM(AC96:AC121)</f>
        <v>724003.46134999988</v>
      </c>
      <c r="AD95" s="234">
        <f>SUM(AD96:AD121)</f>
        <v>57174.796150000002</v>
      </c>
      <c r="AE95" s="234">
        <f>SUM(AE96:AE121)</f>
        <v>8291.4</v>
      </c>
      <c r="AF95" s="238">
        <f>AE95+AC95+AD95</f>
        <v>789469.65749999986</v>
      </c>
      <c r="AG95" s="234">
        <f t="shared" ref="AG95" si="56">SUM(AG96:AG121)</f>
        <v>22739.1558</v>
      </c>
      <c r="AH95" s="308">
        <f>SUM(AH96:AH121)</f>
        <v>79381.186700000006</v>
      </c>
      <c r="AI95" s="251">
        <f>SUM(AI96:AI120)</f>
        <v>48680</v>
      </c>
      <c r="AJ95" s="251">
        <f>SUM(AJ96:AJ120)</f>
        <v>104221789</v>
      </c>
      <c r="AK95" s="251">
        <f>SUM(AK96:AK120)</f>
        <v>0</v>
      </c>
      <c r="AL95" s="251">
        <f>SUM(AL96:AL120)</f>
        <v>-104117567.15660001</v>
      </c>
      <c r="AM95" s="251">
        <f>SUM(AM96:AM120)</f>
        <v>104173109.00000001</v>
      </c>
      <c r="AN95" s="251" t="s">
        <v>84</v>
      </c>
      <c r="AO95" s="253">
        <f t="shared" ref="AO95:AU95" si="57">SUM(AO96:AO120)</f>
        <v>6951.2615839999962</v>
      </c>
      <c r="AP95" s="253">
        <f t="shared" si="57"/>
        <v>10426.892375999998</v>
      </c>
      <c r="AQ95" s="253">
        <f t="shared" si="57"/>
        <v>6383.3997329999984</v>
      </c>
      <c r="AR95" s="253">
        <f t="shared" si="57"/>
        <v>7801.9330069999978</v>
      </c>
      <c r="AS95" s="253">
        <f t="shared" si="57"/>
        <v>23908.850999999991</v>
      </c>
      <c r="AT95" s="253">
        <f t="shared" si="57"/>
        <v>23908.850999999991</v>
      </c>
      <c r="AU95" s="251">
        <f t="shared" si="57"/>
        <v>57174.795050000001</v>
      </c>
      <c r="AV95" s="251">
        <f>SUM(AV96:AV120)</f>
        <v>22206.393649999976</v>
      </c>
      <c r="AW95" s="251">
        <f t="shared" ref="AW95:AX95" si="58">SUM(AW96:AW120)</f>
        <v>79381.188699999999</v>
      </c>
      <c r="AX95" s="251">
        <f t="shared" si="58"/>
        <v>42137.676382999984</v>
      </c>
      <c r="DQ95" s="310">
        <f>AB95-AF95</f>
        <v>79381.186700000078</v>
      </c>
      <c r="DR95" s="308">
        <f t="shared" ref="DR95:DS95" si="59">SUM(DR96:DR121)</f>
        <v>32661.599999999999</v>
      </c>
      <c r="DS95" s="308">
        <f t="shared" si="59"/>
        <v>46719.586699999978</v>
      </c>
    </row>
    <row r="96" spans="1:123" ht="24" customHeight="1">
      <c r="A96" s="3"/>
      <c r="B96" s="311" t="s">
        <v>57</v>
      </c>
      <c r="C96" s="255">
        <v>72.8</v>
      </c>
      <c r="D96" s="256">
        <v>33869.9</v>
      </c>
      <c r="E96" s="255">
        <v>98</v>
      </c>
      <c r="F96" s="257">
        <f>ROUND(C96*D96*12*1.302/1000,1)</f>
        <v>38524.5</v>
      </c>
      <c r="G96" s="257">
        <f t="shared" ref="G96:G120" si="60">F96-K96</f>
        <v>37476.6</v>
      </c>
      <c r="H96" s="257">
        <v>28757.8</v>
      </c>
      <c r="I96" s="257">
        <v>232.8</v>
      </c>
      <c r="J96" s="257">
        <f t="shared" ref="J96:J120" si="61">H96+I96</f>
        <v>28990.6</v>
      </c>
      <c r="K96" s="257">
        <v>1047.9000000000001</v>
      </c>
      <c r="L96" s="257">
        <f t="shared" ref="L96:L120" si="62">G96-J96</f>
        <v>8486</v>
      </c>
      <c r="M96" s="258"/>
      <c r="N96" s="259">
        <v>72.8</v>
      </c>
      <c r="O96" s="259">
        <v>33869.9</v>
      </c>
      <c r="P96" s="259">
        <v>98</v>
      </c>
      <c r="Q96" s="259">
        <v>38524.5</v>
      </c>
      <c r="R96" s="259">
        <v>37476.6</v>
      </c>
      <c r="S96" s="259">
        <v>28757.8</v>
      </c>
      <c r="T96" s="259">
        <v>232.8</v>
      </c>
      <c r="U96" s="259">
        <v>28990.6</v>
      </c>
      <c r="V96" s="259">
        <v>1047.9000000000001</v>
      </c>
      <c r="W96" s="102">
        <f>'Расчет ЗП ОО на 2018 год '!R33</f>
        <v>36519.343480000003</v>
      </c>
      <c r="X96" s="312">
        <v>72.8</v>
      </c>
      <c r="Y96" s="256">
        <f>ROUND(W96*Z96/100,1)</f>
        <v>37829.300000000003</v>
      </c>
      <c r="Z96" s="215">
        <v>103.587126215</v>
      </c>
      <c r="AA96" s="260">
        <f>ROUND(X96*Y96*12*1.302/1000,2)</f>
        <v>43028.07</v>
      </c>
      <c r="AB96" s="257">
        <f t="shared" ref="AB96:AB121" si="63">AA96-AG96</f>
        <v>41980.27</v>
      </c>
      <c r="AC96" s="257">
        <v>32142.907999999999</v>
      </c>
      <c r="AD96" s="257">
        <v>5091.6000000000004</v>
      </c>
      <c r="AE96" s="257">
        <v>242.1</v>
      </c>
      <c r="AF96" s="238">
        <f>AE96+AC96+AD96</f>
        <v>37476.608</v>
      </c>
      <c r="AG96" s="257">
        <v>1047.8</v>
      </c>
      <c r="AH96" s="257">
        <f>AB96-AF96</f>
        <v>4503.6619999999966</v>
      </c>
      <c r="AI96" s="9"/>
      <c r="AJ96" s="261">
        <v>8486099.9999999981</v>
      </c>
      <c r="AK96" s="9">
        <f t="shared" ref="AK96:AK121" si="64">C96-N96</f>
        <v>0</v>
      </c>
      <c r="AL96" s="9">
        <f t="shared" ref="AL96:AL121" si="65">L96-AJ96</f>
        <v>-8477613.9999999981</v>
      </c>
      <c r="AM96" s="9">
        <f>AJ96-AI96</f>
        <v>8486099.9999999981</v>
      </c>
      <c r="AN96" s="262">
        <v>0.83</v>
      </c>
      <c r="AO96" s="201">
        <f>AH96*40/100</f>
        <v>1801.4647999999986</v>
      </c>
      <c r="AP96" s="201">
        <f>AH96*60/100</f>
        <v>2702.1971999999978</v>
      </c>
      <c r="AQ96" s="201"/>
      <c r="AR96" s="201"/>
      <c r="AS96" s="201"/>
      <c r="AT96" s="201"/>
      <c r="AU96" s="9">
        <v>5091.6000000000004</v>
      </c>
      <c r="AV96" s="9">
        <f>AH96-AU96</f>
        <v>-587.93800000000374</v>
      </c>
      <c r="AW96" s="263">
        <f>AU96+AV96</f>
        <v>4503.6619999999966</v>
      </c>
      <c r="AX96" s="263">
        <f>AP96+AR96+AT96</f>
        <v>2702.1971999999978</v>
      </c>
      <c r="DR96" s="257">
        <f>ROUND(AH96*(32661.6/79381.2),1)</f>
        <v>1853</v>
      </c>
      <c r="DS96" s="257">
        <f>AH96-DR96</f>
        <v>2650.6619999999966</v>
      </c>
    </row>
    <row r="97" spans="1:123" ht="18.75" customHeight="1">
      <c r="A97" s="3"/>
      <c r="B97" s="311" t="s">
        <v>58</v>
      </c>
      <c r="C97" s="255">
        <v>28</v>
      </c>
      <c r="D97" s="256">
        <v>34528.6</v>
      </c>
      <c r="E97" s="255">
        <v>98</v>
      </c>
      <c r="F97" s="257">
        <f t="shared" ref="F97:F120" si="66">ROUND(C97*D97*12*1.302/1000,1)</f>
        <v>15105.3</v>
      </c>
      <c r="G97" s="257">
        <f t="shared" si="60"/>
        <v>15073.5</v>
      </c>
      <c r="H97" s="257">
        <v>12046</v>
      </c>
      <c r="I97" s="257">
        <v>875.5</v>
      </c>
      <c r="J97" s="257">
        <f t="shared" si="61"/>
        <v>12921.5</v>
      </c>
      <c r="K97" s="257">
        <v>31.8</v>
      </c>
      <c r="L97" s="257">
        <f t="shared" si="62"/>
        <v>2152</v>
      </c>
      <c r="M97" s="258"/>
      <c r="N97" s="259">
        <v>28</v>
      </c>
      <c r="O97" s="259">
        <v>34528.6</v>
      </c>
      <c r="P97" s="259">
        <v>98</v>
      </c>
      <c r="Q97" s="259">
        <v>15105.3</v>
      </c>
      <c r="R97" s="259">
        <v>15073.5</v>
      </c>
      <c r="S97" s="259">
        <v>12046</v>
      </c>
      <c r="T97" s="259">
        <v>875.5</v>
      </c>
      <c r="U97" s="259">
        <v>12921.5</v>
      </c>
      <c r="V97" s="259">
        <v>31.8</v>
      </c>
      <c r="W97" s="102">
        <f>'Расчет ЗП ОО на 2018 год '!R34</f>
        <v>35009.548620000001</v>
      </c>
      <c r="X97" s="312">
        <v>27.1</v>
      </c>
      <c r="Y97" s="256">
        <f t="shared" ref="Y97:Y120" si="67">ROUND(W97*Z97/100,1)</f>
        <v>36265.4</v>
      </c>
      <c r="Z97" s="215">
        <v>103.587126215</v>
      </c>
      <c r="AA97" s="260">
        <f t="shared" ref="AA97:AA120" si="68">ROUND(X97*Y97*12*1.302/1000,2)</f>
        <v>15355.15</v>
      </c>
      <c r="AB97" s="257">
        <f t="shared" si="63"/>
        <v>15323.35</v>
      </c>
      <c r="AC97" s="257">
        <v>12871.778399999999</v>
      </c>
      <c r="AD97" s="257">
        <v>1291.2</v>
      </c>
      <c r="AE97" s="257">
        <v>910.5</v>
      </c>
      <c r="AF97" s="238">
        <f t="shared" ref="AF97:AF121" si="69">AE97+AC97+AD97</f>
        <v>15073.4784</v>
      </c>
      <c r="AG97" s="257">
        <v>31.8</v>
      </c>
      <c r="AH97" s="257">
        <f t="shared" ref="AH97:AH121" si="70">AB97-AF97</f>
        <v>249.8716000000004</v>
      </c>
      <c r="AI97" s="9"/>
      <c r="AJ97" s="261">
        <v>2152000</v>
      </c>
      <c r="AK97" s="9">
        <f t="shared" si="64"/>
        <v>0</v>
      </c>
      <c r="AL97" s="9">
        <f t="shared" si="65"/>
        <v>-2149848</v>
      </c>
      <c r="AM97" s="9">
        <f t="shared" ref="AM97:AM120" si="71">AJ97-AI97</f>
        <v>2152000</v>
      </c>
      <c r="AN97" s="262">
        <v>0.74299999999999999</v>
      </c>
      <c r="AO97" s="201">
        <f t="shared" ref="AO97:AO114" si="72">AH97*40/100</f>
        <v>99.948640000000154</v>
      </c>
      <c r="AP97" s="201">
        <f t="shared" ref="AP97:AP114" si="73">AH97*60/100</f>
        <v>149.92296000000024</v>
      </c>
      <c r="AQ97" s="201"/>
      <c r="AR97" s="201"/>
      <c r="AS97" s="201"/>
      <c r="AT97" s="201"/>
      <c r="AU97" s="9">
        <v>1291.2</v>
      </c>
      <c r="AV97" s="9">
        <f t="shared" ref="AV97:AV121" si="74">AH97-AU97</f>
        <v>-1041.3283999999996</v>
      </c>
      <c r="AW97" s="263">
        <f t="shared" ref="AW97:AW120" si="75">AU97+AV97</f>
        <v>249.8716000000004</v>
      </c>
      <c r="AX97" s="263">
        <f t="shared" ref="AX97:AX121" si="76">AP97+AR97+AT97</f>
        <v>149.92296000000024</v>
      </c>
      <c r="DR97" s="257">
        <f t="shared" ref="DR97:DR121" si="77">ROUND(AH97*(32661.6/79381.2),1)</f>
        <v>102.8</v>
      </c>
      <c r="DS97" s="257">
        <f t="shared" ref="DS97:DS121" si="78">AH97-DR97</f>
        <v>147.07160000000039</v>
      </c>
    </row>
    <row r="98" spans="1:123" ht="18.75" customHeight="1">
      <c r="A98" s="3"/>
      <c r="B98" s="311" t="s">
        <v>59</v>
      </c>
      <c r="C98" s="255">
        <v>12</v>
      </c>
      <c r="D98" s="256">
        <v>34785.199999999997</v>
      </c>
      <c r="E98" s="255">
        <v>98</v>
      </c>
      <c r="F98" s="257">
        <f t="shared" si="66"/>
        <v>6521.8</v>
      </c>
      <c r="G98" s="257">
        <f t="shared" si="60"/>
        <v>6493</v>
      </c>
      <c r="H98" s="257">
        <v>5040.6000000000004</v>
      </c>
      <c r="I98" s="257">
        <v>508.2</v>
      </c>
      <c r="J98" s="257">
        <f t="shared" si="61"/>
        <v>5548.8</v>
      </c>
      <c r="K98" s="257">
        <v>28.8</v>
      </c>
      <c r="L98" s="257">
        <f t="shared" si="62"/>
        <v>944.19999999999982</v>
      </c>
      <c r="M98" s="258"/>
      <c r="N98" s="259">
        <v>12</v>
      </c>
      <c r="O98" s="259">
        <v>34785.199999999997</v>
      </c>
      <c r="P98" s="259">
        <v>98</v>
      </c>
      <c r="Q98" s="259">
        <v>6521.8</v>
      </c>
      <c r="R98" s="259">
        <v>6493</v>
      </c>
      <c r="S98" s="259">
        <v>5040.6000000000004</v>
      </c>
      <c r="T98" s="259">
        <v>508.2</v>
      </c>
      <c r="U98" s="259">
        <v>5548.8</v>
      </c>
      <c r="V98" s="259">
        <v>28.8</v>
      </c>
      <c r="W98" s="102">
        <f>'Расчет ЗП ОО на 2018 год '!R35</f>
        <v>35777.864240000003</v>
      </c>
      <c r="X98" s="312">
        <v>11.7</v>
      </c>
      <c r="Y98" s="256">
        <f t="shared" si="67"/>
        <v>37061.300000000003</v>
      </c>
      <c r="Z98" s="215">
        <v>103.587126215</v>
      </c>
      <c r="AA98" s="260">
        <f t="shared" si="68"/>
        <v>6774.84</v>
      </c>
      <c r="AB98" s="257">
        <f t="shared" si="63"/>
        <v>6746.04</v>
      </c>
      <c r="AC98" s="257">
        <v>5397.9551999999994</v>
      </c>
      <c r="AD98" s="257">
        <v>566.5</v>
      </c>
      <c r="AE98" s="257">
        <v>528.5</v>
      </c>
      <c r="AF98" s="238">
        <f t="shared" si="69"/>
        <v>6492.9551999999994</v>
      </c>
      <c r="AG98" s="257">
        <v>28.8</v>
      </c>
      <c r="AH98" s="257">
        <f t="shared" si="70"/>
        <v>253.08480000000054</v>
      </c>
      <c r="AI98" s="9">
        <v>1927.6</v>
      </c>
      <c r="AJ98" s="261">
        <v>944212.80000000121</v>
      </c>
      <c r="AK98" s="9">
        <f t="shared" si="64"/>
        <v>0</v>
      </c>
      <c r="AL98" s="9">
        <f t="shared" si="65"/>
        <v>-943268.60000000126</v>
      </c>
      <c r="AM98" s="9">
        <f t="shared" si="71"/>
        <v>942285.20000000123</v>
      </c>
      <c r="AN98" s="262">
        <v>0.81299999999999994</v>
      </c>
      <c r="AO98" s="201">
        <f t="shared" si="72"/>
        <v>101.23392000000021</v>
      </c>
      <c r="AP98" s="201">
        <f t="shared" si="73"/>
        <v>151.85088000000033</v>
      </c>
      <c r="AQ98" s="201"/>
      <c r="AR98" s="201"/>
      <c r="AS98" s="201"/>
      <c r="AT98" s="201"/>
      <c r="AU98" s="9">
        <v>566.5</v>
      </c>
      <c r="AV98" s="9">
        <f t="shared" si="74"/>
        <v>-313.41519999999946</v>
      </c>
      <c r="AW98" s="263">
        <f t="shared" si="75"/>
        <v>253.08480000000054</v>
      </c>
      <c r="AX98" s="263">
        <f t="shared" si="76"/>
        <v>151.85088000000033</v>
      </c>
      <c r="DR98" s="257">
        <f>ROUND(AH98*(32661.6/79381.2),1)-0.1</f>
        <v>104</v>
      </c>
      <c r="DS98" s="257">
        <f t="shared" si="78"/>
        <v>149.08480000000054</v>
      </c>
    </row>
    <row r="99" spans="1:123" ht="18.75" customHeight="1">
      <c r="A99" s="3"/>
      <c r="B99" s="311" t="s">
        <v>60</v>
      </c>
      <c r="C99" s="255">
        <v>16.399999999999999</v>
      </c>
      <c r="D99" s="256">
        <v>37761</v>
      </c>
      <c r="E99" s="255">
        <v>98</v>
      </c>
      <c r="F99" s="257">
        <f t="shared" si="66"/>
        <v>9675.6</v>
      </c>
      <c r="G99" s="257">
        <f t="shared" si="60"/>
        <v>9608.2000000000007</v>
      </c>
      <c r="H99" s="257">
        <v>7614.1</v>
      </c>
      <c r="I99" s="257">
        <v>991</v>
      </c>
      <c r="J99" s="257">
        <f t="shared" si="61"/>
        <v>8605.1</v>
      </c>
      <c r="K99" s="257">
        <v>67.400000000000006</v>
      </c>
      <c r="L99" s="257">
        <f t="shared" si="62"/>
        <v>1003.1000000000004</v>
      </c>
      <c r="M99" s="258"/>
      <c r="N99" s="259">
        <v>16.399999999999999</v>
      </c>
      <c r="O99" s="259">
        <v>37761</v>
      </c>
      <c r="P99" s="259">
        <v>98</v>
      </c>
      <c r="Q99" s="259">
        <v>9675.6</v>
      </c>
      <c r="R99" s="259">
        <v>9608.2000000000007</v>
      </c>
      <c r="S99" s="259">
        <v>7614.1</v>
      </c>
      <c r="T99" s="259">
        <v>991</v>
      </c>
      <c r="U99" s="259">
        <v>8605.1</v>
      </c>
      <c r="V99" s="259">
        <v>67.400000000000006</v>
      </c>
      <c r="W99" s="102">
        <f>'Расчет ЗП ОО на 2018 год '!R36</f>
        <v>39066.811699999998</v>
      </c>
      <c r="X99" s="312">
        <v>16.7</v>
      </c>
      <c r="Y99" s="256">
        <f t="shared" si="67"/>
        <v>40468.199999999997</v>
      </c>
      <c r="Z99" s="215">
        <v>103.587126215</v>
      </c>
      <c r="AA99" s="260">
        <f t="shared" si="68"/>
        <v>10559</v>
      </c>
      <c r="AB99" s="257">
        <f t="shared" si="63"/>
        <v>10491.6</v>
      </c>
      <c r="AC99" s="257">
        <v>7975.7148000000007</v>
      </c>
      <c r="AD99" s="257">
        <v>601.9</v>
      </c>
      <c r="AE99" s="257">
        <v>1030.5999999999999</v>
      </c>
      <c r="AF99" s="238">
        <f t="shared" si="69"/>
        <v>9608.2147999999997</v>
      </c>
      <c r="AG99" s="257">
        <v>67.400000000000006</v>
      </c>
      <c r="AH99" s="257">
        <f t="shared" si="70"/>
        <v>883.38520000000062</v>
      </c>
      <c r="AI99" s="9"/>
      <c r="AJ99" s="261">
        <v>1003100.0000000003</v>
      </c>
      <c r="AK99" s="9">
        <f t="shared" si="64"/>
        <v>0</v>
      </c>
      <c r="AL99" s="9">
        <f t="shared" si="65"/>
        <v>-1002096.9000000004</v>
      </c>
      <c r="AM99" s="9">
        <f t="shared" si="71"/>
        <v>1003100.0000000003</v>
      </c>
      <c r="AN99" s="262">
        <v>0.86499999999999999</v>
      </c>
      <c r="AO99" s="201">
        <f t="shared" si="72"/>
        <v>353.35408000000024</v>
      </c>
      <c r="AP99" s="201">
        <f t="shared" si="73"/>
        <v>530.03112000000033</v>
      </c>
      <c r="AQ99" s="201"/>
      <c r="AR99" s="201"/>
      <c r="AS99" s="201"/>
      <c r="AT99" s="201"/>
      <c r="AU99" s="9">
        <v>601.9</v>
      </c>
      <c r="AV99" s="9">
        <f t="shared" si="74"/>
        <v>281.48520000000065</v>
      </c>
      <c r="AW99" s="263">
        <f t="shared" si="75"/>
        <v>883.38520000000062</v>
      </c>
      <c r="AX99" s="263">
        <f t="shared" si="76"/>
        <v>530.03112000000033</v>
      </c>
      <c r="DR99" s="257">
        <f t="shared" si="77"/>
        <v>363.5</v>
      </c>
      <c r="DS99" s="257">
        <f t="shared" si="78"/>
        <v>519.88520000000062</v>
      </c>
    </row>
    <row r="100" spans="1:123" ht="18.75" customHeight="1">
      <c r="A100" s="3"/>
      <c r="B100" s="311" t="s">
        <v>61</v>
      </c>
      <c r="C100" s="255">
        <v>27.2</v>
      </c>
      <c r="D100" s="256">
        <v>30879.8</v>
      </c>
      <c r="E100" s="255">
        <v>98</v>
      </c>
      <c r="F100" s="257">
        <f t="shared" si="66"/>
        <v>13123.1</v>
      </c>
      <c r="G100" s="257">
        <f t="shared" si="60"/>
        <v>12908.4</v>
      </c>
      <c r="H100" s="257">
        <v>10295.6</v>
      </c>
      <c r="I100" s="257">
        <v>0</v>
      </c>
      <c r="J100" s="257">
        <f t="shared" si="61"/>
        <v>10295.6</v>
      </c>
      <c r="K100" s="257">
        <v>214.7</v>
      </c>
      <c r="L100" s="257">
        <f t="shared" si="62"/>
        <v>2612.7999999999993</v>
      </c>
      <c r="M100" s="258"/>
      <c r="N100" s="259">
        <v>27.2</v>
      </c>
      <c r="O100" s="259">
        <v>30879.8</v>
      </c>
      <c r="P100" s="259">
        <v>98</v>
      </c>
      <c r="Q100" s="259">
        <v>13123.1</v>
      </c>
      <c r="R100" s="259">
        <v>12908.4</v>
      </c>
      <c r="S100" s="259">
        <v>10295.6</v>
      </c>
      <c r="T100" s="259">
        <v>0</v>
      </c>
      <c r="U100" s="259">
        <v>10295.6</v>
      </c>
      <c r="V100" s="259">
        <v>214.7</v>
      </c>
      <c r="W100" s="102">
        <f>'Расчет ЗП ОО на 2018 год '!R37</f>
        <v>31472.116160000001</v>
      </c>
      <c r="X100" s="312">
        <v>27.2</v>
      </c>
      <c r="Y100" s="256">
        <f t="shared" si="67"/>
        <v>32601.1</v>
      </c>
      <c r="Z100" s="215">
        <v>103.587126215</v>
      </c>
      <c r="AA100" s="260">
        <f t="shared" si="68"/>
        <v>13854.58</v>
      </c>
      <c r="AB100" s="257">
        <f t="shared" si="63"/>
        <v>13639.88</v>
      </c>
      <c r="AC100" s="257">
        <v>11340.710000000001</v>
      </c>
      <c r="AD100" s="257">
        <v>1567.7</v>
      </c>
      <c r="AE100" s="257"/>
      <c r="AF100" s="238">
        <f t="shared" si="69"/>
        <v>12908.410000000002</v>
      </c>
      <c r="AG100" s="257">
        <v>214.7</v>
      </c>
      <c r="AH100" s="257">
        <f t="shared" si="70"/>
        <v>731.46999999999753</v>
      </c>
      <c r="AI100" s="9"/>
      <c r="AJ100" s="261">
        <v>2612799.9999999991</v>
      </c>
      <c r="AK100" s="9">
        <f t="shared" si="64"/>
        <v>0</v>
      </c>
      <c r="AL100" s="9">
        <f t="shared" si="65"/>
        <v>-2610187.1999999993</v>
      </c>
      <c r="AM100" s="9">
        <f t="shared" si="71"/>
        <v>2612799.9999999991</v>
      </c>
      <c r="AN100" s="262">
        <v>0.81299999999999994</v>
      </c>
      <c r="AO100" s="201">
        <f t="shared" si="72"/>
        <v>292.587999999999</v>
      </c>
      <c r="AP100" s="201">
        <f t="shared" si="73"/>
        <v>438.88199999999853</v>
      </c>
      <c r="AQ100" s="201"/>
      <c r="AR100" s="201"/>
      <c r="AS100" s="201"/>
      <c r="AT100" s="201"/>
      <c r="AU100" s="9">
        <v>1567.7</v>
      </c>
      <c r="AV100" s="9">
        <f t="shared" si="74"/>
        <v>-836.23000000000252</v>
      </c>
      <c r="AW100" s="263">
        <f t="shared" si="75"/>
        <v>731.46999999999753</v>
      </c>
      <c r="AX100" s="263">
        <f t="shared" si="76"/>
        <v>438.88199999999853</v>
      </c>
      <c r="DR100" s="257">
        <f t="shared" si="77"/>
        <v>301</v>
      </c>
      <c r="DS100" s="257">
        <f t="shared" si="78"/>
        <v>430.46999999999753</v>
      </c>
    </row>
    <row r="101" spans="1:123" ht="18.75" customHeight="1">
      <c r="A101" s="3"/>
      <c r="B101" s="311" t="s">
        <v>62</v>
      </c>
      <c r="C101" s="255">
        <v>37</v>
      </c>
      <c r="D101" s="256">
        <v>36225.300000000003</v>
      </c>
      <c r="E101" s="255">
        <v>98</v>
      </c>
      <c r="F101" s="257">
        <f t="shared" si="66"/>
        <v>20941.400000000001</v>
      </c>
      <c r="G101" s="257">
        <f t="shared" si="60"/>
        <v>20941.400000000001</v>
      </c>
      <c r="H101" s="257">
        <v>14387.9</v>
      </c>
      <c r="I101" s="257">
        <v>1373.5</v>
      </c>
      <c r="J101" s="257">
        <f t="shared" si="61"/>
        <v>15761.4</v>
      </c>
      <c r="K101" s="257"/>
      <c r="L101" s="257">
        <f t="shared" si="62"/>
        <v>5180.0000000000018</v>
      </c>
      <c r="M101" s="258"/>
      <c r="N101" s="259">
        <v>37</v>
      </c>
      <c r="O101" s="259">
        <v>36225.300000000003</v>
      </c>
      <c r="P101" s="259">
        <v>98</v>
      </c>
      <c r="Q101" s="259">
        <v>20941.400000000001</v>
      </c>
      <c r="R101" s="259">
        <v>20941.400000000001</v>
      </c>
      <c r="S101" s="259">
        <v>14387.9</v>
      </c>
      <c r="T101" s="259">
        <v>1373.5</v>
      </c>
      <c r="U101" s="259">
        <v>15761.4</v>
      </c>
      <c r="V101" s="259"/>
      <c r="W101" s="102">
        <f>'Расчет ЗП ОО на 2018 год '!R38</f>
        <v>36374.228240000004</v>
      </c>
      <c r="X101" s="312">
        <v>37</v>
      </c>
      <c r="Y101" s="256">
        <f t="shared" si="67"/>
        <v>37679</v>
      </c>
      <c r="Z101" s="215">
        <v>103.587126215</v>
      </c>
      <c r="AA101" s="260">
        <f t="shared" si="68"/>
        <v>21781.78</v>
      </c>
      <c r="AB101" s="257">
        <f t="shared" si="63"/>
        <v>21781.78</v>
      </c>
      <c r="AC101" s="257">
        <v>16404.964400000001</v>
      </c>
      <c r="AD101" s="257">
        <v>3108</v>
      </c>
      <c r="AE101" s="257">
        <v>1428.4</v>
      </c>
      <c r="AF101" s="238">
        <f t="shared" si="69"/>
        <v>20941.364400000002</v>
      </c>
      <c r="AG101" s="257"/>
      <c r="AH101" s="257">
        <f t="shared" si="70"/>
        <v>840.41559999999663</v>
      </c>
      <c r="AI101" s="9"/>
      <c r="AJ101" s="261">
        <v>5180000.0000000019</v>
      </c>
      <c r="AK101" s="9">
        <f t="shared" si="64"/>
        <v>0</v>
      </c>
      <c r="AL101" s="9">
        <f t="shared" si="65"/>
        <v>-5174820.0000000019</v>
      </c>
      <c r="AM101" s="9">
        <f t="shared" si="71"/>
        <v>5180000.0000000019</v>
      </c>
      <c r="AN101" s="262">
        <v>0.80800000000000005</v>
      </c>
      <c r="AO101" s="201">
        <f t="shared" si="72"/>
        <v>336.16623999999865</v>
      </c>
      <c r="AP101" s="201">
        <f t="shared" si="73"/>
        <v>504.24935999999798</v>
      </c>
      <c r="AQ101" s="201"/>
      <c r="AR101" s="201"/>
      <c r="AS101" s="201"/>
      <c r="AT101" s="201"/>
      <c r="AU101" s="9">
        <v>3108</v>
      </c>
      <c r="AV101" s="9">
        <f t="shared" si="74"/>
        <v>-2267.5844000000034</v>
      </c>
      <c r="AW101" s="263">
        <f t="shared" si="75"/>
        <v>840.41559999999663</v>
      </c>
      <c r="AX101" s="263">
        <f t="shared" si="76"/>
        <v>504.24935999999798</v>
      </c>
      <c r="DR101" s="257">
        <f t="shared" si="77"/>
        <v>345.8</v>
      </c>
      <c r="DS101" s="257">
        <f t="shared" si="78"/>
        <v>494.61559999999662</v>
      </c>
    </row>
    <row r="102" spans="1:123" ht="18.75" customHeight="1">
      <c r="A102" s="3"/>
      <c r="B102" s="311" t="s">
        <v>44</v>
      </c>
      <c r="C102" s="255">
        <v>26.3</v>
      </c>
      <c r="D102" s="256">
        <v>32799.199999999997</v>
      </c>
      <c r="E102" s="255">
        <v>98</v>
      </c>
      <c r="F102" s="257">
        <f t="shared" si="66"/>
        <v>13477.6</v>
      </c>
      <c r="G102" s="257">
        <f t="shared" si="60"/>
        <v>12947.2</v>
      </c>
      <c r="H102" s="257">
        <v>10858.8</v>
      </c>
      <c r="I102" s="257">
        <v>768.3</v>
      </c>
      <c r="J102" s="257">
        <f t="shared" si="61"/>
        <v>11627.099999999999</v>
      </c>
      <c r="K102" s="257">
        <v>530.4</v>
      </c>
      <c r="L102" s="257">
        <f t="shared" si="62"/>
        <v>1320.1000000000022</v>
      </c>
      <c r="M102" s="258"/>
      <c r="N102" s="259">
        <v>26.3</v>
      </c>
      <c r="O102" s="259">
        <v>32799.199999999997</v>
      </c>
      <c r="P102" s="259">
        <v>98</v>
      </c>
      <c r="Q102" s="259">
        <v>13477.6</v>
      </c>
      <c r="R102" s="259">
        <v>12947.2</v>
      </c>
      <c r="S102" s="259">
        <v>10858.8</v>
      </c>
      <c r="T102" s="259">
        <v>768.3</v>
      </c>
      <c r="U102" s="259">
        <v>11627.099999999999</v>
      </c>
      <c r="V102" s="259">
        <v>530.4</v>
      </c>
      <c r="W102" s="102">
        <f>'Расчет ЗП ОО на 2018 год '!R39</f>
        <v>39277.526980000002</v>
      </c>
      <c r="X102" s="312">
        <v>25.8</v>
      </c>
      <c r="Y102" s="256">
        <f t="shared" si="67"/>
        <v>40686.5</v>
      </c>
      <c r="Z102" s="215">
        <v>103.587126215</v>
      </c>
      <c r="AA102" s="260">
        <f t="shared" si="68"/>
        <v>16400.7</v>
      </c>
      <c r="AB102" s="257">
        <f t="shared" si="63"/>
        <v>15870.300000000001</v>
      </c>
      <c r="AC102" s="257">
        <v>11356.0916</v>
      </c>
      <c r="AD102" s="257">
        <v>792</v>
      </c>
      <c r="AE102" s="257">
        <v>799</v>
      </c>
      <c r="AF102" s="238">
        <f t="shared" si="69"/>
        <v>12947.0916</v>
      </c>
      <c r="AG102" s="257">
        <v>530.4</v>
      </c>
      <c r="AH102" s="257">
        <f t="shared" si="70"/>
        <v>2923.2084000000013</v>
      </c>
      <c r="AI102" s="9">
        <v>616.6</v>
      </c>
      <c r="AJ102" s="261">
        <v>1320070.8000000012</v>
      </c>
      <c r="AK102" s="9">
        <f t="shared" si="64"/>
        <v>0</v>
      </c>
      <c r="AL102" s="9">
        <f t="shared" si="65"/>
        <v>-1318750.7000000011</v>
      </c>
      <c r="AM102" s="9">
        <f t="shared" si="71"/>
        <v>1319454.2000000011</v>
      </c>
      <c r="AN102" s="262">
        <v>0.82299999999999995</v>
      </c>
      <c r="AO102" s="201">
        <f t="shared" si="72"/>
        <v>1169.2833600000006</v>
      </c>
      <c r="AP102" s="201">
        <f t="shared" si="73"/>
        <v>1753.9250400000008</v>
      </c>
      <c r="AQ102" s="201"/>
      <c r="AR102" s="201"/>
      <c r="AS102" s="201"/>
      <c r="AT102" s="201"/>
      <c r="AU102" s="9">
        <v>792</v>
      </c>
      <c r="AV102" s="9">
        <f t="shared" si="74"/>
        <v>2131.2084000000013</v>
      </c>
      <c r="AW102" s="263">
        <f t="shared" si="75"/>
        <v>2923.2084000000013</v>
      </c>
      <c r="AX102" s="263">
        <f t="shared" si="76"/>
        <v>1753.9250400000008</v>
      </c>
      <c r="DR102" s="257">
        <f t="shared" si="77"/>
        <v>1202.8</v>
      </c>
      <c r="DS102" s="257">
        <f t="shared" si="78"/>
        <v>1720.4084000000014</v>
      </c>
    </row>
    <row r="103" spans="1:123" ht="18.75" customHeight="1">
      <c r="A103" s="3"/>
      <c r="B103" s="311" t="s">
        <v>45</v>
      </c>
      <c r="C103" s="255">
        <v>6.3</v>
      </c>
      <c r="D103" s="256">
        <v>38640.800000000003</v>
      </c>
      <c r="E103" s="255">
        <v>98</v>
      </c>
      <c r="F103" s="257">
        <f t="shared" si="66"/>
        <v>3803.5</v>
      </c>
      <c r="G103" s="257">
        <f t="shared" si="60"/>
        <v>3583.7</v>
      </c>
      <c r="H103" s="257">
        <v>2266.0007999999998</v>
      </c>
      <c r="I103" s="257">
        <v>290.90000000000003</v>
      </c>
      <c r="J103" s="257">
        <f t="shared" si="61"/>
        <v>2556.9007999999999</v>
      </c>
      <c r="K103" s="257">
        <v>219.8</v>
      </c>
      <c r="L103" s="257">
        <f t="shared" si="62"/>
        <v>1026.7991999999999</v>
      </c>
      <c r="M103" s="258"/>
      <c r="N103" s="259">
        <v>6.3</v>
      </c>
      <c r="O103" s="259">
        <v>38640.800000000003</v>
      </c>
      <c r="P103" s="259">
        <v>98</v>
      </c>
      <c r="Q103" s="259">
        <v>3803.5</v>
      </c>
      <c r="R103" s="259">
        <v>3583.7</v>
      </c>
      <c r="S103" s="259">
        <v>2266.0007999999998</v>
      </c>
      <c r="T103" s="259">
        <v>290.90000000000003</v>
      </c>
      <c r="U103" s="259">
        <v>2556.9007999999999</v>
      </c>
      <c r="V103" s="259">
        <v>219.8</v>
      </c>
      <c r="W103" s="102">
        <f>'Расчет ЗП ОО на 2018 год '!R40</f>
        <v>42925.286780000002</v>
      </c>
      <c r="X103" s="312">
        <v>5.8</v>
      </c>
      <c r="Y103" s="256">
        <f t="shared" si="67"/>
        <v>44465.1</v>
      </c>
      <c r="Z103" s="215">
        <v>103.587126215</v>
      </c>
      <c r="AA103" s="260">
        <f t="shared" si="68"/>
        <v>4029.39</v>
      </c>
      <c r="AB103" s="257">
        <f t="shared" si="63"/>
        <v>3809.5899999999997</v>
      </c>
      <c r="AC103" s="257">
        <v>2665.0684799999999</v>
      </c>
      <c r="AD103" s="257">
        <v>616.1</v>
      </c>
      <c r="AE103" s="257">
        <v>302.5</v>
      </c>
      <c r="AF103" s="238">
        <f t="shared" si="69"/>
        <v>3583.6684799999998</v>
      </c>
      <c r="AG103" s="257">
        <v>219.8</v>
      </c>
      <c r="AH103" s="257">
        <f t="shared" si="70"/>
        <v>225.92151999999987</v>
      </c>
      <c r="AI103" s="9">
        <v>2222.6999999999998</v>
      </c>
      <c r="AJ103" s="261">
        <v>1026846.3999999999</v>
      </c>
      <c r="AK103" s="9">
        <f t="shared" si="64"/>
        <v>0</v>
      </c>
      <c r="AL103" s="9">
        <f t="shared" si="65"/>
        <v>-1025819.6007999999</v>
      </c>
      <c r="AM103" s="9">
        <f t="shared" si="71"/>
        <v>1024623.7</v>
      </c>
      <c r="AN103" s="262">
        <v>0.77600000000000002</v>
      </c>
      <c r="AO103" s="201">
        <f t="shared" si="72"/>
        <v>90.368607999999952</v>
      </c>
      <c r="AP103" s="201">
        <f t="shared" si="73"/>
        <v>135.55291199999994</v>
      </c>
      <c r="AQ103" s="201"/>
      <c r="AR103" s="201"/>
      <c r="AS103" s="201"/>
      <c r="AT103" s="201"/>
      <c r="AU103" s="9">
        <v>616.1</v>
      </c>
      <c r="AV103" s="9">
        <f t="shared" si="74"/>
        <v>-390.17848000000015</v>
      </c>
      <c r="AW103" s="263">
        <f t="shared" si="75"/>
        <v>225.92151999999987</v>
      </c>
      <c r="AX103" s="263">
        <f t="shared" si="76"/>
        <v>135.55291199999994</v>
      </c>
      <c r="DR103" s="257">
        <f t="shared" si="77"/>
        <v>93</v>
      </c>
      <c r="DS103" s="257">
        <f t="shared" si="78"/>
        <v>132.92151999999987</v>
      </c>
    </row>
    <row r="104" spans="1:123" ht="18.75" customHeight="1">
      <c r="A104" s="3"/>
      <c r="B104" s="311" t="s">
        <v>46</v>
      </c>
      <c r="C104" s="255">
        <v>20</v>
      </c>
      <c r="D104" s="256">
        <v>35622.9</v>
      </c>
      <c r="E104" s="255">
        <v>98</v>
      </c>
      <c r="F104" s="257">
        <f t="shared" si="66"/>
        <v>11131.4</v>
      </c>
      <c r="G104" s="257">
        <f t="shared" si="60"/>
        <v>11131.4</v>
      </c>
      <c r="H104" s="257">
        <v>8363.9</v>
      </c>
      <c r="I104" s="257">
        <v>559.4</v>
      </c>
      <c r="J104" s="257">
        <f t="shared" si="61"/>
        <v>8923.2999999999993</v>
      </c>
      <c r="K104" s="257"/>
      <c r="L104" s="257">
        <f t="shared" si="62"/>
        <v>2208.1000000000004</v>
      </c>
      <c r="M104" s="258"/>
      <c r="N104" s="259">
        <v>20</v>
      </c>
      <c r="O104" s="259">
        <v>35622.9</v>
      </c>
      <c r="P104" s="259">
        <v>98</v>
      </c>
      <c r="Q104" s="259">
        <v>11131.4</v>
      </c>
      <c r="R104" s="259">
        <v>11131.4</v>
      </c>
      <c r="S104" s="259">
        <v>8363.9</v>
      </c>
      <c r="T104" s="259">
        <v>559.4</v>
      </c>
      <c r="U104" s="259">
        <v>8923.2999999999993</v>
      </c>
      <c r="V104" s="259"/>
      <c r="W104" s="102">
        <f>'Расчет ЗП ОО на 2018 год '!R41</f>
        <v>39464.387699999999</v>
      </c>
      <c r="X104" s="312">
        <v>19.7</v>
      </c>
      <c r="Y104" s="256">
        <f t="shared" si="67"/>
        <v>40880</v>
      </c>
      <c r="Z104" s="215">
        <v>103.587126215</v>
      </c>
      <c r="AA104" s="260">
        <f t="shared" si="68"/>
        <v>12582.57</v>
      </c>
      <c r="AB104" s="257">
        <f t="shared" si="63"/>
        <v>12582.57</v>
      </c>
      <c r="AC104" s="257">
        <v>9224.7816000000003</v>
      </c>
      <c r="AD104" s="257">
        <v>1324.8</v>
      </c>
      <c r="AE104" s="257">
        <v>581.79999999999995</v>
      </c>
      <c r="AF104" s="238">
        <f t="shared" si="69"/>
        <v>11131.381599999999</v>
      </c>
      <c r="AG104" s="257"/>
      <c r="AH104" s="257">
        <f t="shared" si="70"/>
        <v>1451.1884000000009</v>
      </c>
      <c r="AI104" s="9">
        <v>1244.0999999999999</v>
      </c>
      <c r="AJ104" s="261">
        <v>2208046.3999999994</v>
      </c>
      <c r="AK104" s="9">
        <f t="shared" si="64"/>
        <v>0</v>
      </c>
      <c r="AL104" s="9">
        <f t="shared" si="65"/>
        <v>-2205838.2999999993</v>
      </c>
      <c r="AM104" s="9">
        <f t="shared" si="71"/>
        <v>2206802.2999999993</v>
      </c>
      <c r="AN104" s="262">
        <v>0.84899999999999998</v>
      </c>
      <c r="AO104" s="201">
        <f t="shared" si="72"/>
        <v>580.47536000000036</v>
      </c>
      <c r="AP104" s="201">
        <f t="shared" si="73"/>
        <v>870.71304000000066</v>
      </c>
      <c r="AQ104" s="201"/>
      <c r="AR104" s="201"/>
      <c r="AS104" s="201"/>
      <c r="AT104" s="201"/>
      <c r="AU104" s="9">
        <v>1324.8</v>
      </c>
      <c r="AV104" s="9">
        <f t="shared" si="74"/>
        <v>126.38840000000096</v>
      </c>
      <c r="AW104" s="263">
        <f t="shared" si="75"/>
        <v>1451.1884000000009</v>
      </c>
      <c r="AX104" s="263">
        <f t="shared" si="76"/>
        <v>870.71304000000066</v>
      </c>
      <c r="DR104" s="257">
        <f t="shared" si="77"/>
        <v>597.1</v>
      </c>
      <c r="DS104" s="257">
        <f t="shared" si="78"/>
        <v>854.08840000000089</v>
      </c>
    </row>
    <row r="105" spans="1:123" ht="18.75" customHeight="1">
      <c r="A105" s="3"/>
      <c r="B105" s="311" t="s">
        <v>47</v>
      </c>
      <c r="C105" s="255">
        <v>3</v>
      </c>
      <c r="D105" s="256">
        <v>45572.2</v>
      </c>
      <c r="E105" s="255">
        <v>98</v>
      </c>
      <c r="F105" s="257">
        <f t="shared" si="66"/>
        <v>2136.1</v>
      </c>
      <c r="G105" s="257">
        <f t="shared" si="60"/>
        <v>2115.7999999999997</v>
      </c>
      <c r="H105" s="257">
        <v>1755.7</v>
      </c>
      <c r="I105" s="257">
        <v>0</v>
      </c>
      <c r="J105" s="257">
        <f t="shared" si="61"/>
        <v>1755.7</v>
      </c>
      <c r="K105" s="257">
        <v>20.3</v>
      </c>
      <c r="L105" s="257">
        <f t="shared" si="62"/>
        <v>360.09999999999968</v>
      </c>
      <c r="M105" s="258"/>
      <c r="N105" s="259">
        <v>3</v>
      </c>
      <c r="O105" s="259">
        <v>45572.2</v>
      </c>
      <c r="P105" s="259">
        <v>98</v>
      </c>
      <c r="Q105" s="259">
        <v>2136.1</v>
      </c>
      <c r="R105" s="259">
        <v>2115.7999999999997</v>
      </c>
      <c r="S105" s="259">
        <v>1755.7</v>
      </c>
      <c r="T105" s="259">
        <v>0</v>
      </c>
      <c r="U105" s="259">
        <v>1755.7</v>
      </c>
      <c r="V105" s="259">
        <v>20.3</v>
      </c>
      <c r="W105" s="102">
        <f>'Расчет ЗП ОО на 2018 год '!R42</f>
        <v>47405.9683</v>
      </c>
      <c r="X105" s="312">
        <v>2.6</v>
      </c>
      <c r="Y105" s="256">
        <f t="shared" si="67"/>
        <v>49106.5</v>
      </c>
      <c r="Z105" s="215">
        <v>103.587126215</v>
      </c>
      <c r="AA105" s="260">
        <f>ROUND(X105*Y105*12*1.302/1000,2)+0.45</f>
        <v>1995.27</v>
      </c>
      <c r="AB105" s="257">
        <f t="shared" si="63"/>
        <v>1974.97</v>
      </c>
      <c r="AC105" s="257">
        <f>1899.724-140.854</f>
        <v>1758.87</v>
      </c>
      <c r="AD105" s="257">
        <v>216.1</v>
      </c>
      <c r="AE105" s="257"/>
      <c r="AF105" s="238">
        <f t="shared" si="69"/>
        <v>1974.9699999999998</v>
      </c>
      <c r="AG105" s="257">
        <v>20.3</v>
      </c>
      <c r="AH105" s="257">
        <f>AB105-AF105</f>
        <v>0</v>
      </c>
      <c r="AI105" s="9">
        <v>429.1</v>
      </c>
      <c r="AJ105" s="261">
        <v>360093.99999999959</v>
      </c>
      <c r="AK105" s="9">
        <f t="shared" si="64"/>
        <v>0</v>
      </c>
      <c r="AL105" s="9">
        <f t="shared" si="65"/>
        <v>-359733.89999999962</v>
      </c>
      <c r="AM105" s="9">
        <f t="shared" si="71"/>
        <v>359664.89999999962</v>
      </c>
      <c r="AN105" s="262">
        <v>0.86899999999999999</v>
      </c>
      <c r="AO105" s="201">
        <f t="shared" si="72"/>
        <v>0</v>
      </c>
      <c r="AP105" s="201">
        <f t="shared" si="73"/>
        <v>0</v>
      </c>
      <c r="AQ105" s="201"/>
      <c r="AR105" s="201"/>
      <c r="AS105" s="201"/>
      <c r="AT105" s="201"/>
      <c r="AU105" s="9">
        <v>216.1</v>
      </c>
      <c r="AV105" s="201">
        <f t="shared" ref="AV105" si="79">AH105-AU105</f>
        <v>-216.1</v>
      </c>
      <c r="AW105" s="263">
        <f t="shared" si="75"/>
        <v>0</v>
      </c>
      <c r="AX105" s="263">
        <f t="shared" si="76"/>
        <v>0</v>
      </c>
      <c r="DR105" s="257">
        <f t="shared" si="77"/>
        <v>0</v>
      </c>
      <c r="DS105" s="257">
        <f t="shared" si="78"/>
        <v>0</v>
      </c>
    </row>
    <row r="106" spans="1:123" ht="18.75" customHeight="1">
      <c r="A106" s="3"/>
      <c r="B106" s="311" t="s">
        <v>48</v>
      </c>
      <c r="C106" s="255">
        <v>13.8</v>
      </c>
      <c r="D106" s="256">
        <v>44773.5</v>
      </c>
      <c r="E106" s="255">
        <v>98</v>
      </c>
      <c r="F106" s="257">
        <f t="shared" si="66"/>
        <v>9653.7000000000007</v>
      </c>
      <c r="G106" s="257">
        <f t="shared" si="60"/>
        <v>9485.8000000000011</v>
      </c>
      <c r="H106" s="257">
        <v>5869.9</v>
      </c>
      <c r="I106" s="257">
        <v>121.4</v>
      </c>
      <c r="J106" s="257">
        <f t="shared" si="61"/>
        <v>5991.2999999999993</v>
      </c>
      <c r="K106" s="257">
        <v>167.9</v>
      </c>
      <c r="L106" s="257">
        <f t="shared" si="62"/>
        <v>3494.5000000000018</v>
      </c>
      <c r="M106" s="258"/>
      <c r="N106" s="259">
        <v>13.8</v>
      </c>
      <c r="O106" s="259">
        <v>44773.5</v>
      </c>
      <c r="P106" s="259">
        <v>98</v>
      </c>
      <c r="Q106" s="259">
        <v>9653.7000000000007</v>
      </c>
      <c r="R106" s="259">
        <v>9485.8000000000011</v>
      </c>
      <c r="S106" s="259">
        <v>5869.9</v>
      </c>
      <c r="T106" s="259">
        <v>121.4</v>
      </c>
      <c r="U106" s="259">
        <v>5991.2999999999993</v>
      </c>
      <c r="V106" s="259">
        <v>167.9</v>
      </c>
      <c r="W106" s="102">
        <f>'Расчет ЗП ОО на 2018 год '!R43</f>
        <v>46362.331300000005</v>
      </c>
      <c r="X106" s="312">
        <v>13.5</v>
      </c>
      <c r="Y106" s="256">
        <f t="shared" si="67"/>
        <v>48025.4</v>
      </c>
      <c r="Z106" s="215">
        <v>103.587126215</v>
      </c>
      <c r="AA106" s="260">
        <f t="shared" si="68"/>
        <v>10129.709999999999</v>
      </c>
      <c r="AB106" s="257">
        <f t="shared" si="63"/>
        <v>9961.81</v>
      </c>
      <c r="AC106" s="257">
        <v>7612.2779999999993</v>
      </c>
      <c r="AD106" s="257">
        <v>1747.2</v>
      </c>
      <c r="AE106" s="257">
        <v>126.3</v>
      </c>
      <c r="AF106" s="238">
        <f t="shared" si="69"/>
        <v>9485.7780000000002</v>
      </c>
      <c r="AG106" s="257">
        <v>167.9</v>
      </c>
      <c r="AH106" s="257">
        <f t="shared" si="70"/>
        <v>476.03199999999924</v>
      </c>
      <c r="AI106" s="9"/>
      <c r="AJ106" s="261">
        <v>3494386.6000000015</v>
      </c>
      <c r="AK106" s="9">
        <f t="shared" si="64"/>
        <v>0</v>
      </c>
      <c r="AL106" s="9">
        <f t="shared" si="65"/>
        <v>-3490892.1000000015</v>
      </c>
      <c r="AM106" s="9">
        <f t="shared" si="71"/>
        <v>3494386.6000000015</v>
      </c>
      <c r="AN106" s="262">
        <v>1.355</v>
      </c>
      <c r="AO106" s="201"/>
      <c r="AP106" s="201"/>
      <c r="AQ106" s="201"/>
      <c r="AR106" s="201"/>
      <c r="AS106" s="201">
        <f>AH106*50/100</f>
        <v>238.01599999999962</v>
      </c>
      <c r="AT106" s="201">
        <f>AH106*50/100</f>
        <v>238.01599999999962</v>
      </c>
      <c r="AU106" s="9">
        <v>1747.2</v>
      </c>
      <c r="AV106" s="9">
        <f t="shared" si="74"/>
        <v>-1271.1680000000008</v>
      </c>
      <c r="AW106" s="263">
        <f t="shared" si="75"/>
        <v>476.03199999999924</v>
      </c>
      <c r="AX106" s="263">
        <f t="shared" si="76"/>
        <v>238.01599999999962</v>
      </c>
      <c r="DR106" s="257">
        <f t="shared" si="77"/>
        <v>195.9</v>
      </c>
      <c r="DS106" s="257">
        <f t="shared" si="78"/>
        <v>280.13199999999927</v>
      </c>
    </row>
    <row r="107" spans="1:123" ht="18.75" customHeight="1">
      <c r="A107" s="3"/>
      <c r="B107" s="311" t="s">
        <v>63</v>
      </c>
      <c r="C107" s="255">
        <v>36.700000000000003</v>
      </c>
      <c r="D107" s="256">
        <v>31111.7</v>
      </c>
      <c r="E107" s="255">
        <v>98</v>
      </c>
      <c r="F107" s="257">
        <f t="shared" si="66"/>
        <v>17839.5</v>
      </c>
      <c r="G107" s="257">
        <f t="shared" si="60"/>
        <v>17210.400000000001</v>
      </c>
      <c r="H107" s="257">
        <v>15694.6</v>
      </c>
      <c r="I107" s="257">
        <v>63.3</v>
      </c>
      <c r="J107" s="257">
        <f t="shared" si="61"/>
        <v>15757.9</v>
      </c>
      <c r="K107" s="257">
        <v>629.1</v>
      </c>
      <c r="L107" s="257">
        <f t="shared" si="62"/>
        <v>1452.5000000000018</v>
      </c>
      <c r="M107" s="258"/>
      <c r="N107" s="259">
        <v>36.700000000000003</v>
      </c>
      <c r="O107" s="259">
        <v>31111.7</v>
      </c>
      <c r="P107" s="259">
        <v>98</v>
      </c>
      <c r="Q107" s="259">
        <v>17839.5</v>
      </c>
      <c r="R107" s="259">
        <v>17210.400000000001</v>
      </c>
      <c r="S107" s="259">
        <v>15694.6</v>
      </c>
      <c r="T107" s="259">
        <v>63.3</v>
      </c>
      <c r="U107" s="259">
        <v>15757.9</v>
      </c>
      <c r="V107" s="259">
        <v>629.1</v>
      </c>
      <c r="W107" s="102">
        <f>'Расчет ЗП ОО на 2018 год '!R44</f>
        <v>32363.680340000003</v>
      </c>
      <c r="X107" s="312">
        <v>36.700000000000003</v>
      </c>
      <c r="Y107" s="256">
        <f t="shared" si="67"/>
        <v>33524.6</v>
      </c>
      <c r="Z107" s="215">
        <v>103.587126215</v>
      </c>
      <c r="AA107" s="260">
        <f t="shared" si="68"/>
        <v>19223.03</v>
      </c>
      <c r="AB107" s="257">
        <f t="shared" si="63"/>
        <v>18593.93</v>
      </c>
      <c r="AC107" s="257">
        <v>16273.0576</v>
      </c>
      <c r="AD107" s="257">
        <v>871.5</v>
      </c>
      <c r="AE107" s="257">
        <v>65.8</v>
      </c>
      <c r="AF107" s="238">
        <f t="shared" si="69"/>
        <v>17210.357599999999</v>
      </c>
      <c r="AG107" s="257">
        <v>629.1</v>
      </c>
      <c r="AH107" s="257">
        <f t="shared" si="70"/>
        <v>1383.5724000000009</v>
      </c>
      <c r="AI107" s="9"/>
      <c r="AJ107" s="261">
        <v>1452500.0000000019</v>
      </c>
      <c r="AK107" s="9">
        <f t="shared" si="64"/>
        <v>0</v>
      </c>
      <c r="AL107" s="9">
        <f t="shared" si="65"/>
        <v>-1451047.5000000019</v>
      </c>
      <c r="AM107" s="9">
        <f t="shared" si="71"/>
        <v>1452500.0000000019</v>
      </c>
      <c r="AN107" s="262">
        <v>0.877</v>
      </c>
      <c r="AO107" s="201">
        <f t="shared" si="72"/>
        <v>553.42896000000042</v>
      </c>
      <c r="AP107" s="201">
        <f t="shared" si="73"/>
        <v>830.14344000000051</v>
      </c>
      <c r="AQ107" s="201"/>
      <c r="AR107" s="201"/>
      <c r="AS107" s="201"/>
      <c r="AT107" s="201"/>
      <c r="AU107" s="9">
        <v>871.5</v>
      </c>
      <c r="AV107" s="9">
        <f t="shared" si="74"/>
        <v>512.07240000000093</v>
      </c>
      <c r="AW107" s="263">
        <f t="shared" si="75"/>
        <v>1383.5724000000009</v>
      </c>
      <c r="AX107" s="263">
        <f t="shared" si="76"/>
        <v>830.14344000000051</v>
      </c>
      <c r="DR107" s="257">
        <f t="shared" si="77"/>
        <v>569.29999999999995</v>
      </c>
      <c r="DS107" s="257">
        <f t="shared" si="78"/>
        <v>814.27240000000097</v>
      </c>
    </row>
    <row r="108" spans="1:123" ht="18.75" customHeight="1">
      <c r="A108" s="3"/>
      <c r="B108" s="311" t="s">
        <v>49</v>
      </c>
      <c r="C108" s="255">
        <v>10</v>
      </c>
      <c r="D108" s="256">
        <v>36487.199999999997</v>
      </c>
      <c r="E108" s="255">
        <v>98</v>
      </c>
      <c r="F108" s="257">
        <f t="shared" si="66"/>
        <v>5700.8</v>
      </c>
      <c r="G108" s="257">
        <f t="shared" si="60"/>
        <v>5700.8</v>
      </c>
      <c r="H108" s="257">
        <v>4197.3999999999996</v>
      </c>
      <c r="I108" s="257">
        <v>0</v>
      </c>
      <c r="J108" s="257">
        <f t="shared" si="61"/>
        <v>4197.3999999999996</v>
      </c>
      <c r="K108" s="257"/>
      <c r="L108" s="257">
        <f t="shared" si="62"/>
        <v>1503.4000000000005</v>
      </c>
      <c r="M108" s="258"/>
      <c r="N108" s="259">
        <v>10</v>
      </c>
      <c r="O108" s="259">
        <v>36487.199999999997</v>
      </c>
      <c r="P108" s="259">
        <v>98</v>
      </c>
      <c r="Q108" s="259">
        <v>5700.8</v>
      </c>
      <c r="R108" s="259">
        <v>5700.8</v>
      </c>
      <c r="S108" s="259">
        <v>4197.3999999999996</v>
      </c>
      <c r="T108" s="259">
        <v>0</v>
      </c>
      <c r="U108" s="259">
        <v>4197.3999999999996</v>
      </c>
      <c r="V108" s="259"/>
      <c r="W108" s="102">
        <f>'Расчет ЗП ОО на 2018 год '!R45</f>
        <v>35715.246019999999</v>
      </c>
      <c r="X108" s="312">
        <v>10.8</v>
      </c>
      <c r="Y108" s="256">
        <f t="shared" si="67"/>
        <v>36996.400000000001</v>
      </c>
      <c r="Z108" s="215">
        <v>103.587126215</v>
      </c>
      <c r="AA108" s="260">
        <f t="shared" si="68"/>
        <v>6242.74</v>
      </c>
      <c r="AB108" s="257">
        <f t="shared" si="63"/>
        <v>6242.74</v>
      </c>
      <c r="AC108" s="257">
        <v>4798.7439999999997</v>
      </c>
      <c r="AD108" s="257">
        <v>902</v>
      </c>
      <c r="AE108" s="257"/>
      <c r="AF108" s="238">
        <f t="shared" si="69"/>
        <v>5700.7439999999997</v>
      </c>
      <c r="AG108" s="257"/>
      <c r="AH108" s="257">
        <f t="shared" si="70"/>
        <v>541.99600000000009</v>
      </c>
      <c r="AI108" s="9">
        <v>3758.9</v>
      </c>
      <c r="AJ108" s="261">
        <v>1503370.5999999994</v>
      </c>
      <c r="AK108" s="9">
        <f t="shared" si="64"/>
        <v>0</v>
      </c>
      <c r="AL108" s="9">
        <f t="shared" si="65"/>
        <v>-1501867.1999999995</v>
      </c>
      <c r="AM108" s="9">
        <f t="shared" si="71"/>
        <v>1499611.6999999995</v>
      </c>
      <c r="AN108" s="262">
        <v>0.86399999999999999</v>
      </c>
      <c r="AO108" s="201">
        <f t="shared" si="72"/>
        <v>216.79840000000004</v>
      </c>
      <c r="AP108" s="201">
        <f t="shared" si="73"/>
        <v>325.19760000000008</v>
      </c>
      <c r="AQ108" s="201"/>
      <c r="AR108" s="201"/>
      <c r="AS108" s="201"/>
      <c r="AT108" s="201"/>
      <c r="AU108" s="9">
        <v>902</v>
      </c>
      <c r="AV108" s="9">
        <f t="shared" si="74"/>
        <v>-360.00399999999991</v>
      </c>
      <c r="AW108" s="263">
        <f t="shared" si="75"/>
        <v>541.99600000000009</v>
      </c>
      <c r="AX108" s="263">
        <f t="shared" si="76"/>
        <v>325.19760000000008</v>
      </c>
      <c r="DR108" s="257">
        <f t="shared" si="77"/>
        <v>223</v>
      </c>
      <c r="DS108" s="257">
        <f t="shared" si="78"/>
        <v>318.99600000000009</v>
      </c>
    </row>
    <row r="109" spans="1:123" ht="18.75" customHeight="1">
      <c r="A109" s="3"/>
      <c r="B109" s="311" t="s">
        <v>64</v>
      </c>
      <c r="C109" s="255">
        <v>28.2</v>
      </c>
      <c r="D109" s="256">
        <v>43545</v>
      </c>
      <c r="E109" s="255">
        <v>98</v>
      </c>
      <c r="F109" s="257">
        <f t="shared" si="66"/>
        <v>19185.8</v>
      </c>
      <c r="G109" s="257">
        <f t="shared" si="60"/>
        <v>19185.8</v>
      </c>
      <c r="H109" s="257">
        <v>13278.2</v>
      </c>
      <c r="I109" s="257">
        <v>1144.8</v>
      </c>
      <c r="J109" s="257">
        <f t="shared" si="61"/>
        <v>14423</v>
      </c>
      <c r="K109" s="257"/>
      <c r="L109" s="257">
        <f t="shared" si="62"/>
        <v>4762.7999999999993</v>
      </c>
      <c r="M109" s="258"/>
      <c r="N109" s="259">
        <v>28.2</v>
      </c>
      <c r="O109" s="259">
        <v>43545</v>
      </c>
      <c r="P109" s="259">
        <v>98</v>
      </c>
      <c r="Q109" s="259">
        <v>19185.8</v>
      </c>
      <c r="R109" s="259">
        <v>19185.8</v>
      </c>
      <c r="S109" s="259">
        <v>13278.2</v>
      </c>
      <c r="T109" s="259">
        <v>1144.8</v>
      </c>
      <c r="U109" s="259">
        <v>14423</v>
      </c>
      <c r="V109" s="259"/>
      <c r="W109" s="102">
        <f>'Расчет ЗП ОО на 2018 год '!R46</f>
        <v>42473.04408</v>
      </c>
      <c r="X109" s="312">
        <v>28.2</v>
      </c>
      <c r="Y109" s="256">
        <f t="shared" si="67"/>
        <v>43996.6</v>
      </c>
      <c r="Z109" s="215">
        <v>103.587126215</v>
      </c>
      <c r="AA109" s="260">
        <f t="shared" si="68"/>
        <v>19384.759999999998</v>
      </c>
      <c r="AB109" s="257">
        <f t="shared" si="63"/>
        <v>19384.759999999998</v>
      </c>
      <c r="AC109" s="257">
        <v>15137.5232</v>
      </c>
      <c r="AD109" s="257">
        <v>2857.7</v>
      </c>
      <c r="AE109" s="257">
        <v>1190.5999999999999</v>
      </c>
      <c r="AF109" s="238">
        <f t="shared" si="69"/>
        <v>19185.823199999999</v>
      </c>
      <c r="AG109" s="257"/>
      <c r="AH109" s="257">
        <f t="shared" si="70"/>
        <v>198.93679999999949</v>
      </c>
      <c r="AI109" s="9"/>
      <c r="AJ109" s="261">
        <v>4762799.9999999991</v>
      </c>
      <c r="AK109" s="9">
        <f t="shared" si="64"/>
        <v>0</v>
      </c>
      <c r="AL109" s="9">
        <f t="shared" si="65"/>
        <v>-4758037.1999999993</v>
      </c>
      <c r="AM109" s="9">
        <f t="shared" si="71"/>
        <v>4762799.9999999991</v>
      </c>
      <c r="AN109" s="262">
        <v>0.81299999999999994</v>
      </c>
      <c r="AO109" s="201">
        <f t="shared" si="72"/>
        <v>79.5747199999998</v>
      </c>
      <c r="AP109" s="201">
        <f t="shared" si="73"/>
        <v>119.36207999999969</v>
      </c>
      <c r="AQ109" s="201"/>
      <c r="AR109" s="201"/>
      <c r="AS109" s="201"/>
      <c r="AT109" s="201"/>
      <c r="AU109" s="9">
        <v>2857.7</v>
      </c>
      <c r="AV109" s="9">
        <f t="shared" si="74"/>
        <v>-2658.7632000000003</v>
      </c>
      <c r="AW109" s="263">
        <f t="shared" si="75"/>
        <v>198.93679999999949</v>
      </c>
      <c r="AX109" s="263">
        <f t="shared" si="76"/>
        <v>119.36207999999969</v>
      </c>
      <c r="DR109" s="257">
        <f t="shared" si="77"/>
        <v>81.900000000000006</v>
      </c>
      <c r="DS109" s="257">
        <f t="shared" si="78"/>
        <v>117.03679999999949</v>
      </c>
    </row>
    <row r="110" spans="1:123" ht="21.75" customHeight="1">
      <c r="A110" s="3"/>
      <c r="B110" s="311" t="s">
        <v>50</v>
      </c>
      <c r="C110" s="255"/>
      <c r="D110" s="256">
        <v>39949.4</v>
      </c>
      <c r="E110" s="255">
        <v>98</v>
      </c>
      <c r="F110" s="257">
        <f t="shared" si="66"/>
        <v>0</v>
      </c>
      <c r="G110" s="257">
        <f t="shared" si="60"/>
        <v>0</v>
      </c>
      <c r="H110" s="257"/>
      <c r="I110" s="257">
        <v>0</v>
      </c>
      <c r="J110" s="257">
        <f t="shared" si="61"/>
        <v>0</v>
      </c>
      <c r="K110" s="257"/>
      <c r="L110" s="257">
        <f t="shared" si="62"/>
        <v>0</v>
      </c>
      <c r="M110" s="258"/>
      <c r="N110" s="259"/>
      <c r="O110" s="259">
        <v>39949.4</v>
      </c>
      <c r="P110" s="259">
        <v>98</v>
      </c>
      <c r="Q110" s="259">
        <v>0</v>
      </c>
      <c r="R110" s="259">
        <v>0</v>
      </c>
      <c r="S110" s="259"/>
      <c r="T110" s="259">
        <v>0</v>
      </c>
      <c r="U110" s="259">
        <v>0</v>
      </c>
      <c r="V110" s="259"/>
      <c r="W110" s="102">
        <f>'Расчет ЗП ОО на 2018 год '!R47</f>
        <v>40646.182359999999</v>
      </c>
      <c r="X110" s="312">
        <v>0</v>
      </c>
      <c r="Y110" s="256">
        <f t="shared" si="67"/>
        <v>42104.2</v>
      </c>
      <c r="Z110" s="215">
        <v>103.587126215</v>
      </c>
      <c r="AA110" s="260">
        <f t="shared" si="68"/>
        <v>0</v>
      </c>
      <c r="AB110" s="257">
        <f t="shared" si="63"/>
        <v>0</v>
      </c>
      <c r="AC110" s="257">
        <v>0</v>
      </c>
      <c r="AD110" s="257">
        <v>0</v>
      </c>
      <c r="AE110" s="257"/>
      <c r="AF110" s="238">
        <f t="shared" si="69"/>
        <v>0</v>
      </c>
      <c r="AG110" s="257"/>
      <c r="AH110" s="257">
        <f t="shared" si="70"/>
        <v>0</v>
      </c>
      <c r="AI110" s="9">
        <v>1001.6</v>
      </c>
      <c r="AJ110" s="261">
        <v>0</v>
      </c>
      <c r="AK110" s="9">
        <f t="shared" si="64"/>
        <v>0</v>
      </c>
      <c r="AL110" s="9">
        <f t="shared" si="65"/>
        <v>0</v>
      </c>
      <c r="AM110" s="9">
        <f t="shared" si="71"/>
        <v>-1001.6</v>
      </c>
      <c r="AN110" s="262">
        <v>0.89</v>
      </c>
      <c r="AO110" s="201">
        <f t="shared" si="72"/>
        <v>0</v>
      </c>
      <c r="AP110" s="201">
        <f t="shared" si="73"/>
        <v>0</v>
      </c>
      <c r="AQ110" s="201"/>
      <c r="AR110" s="201"/>
      <c r="AS110" s="201"/>
      <c r="AT110" s="201"/>
      <c r="AU110" s="9">
        <v>0</v>
      </c>
      <c r="AV110" s="9">
        <f t="shared" si="74"/>
        <v>0</v>
      </c>
      <c r="AW110" s="263">
        <f t="shared" si="75"/>
        <v>0</v>
      </c>
      <c r="AX110" s="263">
        <f t="shared" si="76"/>
        <v>0</v>
      </c>
      <c r="DR110" s="257">
        <f t="shared" si="77"/>
        <v>0</v>
      </c>
      <c r="DS110" s="257">
        <f t="shared" si="78"/>
        <v>0</v>
      </c>
    </row>
    <row r="111" spans="1:123" ht="18.75" customHeight="1">
      <c r="A111" s="3"/>
      <c r="B111" s="311" t="s">
        <v>51</v>
      </c>
      <c r="C111" s="255">
        <v>13.7</v>
      </c>
      <c r="D111" s="256">
        <v>36641.4</v>
      </c>
      <c r="E111" s="255">
        <v>98</v>
      </c>
      <c r="F111" s="257">
        <f t="shared" si="66"/>
        <v>7843</v>
      </c>
      <c r="G111" s="257">
        <f t="shared" si="60"/>
        <v>7843</v>
      </c>
      <c r="H111" s="257">
        <v>5931.5</v>
      </c>
      <c r="I111" s="257">
        <v>65.400000000000006</v>
      </c>
      <c r="J111" s="257">
        <f t="shared" si="61"/>
        <v>5996.9</v>
      </c>
      <c r="K111" s="257"/>
      <c r="L111" s="257">
        <f t="shared" si="62"/>
        <v>1846.1000000000004</v>
      </c>
      <c r="M111" s="258"/>
      <c r="N111" s="259">
        <v>13.7</v>
      </c>
      <c r="O111" s="259">
        <v>36641.4</v>
      </c>
      <c r="P111" s="259">
        <v>98</v>
      </c>
      <c r="Q111" s="259">
        <v>7843</v>
      </c>
      <c r="R111" s="259">
        <v>7843</v>
      </c>
      <c r="S111" s="259">
        <v>5931.5</v>
      </c>
      <c r="T111" s="259">
        <v>65.400000000000006</v>
      </c>
      <c r="U111" s="259">
        <v>5996.9</v>
      </c>
      <c r="V111" s="259"/>
      <c r="W111" s="102">
        <f>'Расчет ЗП ОО на 2018 год '!R48</f>
        <v>39965.333460000002</v>
      </c>
      <c r="X111" s="312">
        <v>13.4</v>
      </c>
      <c r="Y111" s="256">
        <f t="shared" si="67"/>
        <v>41398.9</v>
      </c>
      <c r="Z111" s="215">
        <v>103.587126215</v>
      </c>
      <c r="AA111" s="260">
        <f t="shared" si="68"/>
        <v>8667.34</v>
      </c>
      <c r="AB111" s="257">
        <f t="shared" si="63"/>
        <v>8667.34</v>
      </c>
      <c r="AC111" s="257">
        <v>6759.6505999999999</v>
      </c>
      <c r="AD111" s="257">
        <v>1015.4</v>
      </c>
      <c r="AE111" s="257">
        <v>68</v>
      </c>
      <c r="AF111" s="238">
        <f t="shared" si="69"/>
        <v>7843.0505999999996</v>
      </c>
      <c r="AG111" s="257"/>
      <c r="AH111" s="257">
        <f t="shared" si="70"/>
        <v>824.28940000000057</v>
      </c>
      <c r="AI111" s="9">
        <v>3983.4</v>
      </c>
      <c r="AJ111" s="261">
        <v>1846110.3999999997</v>
      </c>
      <c r="AK111" s="9">
        <f t="shared" si="64"/>
        <v>0</v>
      </c>
      <c r="AL111" s="9">
        <f t="shared" si="65"/>
        <v>-1844264.2999999996</v>
      </c>
      <c r="AM111" s="9">
        <f t="shared" si="71"/>
        <v>1842126.9999999998</v>
      </c>
      <c r="AN111" s="262">
        <v>0.94599999999999995</v>
      </c>
      <c r="AO111" s="201"/>
      <c r="AP111" s="201"/>
      <c r="AQ111" s="201">
        <f>AH111*45/100</f>
        <v>370.93023000000022</v>
      </c>
      <c r="AR111" s="201">
        <f>AH111*55/100</f>
        <v>453.35917000000029</v>
      </c>
      <c r="AS111" s="201"/>
      <c r="AT111" s="201"/>
      <c r="AU111" s="9">
        <v>1015.4</v>
      </c>
      <c r="AV111" s="9">
        <f t="shared" si="74"/>
        <v>-191.11059999999941</v>
      </c>
      <c r="AW111" s="263">
        <f t="shared" si="75"/>
        <v>824.28940000000057</v>
      </c>
      <c r="AX111" s="263">
        <f t="shared" si="76"/>
        <v>453.35917000000029</v>
      </c>
      <c r="DR111" s="257">
        <f t="shared" si="77"/>
        <v>339.2</v>
      </c>
      <c r="DS111" s="257">
        <f t="shared" si="78"/>
        <v>485.08940000000058</v>
      </c>
    </row>
    <row r="112" spans="1:123" ht="18.75" customHeight="1">
      <c r="A112" s="3"/>
      <c r="B112" s="311" t="s">
        <v>52</v>
      </c>
      <c r="C112" s="255">
        <v>31.4</v>
      </c>
      <c r="D112" s="256">
        <v>37678.5</v>
      </c>
      <c r="E112" s="255">
        <v>98</v>
      </c>
      <c r="F112" s="257">
        <f t="shared" si="66"/>
        <v>18484.8</v>
      </c>
      <c r="G112" s="257">
        <f t="shared" si="60"/>
        <v>17906.321400000001</v>
      </c>
      <c r="H112" s="257">
        <v>11905.1</v>
      </c>
      <c r="I112" s="257">
        <v>772.8</v>
      </c>
      <c r="J112" s="257">
        <f t="shared" si="61"/>
        <v>12677.9</v>
      </c>
      <c r="K112" s="257">
        <v>578.47860000000003</v>
      </c>
      <c r="L112" s="257">
        <f t="shared" si="62"/>
        <v>5228.4214000000011</v>
      </c>
      <c r="M112" s="258"/>
      <c r="N112" s="259">
        <v>31.4</v>
      </c>
      <c r="O112" s="259">
        <v>37678.5</v>
      </c>
      <c r="P112" s="259">
        <v>98</v>
      </c>
      <c r="Q112" s="259">
        <v>18484.8</v>
      </c>
      <c r="R112" s="259">
        <v>17906.321400000001</v>
      </c>
      <c r="S112" s="259">
        <v>11905.1</v>
      </c>
      <c r="T112" s="259">
        <v>772.8</v>
      </c>
      <c r="U112" s="259">
        <v>12677.9</v>
      </c>
      <c r="V112" s="259">
        <v>578.47860000000003</v>
      </c>
      <c r="W112" s="102">
        <f>'Расчет ЗП ОО на 2018 год '!R49</f>
        <v>42724.510900000001</v>
      </c>
      <c r="X112" s="312">
        <v>31</v>
      </c>
      <c r="Y112" s="256">
        <f t="shared" si="67"/>
        <v>44257.1</v>
      </c>
      <c r="Z112" s="215">
        <v>103.587126215</v>
      </c>
      <c r="AA112" s="260">
        <f t="shared" si="68"/>
        <v>21435.66</v>
      </c>
      <c r="AB112" s="257">
        <f t="shared" si="63"/>
        <v>20857.181400000001</v>
      </c>
      <c r="AC112" s="257">
        <v>13965.568960000001</v>
      </c>
      <c r="AD112" s="257">
        <v>3137</v>
      </c>
      <c r="AE112" s="257">
        <v>803.7</v>
      </c>
      <c r="AF112" s="238">
        <f t="shared" si="69"/>
        <v>17906.268960000001</v>
      </c>
      <c r="AG112" s="257">
        <v>578.47860000000003</v>
      </c>
      <c r="AH112" s="257">
        <f t="shared" si="70"/>
        <v>2950.9124400000001</v>
      </c>
      <c r="AI112" s="9">
        <v>24974</v>
      </c>
      <c r="AJ112" s="261">
        <v>5228384.9999999879</v>
      </c>
      <c r="AK112" s="9">
        <f t="shared" si="64"/>
        <v>0</v>
      </c>
      <c r="AL112" s="9">
        <f t="shared" si="65"/>
        <v>-5223156.5785999876</v>
      </c>
      <c r="AM112" s="9">
        <f t="shared" si="71"/>
        <v>5203410.9999999879</v>
      </c>
      <c r="AN112" s="262">
        <v>0.83199999999999996</v>
      </c>
      <c r="AO112" s="201">
        <f t="shared" si="72"/>
        <v>1180.3649760000001</v>
      </c>
      <c r="AP112" s="201">
        <f t="shared" si="73"/>
        <v>1770.547464</v>
      </c>
      <c r="AQ112" s="201"/>
      <c r="AR112" s="201"/>
      <c r="AS112" s="201"/>
      <c r="AT112" s="201"/>
      <c r="AU112" s="9">
        <v>3137</v>
      </c>
      <c r="AV112" s="9">
        <f t="shared" si="74"/>
        <v>-186.08755999999994</v>
      </c>
      <c r="AW112" s="263">
        <f t="shared" si="75"/>
        <v>2950.9124400000001</v>
      </c>
      <c r="AX112" s="263">
        <f t="shared" si="76"/>
        <v>1770.547464</v>
      </c>
      <c r="DR112" s="257">
        <f t="shared" si="77"/>
        <v>1214.2</v>
      </c>
      <c r="DS112" s="257">
        <f t="shared" si="78"/>
        <v>1736.71244</v>
      </c>
    </row>
    <row r="113" spans="1:123" ht="18.75" customHeight="1">
      <c r="A113" s="3"/>
      <c r="B113" s="311" t="s">
        <v>53</v>
      </c>
      <c r="C113" s="255">
        <v>6</v>
      </c>
      <c r="D113" s="256">
        <v>43467.3</v>
      </c>
      <c r="E113" s="255">
        <v>98</v>
      </c>
      <c r="F113" s="257">
        <f t="shared" si="66"/>
        <v>4074.8</v>
      </c>
      <c r="G113" s="257">
        <f t="shared" si="60"/>
        <v>4074.8</v>
      </c>
      <c r="H113" s="257">
        <v>2273.6999999999998</v>
      </c>
      <c r="I113" s="257">
        <v>205.39999999999998</v>
      </c>
      <c r="J113" s="257">
        <f t="shared" si="61"/>
        <v>2479.1</v>
      </c>
      <c r="K113" s="257"/>
      <c r="L113" s="257">
        <f t="shared" si="62"/>
        <v>1595.7000000000003</v>
      </c>
      <c r="M113" s="258"/>
      <c r="N113" s="259">
        <v>6</v>
      </c>
      <c r="O113" s="259">
        <v>43467.3</v>
      </c>
      <c r="P113" s="259">
        <v>98</v>
      </c>
      <c r="Q113" s="259">
        <v>4074.8</v>
      </c>
      <c r="R113" s="259">
        <v>4074.8</v>
      </c>
      <c r="S113" s="259">
        <v>2273.6999999999998</v>
      </c>
      <c r="T113" s="259">
        <v>205.39999999999998</v>
      </c>
      <c r="U113" s="259">
        <v>2479.1</v>
      </c>
      <c r="V113" s="259"/>
      <c r="W113" s="102">
        <f>'Расчет ЗП ОО на 2018 год '!R50</f>
        <v>46710.210299999999</v>
      </c>
      <c r="X113" s="312">
        <v>5.7</v>
      </c>
      <c r="Y113" s="256">
        <f t="shared" si="67"/>
        <v>48385.8</v>
      </c>
      <c r="Z113" s="215">
        <v>103.587126215</v>
      </c>
      <c r="AA113" s="260">
        <f t="shared" si="68"/>
        <v>4309.08</v>
      </c>
      <c r="AB113" s="257">
        <f t="shared" si="63"/>
        <v>4309.08</v>
      </c>
      <c r="AC113" s="257">
        <v>2903.7636000000002</v>
      </c>
      <c r="AD113" s="257">
        <v>957.4</v>
      </c>
      <c r="AE113" s="257">
        <v>213.6</v>
      </c>
      <c r="AF113" s="238">
        <f t="shared" si="69"/>
        <v>4074.7636000000002</v>
      </c>
      <c r="AG113" s="257"/>
      <c r="AH113" s="257">
        <f t="shared" si="70"/>
        <v>234.3163999999997</v>
      </c>
      <c r="AI113" s="9">
        <v>8044.5</v>
      </c>
      <c r="AJ113" s="261">
        <v>1595748.2000000004</v>
      </c>
      <c r="AK113" s="9">
        <f t="shared" si="64"/>
        <v>0</v>
      </c>
      <c r="AL113" s="9">
        <f t="shared" si="65"/>
        <v>-1594152.5000000005</v>
      </c>
      <c r="AM113" s="9">
        <f t="shared" si="71"/>
        <v>1587703.7000000004</v>
      </c>
      <c r="AN113" s="262">
        <v>0.879</v>
      </c>
      <c r="AO113" s="201">
        <f t="shared" si="72"/>
        <v>93.726559999999878</v>
      </c>
      <c r="AP113" s="201">
        <f t="shared" si="73"/>
        <v>140.58983999999981</v>
      </c>
      <c r="AQ113" s="201"/>
      <c r="AR113" s="201"/>
      <c r="AS113" s="201"/>
      <c r="AT113" s="201"/>
      <c r="AU113" s="9">
        <v>957.4</v>
      </c>
      <c r="AV113" s="9">
        <f t="shared" si="74"/>
        <v>-723.08360000000027</v>
      </c>
      <c r="AW113" s="263">
        <f t="shared" si="75"/>
        <v>234.3163999999997</v>
      </c>
      <c r="AX113" s="263">
        <f t="shared" si="76"/>
        <v>140.58983999999981</v>
      </c>
      <c r="DR113" s="257">
        <f t="shared" si="77"/>
        <v>96.4</v>
      </c>
      <c r="DS113" s="257">
        <f t="shared" si="78"/>
        <v>137.9163999999997</v>
      </c>
    </row>
    <row r="114" spans="1:123" ht="18.75" customHeight="1">
      <c r="A114" s="3"/>
      <c r="B114" s="311" t="s">
        <v>54</v>
      </c>
      <c r="C114" s="255">
        <v>16</v>
      </c>
      <c r="D114" s="256">
        <v>33175.5</v>
      </c>
      <c r="E114" s="255">
        <v>98</v>
      </c>
      <c r="F114" s="257">
        <f t="shared" si="66"/>
        <v>8293.2999999999993</v>
      </c>
      <c r="G114" s="257">
        <f t="shared" si="60"/>
        <v>8293.2999999999993</v>
      </c>
      <c r="H114" s="257">
        <v>6596.4</v>
      </c>
      <c r="I114" s="257">
        <v>0</v>
      </c>
      <c r="J114" s="257">
        <f t="shared" si="61"/>
        <v>6596.4</v>
      </c>
      <c r="K114" s="257"/>
      <c r="L114" s="257">
        <f t="shared" si="62"/>
        <v>1696.8999999999996</v>
      </c>
      <c r="M114" s="258"/>
      <c r="N114" s="259">
        <v>16</v>
      </c>
      <c r="O114" s="259">
        <v>33175.5</v>
      </c>
      <c r="P114" s="259">
        <v>98</v>
      </c>
      <c r="Q114" s="259">
        <v>8293.2999999999993</v>
      </c>
      <c r="R114" s="259">
        <v>8293.2999999999993</v>
      </c>
      <c r="S114" s="259">
        <v>6596.4</v>
      </c>
      <c r="T114" s="259">
        <v>0</v>
      </c>
      <c r="U114" s="259">
        <v>6596.4</v>
      </c>
      <c r="V114" s="259"/>
      <c r="W114" s="102">
        <f>'Расчет ЗП ОО на 2018 год '!R51</f>
        <v>32662.85628</v>
      </c>
      <c r="X114" s="312">
        <v>15.7</v>
      </c>
      <c r="Y114" s="256">
        <f t="shared" si="67"/>
        <v>33834.5</v>
      </c>
      <c r="Z114" s="215">
        <v>103.587126215</v>
      </c>
      <c r="AA114" s="260">
        <f t="shared" si="68"/>
        <v>8299.49</v>
      </c>
      <c r="AB114" s="257">
        <f t="shared" si="63"/>
        <v>8299.49</v>
      </c>
      <c r="AC114" s="257">
        <v>7275.1775999999991</v>
      </c>
      <c r="AD114" s="257">
        <v>1018.1</v>
      </c>
      <c r="AE114" s="257"/>
      <c r="AF114" s="238">
        <f t="shared" si="69"/>
        <v>8293.2775999999994</v>
      </c>
      <c r="AG114" s="257"/>
      <c r="AH114" s="257">
        <f t="shared" si="70"/>
        <v>6.2124000000003434</v>
      </c>
      <c r="AI114" s="9"/>
      <c r="AJ114" s="261">
        <v>1696849.3999999992</v>
      </c>
      <c r="AK114" s="9">
        <f t="shared" si="64"/>
        <v>0</v>
      </c>
      <c r="AL114" s="9">
        <f t="shared" si="65"/>
        <v>-1695152.4999999993</v>
      </c>
      <c r="AM114" s="9">
        <f t="shared" si="71"/>
        <v>1696849.3999999992</v>
      </c>
      <c r="AN114" s="262">
        <v>0.84599999999999997</v>
      </c>
      <c r="AO114" s="201">
        <f t="shared" si="72"/>
        <v>2.4849600000001373</v>
      </c>
      <c r="AP114" s="201">
        <f t="shared" si="73"/>
        <v>3.7274400000002061</v>
      </c>
      <c r="AQ114" s="201"/>
      <c r="AR114" s="201"/>
      <c r="AS114" s="201"/>
      <c r="AT114" s="201"/>
      <c r="AU114" s="9">
        <v>1018.1</v>
      </c>
      <c r="AV114" s="9">
        <f t="shared" si="74"/>
        <v>-1011.8875999999997</v>
      </c>
      <c r="AW114" s="263">
        <f t="shared" si="75"/>
        <v>6.2124000000003434</v>
      </c>
      <c r="AX114" s="263">
        <f t="shared" si="76"/>
        <v>3.7274400000002061</v>
      </c>
      <c r="DR114" s="257">
        <f t="shared" si="77"/>
        <v>2.6</v>
      </c>
      <c r="DS114" s="257">
        <f t="shared" si="78"/>
        <v>3.6124000000003433</v>
      </c>
    </row>
    <row r="115" spans="1:123" ht="18.75" customHeight="1">
      <c r="A115" s="3"/>
      <c r="B115" s="311" t="s">
        <v>66</v>
      </c>
      <c r="C115" s="255">
        <v>463.8</v>
      </c>
      <c r="D115" s="256">
        <v>32446.3</v>
      </c>
      <c r="E115" s="255">
        <v>98</v>
      </c>
      <c r="F115" s="257">
        <f t="shared" si="66"/>
        <v>235119.2</v>
      </c>
      <c r="G115" s="257">
        <f t="shared" si="60"/>
        <v>227974.21460000001</v>
      </c>
      <c r="H115" s="257">
        <v>202365.2</v>
      </c>
      <c r="I115" s="257">
        <v>0</v>
      </c>
      <c r="J115" s="257">
        <f t="shared" si="61"/>
        <v>202365.2</v>
      </c>
      <c r="K115" s="257">
        <v>7144.9853999999996</v>
      </c>
      <c r="L115" s="257">
        <f t="shared" si="62"/>
        <v>25609.014599999995</v>
      </c>
      <c r="M115" s="258"/>
      <c r="N115" s="259">
        <v>463.8</v>
      </c>
      <c r="O115" s="259">
        <v>32446.3</v>
      </c>
      <c r="P115" s="259">
        <v>98</v>
      </c>
      <c r="Q115" s="259">
        <v>235119.2</v>
      </c>
      <c r="R115" s="259">
        <v>227974.21460000001</v>
      </c>
      <c r="S115" s="259">
        <v>202365.2</v>
      </c>
      <c r="T115" s="259">
        <v>0</v>
      </c>
      <c r="U115" s="259">
        <v>202365.2</v>
      </c>
      <c r="V115" s="259">
        <v>7144.9853999999996</v>
      </c>
      <c r="W115" s="102">
        <f>'Расчет ЗП ОО на 2018 год '!R52</f>
        <v>33103.171699999999</v>
      </c>
      <c r="X115" s="312">
        <v>463.7</v>
      </c>
      <c r="Y115" s="256">
        <f t="shared" si="67"/>
        <v>34290.6</v>
      </c>
      <c r="Z115" s="215">
        <v>103.587126215</v>
      </c>
      <c r="AA115" s="260">
        <f t="shared" si="68"/>
        <v>248430.21</v>
      </c>
      <c r="AB115" s="257">
        <f t="shared" si="63"/>
        <v>241285.22459999999</v>
      </c>
      <c r="AC115" s="257">
        <v>215169.72330000001</v>
      </c>
      <c r="AD115" s="257">
        <v>12804.5</v>
      </c>
      <c r="AE115" s="257"/>
      <c r="AF115" s="238">
        <f t="shared" si="69"/>
        <v>227974.22330000001</v>
      </c>
      <c r="AG115" s="257">
        <v>7144.9853999999996</v>
      </c>
      <c r="AH115" s="257">
        <f t="shared" si="70"/>
        <v>13311.001299999974</v>
      </c>
      <c r="AI115" s="9"/>
      <c r="AJ115" s="261">
        <v>25609000</v>
      </c>
      <c r="AK115" s="9">
        <f t="shared" si="64"/>
        <v>0</v>
      </c>
      <c r="AL115" s="9">
        <f t="shared" si="65"/>
        <v>-25583390.985399999</v>
      </c>
      <c r="AM115" s="9">
        <f t="shared" si="71"/>
        <v>25609000</v>
      </c>
      <c r="AN115" s="262">
        <v>1.0169999999999999</v>
      </c>
      <c r="AO115" s="201"/>
      <c r="AP115" s="201"/>
      <c r="AQ115" s="201"/>
      <c r="AR115" s="201"/>
      <c r="AS115" s="201">
        <f t="shared" ref="AS115:AS116" si="80">AH115*50/100</f>
        <v>6655.5006499999881</v>
      </c>
      <c r="AT115" s="201">
        <f t="shared" ref="AT115:AT116" si="81">AH115*50/100</f>
        <v>6655.5006499999881</v>
      </c>
      <c r="AU115" s="9">
        <v>12804.5</v>
      </c>
      <c r="AV115" s="9">
        <f t="shared" si="74"/>
        <v>506.50129999997444</v>
      </c>
      <c r="AW115" s="263">
        <f t="shared" si="75"/>
        <v>13311.001299999974</v>
      </c>
      <c r="AX115" s="263">
        <f t="shared" si="76"/>
        <v>6655.5006499999881</v>
      </c>
      <c r="DR115" s="257">
        <f t="shared" si="77"/>
        <v>5476.8</v>
      </c>
      <c r="DS115" s="257">
        <f t="shared" si="78"/>
        <v>7834.2012999999743</v>
      </c>
    </row>
    <row r="116" spans="1:123" ht="18.75" customHeight="1">
      <c r="A116" s="3"/>
      <c r="B116" s="311" t="s">
        <v>67</v>
      </c>
      <c r="C116" s="255">
        <v>337.7</v>
      </c>
      <c r="D116" s="256">
        <v>35281.5</v>
      </c>
      <c r="E116" s="255">
        <v>98</v>
      </c>
      <c r="F116" s="257">
        <f t="shared" si="66"/>
        <v>186153.1</v>
      </c>
      <c r="G116" s="257">
        <f t="shared" si="60"/>
        <v>181063.84239999999</v>
      </c>
      <c r="H116" s="257">
        <v>165691.1</v>
      </c>
      <c r="I116" s="257">
        <v>0</v>
      </c>
      <c r="J116" s="257">
        <f t="shared" si="61"/>
        <v>165691.1</v>
      </c>
      <c r="K116" s="257">
        <v>5089.2576000000008</v>
      </c>
      <c r="L116" s="257">
        <f t="shared" si="62"/>
        <v>15372.742399999988</v>
      </c>
      <c r="M116" s="258"/>
      <c r="N116" s="259">
        <v>337.7</v>
      </c>
      <c r="O116" s="259">
        <v>35281.5</v>
      </c>
      <c r="P116" s="259">
        <v>98</v>
      </c>
      <c r="Q116" s="259">
        <v>186153.1</v>
      </c>
      <c r="R116" s="259">
        <v>181063.84239999999</v>
      </c>
      <c r="S116" s="259">
        <v>165691.1</v>
      </c>
      <c r="T116" s="259">
        <v>0</v>
      </c>
      <c r="U116" s="259">
        <v>165691.1</v>
      </c>
      <c r="V116" s="259">
        <v>5089.2576000000008</v>
      </c>
      <c r="W116" s="102">
        <f>'Расчет ЗП ОО на 2018 год '!R53</f>
        <v>40369.867040000005</v>
      </c>
      <c r="X116" s="312">
        <v>337</v>
      </c>
      <c r="Y116" s="256">
        <f t="shared" si="67"/>
        <v>41818</v>
      </c>
      <c r="Z116" s="215">
        <v>103.587126215</v>
      </c>
      <c r="AA116" s="260">
        <f t="shared" si="68"/>
        <v>220183.81</v>
      </c>
      <c r="AB116" s="257">
        <f t="shared" si="63"/>
        <v>215094.55239999999</v>
      </c>
      <c r="AC116" s="257">
        <v>173377.48369999998</v>
      </c>
      <c r="AD116" s="257">
        <v>7686.4</v>
      </c>
      <c r="AE116" s="257"/>
      <c r="AF116" s="238">
        <f t="shared" si="69"/>
        <v>181063.88369999998</v>
      </c>
      <c r="AG116" s="257">
        <v>5089.2576000000008</v>
      </c>
      <c r="AH116" s="257">
        <f t="shared" si="70"/>
        <v>34030.668700000009</v>
      </c>
      <c r="AI116" s="9"/>
      <c r="AJ116" s="261">
        <v>15372700.000000011</v>
      </c>
      <c r="AK116" s="9">
        <f t="shared" si="64"/>
        <v>0</v>
      </c>
      <c r="AL116" s="9">
        <f t="shared" si="65"/>
        <v>-15357327.257600011</v>
      </c>
      <c r="AM116" s="9">
        <f t="shared" si="71"/>
        <v>15372700.000000011</v>
      </c>
      <c r="AN116" s="262">
        <v>1.2250000000000001</v>
      </c>
      <c r="AO116" s="201"/>
      <c r="AP116" s="201"/>
      <c r="AQ116" s="201"/>
      <c r="AR116" s="201"/>
      <c r="AS116" s="201">
        <f t="shared" si="80"/>
        <v>17015.334350000005</v>
      </c>
      <c r="AT116" s="201">
        <f t="shared" si="81"/>
        <v>17015.334350000005</v>
      </c>
      <c r="AU116" s="9">
        <v>7686.4</v>
      </c>
      <c r="AV116" s="9">
        <f t="shared" si="74"/>
        <v>26344.268700000008</v>
      </c>
      <c r="AW116" s="263">
        <f t="shared" si="75"/>
        <v>34030.668700000009</v>
      </c>
      <c r="AX116" s="263">
        <f t="shared" si="76"/>
        <v>17015.334350000005</v>
      </c>
      <c r="DR116" s="257">
        <f t="shared" si="77"/>
        <v>14002</v>
      </c>
      <c r="DS116" s="257">
        <f t="shared" si="78"/>
        <v>20028.668700000009</v>
      </c>
    </row>
    <row r="117" spans="1:123" ht="18.75" customHeight="1">
      <c r="A117" s="3"/>
      <c r="B117" s="311" t="s">
        <v>68</v>
      </c>
      <c r="C117" s="255">
        <v>125.6</v>
      </c>
      <c r="D117" s="256">
        <v>32294.6</v>
      </c>
      <c r="E117" s="255">
        <v>98</v>
      </c>
      <c r="F117" s="257">
        <f t="shared" si="66"/>
        <v>63374.1</v>
      </c>
      <c r="G117" s="257">
        <f t="shared" si="60"/>
        <v>59244.025799999996</v>
      </c>
      <c r="H117" s="257">
        <v>50619.7</v>
      </c>
      <c r="I117" s="257">
        <v>0</v>
      </c>
      <c r="J117" s="257">
        <f t="shared" si="61"/>
        <v>50619.7</v>
      </c>
      <c r="K117" s="257">
        <v>4130.0742</v>
      </c>
      <c r="L117" s="257">
        <f t="shared" si="62"/>
        <v>8624.3257999999987</v>
      </c>
      <c r="M117" s="258"/>
      <c r="N117" s="259">
        <v>125.6</v>
      </c>
      <c r="O117" s="259">
        <v>32294.6</v>
      </c>
      <c r="P117" s="259">
        <v>98</v>
      </c>
      <c r="Q117" s="259">
        <v>63374.1</v>
      </c>
      <c r="R117" s="259">
        <v>59244.025799999996</v>
      </c>
      <c r="S117" s="259">
        <v>50619.7</v>
      </c>
      <c r="T117" s="259">
        <v>0</v>
      </c>
      <c r="U117" s="259">
        <v>50619.7</v>
      </c>
      <c r="V117" s="259">
        <v>4130.0742</v>
      </c>
      <c r="W117" s="102">
        <f>'Расчет ЗП ОО на 2018 год '!R54</f>
        <v>34760.069680000001</v>
      </c>
      <c r="X117" s="312">
        <v>119.6</v>
      </c>
      <c r="Y117" s="256">
        <f t="shared" si="67"/>
        <v>36007</v>
      </c>
      <c r="Z117" s="215">
        <v>103.587126215</v>
      </c>
      <c r="AA117" s="260">
        <f t="shared" si="68"/>
        <v>67283.77</v>
      </c>
      <c r="AB117" s="257">
        <f t="shared" si="63"/>
        <v>63153.695800000001</v>
      </c>
      <c r="AC117" s="257">
        <v>54500.644809999998</v>
      </c>
      <c r="AD117" s="257">
        <v>4743.3999999999996</v>
      </c>
      <c r="AE117" s="257"/>
      <c r="AF117" s="238">
        <f t="shared" si="69"/>
        <v>59244.044809999999</v>
      </c>
      <c r="AG117" s="257">
        <v>4130.0742</v>
      </c>
      <c r="AH117" s="257">
        <f t="shared" si="70"/>
        <v>3909.6509900000019</v>
      </c>
      <c r="AI117" s="9"/>
      <c r="AJ117" s="261">
        <v>8624300.0000000037</v>
      </c>
      <c r="AK117" s="9">
        <f t="shared" si="64"/>
        <v>0</v>
      </c>
      <c r="AL117" s="9">
        <f t="shared" si="65"/>
        <v>-8615675.674200004</v>
      </c>
      <c r="AM117" s="9">
        <f t="shared" si="71"/>
        <v>8624300.0000000037</v>
      </c>
      <c r="AN117" s="262">
        <v>0.90300000000000002</v>
      </c>
      <c r="AO117" s="201"/>
      <c r="AP117" s="201"/>
      <c r="AQ117" s="201">
        <f t="shared" ref="AQ117:AQ121" si="82">AH117*45/100</f>
        <v>1759.3429455000007</v>
      </c>
      <c r="AR117" s="201">
        <f t="shared" ref="AR117:AR121" si="83">AH117*55/100</f>
        <v>2150.308044500001</v>
      </c>
      <c r="AS117" s="201"/>
      <c r="AT117" s="201"/>
      <c r="AU117" s="9">
        <v>4743.3999999999996</v>
      </c>
      <c r="AV117" s="9">
        <f t="shared" si="74"/>
        <v>-833.74900999999772</v>
      </c>
      <c r="AW117" s="263">
        <f t="shared" si="75"/>
        <v>3909.6509900000019</v>
      </c>
      <c r="AX117" s="263">
        <f t="shared" si="76"/>
        <v>2150.308044500001</v>
      </c>
      <c r="DR117" s="257">
        <f t="shared" si="77"/>
        <v>1608.6</v>
      </c>
      <c r="DS117" s="257">
        <f t="shared" si="78"/>
        <v>2301.050990000002</v>
      </c>
    </row>
    <row r="118" spans="1:123" ht="18.75" customHeight="1">
      <c r="A118" s="3"/>
      <c r="B118" s="311" t="s">
        <v>69</v>
      </c>
      <c r="C118" s="255">
        <v>98.3</v>
      </c>
      <c r="D118" s="256">
        <v>28104.3</v>
      </c>
      <c r="E118" s="255">
        <v>98</v>
      </c>
      <c r="F118" s="257">
        <f t="shared" si="66"/>
        <v>43163.7</v>
      </c>
      <c r="G118" s="257">
        <f t="shared" si="60"/>
        <v>42775.964399999997</v>
      </c>
      <c r="H118" s="257">
        <v>38740.6</v>
      </c>
      <c r="I118" s="257">
        <v>0</v>
      </c>
      <c r="J118" s="257">
        <f t="shared" si="61"/>
        <v>38740.6</v>
      </c>
      <c r="K118" s="257">
        <v>387.73560000000003</v>
      </c>
      <c r="L118" s="257">
        <f t="shared" si="62"/>
        <v>4035.3643999999986</v>
      </c>
      <c r="M118" s="258"/>
      <c r="N118" s="259">
        <v>98.3</v>
      </c>
      <c r="O118" s="259">
        <v>28104.3</v>
      </c>
      <c r="P118" s="259">
        <v>98</v>
      </c>
      <c r="Q118" s="259">
        <v>43163.7</v>
      </c>
      <c r="R118" s="259">
        <v>42775.964399999997</v>
      </c>
      <c r="S118" s="259">
        <v>38740.6</v>
      </c>
      <c r="T118" s="259">
        <v>0</v>
      </c>
      <c r="U118" s="259">
        <v>38740.6</v>
      </c>
      <c r="V118" s="259">
        <v>387.73560000000003</v>
      </c>
      <c r="W118" s="102">
        <f>'Расчет ЗП ОО на 2018 год '!R55</f>
        <v>30739.58238</v>
      </c>
      <c r="X118" s="312">
        <v>98.3</v>
      </c>
      <c r="Y118" s="256">
        <f t="shared" si="67"/>
        <v>31842.2</v>
      </c>
      <c r="Z118" s="215">
        <v>103.587126215</v>
      </c>
      <c r="AA118" s="260">
        <f t="shared" si="68"/>
        <v>48904.5</v>
      </c>
      <c r="AB118" s="257">
        <f t="shared" si="63"/>
        <v>48516.7644</v>
      </c>
      <c r="AC118" s="257">
        <v>40556.507680000002</v>
      </c>
      <c r="AD118" s="257">
        <v>2219.5</v>
      </c>
      <c r="AE118" s="257"/>
      <c r="AF118" s="238">
        <f t="shared" si="69"/>
        <v>42776.007680000002</v>
      </c>
      <c r="AG118" s="257">
        <v>387.73560000000003</v>
      </c>
      <c r="AH118" s="257">
        <f t="shared" si="70"/>
        <v>5740.7567199999976</v>
      </c>
      <c r="AI118" s="9"/>
      <c r="AJ118" s="261">
        <v>4035400.0000000014</v>
      </c>
      <c r="AK118" s="9">
        <f t="shared" si="64"/>
        <v>0</v>
      </c>
      <c r="AL118" s="9">
        <f t="shared" si="65"/>
        <v>-4031364.6356000016</v>
      </c>
      <c r="AM118" s="9">
        <f t="shared" si="71"/>
        <v>4035400.0000000014</v>
      </c>
      <c r="AN118" s="262">
        <v>0.93600000000000005</v>
      </c>
      <c r="AO118" s="201"/>
      <c r="AP118" s="201"/>
      <c r="AQ118" s="201">
        <f t="shared" si="82"/>
        <v>2583.3405239999988</v>
      </c>
      <c r="AR118" s="201">
        <f t="shared" si="83"/>
        <v>3157.4161959999988</v>
      </c>
      <c r="AS118" s="201"/>
      <c r="AT118" s="201"/>
      <c r="AU118" s="9">
        <v>2219.5</v>
      </c>
      <c r="AV118" s="9">
        <f t="shared" si="74"/>
        <v>3521.2567199999976</v>
      </c>
      <c r="AW118" s="263">
        <f t="shared" si="75"/>
        <v>5740.7567199999976</v>
      </c>
      <c r="AX118" s="263">
        <f t="shared" si="76"/>
        <v>3157.4161959999988</v>
      </c>
      <c r="DR118" s="257">
        <f t="shared" si="77"/>
        <v>2362</v>
      </c>
      <c r="DS118" s="257">
        <f t="shared" si="78"/>
        <v>3378.7567199999976</v>
      </c>
    </row>
    <row r="119" spans="1:123" ht="18.75" customHeight="1">
      <c r="A119" s="3"/>
      <c r="B119" s="311" t="s">
        <v>55</v>
      </c>
      <c r="C119" s="255">
        <v>60.7</v>
      </c>
      <c r="D119" s="256">
        <v>30633.3</v>
      </c>
      <c r="E119" s="255">
        <v>98</v>
      </c>
      <c r="F119" s="257">
        <f t="shared" si="66"/>
        <v>29051.9</v>
      </c>
      <c r="G119" s="257">
        <f t="shared" si="60"/>
        <v>26601.275600000001</v>
      </c>
      <c r="H119" s="257">
        <v>22894.400000000001</v>
      </c>
      <c r="I119" s="257">
        <v>0</v>
      </c>
      <c r="J119" s="257">
        <f t="shared" si="61"/>
        <v>22894.400000000001</v>
      </c>
      <c r="K119" s="257">
        <v>2450.6244000000002</v>
      </c>
      <c r="L119" s="257">
        <f t="shared" si="62"/>
        <v>3706.8755999999994</v>
      </c>
      <c r="M119" s="258"/>
      <c r="N119" s="259">
        <v>60.7</v>
      </c>
      <c r="O119" s="259">
        <v>30633.3</v>
      </c>
      <c r="P119" s="259">
        <v>98</v>
      </c>
      <c r="Q119" s="259">
        <v>29051.9</v>
      </c>
      <c r="R119" s="259">
        <v>26601.275600000001</v>
      </c>
      <c r="S119" s="259">
        <v>22894.400000000001</v>
      </c>
      <c r="T119" s="259">
        <v>0</v>
      </c>
      <c r="U119" s="259">
        <v>22894.400000000001</v>
      </c>
      <c r="V119" s="259">
        <v>2450.6244000000002</v>
      </c>
      <c r="W119" s="102">
        <f>'Расчет ЗП ОО на 2018 год '!R56</f>
        <v>32495.874360000002</v>
      </c>
      <c r="X119" s="312">
        <v>60.4</v>
      </c>
      <c r="Y119" s="256">
        <f t="shared" si="67"/>
        <v>33661.5</v>
      </c>
      <c r="Z119" s="215">
        <v>103.587126215</v>
      </c>
      <c r="AA119" s="260">
        <f t="shared" si="68"/>
        <v>31766.01</v>
      </c>
      <c r="AB119" s="257">
        <f t="shared" si="63"/>
        <v>29315.385599999998</v>
      </c>
      <c r="AC119" s="257">
        <v>24562.498970000001</v>
      </c>
      <c r="AD119" s="257">
        <v>2038.8</v>
      </c>
      <c r="AE119" s="257"/>
      <c r="AF119" s="238">
        <f t="shared" si="69"/>
        <v>26601.29897</v>
      </c>
      <c r="AG119" s="257">
        <v>2450.6244000000002</v>
      </c>
      <c r="AH119" s="257">
        <f t="shared" si="70"/>
        <v>2714.086629999998</v>
      </c>
      <c r="AI119" s="9">
        <v>477.5</v>
      </c>
      <c r="AJ119" s="261">
        <v>3706968.400000005</v>
      </c>
      <c r="AK119" s="9">
        <f t="shared" si="64"/>
        <v>0</v>
      </c>
      <c r="AL119" s="9">
        <f t="shared" si="65"/>
        <v>-3703261.5244000051</v>
      </c>
      <c r="AM119" s="9">
        <f t="shared" si="71"/>
        <v>3706490.900000005</v>
      </c>
      <c r="AN119" s="262">
        <v>0.97699999999999998</v>
      </c>
      <c r="AO119" s="201"/>
      <c r="AP119" s="201"/>
      <c r="AQ119" s="201">
        <f t="shared" si="82"/>
        <v>1221.3389834999991</v>
      </c>
      <c r="AR119" s="201">
        <f t="shared" si="83"/>
        <v>1492.7476464999988</v>
      </c>
      <c r="AS119" s="201"/>
      <c r="AT119" s="201"/>
      <c r="AU119" s="9">
        <v>2038.8</v>
      </c>
      <c r="AV119" s="9">
        <f t="shared" si="74"/>
        <v>675.28662999999801</v>
      </c>
      <c r="AW119" s="263">
        <f t="shared" si="75"/>
        <v>2714.086629999998</v>
      </c>
      <c r="AX119" s="263">
        <f t="shared" si="76"/>
        <v>1492.7476464999988</v>
      </c>
      <c r="DR119" s="257">
        <f t="shared" si="77"/>
        <v>1116.7</v>
      </c>
      <c r="DS119" s="257">
        <f t="shared" si="78"/>
        <v>1597.3866299999979</v>
      </c>
    </row>
    <row r="120" spans="1:123" ht="18.75" customHeight="1">
      <c r="A120" s="3"/>
      <c r="B120" s="311" t="s">
        <v>70</v>
      </c>
      <c r="C120" s="255">
        <v>59.3</v>
      </c>
      <c r="D120" s="256">
        <v>30396</v>
      </c>
      <c r="E120" s="255">
        <v>98</v>
      </c>
      <c r="F120" s="257">
        <f t="shared" si="66"/>
        <v>28162</v>
      </c>
      <c r="G120" s="257">
        <f t="shared" si="60"/>
        <v>28162</v>
      </c>
      <c r="H120" s="257">
        <v>28162</v>
      </c>
      <c r="I120" s="257"/>
      <c r="J120" s="257">
        <f t="shared" si="61"/>
        <v>28162</v>
      </c>
      <c r="K120" s="257"/>
      <c r="L120" s="257">
        <f t="shared" si="62"/>
        <v>0</v>
      </c>
      <c r="M120" s="258"/>
      <c r="N120" s="259">
        <v>59.3</v>
      </c>
      <c r="O120" s="259">
        <v>30396</v>
      </c>
      <c r="P120" s="259">
        <v>98</v>
      </c>
      <c r="Q120" s="259">
        <v>28162</v>
      </c>
      <c r="R120" s="259">
        <v>28162</v>
      </c>
      <c r="S120" s="259">
        <v>28162</v>
      </c>
      <c r="T120" s="259"/>
      <c r="U120" s="259">
        <v>28162</v>
      </c>
      <c r="V120" s="259"/>
      <c r="W120" s="102">
        <f>'Расчет ЗП ОО на 2018 год '!R57</f>
        <v>30381.76398</v>
      </c>
      <c r="X120" s="312">
        <v>59.3</v>
      </c>
      <c r="Y120" s="256">
        <f t="shared" si="67"/>
        <v>31471.599999999999</v>
      </c>
      <c r="Z120" s="215">
        <v>103.587126215</v>
      </c>
      <c r="AA120" s="260">
        <f t="shared" si="68"/>
        <v>29158.54</v>
      </c>
      <c r="AB120" s="257">
        <f t="shared" si="63"/>
        <v>29158.54</v>
      </c>
      <c r="AC120" s="257">
        <v>28161.99595</v>
      </c>
      <c r="AD120" s="257">
        <v>-4.949999999007559E-3</v>
      </c>
      <c r="AE120" s="257"/>
      <c r="AF120" s="238">
        <f t="shared" si="69"/>
        <v>28161.991000000002</v>
      </c>
      <c r="AG120" s="257"/>
      <c r="AH120" s="257">
        <f t="shared" si="70"/>
        <v>996.54899999999907</v>
      </c>
      <c r="AI120" s="9"/>
      <c r="AJ120" s="261">
        <v>0</v>
      </c>
      <c r="AK120" s="9">
        <f t="shared" si="64"/>
        <v>0</v>
      </c>
      <c r="AL120" s="9">
        <f t="shared" si="65"/>
        <v>0</v>
      </c>
      <c r="AM120" s="9">
        <f t="shared" si="71"/>
        <v>0</v>
      </c>
      <c r="AN120" s="262">
        <v>1.24</v>
      </c>
      <c r="AO120" s="201"/>
      <c r="AP120" s="201"/>
      <c r="AQ120" s="201">
        <f t="shared" si="82"/>
        <v>448.44704999999959</v>
      </c>
      <c r="AR120" s="201">
        <f t="shared" si="83"/>
        <v>548.10194999999953</v>
      </c>
      <c r="AS120" s="201">
        <f t="shared" ref="AS120" si="84">AJ120*10/100</f>
        <v>0</v>
      </c>
      <c r="AT120" s="201">
        <f t="shared" ref="AT120" si="85">AJ120*90/100</f>
        <v>0</v>
      </c>
      <c r="AU120" s="9">
        <v>-4.949999999007559E-3</v>
      </c>
      <c r="AV120" s="9">
        <f t="shared" si="74"/>
        <v>996.55394999999805</v>
      </c>
      <c r="AW120" s="263">
        <f t="shared" si="75"/>
        <v>996.54899999999907</v>
      </c>
      <c r="AX120" s="263">
        <f t="shared" si="76"/>
        <v>548.10194999999953</v>
      </c>
      <c r="DR120" s="257">
        <f t="shared" si="77"/>
        <v>410</v>
      </c>
      <c r="DS120" s="257">
        <f t="shared" si="78"/>
        <v>586.54899999999907</v>
      </c>
    </row>
    <row r="121" spans="1:123" ht="18.75" customHeight="1">
      <c r="A121" s="3"/>
      <c r="B121" s="254" t="s">
        <v>83</v>
      </c>
      <c r="C121" s="255">
        <v>59.3</v>
      </c>
      <c r="D121" s="256">
        <v>30396</v>
      </c>
      <c r="E121" s="255">
        <v>98</v>
      </c>
      <c r="F121" s="257">
        <f t="shared" ref="F121" si="86">ROUND(C121*D121*12*1.302/1000,1)</f>
        <v>28162</v>
      </c>
      <c r="G121" s="257">
        <f t="shared" ref="G121" si="87">F121-K121</f>
        <v>28162</v>
      </c>
      <c r="H121" s="257">
        <v>28162</v>
      </c>
      <c r="I121" s="257"/>
      <c r="J121" s="257">
        <f t="shared" ref="J121" si="88">H121+I121</f>
        <v>28162</v>
      </c>
      <c r="K121" s="257"/>
      <c r="L121" s="257">
        <f t="shared" ref="L121" si="89">G121-J121</f>
        <v>0</v>
      </c>
      <c r="M121" s="258"/>
      <c r="N121" s="259">
        <v>59.3</v>
      </c>
      <c r="O121" s="259">
        <v>30396</v>
      </c>
      <c r="P121" s="259">
        <v>98</v>
      </c>
      <c r="Q121" s="259">
        <v>28162</v>
      </c>
      <c r="R121" s="259">
        <v>28162</v>
      </c>
      <c r="S121" s="259">
        <v>28162</v>
      </c>
      <c r="T121" s="259"/>
      <c r="U121" s="259">
        <v>28162</v>
      </c>
      <c r="V121" s="259"/>
      <c r="W121" s="102">
        <v>37005</v>
      </c>
      <c r="X121" s="312">
        <v>2.4</v>
      </c>
      <c r="Y121" s="102">
        <v>34072</v>
      </c>
      <c r="Z121" s="215">
        <v>103.63630000000001</v>
      </c>
      <c r="AA121" s="260">
        <v>1810</v>
      </c>
      <c r="AB121" s="257">
        <f t="shared" si="63"/>
        <v>1810</v>
      </c>
      <c r="AC121" s="257">
        <v>1810.0009</v>
      </c>
      <c r="AD121" s="257">
        <v>1.0999999999739885E-3</v>
      </c>
      <c r="AE121" s="257"/>
      <c r="AF121" s="238">
        <f t="shared" si="69"/>
        <v>1810.002</v>
      </c>
      <c r="AG121" s="257"/>
      <c r="AH121" s="257">
        <f t="shared" si="70"/>
        <v>-1.9999999999527063E-3</v>
      </c>
      <c r="AI121" s="9"/>
      <c r="AJ121" s="261">
        <v>0</v>
      </c>
      <c r="AK121" s="9">
        <f t="shared" si="64"/>
        <v>0</v>
      </c>
      <c r="AL121" s="9">
        <f t="shared" si="65"/>
        <v>0</v>
      </c>
      <c r="AM121" s="9">
        <f t="shared" ref="AM121" si="90">AJ121-AI121</f>
        <v>0</v>
      </c>
      <c r="AN121" s="262"/>
      <c r="AO121" s="201"/>
      <c r="AP121" s="201"/>
      <c r="AQ121" s="201">
        <f t="shared" si="82"/>
        <v>-8.9999999997871785E-4</v>
      </c>
      <c r="AR121" s="201">
        <f t="shared" si="83"/>
        <v>-1.0999999999739885E-3</v>
      </c>
      <c r="AS121" s="201">
        <f t="shared" ref="AS121" si="91">AJ121*10/100</f>
        <v>0</v>
      </c>
      <c r="AT121" s="201">
        <f t="shared" ref="AT121" si="92">AJ121*90/100</f>
        <v>0</v>
      </c>
      <c r="AU121" s="9">
        <v>1.0999999999739885E-3</v>
      </c>
      <c r="AV121" s="9">
        <f t="shared" si="74"/>
        <v>-3.0999999999266948E-3</v>
      </c>
      <c r="AW121" s="263">
        <f t="shared" ref="AW121" si="93">AU121+AV121</f>
        <v>-1.9999999999527063E-3</v>
      </c>
      <c r="AX121" s="263">
        <f t="shared" si="76"/>
        <v>-1.0999999999739885E-3</v>
      </c>
      <c r="DR121" s="257">
        <f t="shared" si="77"/>
        <v>0</v>
      </c>
      <c r="DS121" s="257">
        <f t="shared" si="78"/>
        <v>-1.9999999999527063E-3</v>
      </c>
    </row>
    <row r="122" spans="1:123" ht="18.75">
      <c r="B122" s="289"/>
      <c r="AA122" s="313"/>
      <c r="AI122" s="289"/>
      <c r="AJ122" s="290"/>
      <c r="AM122" s="291"/>
    </row>
    <row r="123" spans="1:123" ht="18.75">
      <c r="B123" s="289"/>
      <c r="AI123" s="289"/>
      <c r="AJ123" s="290"/>
      <c r="AM123" s="291"/>
    </row>
    <row r="124" spans="1:123" ht="71.25" customHeight="1">
      <c r="B124" s="314"/>
      <c r="C124" s="314"/>
      <c r="D124" s="314"/>
      <c r="E124" s="314"/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4"/>
      <c r="W124" s="314"/>
      <c r="X124" s="359"/>
      <c r="Y124" s="359"/>
      <c r="Z124" s="359"/>
      <c r="AA124" s="359"/>
      <c r="AB124" s="314"/>
      <c r="AC124" s="314"/>
      <c r="AD124" s="314"/>
      <c r="AE124" s="360"/>
      <c r="AF124" s="360"/>
      <c r="AG124" s="360"/>
    </row>
    <row r="128" spans="1:123" ht="20.25">
      <c r="X128" s="315"/>
    </row>
  </sheetData>
  <mergeCells count="31">
    <mergeCell ref="A1:DS3"/>
    <mergeCell ref="AO69:AO70"/>
    <mergeCell ref="AV68:AV70"/>
    <mergeCell ref="X124:AA124"/>
    <mergeCell ref="AE124:AG124"/>
    <mergeCell ref="AO68:AT68"/>
    <mergeCell ref="AH68:AH70"/>
    <mergeCell ref="AN68:AN70"/>
    <mergeCell ref="AP69:AP70"/>
    <mergeCell ref="AQ69:AQ70"/>
    <mergeCell ref="AG68:AG70"/>
    <mergeCell ref="Y68:Y70"/>
    <mergeCell ref="Z68:Z70"/>
    <mergeCell ref="AA68:AA70"/>
    <mergeCell ref="AB68:AB70"/>
    <mergeCell ref="AC68:AF68"/>
    <mergeCell ref="DR68:DS68"/>
    <mergeCell ref="M76:M95"/>
    <mergeCell ref="AJ4:AR4"/>
    <mergeCell ref="M8:M10"/>
    <mergeCell ref="M11:M30"/>
    <mergeCell ref="M73:M75"/>
    <mergeCell ref="AS69:AS70"/>
    <mergeCell ref="AT69:AT70"/>
    <mergeCell ref="AU68:AU70"/>
    <mergeCell ref="B68:B70"/>
    <mergeCell ref="X68:X70"/>
    <mergeCell ref="W68:W69"/>
    <mergeCell ref="A68:A70"/>
    <mergeCell ref="AR69:AR70"/>
    <mergeCell ref="AJ69:AJ70"/>
  </mergeCells>
  <pageMargins left="0.39370078740157483" right="0.19685039370078741" top="0.78740157480314965" bottom="0.78740157480314965" header="0.31496062992125984" footer="0.51181102362204722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S67"/>
  <sheetViews>
    <sheetView zoomScale="90" zoomScaleNormal="90" zoomScaleSheetLayoutView="80" workbookViewId="0">
      <pane xSplit="2" ySplit="12" topLeftCell="C14" activePane="bottomRight" state="frozen"/>
      <selection pane="topRight" activeCell="C1" sqref="C1"/>
      <selection pane="bottomLeft" activeCell="A13" sqref="A13"/>
      <selection pane="bottomRight" activeCell="H46" activeCellId="1" sqref="H33 H46"/>
    </sheetView>
  </sheetViews>
  <sheetFormatPr defaultRowHeight="15"/>
  <cols>
    <col min="1" max="1" width="5.7109375" customWidth="1"/>
    <col min="2" max="2" width="52" customWidth="1"/>
    <col min="3" max="6" width="19.42578125" customWidth="1"/>
    <col min="7" max="7" width="18.42578125" customWidth="1"/>
    <col min="8" max="8" width="18.140625" customWidth="1"/>
    <col min="9" max="9" width="26" customWidth="1"/>
    <col min="10" max="10" width="32.28515625" customWidth="1"/>
    <col min="11" max="11" width="19.7109375" hidden="1" customWidth="1"/>
    <col min="12" max="12" width="20.28515625" hidden="1" customWidth="1"/>
    <col min="13" max="14" width="24.28515625" hidden="1" customWidth="1"/>
    <col min="15" max="15" width="19.140625" hidden="1" customWidth="1"/>
    <col min="16" max="16" width="17.7109375" hidden="1" customWidth="1"/>
    <col min="17" max="17" width="60.140625" hidden="1" customWidth="1"/>
    <col min="18" max="18" width="15.42578125" bestFit="1" customWidth="1"/>
    <col min="19" max="19" width="29.85546875" customWidth="1"/>
  </cols>
  <sheetData>
    <row r="1" spans="1:19" ht="46.5" customHeight="1">
      <c r="J1" t="s">
        <v>112</v>
      </c>
    </row>
    <row r="2" spans="1:19" hidden="1"/>
    <row r="3" spans="1:19" ht="99.75" customHeight="1">
      <c r="B3" s="328" t="s">
        <v>111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5" spans="1:19" ht="32.25" customHeight="1">
      <c r="A5" s="329"/>
      <c r="B5" s="330" t="s">
        <v>101</v>
      </c>
      <c r="C5" s="332" t="s">
        <v>117</v>
      </c>
      <c r="D5" s="332" t="s">
        <v>120</v>
      </c>
      <c r="E5" s="332" t="s">
        <v>121</v>
      </c>
      <c r="F5" s="332" t="s">
        <v>122</v>
      </c>
      <c r="G5" s="369" t="s">
        <v>114</v>
      </c>
      <c r="H5" s="332" t="s">
        <v>115</v>
      </c>
      <c r="I5" s="326" t="s">
        <v>116</v>
      </c>
      <c r="J5" s="317" t="s">
        <v>79</v>
      </c>
      <c r="K5" s="317" t="s">
        <v>80</v>
      </c>
      <c r="L5" s="317" t="s">
        <v>81</v>
      </c>
      <c r="M5" s="317"/>
      <c r="N5" s="317"/>
      <c r="O5" s="317" t="s">
        <v>82</v>
      </c>
      <c r="P5" s="317" t="s">
        <v>102</v>
      </c>
      <c r="Q5" s="317" t="s">
        <v>103</v>
      </c>
    </row>
    <row r="6" spans="1:19" ht="30.75" customHeight="1">
      <c r="A6" s="329"/>
      <c r="B6" s="330"/>
      <c r="C6" s="332"/>
      <c r="D6" s="332"/>
      <c r="E6" s="332"/>
      <c r="F6" s="332"/>
      <c r="G6" s="370"/>
      <c r="H6" s="332"/>
      <c r="I6" s="326"/>
      <c r="J6" s="317"/>
      <c r="K6" s="317"/>
      <c r="L6" s="317"/>
      <c r="M6" s="317"/>
      <c r="N6" s="317"/>
      <c r="O6" s="317"/>
      <c r="P6" s="317"/>
      <c r="Q6" s="317"/>
    </row>
    <row r="7" spans="1:19" ht="76.5" customHeight="1">
      <c r="A7" s="329"/>
      <c r="B7" s="331"/>
      <c r="C7" s="320"/>
      <c r="D7" s="320"/>
      <c r="E7" s="320"/>
      <c r="F7" s="320"/>
      <c r="G7" s="370"/>
      <c r="H7" s="320"/>
      <c r="I7" s="343"/>
      <c r="J7" s="340"/>
      <c r="K7" s="317"/>
      <c r="L7" s="24" t="s">
        <v>3</v>
      </c>
      <c r="M7" s="87" t="s">
        <v>4</v>
      </c>
      <c r="N7" s="87" t="s">
        <v>5</v>
      </c>
      <c r="O7" s="317"/>
      <c r="P7" s="317"/>
      <c r="Q7" s="317"/>
    </row>
    <row r="8" spans="1:19" ht="29.25" customHeight="1">
      <c r="A8" s="83"/>
      <c r="B8" s="84">
        <v>1</v>
      </c>
      <c r="C8" s="85">
        <v>2</v>
      </c>
      <c r="D8" s="85"/>
      <c r="E8" s="85"/>
      <c r="F8" s="85"/>
      <c r="G8" s="91">
        <v>3</v>
      </c>
      <c r="H8" s="85" t="s">
        <v>110</v>
      </c>
      <c r="I8" s="86">
        <v>5</v>
      </c>
      <c r="J8" s="86" t="s">
        <v>109</v>
      </c>
      <c r="K8" s="86">
        <v>8</v>
      </c>
      <c r="L8" s="86">
        <v>9</v>
      </c>
      <c r="M8" s="86">
        <v>10</v>
      </c>
      <c r="N8" s="86" t="s">
        <v>104</v>
      </c>
      <c r="O8" s="86">
        <v>12</v>
      </c>
      <c r="P8" s="86">
        <v>13</v>
      </c>
      <c r="Q8" s="86">
        <v>13</v>
      </c>
    </row>
    <row r="9" spans="1:19" ht="81" hidden="1" customHeight="1">
      <c r="A9" s="35">
        <v>1</v>
      </c>
      <c r="B9" s="2" t="s">
        <v>28</v>
      </c>
      <c r="C9" s="36">
        <v>29420</v>
      </c>
      <c r="D9" s="36"/>
      <c r="E9" s="36"/>
      <c r="F9" s="36"/>
      <c r="G9" s="4">
        <v>7210.9</v>
      </c>
      <c r="H9" s="36">
        <v>29420</v>
      </c>
      <c r="I9" s="6">
        <v>100</v>
      </c>
      <c r="J9" s="7">
        <f t="shared" ref="J9:J12" si="0">G9*H9*12*1.302/1000</f>
        <v>3314548.4490720001</v>
      </c>
      <c r="K9" s="7">
        <f>J9-O9</f>
        <v>3304925.349072</v>
      </c>
      <c r="L9" s="7">
        <v>3413618.6867999998</v>
      </c>
      <c r="M9" s="7">
        <v>64735.519999999997</v>
      </c>
      <c r="N9" s="7">
        <f>L9+M9</f>
        <v>3478354.2067999998</v>
      </c>
      <c r="O9" s="7">
        <v>9623.1</v>
      </c>
      <c r="P9" s="7">
        <f>K9-N9</f>
        <v>-173428.8577279998</v>
      </c>
      <c r="Q9" s="37" t="s">
        <v>29</v>
      </c>
    </row>
    <row r="10" spans="1:19" ht="45" hidden="1" customHeight="1">
      <c r="A10" s="35">
        <v>2</v>
      </c>
      <c r="B10" s="2" t="s">
        <v>30</v>
      </c>
      <c r="C10" s="36">
        <v>34903.699999999997</v>
      </c>
      <c r="D10" s="36"/>
      <c r="E10" s="36"/>
      <c r="F10" s="36"/>
      <c r="G10" s="4">
        <f t="shared" ref="G10" si="1">G11+G12</f>
        <v>10565</v>
      </c>
      <c r="H10" s="36">
        <v>34903.699999999997</v>
      </c>
      <c r="I10" s="6">
        <v>100</v>
      </c>
      <c r="J10" s="7">
        <f t="shared" si="0"/>
        <v>5761468.5939719994</v>
      </c>
      <c r="K10" s="7">
        <f t="shared" ref="K10:K12" si="2">J10-O10</f>
        <v>5731651.587572</v>
      </c>
      <c r="L10" s="6">
        <f t="shared" ref="L10:N10" si="3">L11+L12</f>
        <v>5508195.1956000002</v>
      </c>
      <c r="M10" s="6">
        <f t="shared" si="3"/>
        <v>145136.87</v>
      </c>
      <c r="N10" s="6">
        <f t="shared" si="3"/>
        <v>5653332.0655999994</v>
      </c>
      <c r="O10" s="6">
        <v>29817.006399999489</v>
      </c>
      <c r="P10" s="7">
        <f>K10-N10</f>
        <v>78319.521972000599</v>
      </c>
      <c r="Q10" s="337" t="s">
        <v>31</v>
      </c>
    </row>
    <row r="11" spans="1:19" ht="36.75" hidden="1" customHeight="1">
      <c r="A11" s="35"/>
      <c r="B11" s="2" t="s">
        <v>32</v>
      </c>
      <c r="C11" s="36">
        <v>34903.699999999997</v>
      </c>
      <c r="D11" s="36"/>
      <c r="E11" s="36"/>
      <c r="F11" s="36"/>
      <c r="G11" s="4">
        <v>773</v>
      </c>
      <c r="H11" s="36">
        <v>34903.699999999997</v>
      </c>
      <c r="I11" s="6">
        <v>100</v>
      </c>
      <c r="J11" s="7">
        <f t="shared" si="0"/>
        <v>421544.27100239997</v>
      </c>
      <c r="K11" s="7">
        <f t="shared" si="2"/>
        <v>421377.97100240004</v>
      </c>
      <c r="L11" s="7">
        <f>417219.1-5489.6</f>
        <v>411729.5</v>
      </c>
      <c r="M11" s="7">
        <v>5489.6</v>
      </c>
      <c r="N11" s="7">
        <f t="shared" ref="N11:N12" si="4">L11+M11</f>
        <v>417219.1</v>
      </c>
      <c r="O11" s="7">
        <v>166.29999999993015</v>
      </c>
      <c r="P11" s="38">
        <f t="shared" ref="P11:P12" si="5">K11-N11</f>
        <v>4158.8710024000611</v>
      </c>
      <c r="Q11" s="338"/>
    </row>
    <row r="12" spans="1:19" ht="57.75" hidden="1" customHeight="1">
      <c r="A12" s="35"/>
      <c r="B12" s="2" t="s">
        <v>33</v>
      </c>
      <c r="C12" s="36">
        <v>34903.699999999997</v>
      </c>
      <c r="D12" s="36"/>
      <c r="E12" s="36"/>
      <c r="F12" s="36"/>
      <c r="G12" s="4">
        <v>9792</v>
      </c>
      <c r="H12" s="36">
        <v>34903.699999999997</v>
      </c>
      <c r="I12" s="6">
        <v>100</v>
      </c>
      <c r="J12" s="7">
        <f t="shared" si="0"/>
        <v>5339924.3229695996</v>
      </c>
      <c r="K12" s="7">
        <f t="shared" si="2"/>
        <v>5310273.6165696001</v>
      </c>
      <c r="L12" s="7">
        <v>5096465.6956000002</v>
      </c>
      <c r="M12" s="7">
        <v>139647.26999999999</v>
      </c>
      <c r="N12" s="7">
        <f t="shared" si="4"/>
        <v>5236112.9655999998</v>
      </c>
      <c r="O12" s="7">
        <v>29650.706399999559</v>
      </c>
      <c r="P12" s="7">
        <f t="shared" si="5"/>
        <v>74160.650969600305</v>
      </c>
      <c r="Q12" s="339"/>
    </row>
    <row r="13" spans="1:19" ht="57.75" hidden="1" customHeight="1">
      <c r="A13" s="35"/>
      <c r="B13" s="2"/>
      <c r="C13" s="36"/>
      <c r="D13" s="36"/>
      <c r="E13" s="36"/>
      <c r="F13" s="36"/>
      <c r="G13" s="4"/>
      <c r="H13" s="36"/>
      <c r="I13" s="6"/>
      <c r="J13" s="7"/>
      <c r="K13" s="7"/>
      <c r="L13" s="7"/>
      <c r="M13" s="7"/>
      <c r="N13" s="7"/>
      <c r="O13" s="7"/>
      <c r="P13" s="7"/>
      <c r="Q13" s="88"/>
    </row>
    <row r="14" spans="1:19" s="43" customFormat="1" ht="59.25" customHeight="1">
      <c r="A14" s="39"/>
      <c r="B14" s="40" t="s">
        <v>105</v>
      </c>
      <c r="C14" s="41"/>
      <c r="D14" s="41"/>
      <c r="E14" s="41"/>
      <c r="F14" s="41"/>
      <c r="G14" s="14">
        <f>G18+G32</f>
        <v>1787</v>
      </c>
      <c r="H14" s="41">
        <f>J14/G14/12/1.302*1000</f>
        <v>5248.7927903722921</v>
      </c>
      <c r="I14" s="81">
        <f>H14/35865.9</f>
        <v>0.1463449346140008</v>
      </c>
      <c r="J14" s="42">
        <f>J18+J32</f>
        <v>146546.75660095995</v>
      </c>
      <c r="K14" s="42">
        <f>K15+K18+K32</f>
        <v>201231.42858976001</v>
      </c>
      <c r="L14" s="42">
        <f t="shared" ref="L14:N14" si="6">L15+L18+L32</f>
        <v>926564.98600000003</v>
      </c>
      <c r="M14" s="42">
        <f t="shared" si="6"/>
        <v>13858.02</v>
      </c>
      <c r="N14" s="42">
        <f t="shared" si="6"/>
        <v>940423.00599999994</v>
      </c>
      <c r="O14" s="42">
        <f>O15+O18+O32</f>
        <v>27297.755800000003</v>
      </c>
      <c r="P14" s="42">
        <f>P15+P18+P32</f>
        <v>-739191.57741023996</v>
      </c>
      <c r="Q14" s="337" t="s">
        <v>35</v>
      </c>
      <c r="R14" s="92">
        <f>H14</f>
        <v>5248.7927903722921</v>
      </c>
      <c r="S14" s="44">
        <v>35865.9</v>
      </c>
    </row>
    <row r="15" spans="1:19" ht="24.75" hidden="1" customHeight="1">
      <c r="A15" s="45" t="s">
        <v>36</v>
      </c>
      <c r="B15" s="46" t="s">
        <v>37</v>
      </c>
      <c r="C15" s="21">
        <v>34072.800000000003</v>
      </c>
      <c r="D15" s="21"/>
      <c r="E15" s="21"/>
      <c r="F15" s="21"/>
      <c r="G15" s="47">
        <f>G16+G17</f>
        <v>154</v>
      </c>
      <c r="H15" s="21">
        <v>34072.800000000003</v>
      </c>
      <c r="I15" s="47">
        <v>95</v>
      </c>
      <c r="J15" s="48">
        <f>J16+J17</f>
        <v>81982.427788800007</v>
      </c>
      <c r="K15" s="48">
        <f t="shared" ref="K15:M15" si="7">K16+K17</f>
        <v>77932.427788800007</v>
      </c>
      <c r="L15" s="48">
        <f t="shared" si="7"/>
        <v>67707.299999999988</v>
      </c>
      <c r="M15" s="48">
        <f t="shared" si="7"/>
        <v>184.1</v>
      </c>
      <c r="N15" s="48">
        <f>N16+N17</f>
        <v>67891.399999999994</v>
      </c>
      <c r="O15" s="48">
        <f>O16+O17</f>
        <v>4050</v>
      </c>
      <c r="P15" s="48">
        <f>P16+P17</f>
        <v>10041.02778880002</v>
      </c>
      <c r="Q15" s="338"/>
    </row>
    <row r="16" spans="1:19" ht="22.5" hidden="1" customHeight="1">
      <c r="A16" s="35" t="s">
        <v>38</v>
      </c>
      <c r="B16" s="49" t="s">
        <v>39</v>
      </c>
      <c r="C16" s="36">
        <v>34072.800000000003</v>
      </c>
      <c r="D16" s="36"/>
      <c r="E16" s="36"/>
      <c r="F16" s="36"/>
      <c r="G16" s="4">
        <v>114</v>
      </c>
      <c r="H16" s="36">
        <v>34072.800000000003</v>
      </c>
      <c r="I16" s="6">
        <v>95</v>
      </c>
      <c r="J16" s="7">
        <f>G16*H16*12*1.302/1000</f>
        <v>60688.290700800011</v>
      </c>
      <c r="K16" s="7">
        <f t="shared" ref="K16" si="8">J16-O16</f>
        <v>57851.590700800014</v>
      </c>
      <c r="L16" s="7">
        <v>50986.7</v>
      </c>
      <c r="M16" s="7"/>
      <c r="N16" s="7">
        <f t="shared" ref="N16:N58" si="9">L16+M16</f>
        <v>50986.7</v>
      </c>
      <c r="O16" s="7">
        <v>2836.7</v>
      </c>
      <c r="P16" s="7">
        <f>K16-N16</f>
        <v>6864.8907008000169</v>
      </c>
      <c r="Q16" s="338"/>
    </row>
    <row r="17" spans="1:19" ht="22.5" hidden="1" customHeight="1">
      <c r="A17" s="35" t="s">
        <v>40</v>
      </c>
      <c r="B17" s="49" t="s">
        <v>41</v>
      </c>
      <c r="C17" s="36">
        <v>34072.800000000003</v>
      </c>
      <c r="D17" s="36"/>
      <c r="E17" s="36"/>
      <c r="F17" s="36"/>
      <c r="G17" s="4">
        <v>40</v>
      </c>
      <c r="H17" s="36">
        <v>34072.800000000003</v>
      </c>
      <c r="I17" s="6">
        <v>95</v>
      </c>
      <c r="J17" s="7">
        <f>G17*H17*12*1.302/1000</f>
        <v>21294.137087999999</v>
      </c>
      <c r="K17" s="7">
        <f>J17-O17</f>
        <v>20080.837088</v>
      </c>
      <c r="L17" s="7">
        <v>16720.599999999999</v>
      </c>
      <c r="M17" s="7">
        <v>184.1</v>
      </c>
      <c r="N17" s="7">
        <f t="shared" si="9"/>
        <v>16904.699999999997</v>
      </c>
      <c r="O17" s="7">
        <v>1213.3</v>
      </c>
      <c r="P17" s="7">
        <f t="shared" ref="P17" si="10">K17-N17</f>
        <v>3176.1370880000031</v>
      </c>
      <c r="Q17" s="338"/>
    </row>
    <row r="18" spans="1:19" ht="45.75" hidden="1" customHeight="1">
      <c r="A18" s="45" t="s">
        <v>42</v>
      </c>
      <c r="B18" s="50" t="s">
        <v>33</v>
      </c>
      <c r="C18" s="51">
        <v>38109.4</v>
      </c>
      <c r="D18" s="51"/>
      <c r="E18" s="51"/>
      <c r="F18" s="51"/>
      <c r="G18" s="76">
        <f>SUM(G19:G31)</f>
        <v>233.40000000000003</v>
      </c>
      <c r="H18" s="21">
        <f>J18/G18/12/1.302*1000</f>
        <v>37477.073864610094</v>
      </c>
      <c r="I18" s="57">
        <f>H18/35865.9*100</f>
        <v>104.49221646357709</v>
      </c>
      <c r="J18" s="79">
        <f>SUM(J19:J31)</f>
        <v>136665.45660095997</v>
      </c>
      <c r="K18" s="48">
        <f t="shared" ref="K18:P18" si="11">SUM(K19:K31)</f>
        <v>136156.95660095999</v>
      </c>
      <c r="L18" s="48">
        <f t="shared" si="11"/>
        <v>181441.4852</v>
      </c>
      <c r="M18" s="48">
        <f t="shared" si="11"/>
        <v>5701.22</v>
      </c>
      <c r="N18" s="48">
        <f t="shared" si="11"/>
        <v>187142.7052</v>
      </c>
      <c r="O18" s="48">
        <f t="shared" si="11"/>
        <v>508.5</v>
      </c>
      <c r="P18" s="48">
        <f t="shared" si="11"/>
        <v>-50985.74859903998</v>
      </c>
      <c r="Q18" s="338"/>
      <c r="R18" s="52"/>
      <c r="S18" s="60">
        <f>R14/S14</f>
        <v>0.1463449346140008</v>
      </c>
    </row>
    <row r="19" spans="1:19" ht="24.75" hidden="1" customHeight="1">
      <c r="A19" s="35"/>
      <c r="B19" s="2" t="s">
        <v>43</v>
      </c>
      <c r="C19" s="73">
        <f>C35</f>
        <v>35215</v>
      </c>
      <c r="D19" s="73"/>
      <c r="E19" s="73"/>
      <c r="F19" s="73"/>
      <c r="G19" s="77">
        <v>8</v>
      </c>
      <c r="H19" s="5">
        <f>ROUND(C19*I19/100,1)</f>
        <v>35215</v>
      </c>
      <c r="I19" s="36">
        <v>100</v>
      </c>
      <c r="J19" s="80">
        <f>G19*H19*12*1.302/1000</f>
        <v>4401.59328</v>
      </c>
      <c r="K19" s="7">
        <f t="shared" ref="K19:K58" si="12">J19-O19</f>
        <v>4401.59328</v>
      </c>
      <c r="L19" s="53">
        <v>6015.7128000000002</v>
      </c>
      <c r="M19" s="53">
        <v>343.8</v>
      </c>
      <c r="N19" s="7">
        <f t="shared" si="9"/>
        <v>6359.5128000000004</v>
      </c>
      <c r="O19" s="53"/>
      <c r="P19" s="7">
        <f t="shared" ref="P19:P58" si="13">K19-N19</f>
        <v>-1957.9195200000004</v>
      </c>
      <c r="Q19" s="338"/>
    </row>
    <row r="20" spans="1:19" ht="20.25" hidden="1" customHeight="1">
      <c r="A20" s="35"/>
      <c r="B20" s="54" t="s">
        <v>44</v>
      </c>
      <c r="C20" s="73">
        <f>C39</f>
        <v>33167</v>
      </c>
      <c r="D20" s="73"/>
      <c r="E20" s="73"/>
      <c r="F20" s="73"/>
      <c r="G20" s="78">
        <v>7</v>
      </c>
      <c r="H20" s="5">
        <f t="shared" ref="H20:H31" si="14">ROUND(C20*I20/100,1)</f>
        <v>33167</v>
      </c>
      <c r="I20" s="36">
        <v>100</v>
      </c>
      <c r="J20" s="80">
        <f t="shared" ref="J20:J31" si="15">G20*H20*12*1.302/1000</f>
        <v>3627.4084560000001</v>
      </c>
      <c r="K20" s="7">
        <f t="shared" si="12"/>
        <v>3627.4084560000001</v>
      </c>
      <c r="L20" s="53">
        <v>4045.4708000000001</v>
      </c>
      <c r="M20" s="53">
        <v>227.62</v>
      </c>
      <c r="N20" s="7">
        <f t="shared" si="9"/>
        <v>4273.0907999999999</v>
      </c>
      <c r="O20" s="53"/>
      <c r="P20" s="7">
        <f t="shared" si="13"/>
        <v>-645.68234399999983</v>
      </c>
      <c r="Q20" s="338"/>
    </row>
    <row r="21" spans="1:19" ht="20.25" hidden="1" customHeight="1">
      <c r="A21" s="35"/>
      <c r="B21" s="54" t="s">
        <v>45</v>
      </c>
      <c r="C21" s="73">
        <f>C40</f>
        <v>39244</v>
      </c>
      <c r="D21" s="73"/>
      <c r="E21" s="73"/>
      <c r="F21" s="73"/>
      <c r="G21" s="78">
        <v>7.4</v>
      </c>
      <c r="H21" s="5">
        <f t="shared" si="14"/>
        <v>39244</v>
      </c>
      <c r="I21" s="36">
        <v>100</v>
      </c>
      <c r="J21" s="80">
        <f t="shared" si="15"/>
        <v>4537.2970944000008</v>
      </c>
      <c r="K21" s="7">
        <f t="shared" si="12"/>
        <v>4537.2970944000008</v>
      </c>
      <c r="L21" s="53">
        <v>6523.4463999999998</v>
      </c>
      <c r="M21" s="53">
        <v>253.2</v>
      </c>
      <c r="N21" s="7">
        <f t="shared" si="9"/>
        <v>6776.6463999999996</v>
      </c>
      <c r="O21" s="53"/>
      <c r="P21" s="7">
        <f t="shared" si="13"/>
        <v>-2239.3493055999988</v>
      </c>
      <c r="Q21" s="338"/>
    </row>
    <row r="22" spans="1:19" ht="20.25" hidden="1" customHeight="1">
      <c r="A22" s="35"/>
      <c r="B22" s="54" t="s">
        <v>46</v>
      </c>
      <c r="C22" s="73">
        <f>C41</f>
        <v>36178</v>
      </c>
      <c r="D22" s="73"/>
      <c r="E22" s="73"/>
      <c r="F22" s="73"/>
      <c r="G22" s="78">
        <v>9</v>
      </c>
      <c r="H22" s="5">
        <f t="shared" si="14"/>
        <v>36178</v>
      </c>
      <c r="I22" s="36">
        <v>100</v>
      </c>
      <c r="J22" s="80">
        <f t="shared" si="15"/>
        <v>5087.2056480000001</v>
      </c>
      <c r="K22" s="7">
        <f t="shared" si="12"/>
        <v>5087.2056480000001</v>
      </c>
      <c r="L22" s="53">
        <v>6350.0464000000002</v>
      </c>
      <c r="M22" s="53">
        <v>0</v>
      </c>
      <c r="N22" s="7">
        <f t="shared" si="9"/>
        <v>6350.0464000000002</v>
      </c>
      <c r="O22" s="53"/>
      <c r="P22" s="7">
        <f t="shared" si="13"/>
        <v>-1262.8407520000001</v>
      </c>
      <c r="Q22" s="338"/>
    </row>
    <row r="23" spans="1:19" ht="20.25" hidden="1" customHeight="1">
      <c r="A23" s="35"/>
      <c r="B23" s="54" t="s">
        <v>47</v>
      </c>
      <c r="C23" s="73">
        <f>C42</f>
        <v>44546</v>
      </c>
      <c r="D23" s="73"/>
      <c r="E23" s="73"/>
      <c r="F23" s="73"/>
      <c r="G23" s="78">
        <v>8</v>
      </c>
      <c r="H23" s="5">
        <f t="shared" si="14"/>
        <v>44546</v>
      </c>
      <c r="I23" s="36">
        <v>100</v>
      </c>
      <c r="J23" s="80">
        <f t="shared" si="15"/>
        <v>5567.8936320000003</v>
      </c>
      <c r="K23" s="7">
        <f>J23-O23</f>
        <v>5567.8936320000003</v>
      </c>
      <c r="L23" s="53">
        <v>5849.3940000000002</v>
      </c>
      <c r="M23" s="53">
        <v>386</v>
      </c>
      <c r="N23" s="7">
        <f t="shared" si="9"/>
        <v>6235.3940000000002</v>
      </c>
      <c r="O23" s="53"/>
      <c r="P23" s="7">
        <f t="shared" si="13"/>
        <v>-667.50036799999998</v>
      </c>
      <c r="Q23" s="338"/>
    </row>
    <row r="24" spans="1:19" ht="20.25" hidden="1" customHeight="1">
      <c r="A24" s="35"/>
      <c r="B24" s="54" t="s">
        <v>48</v>
      </c>
      <c r="C24" s="73">
        <f>C43</f>
        <v>44821</v>
      </c>
      <c r="D24" s="73"/>
      <c r="E24" s="73"/>
      <c r="F24" s="73"/>
      <c r="G24" s="78">
        <v>6</v>
      </c>
      <c r="H24" s="5">
        <f t="shared" si="14"/>
        <v>42414.1</v>
      </c>
      <c r="I24" s="5">
        <v>94.63</v>
      </c>
      <c r="J24" s="80">
        <f t="shared" si="15"/>
        <v>3976.0673904</v>
      </c>
      <c r="K24" s="7">
        <f t="shared" si="12"/>
        <v>3976.0673904</v>
      </c>
      <c r="L24" s="53">
        <v>4048.6</v>
      </c>
      <c r="M24" s="53">
        <v>0</v>
      </c>
      <c r="N24" s="7">
        <f t="shared" si="9"/>
        <v>4048.6</v>
      </c>
      <c r="O24" s="53"/>
      <c r="P24" s="7">
        <f t="shared" si="13"/>
        <v>-72.532609599999887</v>
      </c>
      <c r="Q24" s="338"/>
    </row>
    <row r="25" spans="1:19" ht="21" hidden="1" customHeight="1">
      <c r="A25" s="35"/>
      <c r="B25" s="54" t="s">
        <v>49</v>
      </c>
      <c r="C25" s="73">
        <f>C45</f>
        <v>35570</v>
      </c>
      <c r="D25" s="73"/>
      <c r="E25" s="73"/>
      <c r="F25" s="73"/>
      <c r="G25" s="77">
        <v>25.2</v>
      </c>
      <c r="H25" s="5">
        <f t="shared" si="14"/>
        <v>35570</v>
      </c>
      <c r="I25" s="36">
        <v>100</v>
      </c>
      <c r="J25" s="80">
        <f t="shared" si="15"/>
        <v>14004.791136</v>
      </c>
      <c r="K25" s="7">
        <f t="shared" si="12"/>
        <v>13746.491136000001</v>
      </c>
      <c r="L25" s="53">
        <v>18144.170600000001</v>
      </c>
      <c r="M25" s="53">
        <v>0</v>
      </c>
      <c r="N25" s="7">
        <f t="shared" si="9"/>
        <v>18144.170600000001</v>
      </c>
      <c r="O25" s="53">
        <v>258.3</v>
      </c>
      <c r="P25" s="7">
        <f t="shared" si="13"/>
        <v>-4397.6794640000007</v>
      </c>
      <c r="Q25" s="338"/>
    </row>
    <row r="26" spans="1:19" ht="21" hidden="1" customHeight="1">
      <c r="A26" s="35"/>
      <c r="B26" s="54" t="s">
        <v>50</v>
      </c>
      <c r="C26" s="73">
        <f>C47</f>
        <v>40325</v>
      </c>
      <c r="D26" s="73"/>
      <c r="E26" s="73"/>
      <c r="F26" s="73"/>
      <c r="G26" s="78">
        <v>75.7</v>
      </c>
      <c r="H26" s="5">
        <f t="shared" si="14"/>
        <v>40325</v>
      </c>
      <c r="I26" s="36">
        <v>100</v>
      </c>
      <c r="J26" s="80">
        <f t="shared" si="15"/>
        <v>47693.86146</v>
      </c>
      <c r="K26" s="7">
        <f t="shared" si="12"/>
        <v>47693.86146</v>
      </c>
      <c r="L26" s="53">
        <v>46025.100599999998</v>
      </c>
      <c r="M26" s="53">
        <v>3139.4</v>
      </c>
      <c r="N26" s="7">
        <f t="shared" si="9"/>
        <v>49164.500599999999</v>
      </c>
      <c r="O26" s="53"/>
      <c r="P26" s="7">
        <f t="shared" si="13"/>
        <v>-1470.6391399999993</v>
      </c>
      <c r="Q26" s="338"/>
    </row>
    <row r="27" spans="1:19" ht="21" hidden="1" customHeight="1">
      <c r="A27" s="35"/>
      <c r="B27" s="54" t="s">
        <v>51</v>
      </c>
      <c r="C27" s="73">
        <f>C48</f>
        <v>36533</v>
      </c>
      <c r="D27" s="73"/>
      <c r="E27" s="73"/>
      <c r="F27" s="73"/>
      <c r="G27" s="78">
        <v>2.4</v>
      </c>
      <c r="H27" s="5">
        <f t="shared" si="14"/>
        <v>36533</v>
      </c>
      <c r="I27" s="36">
        <v>100</v>
      </c>
      <c r="J27" s="80">
        <f t="shared" si="15"/>
        <v>1369.8998207999998</v>
      </c>
      <c r="K27" s="7">
        <f t="shared" si="12"/>
        <v>1369.8998207999998</v>
      </c>
      <c r="L27" s="53">
        <v>5320.0103999999992</v>
      </c>
      <c r="M27" s="53">
        <v>63.9</v>
      </c>
      <c r="N27" s="7">
        <f t="shared" si="9"/>
        <v>5383.9103999999988</v>
      </c>
      <c r="O27" s="53"/>
      <c r="P27" s="7">
        <f t="shared" si="13"/>
        <v>-4014.010579199999</v>
      </c>
      <c r="Q27" s="338"/>
    </row>
    <row r="28" spans="1:19" ht="21" hidden="1" customHeight="1">
      <c r="A28" s="35"/>
      <c r="B28" s="54" t="s">
        <v>52</v>
      </c>
      <c r="C28" s="73">
        <f>C49</f>
        <v>37858</v>
      </c>
      <c r="D28" s="73"/>
      <c r="E28" s="73"/>
      <c r="F28" s="73"/>
      <c r="G28" s="78">
        <v>33.9</v>
      </c>
      <c r="H28" s="5">
        <f t="shared" si="14"/>
        <v>37858</v>
      </c>
      <c r="I28" s="36">
        <v>100</v>
      </c>
      <c r="J28" s="80">
        <f t="shared" si="15"/>
        <v>20051.625988799999</v>
      </c>
      <c r="K28" s="7">
        <f t="shared" si="12"/>
        <v>20051.625988799999</v>
      </c>
      <c r="L28" s="53">
        <v>44328.68499999999</v>
      </c>
      <c r="M28" s="53">
        <v>987.7</v>
      </c>
      <c r="N28" s="7">
        <f t="shared" si="9"/>
        <v>45316.384999999987</v>
      </c>
      <c r="O28" s="53"/>
      <c r="P28" s="7">
        <f t="shared" si="13"/>
        <v>-25264.759011199989</v>
      </c>
      <c r="Q28" s="338"/>
    </row>
    <row r="29" spans="1:19" ht="21" hidden="1" customHeight="1">
      <c r="A29" s="35"/>
      <c r="B29" s="54" t="s">
        <v>53</v>
      </c>
      <c r="C29" s="73">
        <f>C50</f>
        <v>43811</v>
      </c>
      <c r="D29" s="73"/>
      <c r="E29" s="73"/>
      <c r="F29" s="73"/>
      <c r="G29" s="78">
        <v>13</v>
      </c>
      <c r="H29" s="5">
        <f t="shared" si="14"/>
        <v>43811</v>
      </c>
      <c r="I29" s="36">
        <v>100</v>
      </c>
      <c r="J29" s="80">
        <f t="shared" si="15"/>
        <v>8898.5398320000004</v>
      </c>
      <c r="K29" s="7">
        <f t="shared" si="12"/>
        <v>8898.5398320000004</v>
      </c>
      <c r="L29" s="53">
        <v>16744.248200000002</v>
      </c>
      <c r="M29" s="53">
        <v>299.60000000000002</v>
      </c>
      <c r="N29" s="7">
        <f t="shared" si="9"/>
        <v>17043.8482</v>
      </c>
      <c r="O29" s="53"/>
      <c r="P29" s="7">
        <f t="shared" si="13"/>
        <v>-8145.308368</v>
      </c>
      <c r="Q29" s="338"/>
    </row>
    <row r="30" spans="1:19" ht="21" hidden="1" customHeight="1">
      <c r="A30" s="35"/>
      <c r="B30" s="54" t="s">
        <v>54</v>
      </c>
      <c r="C30" s="73">
        <f>C51</f>
        <v>32234</v>
      </c>
      <c r="D30" s="73"/>
      <c r="E30" s="73"/>
      <c r="F30" s="73"/>
      <c r="G30" s="78">
        <v>7.8</v>
      </c>
      <c r="H30" s="5">
        <f t="shared" si="14"/>
        <v>30622.3</v>
      </c>
      <c r="I30" s="5">
        <v>95</v>
      </c>
      <c r="J30" s="80">
        <f t="shared" si="15"/>
        <v>3731.8539585600006</v>
      </c>
      <c r="K30" s="7">
        <f t="shared" si="12"/>
        <v>3731.8539585600006</v>
      </c>
      <c r="L30" s="53">
        <v>3915.1</v>
      </c>
      <c r="M30" s="53"/>
      <c r="N30" s="7">
        <f t="shared" si="9"/>
        <v>3915.1</v>
      </c>
      <c r="O30" s="53"/>
      <c r="P30" s="7">
        <f t="shared" si="13"/>
        <v>-183.24604143999932</v>
      </c>
      <c r="Q30" s="338"/>
    </row>
    <row r="31" spans="1:19" ht="21" hidden="1" customHeight="1">
      <c r="A31" s="35"/>
      <c r="B31" s="54" t="s">
        <v>55</v>
      </c>
      <c r="C31" s="73">
        <f>C56</f>
        <v>30806</v>
      </c>
      <c r="D31" s="73"/>
      <c r="E31" s="73"/>
      <c r="F31" s="73"/>
      <c r="G31" s="77">
        <v>30</v>
      </c>
      <c r="H31" s="5">
        <f t="shared" si="14"/>
        <v>29265.7</v>
      </c>
      <c r="I31" s="5">
        <v>95</v>
      </c>
      <c r="J31" s="80">
        <f t="shared" si="15"/>
        <v>13717.418904000002</v>
      </c>
      <c r="K31" s="7">
        <f t="shared" si="12"/>
        <v>13467.218904000001</v>
      </c>
      <c r="L31" s="53">
        <v>14131.5</v>
      </c>
      <c r="M31" s="53"/>
      <c r="N31" s="7">
        <f t="shared" si="9"/>
        <v>14131.5</v>
      </c>
      <c r="O31" s="53">
        <v>250.2</v>
      </c>
      <c r="P31" s="7">
        <f t="shared" si="13"/>
        <v>-664.2810959999988</v>
      </c>
      <c r="Q31" s="338"/>
      <c r="S31" s="55"/>
    </row>
    <row r="32" spans="1:19" ht="36.75" customHeight="1">
      <c r="A32" s="45" t="s">
        <v>106</v>
      </c>
      <c r="B32" s="56" t="s">
        <v>74</v>
      </c>
      <c r="C32" s="74">
        <v>33466.6</v>
      </c>
      <c r="D32" s="74"/>
      <c r="E32" s="74"/>
      <c r="F32" s="74"/>
      <c r="G32" s="76">
        <f>SUM(G33:G58)</f>
        <v>1553.6</v>
      </c>
      <c r="H32" s="21">
        <f>J32/G32/12/1.302*1000</f>
        <v>407.08269592899671</v>
      </c>
      <c r="I32" s="82">
        <f>H32/35865.9*100</f>
        <v>1.1350131906044367</v>
      </c>
      <c r="J32" s="58">
        <f>SUM(J33:J58)</f>
        <v>9881.2999999999993</v>
      </c>
      <c r="K32" s="21">
        <f t="shared" ref="K32:P32" si="16">SUM(K33:K58)</f>
        <v>-12857.9558</v>
      </c>
      <c r="L32" s="21">
        <f t="shared" si="16"/>
        <v>677416.20079999999</v>
      </c>
      <c r="M32" s="21">
        <f t="shared" si="16"/>
        <v>7972.6999999999989</v>
      </c>
      <c r="N32" s="21">
        <f t="shared" si="16"/>
        <v>685388.90079999994</v>
      </c>
      <c r="O32" s="21">
        <f t="shared" si="16"/>
        <v>22739.255800000003</v>
      </c>
      <c r="P32" s="21">
        <f t="shared" si="16"/>
        <v>-698246.85659999994</v>
      </c>
      <c r="Q32" s="339"/>
      <c r="R32" s="59"/>
      <c r="S32" s="60"/>
    </row>
    <row r="33" spans="1:17" ht="18.75" customHeight="1">
      <c r="A33" s="35"/>
      <c r="B33" s="22" t="s">
        <v>57</v>
      </c>
      <c r="C33" s="75">
        <v>34158</v>
      </c>
      <c r="D33" s="75">
        <v>443.1</v>
      </c>
      <c r="E33" s="90">
        <f>ROUND(9700/9516*D33,1)</f>
        <v>451.7</v>
      </c>
      <c r="F33" s="90"/>
      <c r="G33" s="77">
        <v>72.8</v>
      </c>
      <c r="H33" s="5">
        <f>ROUND(C33*I33/100,1)</f>
        <v>341.6</v>
      </c>
      <c r="I33" s="33">
        <v>1</v>
      </c>
      <c r="J33" s="7">
        <f>ROUND(G33*H33*12*1.302/1000,1)</f>
        <v>388.5</v>
      </c>
      <c r="K33" s="7">
        <f t="shared" si="12"/>
        <v>-659.40000000000009</v>
      </c>
      <c r="L33" s="7">
        <v>28757.8</v>
      </c>
      <c r="M33" s="7">
        <v>232.8</v>
      </c>
      <c r="N33" s="7">
        <f t="shared" si="9"/>
        <v>28990.6</v>
      </c>
      <c r="O33" s="7">
        <v>1047.9000000000001</v>
      </c>
      <c r="P33" s="7">
        <f>K33-N33</f>
        <v>-29650</v>
      </c>
      <c r="Q33" s="89"/>
    </row>
    <row r="34" spans="1:17" ht="18.75" customHeight="1">
      <c r="A34" s="35"/>
      <c r="B34" s="22" t="s">
        <v>58</v>
      </c>
      <c r="C34" s="75">
        <v>34835</v>
      </c>
      <c r="D34" s="75">
        <v>230.9</v>
      </c>
      <c r="E34" s="90">
        <f t="shared" ref="E34:E58" si="17">ROUND(9700/9516*D34,1)</f>
        <v>235.4</v>
      </c>
      <c r="F34" s="90"/>
      <c r="G34" s="77">
        <v>28</v>
      </c>
      <c r="H34" s="5">
        <f t="shared" ref="H34:H57" si="18">ROUND(C34*I34/100,1)</f>
        <v>348.4</v>
      </c>
      <c r="I34" s="33">
        <v>1</v>
      </c>
      <c r="J34" s="7">
        <f t="shared" ref="J34:J58" si="19">ROUND(G34*H34*12*1.302/1000,1)</f>
        <v>152.4</v>
      </c>
      <c r="K34" s="7">
        <f t="shared" si="12"/>
        <v>120.60000000000001</v>
      </c>
      <c r="L34" s="7">
        <v>12046</v>
      </c>
      <c r="M34" s="7">
        <v>875.5</v>
      </c>
      <c r="N34" s="7">
        <f t="shared" si="9"/>
        <v>12921.5</v>
      </c>
      <c r="O34" s="7">
        <v>31.8</v>
      </c>
      <c r="P34" s="7">
        <f t="shared" si="13"/>
        <v>-12800.9</v>
      </c>
      <c r="Q34" s="89"/>
    </row>
    <row r="35" spans="1:17" ht="18.75" customHeight="1">
      <c r="A35" s="35"/>
      <c r="B35" s="22" t="s">
        <v>59</v>
      </c>
      <c r="C35" s="75">
        <v>35215</v>
      </c>
      <c r="D35" s="75">
        <v>152</v>
      </c>
      <c r="E35" s="90">
        <f t="shared" si="17"/>
        <v>154.9</v>
      </c>
      <c r="F35" s="90"/>
      <c r="G35" s="77">
        <v>12</v>
      </c>
      <c r="H35" s="5">
        <f t="shared" si="18"/>
        <v>352.2</v>
      </c>
      <c r="I35" s="33">
        <v>1</v>
      </c>
      <c r="J35" s="7">
        <f t="shared" si="19"/>
        <v>66</v>
      </c>
      <c r="K35" s="7">
        <f t="shared" si="12"/>
        <v>37.200000000000003</v>
      </c>
      <c r="L35" s="7">
        <v>5040.6000000000004</v>
      </c>
      <c r="M35" s="7">
        <v>508.2</v>
      </c>
      <c r="N35" s="7">
        <f t="shared" si="9"/>
        <v>5548.8</v>
      </c>
      <c r="O35" s="7">
        <v>28.8</v>
      </c>
      <c r="P35" s="7">
        <f t="shared" si="13"/>
        <v>-5511.6</v>
      </c>
      <c r="Q35" s="89"/>
    </row>
    <row r="36" spans="1:17" ht="18.75" customHeight="1">
      <c r="A36" s="35"/>
      <c r="B36" s="22" t="s">
        <v>60</v>
      </c>
      <c r="C36" s="75">
        <v>37421</v>
      </c>
      <c r="D36" s="75">
        <v>174.6</v>
      </c>
      <c r="E36" s="90">
        <f t="shared" si="17"/>
        <v>178</v>
      </c>
      <c r="F36" s="90"/>
      <c r="G36" s="77">
        <v>16.399999999999999</v>
      </c>
      <c r="H36" s="5">
        <f t="shared" si="18"/>
        <v>374.2</v>
      </c>
      <c r="I36" s="33">
        <v>1</v>
      </c>
      <c r="J36" s="7">
        <f t="shared" si="19"/>
        <v>95.9</v>
      </c>
      <c r="K36" s="7">
        <f t="shared" si="12"/>
        <v>28.5</v>
      </c>
      <c r="L36" s="7">
        <v>7614.1</v>
      </c>
      <c r="M36" s="7">
        <v>991</v>
      </c>
      <c r="N36" s="7">
        <f t="shared" si="9"/>
        <v>8605.1</v>
      </c>
      <c r="O36" s="7">
        <v>67.400000000000006</v>
      </c>
      <c r="P36" s="7">
        <f t="shared" si="13"/>
        <v>-8576.6</v>
      </c>
      <c r="Q36" s="89"/>
    </row>
    <row r="37" spans="1:17" ht="18.75" customHeight="1">
      <c r="A37" s="35"/>
      <c r="B37" s="23" t="s">
        <v>61</v>
      </c>
      <c r="C37" s="75">
        <v>30351</v>
      </c>
      <c r="D37" s="75">
        <v>208.8</v>
      </c>
      <c r="E37" s="90">
        <f t="shared" si="17"/>
        <v>212.8</v>
      </c>
      <c r="F37" s="90"/>
      <c r="G37" s="77">
        <v>27.2</v>
      </c>
      <c r="H37" s="5">
        <f t="shared" si="18"/>
        <v>303.5</v>
      </c>
      <c r="I37" s="33">
        <v>1</v>
      </c>
      <c r="J37" s="7">
        <f t="shared" si="19"/>
        <v>129</v>
      </c>
      <c r="K37" s="7">
        <f t="shared" si="12"/>
        <v>-85.699999999999989</v>
      </c>
      <c r="L37" s="7">
        <v>10295.6</v>
      </c>
      <c r="M37" s="7">
        <v>0</v>
      </c>
      <c r="N37" s="7">
        <f t="shared" si="9"/>
        <v>10295.6</v>
      </c>
      <c r="O37" s="7">
        <v>214.7</v>
      </c>
      <c r="P37" s="7">
        <f t="shared" si="13"/>
        <v>-10381.300000000001</v>
      </c>
      <c r="Q37" s="89"/>
    </row>
    <row r="38" spans="1:17" ht="18.75" customHeight="1">
      <c r="A38" s="35"/>
      <c r="B38" s="23" t="s">
        <v>62</v>
      </c>
      <c r="C38" s="75">
        <v>35768</v>
      </c>
      <c r="D38" s="75">
        <v>217.3</v>
      </c>
      <c r="E38" s="90">
        <f t="shared" si="17"/>
        <v>221.5</v>
      </c>
      <c r="F38" s="90"/>
      <c r="G38" s="77">
        <v>37</v>
      </c>
      <c r="H38" s="5">
        <f t="shared" si="18"/>
        <v>357.7</v>
      </c>
      <c r="I38" s="33">
        <v>1</v>
      </c>
      <c r="J38" s="7">
        <f t="shared" si="19"/>
        <v>206.8</v>
      </c>
      <c r="K38" s="7">
        <f t="shared" si="12"/>
        <v>206.8</v>
      </c>
      <c r="L38" s="7">
        <v>14387.9</v>
      </c>
      <c r="M38" s="7">
        <v>1373.5</v>
      </c>
      <c r="N38" s="7">
        <f t="shared" si="9"/>
        <v>15761.4</v>
      </c>
      <c r="O38" s="7"/>
      <c r="P38" s="7">
        <f t="shared" si="13"/>
        <v>-15554.6</v>
      </c>
      <c r="Q38" s="89"/>
    </row>
    <row r="39" spans="1:17" ht="18.75" customHeight="1">
      <c r="A39" s="35"/>
      <c r="B39" s="23" t="s">
        <v>44</v>
      </c>
      <c r="C39" s="75">
        <v>33167</v>
      </c>
      <c r="D39" s="75">
        <v>153.4</v>
      </c>
      <c r="E39" s="90">
        <f t="shared" si="17"/>
        <v>156.4</v>
      </c>
      <c r="F39" s="90"/>
      <c r="G39" s="77">
        <v>26.3</v>
      </c>
      <c r="H39" s="5">
        <f t="shared" si="18"/>
        <v>331.7</v>
      </c>
      <c r="I39" s="33">
        <v>1</v>
      </c>
      <c r="J39" s="7">
        <f t="shared" si="19"/>
        <v>136.30000000000001</v>
      </c>
      <c r="K39" s="7">
        <f t="shared" si="12"/>
        <v>-394.09999999999997</v>
      </c>
      <c r="L39" s="7">
        <v>10858.8</v>
      </c>
      <c r="M39" s="7">
        <v>768.3</v>
      </c>
      <c r="N39" s="7">
        <f t="shared" si="9"/>
        <v>11627.099999999999</v>
      </c>
      <c r="O39" s="7">
        <v>530.4</v>
      </c>
      <c r="P39" s="7">
        <f t="shared" si="13"/>
        <v>-12021.199999999999</v>
      </c>
      <c r="Q39" s="89"/>
    </row>
    <row r="40" spans="1:17" ht="18.75" customHeight="1">
      <c r="A40" s="35"/>
      <c r="B40" s="23" t="s">
        <v>45</v>
      </c>
      <c r="C40" s="75">
        <v>39244</v>
      </c>
      <c r="D40" s="75">
        <v>157.30000000000001</v>
      </c>
      <c r="E40" s="90">
        <f t="shared" si="17"/>
        <v>160.30000000000001</v>
      </c>
      <c r="F40" s="90"/>
      <c r="G40" s="77">
        <v>6.3</v>
      </c>
      <c r="H40" s="31">
        <f t="shared" si="18"/>
        <v>392.4</v>
      </c>
      <c r="I40" s="33">
        <v>1</v>
      </c>
      <c r="J40" s="7">
        <f t="shared" si="19"/>
        <v>38.6</v>
      </c>
      <c r="K40" s="7">
        <f t="shared" si="12"/>
        <v>-181.20000000000002</v>
      </c>
      <c r="L40" s="7">
        <v>2266.0007999999998</v>
      </c>
      <c r="M40" s="7">
        <v>290.90000000000003</v>
      </c>
      <c r="N40" s="7">
        <f t="shared" si="9"/>
        <v>2556.9007999999999</v>
      </c>
      <c r="O40" s="7">
        <v>219.8</v>
      </c>
      <c r="P40" s="7">
        <f t="shared" si="13"/>
        <v>-2738.1007999999997</v>
      </c>
      <c r="Q40" s="89"/>
    </row>
    <row r="41" spans="1:17" ht="18.75" customHeight="1">
      <c r="A41" s="35"/>
      <c r="B41" s="23" t="s">
        <v>46</v>
      </c>
      <c r="C41" s="75">
        <v>36178</v>
      </c>
      <c r="D41" s="75">
        <v>190.1</v>
      </c>
      <c r="E41" s="90">
        <f t="shared" si="17"/>
        <v>193.8</v>
      </c>
      <c r="F41" s="90"/>
      <c r="G41" s="77">
        <v>20</v>
      </c>
      <c r="H41" s="5">
        <f t="shared" si="18"/>
        <v>361.8</v>
      </c>
      <c r="I41" s="33">
        <v>1</v>
      </c>
      <c r="J41" s="7">
        <f t="shared" si="19"/>
        <v>113.1</v>
      </c>
      <c r="K41" s="7">
        <f t="shared" si="12"/>
        <v>113.1</v>
      </c>
      <c r="L41" s="7">
        <v>8363.9</v>
      </c>
      <c r="M41" s="7">
        <v>559.4</v>
      </c>
      <c r="N41" s="7">
        <f t="shared" si="9"/>
        <v>8923.2999999999993</v>
      </c>
      <c r="O41" s="7"/>
      <c r="P41" s="7">
        <f t="shared" si="13"/>
        <v>-8810.1999999999989</v>
      </c>
      <c r="Q41" s="89"/>
    </row>
    <row r="42" spans="1:17" ht="18.75" customHeight="1">
      <c r="A42" s="35"/>
      <c r="B42" s="23" t="s">
        <v>47</v>
      </c>
      <c r="C42" s="75">
        <v>44546</v>
      </c>
      <c r="D42" s="75">
        <v>94.4</v>
      </c>
      <c r="E42" s="90">
        <f t="shared" si="17"/>
        <v>96.2</v>
      </c>
      <c r="F42" s="90"/>
      <c r="G42" s="77">
        <v>3</v>
      </c>
      <c r="H42" s="5">
        <f t="shared" si="18"/>
        <v>445.5</v>
      </c>
      <c r="I42" s="33">
        <v>1</v>
      </c>
      <c r="J42" s="7">
        <f t="shared" si="19"/>
        <v>20.9</v>
      </c>
      <c r="K42" s="7">
        <f t="shared" si="12"/>
        <v>0.59999999999999787</v>
      </c>
      <c r="L42" s="7">
        <v>1755.7</v>
      </c>
      <c r="M42" s="7">
        <v>0</v>
      </c>
      <c r="N42" s="7">
        <f t="shared" si="9"/>
        <v>1755.7</v>
      </c>
      <c r="O42" s="7">
        <v>20.3</v>
      </c>
      <c r="P42" s="7">
        <f t="shared" si="13"/>
        <v>-1755.1000000000001</v>
      </c>
      <c r="Q42" s="89"/>
    </row>
    <row r="43" spans="1:17" ht="18.75" customHeight="1">
      <c r="A43" s="35"/>
      <c r="B43" s="23" t="s">
        <v>48</v>
      </c>
      <c r="C43" s="75">
        <v>44821</v>
      </c>
      <c r="D43" s="75">
        <v>123.8</v>
      </c>
      <c r="E43" s="90">
        <f t="shared" si="17"/>
        <v>126.2</v>
      </c>
      <c r="F43" s="90"/>
      <c r="G43" s="77">
        <v>13.8</v>
      </c>
      <c r="H43" s="5">
        <f t="shared" si="18"/>
        <v>448.2</v>
      </c>
      <c r="I43" s="33">
        <v>1</v>
      </c>
      <c r="J43" s="7">
        <f t="shared" si="19"/>
        <v>96.6</v>
      </c>
      <c r="K43" s="7">
        <f t="shared" si="12"/>
        <v>-71.300000000000011</v>
      </c>
      <c r="L43" s="7">
        <v>5869.9</v>
      </c>
      <c r="M43" s="7">
        <v>121.4</v>
      </c>
      <c r="N43" s="7">
        <f t="shared" si="9"/>
        <v>5991.2999999999993</v>
      </c>
      <c r="O43" s="7">
        <v>167.9</v>
      </c>
      <c r="P43" s="7">
        <f t="shared" si="13"/>
        <v>-6062.5999999999995</v>
      </c>
      <c r="Q43" s="89"/>
    </row>
    <row r="44" spans="1:17" ht="18.75" customHeight="1">
      <c r="A44" s="35"/>
      <c r="B44" s="23" t="s">
        <v>63</v>
      </c>
      <c r="C44" s="75">
        <v>31431</v>
      </c>
      <c r="D44" s="75">
        <v>248.7</v>
      </c>
      <c r="E44" s="90">
        <f t="shared" si="17"/>
        <v>253.5</v>
      </c>
      <c r="F44" s="90"/>
      <c r="G44" s="77">
        <v>36.700000000000003</v>
      </c>
      <c r="H44" s="5">
        <f t="shared" si="18"/>
        <v>314.3</v>
      </c>
      <c r="I44" s="33">
        <v>1</v>
      </c>
      <c r="J44" s="7">
        <f t="shared" si="19"/>
        <v>180.2</v>
      </c>
      <c r="K44" s="7">
        <f t="shared" si="12"/>
        <v>-448.90000000000003</v>
      </c>
      <c r="L44" s="7">
        <v>15694.6</v>
      </c>
      <c r="M44" s="7">
        <v>63.3</v>
      </c>
      <c r="N44" s="7">
        <f t="shared" si="9"/>
        <v>15757.9</v>
      </c>
      <c r="O44" s="7">
        <v>629.1</v>
      </c>
      <c r="P44" s="7">
        <f t="shared" si="13"/>
        <v>-16206.8</v>
      </c>
      <c r="Q44" s="89"/>
    </row>
    <row r="45" spans="1:17" ht="18.75" customHeight="1">
      <c r="A45" s="35"/>
      <c r="B45" s="23" t="s">
        <v>49</v>
      </c>
      <c r="C45" s="75">
        <v>35570</v>
      </c>
      <c r="D45" s="75">
        <v>289.60000000000002</v>
      </c>
      <c r="E45" s="90">
        <f t="shared" si="17"/>
        <v>295.2</v>
      </c>
      <c r="F45" s="90"/>
      <c r="G45" s="77">
        <v>10</v>
      </c>
      <c r="H45" s="5">
        <f t="shared" si="18"/>
        <v>355.7</v>
      </c>
      <c r="I45" s="33">
        <v>1</v>
      </c>
      <c r="J45" s="7">
        <f t="shared" si="19"/>
        <v>55.6</v>
      </c>
      <c r="K45" s="7">
        <f t="shared" si="12"/>
        <v>55.6</v>
      </c>
      <c r="L45" s="7">
        <v>4197.3999999999996</v>
      </c>
      <c r="M45" s="7">
        <v>0</v>
      </c>
      <c r="N45" s="7">
        <f t="shared" si="9"/>
        <v>4197.3999999999996</v>
      </c>
      <c r="O45" s="7"/>
      <c r="P45" s="7">
        <f t="shared" si="13"/>
        <v>-4141.7999999999993</v>
      </c>
      <c r="Q45" s="89"/>
    </row>
    <row r="46" spans="1:17" ht="18.75" customHeight="1">
      <c r="A46" s="35"/>
      <c r="B46" s="23" t="s">
        <v>64</v>
      </c>
      <c r="C46" s="75">
        <v>42986</v>
      </c>
      <c r="D46" s="75">
        <v>307.39999999999998</v>
      </c>
      <c r="E46" s="90">
        <f t="shared" si="17"/>
        <v>313.3</v>
      </c>
      <c r="F46" s="90"/>
      <c r="G46" s="77">
        <v>28.2</v>
      </c>
      <c r="H46" s="5">
        <f t="shared" si="18"/>
        <v>429.9</v>
      </c>
      <c r="I46" s="33">
        <v>1</v>
      </c>
      <c r="J46" s="7">
        <f t="shared" si="19"/>
        <v>189.4</v>
      </c>
      <c r="K46" s="7">
        <f t="shared" si="12"/>
        <v>189.4</v>
      </c>
      <c r="L46" s="7">
        <v>13278.2</v>
      </c>
      <c r="M46" s="7">
        <v>1144.8</v>
      </c>
      <c r="N46" s="7">
        <f t="shared" si="9"/>
        <v>14423</v>
      </c>
      <c r="O46" s="7"/>
      <c r="P46" s="7">
        <f t="shared" si="13"/>
        <v>-14233.6</v>
      </c>
      <c r="Q46" s="89"/>
    </row>
    <row r="47" spans="1:17" ht="18.75" customHeight="1">
      <c r="A47" s="35"/>
      <c r="B47" s="23" t="s">
        <v>50</v>
      </c>
      <c r="C47" s="75">
        <v>40325</v>
      </c>
      <c r="D47" s="75">
        <v>327.2</v>
      </c>
      <c r="E47" s="90">
        <f t="shared" si="17"/>
        <v>333.5</v>
      </c>
      <c r="F47" s="90"/>
      <c r="G47" s="77"/>
      <c r="H47" s="5">
        <f t="shared" si="18"/>
        <v>403.3</v>
      </c>
      <c r="I47" s="33">
        <v>1</v>
      </c>
      <c r="J47" s="7">
        <f t="shared" si="19"/>
        <v>0</v>
      </c>
      <c r="K47" s="7">
        <f t="shared" si="12"/>
        <v>0</v>
      </c>
      <c r="L47" s="7"/>
      <c r="M47" s="7">
        <v>0</v>
      </c>
      <c r="N47" s="7">
        <f t="shared" si="9"/>
        <v>0</v>
      </c>
      <c r="O47" s="7"/>
      <c r="P47" s="7">
        <f t="shared" si="13"/>
        <v>0</v>
      </c>
      <c r="Q47" s="89"/>
    </row>
    <row r="48" spans="1:17" ht="18.75" customHeight="1">
      <c r="A48" s="35"/>
      <c r="B48" s="23" t="s">
        <v>51</v>
      </c>
      <c r="C48" s="75">
        <v>36533</v>
      </c>
      <c r="D48" s="75">
        <v>241.5</v>
      </c>
      <c r="E48" s="90">
        <f t="shared" si="17"/>
        <v>246.2</v>
      </c>
      <c r="F48" s="90"/>
      <c r="G48" s="77">
        <v>13.7</v>
      </c>
      <c r="H48" s="5">
        <f t="shared" si="18"/>
        <v>365.3</v>
      </c>
      <c r="I48" s="33">
        <v>1</v>
      </c>
      <c r="J48" s="7">
        <f t="shared" si="19"/>
        <v>78.2</v>
      </c>
      <c r="K48" s="7">
        <f t="shared" si="12"/>
        <v>78.2</v>
      </c>
      <c r="L48" s="7">
        <v>5931.5</v>
      </c>
      <c r="M48" s="7">
        <v>65.400000000000006</v>
      </c>
      <c r="N48" s="7">
        <f t="shared" si="9"/>
        <v>5996.9</v>
      </c>
      <c r="O48" s="7"/>
      <c r="P48" s="7">
        <f t="shared" si="13"/>
        <v>-5918.7</v>
      </c>
      <c r="Q48" s="89"/>
    </row>
    <row r="49" spans="1:17" ht="18.75" customHeight="1">
      <c r="A49" s="35"/>
      <c r="B49" s="23" t="s">
        <v>52</v>
      </c>
      <c r="C49" s="75">
        <v>37858</v>
      </c>
      <c r="D49" s="75">
        <v>325.39999999999998</v>
      </c>
      <c r="E49" s="90">
        <f t="shared" si="17"/>
        <v>331.7</v>
      </c>
      <c r="F49" s="90"/>
      <c r="G49" s="77">
        <v>31.4</v>
      </c>
      <c r="H49" s="5">
        <f t="shared" si="18"/>
        <v>378.6</v>
      </c>
      <c r="I49" s="33">
        <v>1</v>
      </c>
      <c r="J49" s="7">
        <f t="shared" si="19"/>
        <v>185.7</v>
      </c>
      <c r="K49" s="7">
        <f t="shared" si="12"/>
        <v>-392.77860000000004</v>
      </c>
      <c r="L49" s="7">
        <v>11905.1</v>
      </c>
      <c r="M49" s="7">
        <v>772.8</v>
      </c>
      <c r="N49" s="7">
        <f t="shared" si="9"/>
        <v>12677.9</v>
      </c>
      <c r="O49" s="7">
        <v>578.47860000000003</v>
      </c>
      <c r="P49" s="7">
        <f t="shared" si="13"/>
        <v>-13070.678599999999</v>
      </c>
      <c r="Q49" s="89"/>
    </row>
    <row r="50" spans="1:17" ht="18.75" customHeight="1">
      <c r="A50" s="35"/>
      <c r="B50" s="23" t="s">
        <v>53</v>
      </c>
      <c r="C50" s="75">
        <v>43811</v>
      </c>
      <c r="D50" s="75">
        <v>298</v>
      </c>
      <c r="E50" s="90">
        <f t="shared" si="17"/>
        <v>303.8</v>
      </c>
      <c r="F50" s="90"/>
      <c r="G50" s="77">
        <v>6</v>
      </c>
      <c r="H50" s="5">
        <f t="shared" si="18"/>
        <v>438.1</v>
      </c>
      <c r="I50" s="33">
        <v>1</v>
      </c>
      <c r="J50" s="7">
        <f t="shared" si="19"/>
        <v>41.1</v>
      </c>
      <c r="K50" s="7">
        <f t="shared" si="12"/>
        <v>41.1</v>
      </c>
      <c r="L50" s="7">
        <v>2273.6999999999998</v>
      </c>
      <c r="M50" s="7">
        <v>205.39999999999998</v>
      </c>
      <c r="N50" s="7">
        <f t="shared" si="9"/>
        <v>2479.1</v>
      </c>
      <c r="O50" s="7"/>
      <c r="P50" s="7">
        <f t="shared" si="13"/>
        <v>-2438</v>
      </c>
      <c r="Q50" s="89"/>
    </row>
    <row r="51" spans="1:17" ht="18.75" customHeight="1">
      <c r="A51" s="35"/>
      <c r="B51" s="23" t="s">
        <v>54</v>
      </c>
      <c r="C51" s="75">
        <v>32234</v>
      </c>
      <c r="D51" s="75">
        <v>121.4</v>
      </c>
      <c r="E51" s="90">
        <f t="shared" si="17"/>
        <v>123.7</v>
      </c>
      <c r="F51" s="90"/>
      <c r="G51" s="77">
        <v>16</v>
      </c>
      <c r="H51" s="5">
        <f t="shared" si="18"/>
        <v>322.3</v>
      </c>
      <c r="I51" s="33">
        <v>1</v>
      </c>
      <c r="J51" s="7">
        <f t="shared" si="19"/>
        <v>80.599999999999994</v>
      </c>
      <c r="K51" s="7">
        <f t="shared" si="12"/>
        <v>80.599999999999994</v>
      </c>
      <c r="L51" s="7">
        <v>6596.4</v>
      </c>
      <c r="M51" s="7">
        <v>0</v>
      </c>
      <c r="N51" s="7">
        <f t="shared" si="9"/>
        <v>6596.4</v>
      </c>
      <c r="O51" s="7"/>
      <c r="P51" s="7">
        <f t="shared" si="13"/>
        <v>-6515.7999999999993</v>
      </c>
      <c r="Q51" s="89"/>
    </row>
    <row r="52" spans="1:17" ht="18.75" customHeight="1">
      <c r="A52" s="35"/>
      <c r="B52" s="23" t="s">
        <v>66</v>
      </c>
      <c r="C52" s="75">
        <v>32312</v>
      </c>
      <c r="D52" s="75">
        <v>1886.7</v>
      </c>
      <c r="E52" s="90">
        <f t="shared" si="17"/>
        <v>1923.2</v>
      </c>
      <c r="F52" s="90"/>
      <c r="G52" s="77">
        <v>463.8</v>
      </c>
      <c r="H52" s="5">
        <f t="shared" si="18"/>
        <v>323.10000000000002</v>
      </c>
      <c r="I52" s="33">
        <v>1</v>
      </c>
      <c r="J52" s="7">
        <f t="shared" si="19"/>
        <v>2341.3000000000002</v>
      </c>
      <c r="K52" s="7">
        <f t="shared" si="12"/>
        <v>-4803.6853999999994</v>
      </c>
      <c r="L52" s="7">
        <v>202365.2</v>
      </c>
      <c r="M52" s="7">
        <v>0</v>
      </c>
      <c r="N52" s="7">
        <f t="shared" si="9"/>
        <v>202365.2</v>
      </c>
      <c r="O52" s="7">
        <v>7144.9853999999996</v>
      </c>
      <c r="P52" s="7">
        <f t="shared" si="13"/>
        <v>-207168.8854</v>
      </c>
      <c r="Q52" s="89"/>
    </row>
    <row r="53" spans="1:17" ht="18.75" customHeight="1">
      <c r="A53" s="35"/>
      <c r="B53" s="23" t="s">
        <v>67</v>
      </c>
      <c r="C53" s="75">
        <v>34903</v>
      </c>
      <c r="D53" s="75">
        <v>1092.5</v>
      </c>
      <c r="E53" s="90">
        <f t="shared" si="17"/>
        <v>1113.5999999999999</v>
      </c>
      <c r="F53" s="90"/>
      <c r="G53" s="77">
        <v>337.7</v>
      </c>
      <c r="H53" s="5">
        <f t="shared" si="18"/>
        <v>349</v>
      </c>
      <c r="I53" s="33">
        <v>1</v>
      </c>
      <c r="J53" s="7">
        <f t="shared" si="19"/>
        <v>1841.4</v>
      </c>
      <c r="K53" s="7">
        <f t="shared" si="12"/>
        <v>-3247.8576000000007</v>
      </c>
      <c r="L53" s="7">
        <v>165691.1</v>
      </c>
      <c r="M53" s="7">
        <v>0</v>
      </c>
      <c r="N53" s="7">
        <f t="shared" si="9"/>
        <v>165691.1</v>
      </c>
      <c r="O53" s="7">
        <v>5089.2576000000008</v>
      </c>
      <c r="P53" s="7">
        <f t="shared" si="13"/>
        <v>-168938.95759999999</v>
      </c>
      <c r="Q53" s="89"/>
    </row>
    <row r="54" spans="1:17" ht="18.75" customHeight="1">
      <c r="A54" s="35"/>
      <c r="B54" s="23" t="s">
        <v>68</v>
      </c>
      <c r="C54" s="75">
        <v>32180</v>
      </c>
      <c r="D54" s="75">
        <v>416.6</v>
      </c>
      <c r="E54" s="90">
        <f t="shared" si="17"/>
        <v>424.7</v>
      </c>
      <c r="F54" s="90"/>
      <c r="G54" s="77">
        <v>125.6</v>
      </c>
      <c r="H54" s="5">
        <f t="shared" si="18"/>
        <v>321.8</v>
      </c>
      <c r="I54" s="33">
        <v>1</v>
      </c>
      <c r="J54" s="7">
        <f t="shared" si="19"/>
        <v>631.5</v>
      </c>
      <c r="K54" s="7">
        <f t="shared" si="12"/>
        <v>-3498.5742</v>
      </c>
      <c r="L54" s="7">
        <v>50619.7</v>
      </c>
      <c r="M54" s="7">
        <v>0</v>
      </c>
      <c r="N54" s="7">
        <f t="shared" si="9"/>
        <v>50619.7</v>
      </c>
      <c r="O54" s="7">
        <v>4130.0742</v>
      </c>
      <c r="P54" s="7">
        <f t="shared" si="13"/>
        <v>-54118.2742</v>
      </c>
      <c r="Q54" s="89"/>
    </row>
    <row r="55" spans="1:17" ht="18.75" customHeight="1">
      <c r="A55" s="35"/>
      <c r="B55" s="23" t="s">
        <v>69</v>
      </c>
      <c r="C55" s="75">
        <v>28143</v>
      </c>
      <c r="D55" s="75">
        <v>249.4</v>
      </c>
      <c r="E55" s="90">
        <f t="shared" si="17"/>
        <v>254.2</v>
      </c>
      <c r="F55" s="90"/>
      <c r="G55" s="77">
        <v>98.3</v>
      </c>
      <c r="H55" s="5">
        <f t="shared" si="18"/>
        <v>281.39999999999998</v>
      </c>
      <c r="I55" s="33">
        <v>1</v>
      </c>
      <c r="J55" s="7">
        <f t="shared" si="19"/>
        <v>432.2</v>
      </c>
      <c r="K55" s="7">
        <f t="shared" si="12"/>
        <v>44.464399999999955</v>
      </c>
      <c r="L55" s="7">
        <v>38740.6</v>
      </c>
      <c r="M55" s="7">
        <v>0</v>
      </c>
      <c r="N55" s="7">
        <f t="shared" si="9"/>
        <v>38740.6</v>
      </c>
      <c r="O55" s="7">
        <v>387.73560000000003</v>
      </c>
      <c r="P55" s="7">
        <f t="shared" si="13"/>
        <v>-38696.135600000001</v>
      </c>
      <c r="Q55" s="89"/>
    </row>
    <row r="56" spans="1:17" ht="18.75" customHeight="1">
      <c r="A56" s="35"/>
      <c r="B56" s="23" t="s">
        <v>55</v>
      </c>
      <c r="C56" s="75">
        <v>30806</v>
      </c>
      <c r="D56" s="75">
        <v>243.3</v>
      </c>
      <c r="E56" s="90">
        <f t="shared" si="17"/>
        <v>248</v>
      </c>
      <c r="F56" s="90"/>
      <c r="G56" s="77">
        <v>60.7</v>
      </c>
      <c r="H56" s="5">
        <f t="shared" si="18"/>
        <v>308.10000000000002</v>
      </c>
      <c r="I56" s="33">
        <v>1</v>
      </c>
      <c r="J56" s="7">
        <f t="shared" si="19"/>
        <v>292.2</v>
      </c>
      <c r="K56" s="7">
        <f t="shared" si="12"/>
        <v>-2158.4244000000003</v>
      </c>
      <c r="L56" s="7">
        <v>22894.400000000001</v>
      </c>
      <c r="M56" s="7">
        <v>0</v>
      </c>
      <c r="N56" s="7">
        <f t="shared" si="9"/>
        <v>22894.400000000001</v>
      </c>
      <c r="O56" s="7">
        <v>2450.6244000000002</v>
      </c>
      <c r="P56" s="7">
        <f t="shared" si="13"/>
        <v>-25052.824400000001</v>
      </c>
      <c r="Q56" s="89"/>
    </row>
    <row r="57" spans="1:17" ht="18.75" customHeight="1">
      <c r="A57" s="35"/>
      <c r="B57" s="23" t="s">
        <v>70</v>
      </c>
      <c r="C57" s="75">
        <v>29977</v>
      </c>
      <c r="D57" s="75">
        <v>182.4</v>
      </c>
      <c r="E57" s="90">
        <f t="shared" si="17"/>
        <v>185.9</v>
      </c>
      <c r="F57" s="90"/>
      <c r="G57" s="77">
        <v>59.3</v>
      </c>
      <c r="H57" s="5">
        <f t="shared" si="18"/>
        <v>299.8</v>
      </c>
      <c r="I57" s="33">
        <v>1</v>
      </c>
      <c r="J57" s="7">
        <f t="shared" si="19"/>
        <v>277.8</v>
      </c>
      <c r="K57" s="7">
        <f t="shared" si="12"/>
        <v>277.8</v>
      </c>
      <c r="L57" s="7">
        <v>28162</v>
      </c>
      <c r="M57" s="7"/>
      <c r="N57" s="7">
        <f t="shared" si="9"/>
        <v>28162</v>
      </c>
      <c r="O57" s="7"/>
      <c r="P57" s="7">
        <f t="shared" si="13"/>
        <v>-27884.2</v>
      </c>
      <c r="Q57" s="89"/>
    </row>
    <row r="58" spans="1:17" ht="18.75" customHeight="1">
      <c r="A58" s="35"/>
      <c r="B58" s="23" t="s">
        <v>107</v>
      </c>
      <c r="C58" s="75">
        <v>0</v>
      </c>
      <c r="D58" s="75"/>
      <c r="E58" s="90">
        <f t="shared" si="17"/>
        <v>0</v>
      </c>
      <c r="F58" s="90"/>
      <c r="G58" s="77">
        <v>3.4</v>
      </c>
      <c r="H58" s="5">
        <v>34072.800000000003</v>
      </c>
      <c r="I58" s="33">
        <v>1</v>
      </c>
      <c r="J58" s="7">
        <f t="shared" si="19"/>
        <v>1810</v>
      </c>
      <c r="K58" s="7">
        <f t="shared" si="12"/>
        <v>1810</v>
      </c>
      <c r="L58" s="7">
        <v>1810</v>
      </c>
      <c r="M58" s="7"/>
      <c r="N58" s="7">
        <f t="shared" si="9"/>
        <v>1810</v>
      </c>
      <c r="O58" s="7"/>
      <c r="P58" s="7">
        <f t="shared" si="13"/>
        <v>0</v>
      </c>
      <c r="Q58" s="89"/>
    </row>
    <row r="59" spans="1:17" ht="18.75" customHeight="1">
      <c r="A59" s="62"/>
      <c r="B59" s="23" t="s">
        <v>118</v>
      </c>
      <c r="C59" s="96">
        <v>34918.199999999997</v>
      </c>
      <c r="D59" s="75">
        <v>376.5</v>
      </c>
      <c r="E59" s="90">
        <f>ROUND(D59*1.06,1)</f>
        <v>399.1</v>
      </c>
      <c r="F59" s="90"/>
      <c r="G59" s="4">
        <v>1554</v>
      </c>
      <c r="H59" s="36">
        <v>34073</v>
      </c>
      <c r="I59" s="33">
        <v>1</v>
      </c>
      <c r="J59" s="7">
        <v>827282.0818080001</v>
      </c>
      <c r="K59" s="7">
        <v>804542.78180800006</v>
      </c>
      <c r="L59" s="7">
        <v>677641.3</v>
      </c>
      <c r="M59" s="7">
        <v>7972.7</v>
      </c>
      <c r="N59" s="7">
        <v>685614</v>
      </c>
      <c r="O59" s="7">
        <v>22739.3</v>
      </c>
      <c r="P59" s="7">
        <v>118928.78180800006</v>
      </c>
      <c r="Q59" s="12"/>
    </row>
    <row r="60" spans="1:17" s="43" customFormat="1" ht="28.5" customHeight="1">
      <c r="A60" s="63"/>
      <c r="B60" s="13" t="s">
        <v>119</v>
      </c>
      <c r="C60" s="13"/>
      <c r="D60" s="97">
        <f>SUM(D33:D59)</f>
        <v>8752.2999999999993</v>
      </c>
      <c r="E60" s="97">
        <f>SUM(E33:E59)</f>
        <v>8936.7999999999993</v>
      </c>
      <c r="F60" s="97"/>
      <c r="G60" s="14"/>
      <c r="H60" s="15"/>
      <c r="I60" s="15"/>
      <c r="J60" s="15"/>
      <c r="K60" s="15"/>
      <c r="L60" s="15"/>
      <c r="M60" s="15"/>
      <c r="N60" s="15"/>
      <c r="O60" s="15"/>
      <c r="P60" s="6" t="e">
        <f>#REF!+P32</f>
        <v>#REF!</v>
      </c>
      <c r="Q60" s="16"/>
    </row>
    <row r="61" spans="1:17" ht="29.25" customHeight="1">
      <c r="B61" s="64" t="s">
        <v>72</v>
      </c>
      <c r="C61" s="64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6"/>
      <c r="Q61" s="66"/>
    </row>
    <row r="62" spans="1:17" ht="47.25">
      <c r="A62" s="62"/>
      <c r="B62" s="17" t="s">
        <v>33</v>
      </c>
      <c r="C62" s="17"/>
      <c r="D62" s="17"/>
      <c r="E62" s="17"/>
      <c r="F62" s="17"/>
      <c r="N62" s="67">
        <v>16904.7</v>
      </c>
      <c r="P62" s="68">
        <v>181433</v>
      </c>
      <c r="Q62" s="18" t="s">
        <v>73</v>
      </c>
    </row>
    <row r="63" spans="1:17" ht="31.5">
      <c r="A63" s="62"/>
      <c r="B63" s="69" t="s">
        <v>74</v>
      </c>
      <c r="C63" s="69"/>
      <c r="D63" s="69"/>
      <c r="E63" s="69"/>
      <c r="F63" s="69"/>
      <c r="I63" s="20"/>
      <c r="L63" s="67"/>
      <c r="N63" s="67">
        <f>N62-M17</f>
        <v>16720.600000000002</v>
      </c>
      <c r="P63" s="70" t="e">
        <f>P60-P62</f>
        <v>#REF!</v>
      </c>
      <c r="Q63" s="71"/>
    </row>
    <row r="64" spans="1:17" ht="29.25" customHeight="1">
      <c r="I64" t="s">
        <v>75</v>
      </c>
      <c r="P64" s="68"/>
      <c r="Q64" s="71"/>
    </row>
    <row r="65" spans="11:17" s="72" customFormat="1" ht="20.25">
      <c r="K65" s="25"/>
      <c r="M65" s="25" t="s">
        <v>76</v>
      </c>
      <c r="P65" s="68"/>
      <c r="Q65" s="71"/>
    </row>
    <row r="66" spans="11:17" s="72" customFormat="1"/>
    <row r="67" spans="11:17" s="25" customFormat="1" ht="20.25"/>
  </sheetData>
  <mergeCells count="18">
    <mergeCell ref="B3:P3"/>
    <mergeCell ref="A5:A7"/>
    <mergeCell ref="B5:B7"/>
    <mergeCell ref="C5:C7"/>
    <mergeCell ref="G5:G7"/>
    <mergeCell ref="H5:H7"/>
    <mergeCell ref="I5:I7"/>
    <mergeCell ref="J5:J7"/>
    <mergeCell ref="K5:K7"/>
    <mergeCell ref="L5:N6"/>
    <mergeCell ref="O5:O7"/>
    <mergeCell ref="P5:P7"/>
    <mergeCell ref="Q5:Q7"/>
    <mergeCell ref="Q10:Q12"/>
    <mergeCell ref="Q14:Q32"/>
    <mergeCell ref="D5:D7"/>
    <mergeCell ref="E5:E7"/>
    <mergeCell ref="F5:F7"/>
  </mergeCells>
  <pageMargins left="0" right="0" top="0" bottom="0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P66"/>
  <sheetViews>
    <sheetView view="pageBreakPreview" zoomScale="80" zoomScaleNormal="90" zoomScaleSheetLayoutView="80" workbookViewId="0">
      <pane xSplit="2" ySplit="12" topLeftCell="C13" activePane="bottomRight" state="frozen"/>
      <selection activeCell="H46" activeCellId="1" sqref="H33 H46"/>
      <selection pane="topRight" activeCell="H46" activeCellId="1" sqref="H33 H46"/>
      <selection pane="bottomLeft" activeCell="H46" activeCellId="1" sqref="H33 H46"/>
      <selection pane="bottomRight" activeCell="H46" activeCellId="1" sqref="H33 H46"/>
    </sheetView>
  </sheetViews>
  <sheetFormatPr defaultRowHeight="15"/>
  <cols>
    <col min="1" max="1" width="5.7109375" customWidth="1"/>
    <col min="2" max="2" width="52" customWidth="1"/>
    <col min="3" max="3" width="19.42578125" customWidth="1"/>
    <col min="4" max="4" width="18.42578125" customWidth="1"/>
    <col min="5" max="5" width="18.140625" customWidth="1"/>
    <col min="6" max="6" width="26" customWidth="1"/>
    <col min="7" max="7" width="32.28515625" customWidth="1"/>
    <col min="8" max="8" width="19.7109375" hidden="1" customWidth="1"/>
    <col min="9" max="9" width="20.28515625" hidden="1" customWidth="1"/>
    <col min="10" max="11" width="24.28515625" hidden="1" customWidth="1"/>
    <col min="12" max="12" width="19.140625" hidden="1" customWidth="1"/>
    <col min="13" max="13" width="17.7109375" hidden="1" customWidth="1"/>
    <col min="14" max="14" width="60.140625" hidden="1" customWidth="1"/>
    <col min="15" max="15" width="15.42578125" bestFit="1" customWidth="1"/>
    <col min="16" max="16" width="29.85546875" customWidth="1"/>
  </cols>
  <sheetData>
    <row r="1" spans="1:16" ht="46.5" customHeight="1">
      <c r="G1" t="s">
        <v>112</v>
      </c>
    </row>
    <row r="2" spans="1:16" hidden="1"/>
    <row r="3" spans="1:16" ht="99.75" customHeight="1">
      <c r="B3" s="328" t="s">
        <v>111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5" spans="1:16" ht="32.25" customHeight="1">
      <c r="A5" s="329"/>
      <c r="B5" s="330" t="s">
        <v>101</v>
      </c>
      <c r="C5" s="332" t="s">
        <v>108</v>
      </c>
      <c r="D5" s="369" t="s">
        <v>114</v>
      </c>
      <c r="E5" s="332" t="s">
        <v>115</v>
      </c>
      <c r="F5" s="326" t="s">
        <v>116</v>
      </c>
      <c r="G5" s="317" t="s">
        <v>79</v>
      </c>
      <c r="H5" s="317" t="s">
        <v>80</v>
      </c>
      <c r="I5" s="317" t="s">
        <v>81</v>
      </c>
      <c r="J5" s="317"/>
      <c r="K5" s="317"/>
      <c r="L5" s="317" t="s">
        <v>82</v>
      </c>
      <c r="M5" s="317" t="s">
        <v>102</v>
      </c>
      <c r="N5" s="317" t="s">
        <v>103</v>
      </c>
    </row>
    <row r="6" spans="1:16" ht="30.75" customHeight="1">
      <c r="A6" s="329"/>
      <c r="B6" s="330"/>
      <c r="C6" s="332"/>
      <c r="D6" s="370"/>
      <c r="E6" s="332"/>
      <c r="F6" s="326"/>
      <c r="G6" s="317"/>
      <c r="H6" s="317"/>
      <c r="I6" s="317"/>
      <c r="J6" s="317"/>
      <c r="K6" s="317"/>
      <c r="L6" s="317"/>
      <c r="M6" s="317"/>
      <c r="N6" s="317"/>
    </row>
    <row r="7" spans="1:16" ht="128.25" customHeight="1">
      <c r="A7" s="329"/>
      <c r="B7" s="331"/>
      <c r="C7" s="320"/>
      <c r="D7" s="370"/>
      <c r="E7" s="320"/>
      <c r="F7" s="343"/>
      <c r="G7" s="340"/>
      <c r="H7" s="317"/>
      <c r="I7" s="24" t="s">
        <v>3</v>
      </c>
      <c r="J7" s="26" t="s">
        <v>4</v>
      </c>
      <c r="K7" s="26" t="s">
        <v>5</v>
      </c>
      <c r="L7" s="317"/>
      <c r="M7" s="317"/>
      <c r="N7" s="317"/>
    </row>
    <row r="8" spans="1:16" ht="29.25" customHeight="1">
      <c r="A8" s="34"/>
      <c r="B8" s="27">
        <v>1</v>
      </c>
      <c r="C8" s="28">
        <v>2</v>
      </c>
      <c r="D8" s="30">
        <v>3</v>
      </c>
      <c r="E8" s="28" t="s">
        <v>110</v>
      </c>
      <c r="F8" s="29">
        <v>5</v>
      </c>
      <c r="G8" s="29" t="s">
        <v>109</v>
      </c>
      <c r="H8" s="29">
        <v>8</v>
      </c>
      <c r="I8" s="29">
        <v>9</v>
      </c>
      <c r="J8" s="29">
        <v>10</v>
      </c>
      <c r="K8" s="29" t="s">
        <v>104</v>
      </c>
      <c r="L8" s="29">
        <v>12</v>
      </c>
      <c r="M8" s="29">
        <v>13</v>
      </c>
      <c r="N8" s="29">
        <v>13</v>
      </c>
    </row>
    <row r="9" spans="1:16" ht="81" hidden="1" customHeight="1">
      <c r="A9" s="35">
        <v>1</v>
      </c>
      <c r="B9" s="2" t="s">
        <v>28</v>
      </c>
      <c r="C9" s="36">
        <v>29420</v>
      </c>
      <c r="D9" s="4">
        <v>7210.9</v>
      </c>
      <c r="E9" s="36">
        <v>29420</v>
      </c>
      <c r="F9" s="6">
        <v>100</v>
      </c>
      <c r="G9" s="7">
        <f t="shared" ref="G9:G12" si="0">D9*E9*12*1.302/1000</f>
        <v>3314548.4490720001</v>
      </c>
      <c r="H9" s="7">
        <f>G9-L9</f>
        <v>3304925.349072</v>
      </c>
      <c r="I9" s="7">
        <v>3413618.6867999998</v>
      </c>
      <c r="J9" s="7">
        <v>64735.519999999997</v>
      </c>
      <c r="K9" s="7">
        <f>I9+J9</f>
        <v>3478354.2067999998</v>
      </c>
      <c r="L9" s="7">
        <v>9623.1</v>
      </c>
      <c r="M9" s="7">
        <f>H9-K9</f>
        <v>-173428.8577279998</v>
      </c>
      <c r="N9" s="37" t="s">
        <v>29</v>
      </c>
    </row>
    <row r="10" spans="1:16" ht="45" hidden="1" customHeight="1">
      <c r="A10" s="35">
        <v>2</v>
      </c>
      <c r="B10" s="2" t="s">
        <v>30</v>
      </c>
      <c r="C10" s="36">
        <v>34903.699999999997</v>
      </c>
      <c r="D10" s="4">
        <f t="shared" ref="D10" si="1">D11+D12</f>
        <v>10565</v>
      </c>
      <c r="E10" s="36">
        <v>34903.699999999997</v>
      </c>
      <c r="F10" s="6">
        <v>100</v>
      </c>
      <c r="G10" s="7">
        <f t="shared" si="0"/>
        <v>5761468.5939719994</v>
      </c>
      <c r="H10" s="7">
        <f t="shared" ref="H10:H12" si="2">G10-L10</f>
        <v>5731651.587572</v>
      </c>
      <c r="I10" s="6">
        <f t="shared" ref="I10:K10" si="3">I11+I12</f>
        <v>5508195.1956000002</v>
      </c>
      <c r="J10" s="6">
        <f t="shared" si="3"/>
        <v>145136.87</v>
      </c>
      <c r="K10" s="6">
        <f t="shared" si="3"/>
        <v>5653332.0655999994</v>
      </c>
      <c r="L10" s="6">
        <v>29817.006399999489</v>
      </c>
      <c r="M10" s="7">
        <f>H10-K10</f>
        <v>78319.521972000599</v>
      </c>
      <c r="N10" s="337" t="s">
        <v>31</v>
      </c>
    </row>
    <row r="11" spans="1:16" ht="36.75" hidden="1" customHeight="1">
      <c r="A11" s="35"/>
      <c r="B11" s="2" t="s">
        <v>32</v>
      </c>
      <c r="C11" s="36">
        <v>34903.699999999997</v>
      </c>
      <c r="D11" s="4">
        <v>773</v>
      </c>
      <c r="E11" s="36">
        <v>34903.699999999997</v>
      </c>
      <c r="F11" s="6">
        <v>100</v>
      </c>
      <c r="G11" s="7">
        <f t="shared" si="0"/>
        <v>421544.27100239997</v>
      </c>
      <c r="H11" s="7">
        <f t="shared" si="2"/>
        <v>421377.97100240004</v>
      </c>
      <c r="I11" s="7">
        <f>417219.1-5489.6</f>
        <v>411729.5</v>
      </c>
      <c r="J11" s="7">
        <v>5489.6</v>
      </c>
      <c r="K11" s="7">
        <f t="shared" ref="K11:K12" si="4">I11+J11</f>
        <v>417219.1</v>
      </c>
      <c r="L11" s="7">
        <v>166.29999999993015</v>
      </c>
      <c r="M11" s="38">
        <f t="shared" ref="M11:M12" si="5">H11-K11</f>
        <v>4158.8710024000611</v>
      </c>
      <c r="N11" s="338"/>
    </row>
    <row r="12" spans="1:16" ht="57.75" hidden="1" customHeight="1">
      <c r="A12" s="35"/>
      <c r="B12" s="2" t="s">
        <v>33</v>
      </c>
      <c r="C12" s="36">
        <v>34903.699999999997</v>
      </c>
      <c r="D12" s="4">
        <v>9792</v>
      </c>
      <c r="E12" s="36">
        <v>34903.699999999997</v>
      </c>
      <c r="F12" s="6">
        <v>100</v>
      </c>
      <c r="G12" s="7">
        <f t="shared" si="0"/>
        <v>5339924.3229695996</v>
      </c>
      <c r="H12" s="7">
        <f t="shared" si="2"/>
        <v>5310273.6165696001</v>
      </c>
      <c r="I12" s="7">
        <v>5096465.6956000002</v>
      </c>
      <c r="J12" s="7">
        <v>139647.26999999999</v>
      </c>
      <c r="K12" s="7">
        <f t="shared" si="4"/>
        <v>5236112.9655999998</v>
      </c>
      <c r="L12" s="7">
        <v>29650.706399999559</v>
      </c>
      <c r="M12" s="7">
        <f t="shared" si="5"/>
        <v>74160.650969600305</v>
      </c>
      <c r="N12" s="339"/>
    </row>
    <row r="13" spans="1:16" s="43" customFormat="1" ht="59.25" customHeight="1">
      <c r="A13" s="39"/>
      <c r="B13" s="40" t="s">
        <v>105</v>
      </c>
      <c r="C13" s="41"/>
      <c r="D13" s="14">
        <f>D17+D31</f>
        <v>1787</v>
      </c>
      <c r="E13" s="41">
        <f>G13/D13/12/1.302*1000</f>
        <v>34073.007066908947</v>
      </c>
      <c r="F13" s="81">
        <f>E13/35865.9</f>
        <v>0.95001121028355473</v>
      </c>
      <c r="G13" s="42">
        <f>G17+G31</f>
        <v>951321.35573271988</v>
      </c>
      <c r="H13" s="42">
        <f>H14+H17+H31</f>
        <v>1006006.0277215198</v>
      </c>
      <c r="I13" s="42">
        <f t="shared" ref="I13:K13" si="6">I14+I17+I31</f>
        <v>926564.98600000003</v>
      </c>
      <c r="J13" s="42">
        <f t="shared" si="6"/>
        <v>13858.02</v>
      </c>
      <c r="K13" s="42">
        <f t="shared" si="6"/>
        <v>940423.00599999994</v>
      </c>
      <c r="L13" s="42">
        <f>L14+L17+L31</f>
        <v>27297.755800000003</v>
      </c>
      <c r="M13" s="42">
        <f>M14+M17+M31</f>
        <v>65583.021721519981</v>
      </c>
      <c r="N13" s="337" t="s">
        <v>35</v>
      </c>
      <c r="O13" s="92">
        <f>E13</f>
        <v>34073.007066908947</v>
      </c>
      <c r="P13" s="44">
        <v>35865.9</v>
      </c>
    </row>
    <row r="14" spans="1:16" ht="24.75" hidden="1" customHeight="1">
      <c r="A14" s="45" t="s">
        <v>36</v>
      </c>
      <c r="B14" s="46" t="s">
        <v>37</v>
      </c>
      <c r="C14" s="21">
        <v>34072.800000000003</v>
      </c>
      <c r="D14" s="47">
        <f>D15+D16</f>
        <v>154</v>
      </c>
      <c r="E14" s="21">
        <v>34072.800000000003</v>
      </c>
      <c r="F14" s="47">
        <v>95</v>
      </c>
      <c r="G14" s="48">
        <f>G15+G16</f>
        <v>81982.427788800007</v>
      </c>
      <c r="H14" s="48">
        <f t="shared" ref="H14:J14" si="7">H15+H16</f>
        <v>77932.427788800007</v>
      </c>
      <c r="I14" s="48">
        <f t="shared" si="7"/>
        <v>67707.299999999988</v>
      </c>
      <c r="J14" s="48">
        <f t="shared" si="7"/>
        <v>184.1</v>
      </c>
      <c r="K14" s="48">
        <f>K15+K16</f>
        <v>67891.399999999994</v>
      </c>
      <c r="L14" s="48">
        <f>L15+L16</f>
        <v>4050</v>
      </c>
      <c r="M14" s="48">
        <f>M15+M16</f>
        <v>10041.02778880002</v>
      </c>
      <c r="N14" s="338"/>
    </row>
    <row r="15" spans="1:16" ht="22.5" hidden="1" customHeight="1">
      <c r="A15" s="35" t="s">
        <v>38</v>
      </c>
      <c r="B15" s="49" t="s">
        <v>39</v>
      </c>
      <c r="C15" s="36">
        <v>34072.800000000003</v>
      </c>
      <c r="D15" s="4">
        <v>114</v>
      </c>
      <c r="E15" s="36">
        <v>34072.800000000003</v>
      </c>
      <c r="F15" s="6">
        <v>95</v>
      </c>
      <c r="G15" s="7">
        <f>D15*E15*12*1.302/1000</f>
        <v>60688.290700800011</v>
      </c>
      <c r="H15" s="7">
        <f t="shared" ref="H15" si="8">G15-L15</f>
        <v>57851.590700800014</v>
      </c>
      <c r="I15" s="7">
        <v>50986.7</v>
      </c>
      <c r="J15" s="7"/>
      <c r="K15" s="7">
        <f t="shared" ref="K15:K57" si="9">I15+J15</f>
        <v>50986.7</v>
      </c>
      <c r="L15" s="7">
        <v>2836.7</v>
      </c>
      <c r="M15" s="7">
        <f>H15-K15</f>
        <v>6864.8907008000169</v>
      </c>
      <c r="N15" s="338"/>
    </row>
    <row r="16" spans="1:16" ht="22.5" hidden="1" customHeight="1">
      <c r="A16" s="35" t="s">
        <v>40</v>
      </c>
      <c r="B16" s="49" t="s">
        <v>41</v>
      </c>
      <c r="C16" s="36">
        <v>34072.800000000003</v>
      </c>
      <c r="D16" s="4">
        <v>40</v>
      </c>
      <c r="E16" s="36">
        <v>34072.800000000003</v>
      </c>
      <c r="F16" s="6">
        <v>95</v>
      </c>
      <c r="G16" s="7">
        <f>D16*E16*12*1.302/1000</f>
        <v>21294.137087999999</v>
      </c>
      <c r="H16" s="7">
        <f>G16-L16</f>
        <v>20080.837088</v>
      </c>
      <c r="I16" s="7">
        <v>16720.599999999999</v>
      </c>
      <c r="J16" s="7">
        <v>184.1</v>
      </c>
      <c r="K16" s="7">
        <f t="shared" si="9"/>
        <v>16904.699999999997</v>
      </c>
      <c r="L16" s="7">
        <v>1213.3</v>
      </c>
      <c r="M16" s="7">
        <f t="shared" ref="M16" si="10">H16-K16</f>
        <v>3176.1370880000031</v>
      </c>
      <c r="N16" s="338"/>
    </row>
    <row r="17" spans="1:16" ht="45.75" customHeight="1">
      <c r="A17" s="45" t="s">
        <v>42</v>
      </c>
      <c r="B17" s="50" t="s">
        <v>33</v>
      </c>
      <c r="C17" s="51">
        <v>38109.4</v>
      </c>
      <c r="D17" s="76">
        <f>SUM(D18:D30)</f>
        <v>233.40000000000003</v>
      </c>
      <c r="E17" s="21">
        <f>G17/D17/12/1.302*1000</f>
        <v>38109.408868894592</v>
      </c>
      <c r="F17" s="57">
        <f>E17/35865.9*100</f>
        <v>106.25526996086698</v>
      </c>
      <c r="G17" s="79">
        <f>SUM(G18:G30)</f>
        <v>138971.35573272</v>
      </c>
      <c r="H17" s="48">
        <f t="shared" ref="H17:M17" si="11">SUM(H18:H30)</f>
        <v>138462.85573272</v>
      </c>
      <c r="I17" s="48">
        <f t="shared" si="11"/>
        <v>181441.4852</v>
      </c>
      <c r="J17" s="48">
        <f t="shared" si="11"/>
        <v>5701.22</v>
      </c>
      <c r="K17" s="48">
        <f t="shared" si="11"/>
        <v>187142.7052</v>
      </c>
      <c r="L17" s="48">
        <f t="shared" si="11"/>
        <v>508.5</v>
      </c>
      <c r="M17" s="48">
        <f t="shared" si="11"/>
        <v>-48679.849467279993</v>
      </c>
      <c r="N17" s="338"/>
      <c r="O17" s="52"/>
      <c r="P17" s="60">
        <f>O13/P13</f>
        <v>0.95001121028355473</v>
      </c>
    </row>
    <row r="18" spans="1:16" ht="24.75" customHeight="1">
      <c r="A18" s="35"/>
      <c r="B18" s="2" t="s">
        <v>43</v>
      </c>
      <c r="C18" s="73">
        <f>C34</f>
        <v>35457.620000000003</v>
      </c>
      <c r="D18" s="77">
        <v>8</v>
      </c>
      <c r="E18" s="5">
        <f>ROUND(C18*F18/100,1)</f>
        <v>35457.599999999999</v>
      </c>
      <c r="F18" s="36">
        <v>100</v>
      </c>
      <c r="G18" s="80">
        <f>D18*E18*12*1.302/1000</f>
        <v>4431.9163391999991</v>
      </c>
      <c r="H18" s="7">
        <f t="shared" ref="H18:H57" si="12">G18-L18</f>
        <v>4431.9163391999991</v>
      </c>
      <c r="I18" s="53">
        <v>6015.7128000000002</v>
      </c>
      <c r="J18" s="53">
        <v>343.8</v>
      </c>
      <c r="K18" s="7">
        <f t="shared" si="9"/>
        <v>6359.5128000000004</v>
      </c>
      <c r="L18" s="53"/>
      <c r="M18" s="7">
        <f t="shared" ref="M18:M57" si="13">H18-K18</f>
        <v>-1927.5964608000013</v>
      </c>
      <c r="N18" s="338"/>
    </row>
    <row r="19" spans="1:16" ht="20.25" customHeight="1">
      <c r="A19" s="35"/>
      <c r="B19" s="54" t="s">
        <v>44</v>
      </c>
      <c r="C19" s="73">
        <f>C38</f>
        <v>33433.160000000003</v>
      </c>
      <c r="D19" s="78">
        <v>7</v>
      </c>
      <c r="E19" s="5">
        <f t="shared" ref="E19:E25" si="14">ROUND(C19*F19/100,1)</f>
        <v>33433.199999999997</v>
      </c>
      <c r="F19" s="36">
        <v>100</v>
      </c>
      <c r="G19" s="80">
        <f t="shared" ref="G19:G30" si="15">D19*E19*12*1.302/1000</f>
        <v>3656.5222176000002</v>
      </c>
      <c r="H19" s="7">
        <f t="shared" si="12"/>
        <v>3656.5222176000002</v>
      </c>
      <c r="I19" s="53">
        <v>4045.4708000000001</v>
      </c>
      <c r="J19" s="53">
        <v>227.62</v>
      </c>
      <c r="K19" s="7">
        <f t="shared" si="9"/>
        <v>4273.0907999999999</v>
      </c>
      <c r="L19" s="53"/>
      <c r="M19" s="7">
        <f t="shared" si="13"/>
        <v>-616.56858239999974</v>
      </c>
      <c r="N19" s="338"/>
    </row>
    <row r="20" spans="1:16" ht="20.25" customHeight="1">
      <c r="A20" s="35"/>
      <c r="B20" s="54" t="s">
        <v>45</v>
      </c>
      <c r="C20" s="73">
        <f>C39</f>
        <v>39387.78</v>
      </c>
      <c r="D20" s="78">
        <v>7.4</v>
      </c>
      <c r="E20" s="5">
        <f t="shared" si="14"/>
        <v>39387.800000000003</v>
      </c>
      <c r="F20" s="36">
        <v>100</v>
      </c>
      <c r="G20" s="80">
        <f t="shared" si="15"/>
        <v>4553.9229052800001</v>
      </c>
      <c r="H20" s="7">
        <f t="shared" si="12"/>
        <v>4553.9229052800001</v>
      </c>
      <c r="I20" s="53">
        <v>6523.4463999999998</v>
      </c>
      <c r="J20" s="53">
        <v>253.2</v>
      </c>
      <c r="K20" s="7">
        <f t="shared" si="9"/>
        <v>6776.6463999999996</v>
      </c>
      <c r="L20" s="53"/>
      <c r="M20" s="7">
        <f t="shared" si="13"/>
        <v>-2222.7234947199995</v>
      </c>
      <c r="N20" s="338"/>
    </row>
    <row r="21" spans="1:16" ht="20.25" customHeight="1">
      <c r="A21" s="35"/>
      <c r="B21" s="54" t="s">
        <v>46</v>
      </c>
      <c r="C21" s="73">
        <f>C40</f>
        <v>36311.5</v>
      </c>
      <c r="D21" s="78">
        <v>9</v>
      </c>
      <c r="E21" s="5">
        <f t="shared" si="14"/>
        <v>36311.5</v>
      </c>
      <c r="F21" s="36">
        <v>100</v>
      </c>
      <c r="G21" s="80">
        <f t="shared" si="15"/>
        <v>5105.9778840000008</v>
      </c>
      <c r="H21" s="7">
        <f t="shared" si="12"/>
        <v>5105.9778840000008</v>
      </c>
      <c r="I21" s="53">
        <v>6350.0464000000002</v>
      </c>
      <c r="J21" s="53">
        <v>0</v>
      </c>
      <c r="K21" s="7">
        <f t="shared" si="9"/>
        <v>6350.0464000000002</v>
      </c>
      <c r="L21" s="53"/>
      <c r="M21" s="7">
        <f t="shared" si="13"/>
        <v>-1244.0685159999994</v>
      </c>
      <c r="N21" s="338"/>
    </row>
    <row r="22" spans="1:16" ht="20.25" customHeight="1">
      <c r="A22" s="35"/>
      <c r="B22" s="54" t="s">
        <v>47</v>
      </c>
      <c r="C22" s="73">
        <f>C41</f>
        <v>46453.069236259813</v>
      </c>
      <c r="D22" s="78">
        <v>8</v>
      </c>
      <c r="E22" s="5">
        <f t="shared" si="14"/>
        <v>46453.1</v>
      </c>
      <c r="F22" s="36">
        <v>100</v>
      </c>
      <c r="G22" s="80">
        <f t="shared" si="15"/>
        <v>5806.2658751999998</v>
      </c>
      <c r="H22" s="7">
        <f>G22-L22</f>
        <v>5806.2658751999998</v>
      </c>
      <c r="I22" s="53">
        <v>5849.3940000000002</v>
      </c>
      <c r="J22" s="53">
        <v>386</v>
      </c>
      <c r="K22" s="7">
        <f t="shared" si="9"/>
        <v>6235.3940000000002</v>
      </c>
      <c r="L22" s="53"/>
      <c r="M22" s="7">
        <f t="shared" si="13"/>
        <v>-429.12812480000048</v>
      </c>
      <c r="N22" s="338"/>
    </row>
    <row r="23" spans="1:16" ht="20.25" customHeight="1">
      <c r="A23" s="35"/>
      <c r="B23" s="54" t="s">
        <v>48</v>
      </c>
      <c r="C23" s="73">
        <f>C42</f>
        <v>45638.999469214439</v>
      </c>
      <c r="D23" s="78">
        <v>6</v>
      </c>
      <c r="E23" s="5">
        <f t="shared" si="14"/>
        <v>43188.2</v>
      </c>
      <c r="F23" s="5">
        <v>94.63</v>
      </c>
      <c r="G23" s="80">
        <f t="shared" si="15"/>
        <v>4048.6346208</v>
      </c>
      <c r="H23" s="7">
        <f t="shared" si="12"/>
        <v>4048.6346208</v>
      </c>
      <c r="I23" s="53">
        <v>4048.6</v>
      </c>
      <c r="J23" s="53">
        <v>0</v>
      </c>
      <c r="K23" s="7">
        <f t="shared" si="9"/>
        <v>4048.6</v>
      </c>
      <c r="L23" s="53"/>
      <c r="M23" s="7">
        <f t="shared" si="13"/>
        <v>3.4620800000084273E-2</v>
      </c>
      <c r="N23" s="338"/>
    </row>
    <row r="24" spans="1:16" ht="21" customHeight="1">
      <c r="A24" s="35"/>
      <c r="B24" s="54" t="s">
        <v>49</v>
      </c>
      <c r="C24" s="73">
        <f>C44</f>
        <v>37192.501464557703</v>
      </c>
      <c r="D24" s="77">
        <v>25.2</v>
      </c>
      <c r="E24" s="5">
        <f t="shared" si="14"/>
        <v>37192.5</v>
      </c>
      <c r="F24" s="36">
        <v>100</v>
      </c>
      <c r="G24" s="80">
        <f t="shared" si="15"/>
        <v>14643.609624000001</v>
      </c>
      <c r="H24" s="7">
        <f t="shared" si="12"/>
        <v>14385.309624000001</v>
      </c>
      <c r="I24" s="53">
        <v>18144.170600000001</v>
      </c>
      <c r="J24" s="53">
        <v>0</v>
      </c>
      <c r="K24" s="7">
        <f t="shared" si="9"/>
        <v>18144.170600000001</v>
      </c>
      <c r="L24" s="53">
        <v>258.3</v>
      </c>
      <c r="M24" s="7">
        <f t="shared" si="13"/>
        <v>-3758.8609759999999</v>
      </c>
      <c r="N24" s="338"/>
    </row>
    <row r="25" spans="1:16" ht="21" customHeight="1">
      <c r="A25" s="35"/>
      <c r="B25" s="54" t="s">
        <v>50</v>
      </c>
      <c r="C25" s="73">
        <f>C46</f>
        <v>40721.610039791856</v>
      </c>
      <c r="D25" s="78">
        <v>75.7</v>
      </c>
      <c r="E25" s="5">
        <f t="shared" si="14"/>
        <v>40721.599999999999</v>
      </c>
      <c r="F25" s="36">
        <v>100</v>
      </c>
      <c r="G25" s="80">
        <f t="shared" si="15"/>
        <v>48162.934874880004</v>
      </c>
      <c r="H25" s="7">
        <f t="shared" si="12"/>
        <v>48162.934874880004</v>
      </c>
      <c r="I25" s="53">
        <v>46025.100599999998</v>
      </c>
      <c r="J25" s="53">
        <v>3139.4</v>
      </c>
      <c r="K25" s="7">
        <f t="shared" si="9"/>
        <v>49164.500599999999</v>
      </c>
      <c r="L25" s="53"/>
      <c r="M25" s="7">
        <f t="shared" si="13"/>
        <v>-1001.5657251199955</v>
      </c>
      <c r="N25" s="338"/>
    </row>
    <row r="26" spans="1:16" ht="21" customHeight="1">
      <c r="A26" s="35"/>
      <c r="B26" s="54" t="s">
        <v>51</v>
      </c>
      <c r="C26" s="73">
        <f>C47</f>
        <v>37349.69109800618</v>
      </c>
      <c r="D26" s="78">
        <v>2.4</v>
      </c>
      <c r="E26" s="5">
        <f t="shared" ref="E26:E30" si="16">ROUND(C26*F26/100,1)</f>
        <v>37349.699999999997</v>
      </c>
      <c r="F26" s="36">
        <v>100</v>
      </c>
      <c r="G26" s="80">
        <f t="shared" si="15"/>
        <v>1400.5241107199997</v>
      </c>
      <c r="H26" s="7">
        <f t="shared" si="12"/>
        <v>1400.5241107199997</v>
      </c>
      <c r="I26" s="53">
        <v>5320.0103999999992</v>
      </c>
      <c r="J26" s="53">
        <v>63.9</v>
      </c>
      <c r="K26" s="7">
        <f t="shared" si="9"/>
        <v>5383.9103999999988</v>
      </c>
      <c r="L26" s="53"/>
      <c r="M26" s="7">
        <f t="shared" si="13"/>
        <v>-3983.3862892799989</v>
      </c>
      <c r="N26" s="338"/>
    </row>
    <row r="27" spans="1:16" ht="21" customHeight="1">
      <c r="A27" s="35"/>
      <c r="B27" s="54" t="s">
        <v>52</v>
      </c>
      <c r="C27" s="73">
        <f>C48</f>
        <v>38406.874745002038</v>
      </c>
      <c r="D27" s="78">
        <v>33.9</v>
      </c>
      <c r="E27" s="5">
        <f t="shared" si="16"/>
        <v>38406.9</v>
      </c>
      <c r="F27" s="36">
        <v>100</v>
      </c>
      <c r="G27" s="80">
        <f t="shared" si="15"/>
        <v>20342.352849839997</v>
      </c>
      <c r="H27" s="7">
        <f t="shared" si="12"/>
        <v>20342.352849839997</v>
      </c>
      <c r="I27" s="53">
        <v>44328.68499999999</v>
      </c>
      <c r="J27" s="53">
        <v>987.7</v>
      </c>
      <c r="K27" s="7">
        <f t="shared" si="9"/>
        <v>45316.384999999987</v>
      </c>
      <c r="L27" s="53"/>
      <c r="M27" s="7">
        <f t="shared" si="13"/>
        <v>-24974.03215015999</v>
      </c>
      <c r="N27" s="338"/>
    </row>
    <row r="28" spans="1:16" ht="21" customHeight="1">
      <c r="A28" s="35"/>
      <c r="B28" s="54" t="s">
        <v>53</v>
      </c>
      <c r="C28" s="73">
        <f>C49</f>
        <v>44307.549437342939</v>
      </c>
      <c r="D28" s="78">
        <v>13</v>
      </c>
      <c r="E28" s="5">
        <f t="shared" si="16"/>
        <v>44307.5</v>
      </c>
      <c r="F28" s="36">
        <v>100</v>
      </c>
      <c r="G28" s="80">
        <f t="shared" si="15"/>
        <v>8999.3849399999999</v>
      </c>
      <c r="H28" s="7">
        <f t="shared" si="12"/>
        <v>8999.3849399999999</v>
      </c>
      <c r="I28" s="53">
        <v>16744.248200000002</v>
      </c>
      <c r="J28" s="53">
        <v>299.60000000000002</v>
      </c>
      <c r="K28" s="7">
        <f t="shared" si="9"/>
        <v>17043.8482</v>
      </c>
      <c r="L28" s="53"/>
      <c r="M28" s="7">
        <f t="shared" si="13"/>
        <v>-8044.4632600000004</v>
      </c>
      <c r="N28" s="338"/>
    </row>
    <row r="29" spans="1:16" ht="21" customHeight="1">
      <c r="A29" s="35"/>
      <c r="B29" s="54" t="s">
        <v>54</v>
      </c>
      <c r="C29" s="73">
        <f>C50</f>
        <v>33816.824519863192</v>
      </c>
      <c r="D29" s="78">
        <v>7.8</v>
      </c>
      <c r="E29" s="5">
        <f t="shared" si="16"/>
        <v>32126</v>
      </c>
      <c r="F29" s="5">
        <v>95</v>
      </c>
      <c r="G29" s="80">
        <f t="shared" si="15"/>
        <v>3915.1056671999995</v>
      </c>
      <c r="H29" s="7">
        <f t="shared" si="12"/>
        <v>3915.1056671999995</v>
      </c>
      <c r="I29" s="53">
        <v>3915.1</v>
      </c>
      <c r="J29" s="53"/>
      <c r="K29" s="7">
        <f t="shared" si="9"/>
        <v>3915.1</v>
      </c>
      <c r="L29" s="53"/>
      <c r="M29" s="7">
        <f t="shared" si="13"/>
        <v>5.6671999996069644E-3</v>
      </c>
      <c r="N29" s="338"/>
    </row>
    <row r="30" spans="1:16" ht="21" customHeight="1">
      <c r="A30" s="35"/>
      <c r="B30" s="54" t="s">
        <v>55</v>
      </c>
      <c r="C30" s="73">
        <f>C55</f>
        <v>31225.438596491225</v>
      </c>
      <c r="D30" s="77">
        <v>30</v>
      </c>
      <c r="E30" s="5">
        <f t="shared" si="16"/>
        <v>29664.2</v>
      </c>
      <c r="F30" s="5">
        <v>95</v>
      </c>
      <c r="G30" s="80">
        <f t="shared" si="15"/>
        <v>13904.203824</v>
      </c>
      <c r="H30" s="7">
        <f t="shared" si="12"/>
        <v>13654.003823999999</v>
      </c>
      <c r="I30" s="53">
        <v>14131.5</v>
      </c>
      <c r="J30" s="53"/>
      <c r="K30" s="7">
        <f t="shared" si="9"/>
        <v>14131.5</v>
      </c>
      <c r="L30" s="53">
        <v>250.2</v>
      </c>
      <c r="M30" s="7">
        <f t="shared" si="13"/>
        <v>-477.49617600000056</v>
      </c>
      <c r="N30" s="338"/>
      <c r="P30" s="55"/>
    </row>
    <row r="31" spans="1:16" ht="36.75" customHeight="1">
      <c r="A31" s="45" t="s">
        <v>106</v>
      </c>
      <c r="B31" s="56" t="s">
        <v>74</v>
      </c>
      <c r="C31" s="74">
        <v>33466.6</v>
      </c>
      <c r="D31" s="76">
        <f>SUM(D32:D57)</f>
        <v>1553.6</v>
      </c>
      <c r="E31" s="21">
        <f>G31/D31/12/1.302*1000</f>
        <v>33466.611482084387</v>
      </c>
      <c r="F31" s="82">
        <f>E31/35865.9*100</f>
        <v>93.310390878478955</v>
      </c>
      <c r="G31" s="58">
        <f>SUM(G32:G57)</f>
        <v>812349.99999999988</v>
      </c>
      <c r="H31" s="21">
        <f t="shared" ref="H31:M31" si="17">SUM(H32:H57)</f>
        <v>789610.74419999984</v>
      </c>
      <c r="I31" s="21">
        <f t="shared" si="17"/>
        <v>677416.20079999999</v>
      </c>
      <c r="J31" s="21">
        <f t="shared" si="17"/>
        <v>7972.6999999999989</v>
      </c>
      <c r="K31" s="21">
        <f t="shared" si="17"/>
        <v>685388.90079999994</v>
      </c>
      <c r="L31" s="21">
        <f t="shared" si="17"/>
        <v>22739.255800000003</v>
      </c>
      <c r="M31" s="21">
        <f t="shared" si="17"/>
        <v>104221.84339999995</v>
      </c>
      <c r="N31" s="339"/>
      <c r="O31" s="59"/>
      <c r="P31" s="60"/>
    </row>
    <row r="32" spans="1:16" ht="18.75" customHeight="1">
      <c r="A32" s="35"/>
      <c r="B32" s="22" t="s">
        <v>57</v>
      </c>
      <c r="C32" s="75">
        <v>34524.61</v>
      </c>
      <c r="D32" s="77">
        <v>72.8</v>
      </c>
      <c r="E32" s="5">
        <f>ROUND(C32*F32/100,1)</f>
        <v>33869.9</v>
      </c>
      <c r="F32" s="33">
        <v>98.103650000000002</v>
      </c>
      <c r="G32" s="7">
        <f>ROUND(D32*E32*12*1.302/1000,1)</f>
        <v>38524.5</v>
      </c>
      <c r="H32" s="7">
        <f t="shared" si="12"/>
        <v>37476.6</v>
      </c>
      <c r="I32" s="7">
        <v>28757.8</v>
      </c>
      <c r="J32" s="7">
        <v>232.8</v>
      </c>
      <c r="K32" s="7">
        <f t="shared" si="9"/>
        <v>28990.6</v>
      </c>
      <c r="L32" s="7">
        <v>1047.9000000000001</v>
      </c>
      <c r="M32" s="7">
        <f>H32-K32</f>
        <v>8486</v>
      </c>
      <c r="N32" s="61"/>
    </row>
    <row r="33" spans="1:14" ht="18.75" customHeight="1">
      <c r="A33" s="35"/>
      <c r="B33" s="22" t="s">
        <v>58</v>
      </c>
      <c r="C33" s="75">
        <v>35196</v>
      </c>
      <c r="D33" s="77">
        <v>28</v>
      </c>
      <c r="E33" s="5">
        <f t="shared" ref="E33:E56" si="18">ROUND(C33*F33/100,1)</f>
        <v>34528.6</v>
      </c>
      <c r="F33" s="33">
        <v>98.103650000000002</v>
      </c>
      <c r="G33" s="7">
        <f t="shared" ref="G33:G57" si="19">ROUND(D33*E33*12*1.302/1000,1)</f>
        <v>15105.3</v>
      </c>
      <c r="H33" s="7">
        <f t="shared" si="12"/>
        <v>15073.5</v>
      </c>
      <c r="I33" s="7">
        <v>12046</v>
      </c>
      <c r="J33" s="7">
        <v>875.5</v>
      </c>
      <c r="K33" s="7">
        <f t="shared" si="9"/>
        <v>12921.5</v>
      </c>
      <c r="L33" s="7">
        <v>31.8</v>
      </c>
      <c r="M33" s="7">
        <f t="shared" si="13"/>
        <v>2152</v>
      </c>
      <c r="N33" s="61"/>
    </row>
    <row r="34" spans="1:14" ht="18.75" customHeight="1">
      <c r="A34" s="35"/>
      <c r="B34" s="22" t="s">
        <v>59</v>
      </c>
      <c r="C34" s="75">
        <v>35457.620000000003</v>
      </c>
      <c r="D34" s="77">
        <v>12</v>
      </c>
      <c r="E34" s="5">
        <f t="shared" si="18"/>
        <v>34785.199999999997</v>
      </c>
      <c r="F34" s="33">
        <v>98.103650000000002</v>
      </c>
      <c r="G34" s="7">
        <f t="shared" si="19"/>
        <v>6521.8</v>
      </c>
      <c r="H34" s="7">
        <f t="shared" si="12"/>
        <v>6493</v>
      </c>
      <c r="I34" s="7">
        <v>5040.6000000000004</v>
      </c>
      <c r="J34" s="7">
        <v>508.2</v>
      </c>
      <c r="K34" s="7">
        <f t="shared" si="9"/>
        <v>5548.8</v>
      </c>
      <c r="L34" s="7">
        <v>28.8</v>
      </c>
      <c r="M34" s="7">
        <f t="shared" si="13"/>
        <v>944.19999999999982</v>
      </c>
      <c r="N34" s="61"/>
    </row>
    <row r="35" spans="1:14" ht="18.75" customHeight="1">
      <c r="A35" s="35"/>
      <c r="B35" s="22" t="s">
        <v>60</v>
      </c>
      <c r="C35" s="75">
        <v>38490.879999999997</v>
      </c>
      <c r="D35" s="77">
        <v>16.399999999999999</v>
      </c>
      <c r="E35" s="5">
        <f t="shared" si="18"/>
        <v>37761</v>
      </c>
      <c r="F35" s="33">
        <v>98.103650000000002</v>
      </c>
      <c r="G35" s="7">
        <f t="shared" si="19"/>
        <v>9675.6</v>
      </c>
      <c r="H35" s="7">
        <f t="shared" si="12"/>
        <v>9608.2000000000007</v>
      </c>
      <c r="I35" s="7">
        <v>7614.1</v>
      </c>
      <c r="J35" s="7">
        <v>991</v>
      </c>
      <c r="K35" s="7">
        <f t="shared" si="9"/>
        <v>8605.1</v>
      </c>
      <c r="L35" s="7">
        <v>67.400000000000006</v>
      </c>
      <c r="M35" s="7">
        <f t="shared" si="13"/>
        <v>1003.1000000000004</v>
      </c>
      <c r="N35" s="61"/>
    </row>
    <row r="36" spans="1:14" ht="18.75" customHeight="1">
      <c r="A36" s="35"/>
      <c r="B36" s="23" t="s">
        <v>61</v>
      </c>
      <c r="C36" s="75">
        <v>31476.73</v>
      </c>
      <c r="D36" s="77">
        <v>27.2</v>
      </c>
      <c r="E36" s="5">
        <f t="shared" si="18"/>
        <v>30879.8</v>
      </c>
      <c r="F36" s="33">
        <v>98.103650000000002</v>
      </c>
      <c r="G36" s="7">
        <f t="shared" si="19"/>
        <v>13123.1</v>
      </c>
      <c r="H36" s="7">
        <f t="shared" si="12"/>
        <v>12908.4</v>
      </c>
      <c r="I36" s="7">
        <v>10295.6</v>
      </c>
      <c r="J36" s="7">
        <v>0</v>
      </c>
      <c r="K36" s="7">
        <f t="shared" si="9"/>
        <v>10295.6</v>
      </c>
      <c r="L36" s="7">
        <v>214.7</v>
      </c>
      <c r="M36" s="7">
        <f t="shared" si="13"/>
        <v>2612.7999999999993</v>
      </c>
      <c r="N36" s="61"/>
    </row>
    <row r="37" spans="1:14" ht="18.75" customHeight="1">
      <c r="A37" s="35"/>
      <c r="B37" s="23" t="s">
        <v>62</v>
      </c>
      <c r="C37" s="75">
        <v>36925.49</v>
      </c>
      <c r="D37" s="77">
        <v>37</v>
      </c>
      <c r="E37" s="5">
        <f t="shared" si="18"/>
        <v>36225.300000000003</v>
      </c>
      <c r="F37" s="33">
        <v>98.103650000000002</v>
      </c>
      <c r="G37" s="7">
        <f t="shared" si="19"/>
        <v>20941.400000000001</v>
      </c>
      <c r="H37" s="7">
        <f t="shared" si="12"/>
        <v>20941.400000000001</v>
      </c>
      <c r="I37" s="7">
        <v>14387.9</v>
      </c>
      <c r="J37" s="7">
        <v>1373.5</v>
      </c>
      <c r="K37" s="7">
        <f t="shared" si="9"/>
        <v>15761.4</v>
      </c>
      <c r="L37" s="7"/>
      <c r="M37" s="7">
        <f t="shared" si="13"/>
        <v>5180.0000000000018</v>
      </c>
      <c r="N37" s="61"/>
    </row>
    <row r="38" spans="1:14" ht="18.75" customHeight="1">
      <c r="A38" s="35"/>
      <c r="B38" s="23" t="s">
        <v>44</v>
      </c>
      <c r="C38" s="75">
        <v>33433.160000000003</v>
      </c>
      <c r="D38" s="77">
        <v>26.3</v>
      </c>
      <c r="E38" s="5">
        <f t="shared" si="18"/>
        <v>32799.199999999997</v>
      </c>
      <c r="F38" s="33">
        <v>98.103650000000002</v>
      </c>
      <c r="G38" s="7">
        <f t="shared" si="19"/>
        <v>13477.6</v>
      </c>
      <c r="H38" s="7">
        <f t="shared" si="12"/>
        <v>12947.2</v>
      </c>
      <c r="I38" s="7">
        <v>10858.8</v>
      </c>
      <c r="J38" s="7">
        <v>768.3</v>
      </c>
      <c r="K38" s="7">
        <f t="shared" si="9"/>
        <v>11627.099999999999</v>
      </c>
      <c r="L38" s="7">
        <v>530.4</v>
      </c>
      <c r="M38" s="7">
        <f t="shared" si="13"/>
        <v>1320.1000000000022</v>
      </c>
      <c r="N38" s="61"/>
    </row>
    <row r="39" spans="1:14" ht="18.75" customHeight="1">
      <c r="A39" s="35"/>
      <c r="B39" s="23" t="s">
        <v>45</v>
      </c>
      <c r="C39" s="75">
        <v>39387.78</v>
      </c>
      <c r="D39" s="77">
        <v>6.3</v>
      </c>
      <c r="E39" s="31">
        <f t="shared" si="18"/>
        <v>38640.800000000003</v>
      </c>
      <c r="F39" s="33">
        <v>98.103650000000002</v>
      </c>
      <c r="G39" s="7">
        <f t="shared" si="19"/>
        <v>3803.5</v>
      </c>
      <c r="H39" s="7">
        <f t="shared" si="12"/>
        <v>3583.7</v>
      </c>
      <c r="I39" s="7">
        <v>2266.0007999999998</v>
      </c>
      <c r="J39" s="7">
        <v>290.90000000000003</v>
      </c>
      <c r="K39" s="7">
        <f t="shared" si="9"/>
        <v>2556.9007999999999</v>
      </c>
      <c r="L39" s="7">
        <v>219.8</v>
      </c>
      <c r="M39" s="7">
        <f t="shared" si="13"/>
        <v>1026.7991999999999</v>
      </c>
      <c r="N39" s="61"/>
    </row>
    <row r="40" spans="1:14" ht="18.75" customHeight="1">
      <c r="A40" s="35"/>
      <c r="B40" s="23" t="s">
        <v>46</v>
      </c>
      <c r="C40" s="75">
        <v>36311.5</v>
      </c>
      <c r="D40" s="77">
        <v>20</v>
      </c>
      <c r="E40" s="5">
        <f t="shared" si="18"/>
        <v>35622.9</v>
      </c>
      <c r="F40" s="33">
        <v>98.103650000000002</v>
      </c>
      <c r="G40" s="7">
        <f t="shared" si="19"/>
        <v>11131.4</v>
      </c>
      <c r="H40" s="7">
        <f t="shared" si="12"/>
        <v>11131.4</v>
      </c>
      <c r="I40" s="7">
        <v>8363.9</v>
      </c>
      <c r="J40" s="7">
        <v>559.4</v>
      </c>
      <c r="K40" s="7">
        <f t="shared" si="9"/>
        <v>8923.2999999999993</v>
      </c>
      <c r="L40" s="7"/>
      <c r="M40" s="7">
        <f t="shared" si="13"/>
        <v>2208.1000000000004</v>
      </c>
      <c r="N40" s="61"/>
    </row>
    <row r="41" spans="1:14" ht="18.75" customHeight="1">
      <c r="A41" s="35"/>
      <c r="B41" s="23" t="s">
        <v>47</v>
      </c>
      <c r="C41" s="75">
        <v>46453.069236259813</v>
      </c>
      <c r="D41" s="77">
        <v>3</v>
      </c>
      <c r="E41" s="5">
        <f t="shared" si="18"/>
        <v>45572.2</v>
      </c>
      <c r="F41" s="33">
        <v>98.103650000000002</v>
      </c>
      <c r="G41" s="7">
        <f t="shared" si="19"/>
        <v>2136.1</v>
      </c>
      <c r="H41" s="7">
        <f t="shared" si="12"/>
        <v>2115.7999999999997</v>
      </c>
      <c r="I41" s="7">
        <v>1755.7</v>
      </c>
      <c r="J41" s="7">
        <v>0</v>
      </c>
      <c r="K41" s="7">
        <f t="shared" si="9"/>
        <v>1755.7</v>
      </c>
      <c r="L41" s="7">
        <v>20.3</v>
      </c>
      <c r="M41" s="7">
        <f t="shared" si="13"/>
        <v>360.09999999999968</v>
      </c>
      <c r="N41" s="61"/>
    </row>
    <row r="42" spans="1:14" ht="18.75" customHeight="1">
      <c r="A42" s="35"/>
      <c r="B42" s="23" t="s">
        <v>48</v>
      </c>
      <c r="C42" s="75">
        <v>45638.999469214439</v>
      </c>
      <c r="D42" s="77">
        <v>13.8</v>
      </c>
      <c r="E42" s="5">
        <f t="shared" si="18"/>
        <v>44773.5</v>
      </c>
      <c r="F42" s="33">
        <v>98.103650000000002</v>
      </c>
      <c r="G42" s="7">
        <f t="shared" si="19"/>
        <v>9653.7000000000007</v>
      </c>
      <c r="H42" s="7">
        <f t="shared" si="12"/>
        <v>9485.8000000000011</v>
      </c>
      <c r="I42" s="7">
        <v>5869.9</v>
      </c>
      <c r="J42" s="7">
        <v>121.4</v>
      </c>
      <c r="K42" s="7">
        <f t="shared" si="9"/>
        <v>5991.2999999999993</v>
      </c>
      <c r="L42" s="7">
        <v>167.9</v>
      </c>
      <c r="M42" s="7">
        <f t="shared" si="13"/>
        <v>3494.5000000000018</v>
      </c>
      <c r="N42" s="61"/>
    </row>
    <row r="43" spans="1:14" ht="18.75" customHeight="1">
      <c r="A43" s="35"/>
      <c r="B43" s="23" t="s">
        <v>63</v>
      </c>
      <c r="C43" s="75">
        <v>31713.127718465796</v>
      </c>
      <c r="D43" s="77">
        <v>36.700000000000003</v>
      </c>
      <c r="E43" s="5">
        <f t="shared" si="18"/>
        <v>31111.7</v>
      </c>
      <c r="F43" s="33">
        <v>98.103650000000002</v>
      </c>
      <c r="G43" s="7">
        <f t="shared" si="19"/>
        <v>17839.5</v>
      </c>
      <c r="H43" s="7">
        <f t="shared" si="12"/>
        <v>17210.400000000001</v>
      </c>
      <c r="I43" s="7">
        <v>15694.6</v>
      </c>
      <c r="J43" s="7">
        <v>63.3</v>
      </c>
      <c r="K43" s="7">
        <f t="shared" si="9"/>
        <v>15757.9</v>
      </c>
      <c r="L43" s="7">
        <v>629.1</v>
      </c>
      <c r="M43" s="7">
        <f t="shared" si="13"/>
        <v>1452.5000000000018</v>
      </c>
      <c r="N43" s="61"/>
    </row>
    <row r="44" spans="1:14" ht="18.75" customHeight="1">
      <c r="A44" s="35"/>
      <c r="B44" s="23" t="s">
        <v>49</v>
      </c>
      <c r="C44" s="75">
        <v>37192.501464557703</v>
      </c>
      <c r="D44" s="77">
        <v>10</v>
      </c>
      <c r="E44" s="5">
        <f t="shared" si="18"/>
        <v>36487.199999999997</v>
      </c>
      <c r="F44" s="33">
        <v>98.103650000000002</v>
      </c>
      <c r="G44" s="7">
        <f t="shared" si="19"/>
        <v>5700.8</v>
      </c>
      <c r="H44" s="7">
        <f t="shared" si="12"/>
        <v>5700.8</v>
      </c>
      <c r="I44" s="7">
        <v>4197.3999999999996</v>
      </c>
      <c r="J44" s="7">
        <v>0</v>
      </c>
      <c r="K44" s="7">
        <f t="shared" si="9"/>
        <v>4197.3999999999996</v>
      </c>
      <c r="L44" s="7"/>
      <c r="M44" s="7">
        <f t="shared" si="13"/>
        <v>1503.4000000000005</v>
      </c>
      <c r="N44" s="61"/>
    </row>
    <row r="45" spans="1:14" ht="18.75" customHeight="1">
      <c r="A45" s="35"/>
      <c r="B45" s="23" t="s">
        <v>64</v>
      </c>
      <c r="C45" s="75">
        <v>44386.753494282078</v>
      </c>
      <c r="D45" s="77">
        <v>28.2</v>
      </c>
      <c r="E45" s="5">
        <f t="shared" si="18"/>
        <v>43545</v>
      </c>
      <c r="F45" s="33">
        <v>98.103650000000002</v>
      </c>
      <c r="G45" s="7">
        <f t="shared" si="19"/>
        <v>19185.8</v>
      </c>
      <c r="H45" s="7">
        <f t="shared" si="12"/>
        <v>19185.8</v>
      </c>
      <c r="I45" s="7">
        <v>13278.2</v>
      </c>
      <c r="J45" s="7">
        <v>1144.8</v>
      </c>
      <c r="K45" s="7">
        <f t="shared" si="9"/>
        <v>14423</v>
      </c>
      <c r="L45" s="7"/>
      <c r="M45" s="7">
        <f t="shared" si="13"/>
        <v>4762.7999999999993</v>
      </c>
      <c r="N45" s="61"/>
    </row>
    <row r="46" spans="1:14" ht="18.75" customHeight="1">
      <c r="A46" s="35"/>
      <c r="B46" s="23" t="s">
        <v>50</v>
      </c>
      <c r="C46" s="75">
        <v>40721.610039791856</v>
      </c>
      <c r="D46" s="77"/>
      <c r="E46" s="5">
        <f t="shared" si="18"/>
        <v>39949.4</v>
      </c>
      <c r="F46" s="33">
        <v>98.103650000000002</v>
      </c>
      <c r="G46" s="7">
        <f t="shared" si="19"/>
        <v>0</v>
      </c>
      <c r="H46" s="7">
        <f t="shared" si="12"/>
        <v>0</v>
      </c>
      <c r="I46" s="7"/>
      <c r="J46" s="7">
        <v>0</v>
      </c>
      <c r="K46" s="7">
        <f t="shared" si="9"/>
        <v>0</v>
      </c>
      <c r="L46" s="7"/>
      <c r="M46" s="7">
        <f t="shared" si="13"/>
        <v>0</v>
      </c>
      <c r="N46" s="61"/>
    </row>
    <row r="47" spans="1:14" ht="18.75" customHeight="1">
      <c r="A47" s="35"/>
      <c r="B47" s="23" t="s">
        <v>51</v>
      </c>
      <c r="C47" s="75">
        <v>37349.69109800618</v>
      </c>
      <c r="D47" s="77">
        <v>13.7</v>
      </c>
      <c r="E47" s="5">
        <f t="shared" si="18"/>
        <v>36641.4</v>
      </c>
      <c r="F47" s="33">
        <v>98.103650000000002</v>
      </c>
      <c r="G47" s="7">
        <f t="shared" si="19"/>
        <v>7843</v>
      </c>
      <c r="H47" s="7">
        <f t="shared" si="12"/>
        <v>7843</v>
      </c>
      <c r="I47" s="7">
        <v>5931.5</v>
      </c>
      <c r="J47" s="7">
        <v>65.400000000000006</v>
      </c>
      <c r="K47" s="7">
        <f t="shared" si="9"/>
        <v>5996.9</v>
      </c>
      <c r="L47" s="7"/>
      <c r="M47" s="7">
        <f t="shared" si="13"/>
        <v>1846.1000000000004</v>
      </c>
      <c r="N47" s="61"/>
    </row>
    <row r="48" spans="1:14" ht="18.75" customHeight="1">
      <c r="A48" s="35"/>
      <c r="B48" s="23" t="s">
        <v>52</v>
      </c>
      <c r="C48" s="75">
        <v>38406.874745002038</v>
      </c>
      <c r="D48" s="77">
        <v>31.4</v>
      </c>
      <c r="E48" s="5">
        <f t="shared" si="18"/>
        <v>37678.5</v>
      </c>
      <c r="F48" s="33">
        <v>98.103650000000002</v>
      </c>
      <c r="G48" s="7">
        <f t="shared" si="19"/>
        <v>18484.8</v>
      </c>
      <c r="H48" s="7">
        <f t="shared" si="12"/>
        <v>17906.321400000001</v>
      </c>
      <c r="I48" s="7">
        <v>11905.1</v>
      </c>
      <c r="J48" s="7">
        <v>772.8</v>
      </c>
      <c r="K48" s="7">
        <f t="shared" si="9"/>
        <v>12677.9</v>
      </c>
      <c r="L48" s="7">
        <v>578.47860000000003</v>
      </c>
      <c r="M48" s="7">
        <f t="shared" si="13"/>
        <v>5228.4214000000011</v>
      </c>
      <c r="N48" s="61"/>
    </row>
    <row r="49" spans="1:14" ht="18.75" customHeight="1">
      <c r="A49" s="35"/>
      <c r="B49" s="23" t="s">
        <v>53</v>
      </c>
      <c r="C49" s="75">
        <v>44307.549437342939</v>
      </c>
      <c r="D49" s="77">
        <v>6</v>
      </c>
      <c r="E49" s="5">
        <f t="shared" si="18"/>
        <v>43467.3</v>
      </c>
      <c r="F49" s="33">
        <v>98.103650000000002</v>
      </c>
      <c r="G49" s="7">
        <f t="shared" si="19"/>
        <v>4074.8</v>
      </c>
      <c r="H49" s="7">
        <f t="shared" si="12"/>
        <v>4074.8</v>
      </c>
      <c r="I49" s="7">
        <v>2273.6999999999998</v>
      </c>
      <c r="J49" s="7">
        <v>205.39999999999998</v>
      </c>
      <c r="K49" s="7">
        <f t="shared" si="9"/>
        <v>2479.1</v>
      </c>
      <c r="L49" s="7"/>
      <c r="M49" s="7">
        <f t="shared" si="13"/>
        <v>1595.7000000000003</v>
      </c>
      <c r="N49" s="61"/>
    </row>
    <row r="50" spans="1:14" ht="18.75" customHeight="1">
      <c r="A50" s="35"/>
      <c r="B50" s="23" t="s">
        <v>54</v>
      </c>
      <c r="C50" s="75">
        <v>33816.824519863192</v>
      </c>
      <c r="D50" s="77">
        <v>16</v>
      </c>
      <c r="E50" s="5">
        <f t="shared" si="18"/>
        <v>33175.5</v>
      </c>
      <c r="F50" s="33">
        <v>98.103650000000002</v>
      </c>
      <c r="G50" s="7">
        <f t="shared" si="19"/>
        <v>8293.2999999999993</v>
      </c>
      <c r="H50" s="7">
        <f t="shared" si="12"/>
        <v>8293.2999999999993</v>
      </c>
      <c r="I50" s="7">
        <v>6596.4</v>
      </c>
      <c r="J50" s="7">
        <v>0</v>
      </c>
      <c r="K50" s="7">
        <f t="shared" si="9"/>
        <v>6596.4</v>
      </c>
      <c r="L50" s="7"/>
      <c r="M50" s="7">
        <f t="shared" si="13"/>
        <v>1696.8999999999996</v>
      </c>
      <c r="N50" s="61"/>
    </row>
    <row r="51" spans="1:14" ht="18.75" customHeight="1">
      <c r="A51" s="35"/>
      <c r="B51" s="23" t="s">
        <v>66</v>
      </c>
      <c r="C51" s="75">
        <v>33073.528649209227</v>
      </c>
      <c r="D51" s="77">
        <v>463.8</v>
      </c>
      <c r="E51" s="5">
        <f t="shared" si="18"/>
        <v>32446.3</v>
      </c>
      <c r="F51" s="33">
        <v>98.103650000000002</v>
      </c>
      <c r="G51" s="7">
        <f t="shared" si="19"/>
        <v>235119.2</v>
      </c>
      <c r="H51" s="7">
        <f t="shared" si="12"/>
        <v>227974.21460000001</v>
      </c>
      <c r="I51" s="7">
        <v>202365.2</v>
      </c>
      <c r="J51" s="7">
        <v>0</v>
      </c>
      <c r="K51" s="7">
        <f t="shared" si="9"/>
        <v>202365.2</v>
      </c>
      <c r="L51" s="7">
        <v>7144.9853999999996</v>
      </c>
      <c r="M51" s="7">
        <f t="shared" si="13"/>
        <v>25609.014599999995</v>
      </c>
      <c r="N51" s="61"/>
    </row>
    <row r="52" spans="1:14" ht="18.75" customHeight="1">
      <c r="A52" s="35"/>
      <c r="B52" s="23" t="s">
        <v>67</v>
      </c>
      <c r="C52" s="75">
        <v>35963.478022980118</v>
      </c>
      <c r="D52" s="77">
        <v>337.7</v>
      </c>
      <c r="E52" s="5">
        <f t="shared" si="18"/>
        <v>35281.5</v>
      </c>
      <c r="F52" s="33">
        <v>98.103650000000002</v>
      </c>
      <c r="G52" s="7">
        <f t="shared" si="19"/>
        <v>186153.1</v>
      </c>
      <c r="H52" s="7">
        <f t="shared" si="12"/>
        <v>181063.84239999999</v>
      </c>
      <c r="I52" s="7">
        <v>165691.1</v>
      </c>
      <c r="J52" s="7">
        <v>0</v>
      </c>
      <c r="K52" s="7">
        <f t="shared" si="9"/>
        <v>165691.1</v>
      </c>
      <c r="L52" s="7">
        <v>5089.2576000000008</v>
      </c>
      <c r="M52" s="7">
        <f t="shared" si="13"/>
        <v>15372.742399999988</v>
      </c>
      <c r="N52" s="61"/>
    </row>
    <row r="53" spans="1:14" ht="18.75" customHeight="1">
      <c r="A53" s="35"/>
      <c r="B53" s="23" t="s">
        <v>68</v>
      </c>
      <c r="C53" s="75">
        <v>32918.840758060549</v>
      </c>
      <c r="D53" s="77">
        <v>125.6</v>
      </c>
      <c r="E53" s="5">
        <f t="shared" si="18"/>
        <v>32294.6</v>
      </c>
      <c r="F53" s="33">
        <v>98.103650000000002</v>
      </c>
      <c r="G53" s="7">
        <f t="shared" si="19"/>
        <v>63374.1</v>
      </c>
      <c r="H53" s="7">
        <f t="shared" si="12"/>
        <v>59244.025799999996</v>
      </c>
      <c r="I53" s="7">
        <v>50619.7</v>
      </c>
      <c r="J53" s="7">
        <v>0</v>
      </c>
      <c r="K53" s="7">
        <f t="shared" si="9"/>
        <v>50619.7</v>
      </c>
      <c r="L53" s="7">
        <v>4130.0742</v>
      </c>
      <c r="M53" s="7">
        <f t="shared" si="13"/>
        <v>8624.3257999999987</v>
      </c>
      <c r="N53" s="61"/>
    </row>
    <row r="54" spans="1:14" ht="18.75" customHeight="1">
      <c r="A54" s="35"/>
      <c r="B54" s="23" t="s">
        <v>69</v>
      </c>
      <c r="C54" s="75">
        <v>28647.586757080178</v>
      </c>
      <c r="D54" s="77">
        <v>98.3</v>
      </c>
      <c r="E54" s="5">
        <f t="shared" si="18"/>
        <v>28104.3</v>
      </c>
      <c r="F54" s="33">
        <v>98.103650000000002</v>
      </c>
      <c r="G54" s="7">
        <f t="shared" si="19"/>
        <v>43163.7</v>
      </c>
      <c r="H54" s="7">
        <f t="shared" si="12"/>
        <v>42775.964399999997</v>
      </c>
      <c r="I54" s="7">
        <v>38740.6</v>
      </c>
      <c r="J54" s="7">
        <v>0</v>
      </c>
      <c r="K54" s="7">
        <f t="shared" si="9"/>
        <v>38740.6</v>
      </c>
      <c r="L54" s="7">
        <v>387.73560000000003</v>
      </c>
      <c r="M54" s="7">
        <f t="shared" si="13"/>
        <v>4035.3643999999986</v>
      </c>
      <c r="N54" s="61"/>
    </row>
    <row r="55" spans="1:14" ht="18.75" customHeight="1">
      <c r="A55" s="35"/>
      <c r="B55" s="23" t="s">
        <v>55</v>
      </c>
      <c r="C55" s="75">
        <v>31225.438596491225</v>
      </c>
      <c r="D55" s="77">
        <v>60.7</v>
      </c>
      <c r="E55" s="5">
        <f t="shared" si="18"/>
        <v>30633.3</v>
      </c>
      <c r="F55" s="33">
        <v>98.103650000000002</v>
      </c>
      <c r="G55" s="7">
        <f t="shared" si="19"/>
        <v>29051.9</v>
      </c>
      <c r="H55" s="7">
        <f t="shared" si="12"/>
        <v>26601.275600000001</v>
      </c>
      <c r="I55" s="7">
        <v>22894.400000000001</v>
      </c>
      <c r="J55" s="7">
        <v>0</v>
      </c>
      <c r="K55" s="7">
        <f t="shared" si="9"/>
        <v>22894.400000000001</v>
      </c>
      <c r="L55" s="7">
        <v>2450.6244000000002</v>
      </c>
      <c r="M55" s="7">
        <f t="shared" si="13"/>
        <v>3706.8755999999994</v>
      </c>
      <c r="N55" s="61"/>
    </row>
    <row r="56" spans="1:14" ht="18.75" customHeight="1">
      <c r="A56" s="35"/>
      <c r="B56" s="23" t="s">
        <v>70</v>
      </c>
      <c r="C56" s="75">
        <v>30936.458918210741</v>
      </c>
      <c r="D56" s="77">
        <v>59.3</v>
      </c>
      <c r="E56" s="5">
        <f t="shared" si="18"/>
        <v>30396</v>
      </c>
      <c r="F56" s="32">
        <v>98.252899999999997</v>
      </c>
      <c r="G56" s="7">
        <f t="shared" si="19"/>
        <v>28162</v>
      </c>
      <c r="H56" s="7">
        <f t="shared" si="12"/>
        <v>28162</v>
      </c>
      <c r="I56" s="7">
        <v>28162</v>
      </c>
      <c r="J56" s="7"/>
      <c r="K56" s="7">
        <f t="shared" si="9"/>
        <v>28162</v>
      </c>
      <c r="L56" s="7"/>
      <c r="M56" s="7">
        <f t="shared" si="13"/>
        <v>0</v>
      </c>
      <c r="N56" s="61"/>
    </row>
    <row r="57" spans="1:14" ht="18.75" customHeight="1">
      <c r="A57" s="35"/>
      <c r="B57" s="23" t="s">
        <v>107</v>
      </c>
      <c r="C57" s="75">
        <v>34072.800000000003</v>
      </c>
      <c r="D57" s="77">
        <v>3.4</v>
      </c>
      <c r="E57" s="5">
        <v>34072.800000000003</v>
      </c>
      <c r="F57" s="6">
        <v>100</v>
      </c>
      <c r="G57" s="7">
        <f t="shared" si="19"/>
        <v>1810</v>
      </c>
      <c r="H57" s="7">
        <f t="shared" si="12"/>
        <v>1810</v>
      </c>
      <c r="I57" s="7">
        <v>1810</v>
      </c>
      <c r="J57" s="7"/>
      <c r="K57" s="7">
        <f t="shared" si="9"/>
        <v>1810</v>
      </c>
      <c r="L57" s="7"/>
      <c r="M57" s="7">
        <f t="shared" si="13"/>
        <v>0</v>
      </c>
      <c r="N57" s="61"/>
    </row>
    <row r="58" spans="1:14" ht="18.75" hidden="1" customHeight="1">
      <c r="A58" s="62"/>
      <c r="B58" s="23"/>
      <c r="C58" s="23"/>
      <c r="D58" s="4">
        <v>1554</v>
      </c>
      <c r="E58" s="36">
        <v>34073</v>
      </c>
      <c r="F58" s="6">
        <v>95</v>
      </c>
      <c r="G58" s="7">
        <v>827282.0818080001</v>
      </c>
      <c r="H58" s="7">
        <v>804542.78180800006</v>
      </c>
      <c r="I58" s="7">
        <v>677641.3</v>
      </c>
      <c r="J58" s="7">
        <v>7972.7</v>
      </c>
      <c r="K58" s="7">
        <v>685614</v>
      </c>
      <c r="L58" s="7">
        <v>22739.3</v>
      </c>
      <c r="M58" s="7">
        <v>118928.78180800006</v>
      </c>
      <c r="N58" s="12"/>
    </row>
    <row r="59" spans="1:14" s="43" customFormat="1" ht="28.5" hidden="1" customHeight="1">
      <c r="A59" s="63"/>
      <c r="B59" s="13" t="s">
        <v>71</v>
      </c>
      <c r="C59" s="13"/>
      <c r="D59" s="14"/>
      <c r="E59" s="15"/>
      <c r="F59" s="15"/>
      <c r="G59" s="15"/>
      <c r="H59" s="15"/>
      <c r="I59" s="15"/>
      <c r="J59" s="15"/>
      <c r="K59" s="15"/>
      <c r="L59" s="15"/>
      <c r="M59" s="6" t="e">
        <f>#REF!+M31</f>
        <v>#REF!</v>
      </c>
      <c r="N59" s="16"/>
    </row>
    <row r="60" spans="1:14" ht="29.25" hidden="1" customHeight="1">
      <c r="B60" s="64" t="s">
        <v>72</v>
      </c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6"/>
      <c r="N60" s="66"/>
    </row>
    <row r="61" spans="1:14" ht="47.25" hidden="1">
      <c r="A61" s="62"/>
      <c r="B61" s="17" t="s">
        <v>33</v>
      </c>
      <c r="C61" s="17"/>
      <c r="K61" s="67">
        <v>16904.7</v>
      </c>
      <c r="M61" s="68">
        <v>181433</v>
      </c>
      <c r="N61" s="18" t="s">
        <v>73</v>
      </c>
    </row>
    <row r="62" spans="1:14" ht="31.5" hidden="1">
      <c r="A62" s="62"/>
      <c r="B62" s="69" t="s">
        <v>74</v>
      </c>
      <c r="C62" s="69"/>
      <c r="F62" s="20"/>
      <c r="I62" s="67"/>
      <c r="K62" s="67">
        <f>K61-J16</f>
        <v>16720.600000000002</v>
      </c>
      <c r="M62" s="70" t="e">
        <f>M59-M61</f>
        <v>#REF!</v>
      </c>
      <c r="N62" s="71"/>
    </row>
    <row r="63" spans="1:14" ht="29.25" hidden="1" customHeight="1">
      <c r="F63" t="s">
        <v>75</v>
      </c>
      <c r="M63" s="68"/>
      <c r="N63" s="71"/>
    </row>
    <row r="64" spans="1:14" s="72" customFormat="1" ht="20.25" hidden="1">
      <c r="H64" s="25"/>
      <c r="J64" s="25" t="s">
        <v>76</v>
      </c>
      <c r="M64" s="68"/>
      <c r="N64" s="71"/>
    </row>
    <row r="65" s="72" customFormat="1" hidden="1"/>
    <row r="66" s="25" customFormat="1" ht="20.25"/>
  </sheetData>
  <mergeCells count="15">
    <mergeCell ref="N5:N7"/>
    <mergeCell ref="N10:N12"/>
    <mergeCell ref="N13:N31"/>
    <mergeCell ref="C5:C7"/>
    <mergeCell ref="B3:M3"/>
    <mergeCell ref="G5:G7"/>
    <mergeCell ref="H5:H7"/>
    <mergeCell ref="I5:K6"/>
    <mergeCell ref="L5:L7"/>
    <mergeCell ref="M5:M7"/>
    <mergeCell ref="A5:A7"/>
    <mergeCell ref="B5:B7"/>
    <mergeCell ref="D5:D7"/>
    <mergeCell ref="E5:E7"/>
    <mergeCell ref="F5:F7"/>
  </mergeCells>
  <pageMargins left="0" right="0" top="0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Расчет ЗП ДОП на 2018 год  (с)</vt:lpstr>
      <vt:lpstr>Расчет ЗП ДОШ на 2018 год  (2)</vt:lpstr>
      <vt:lpstr>Расчет ЗП ОО на 2018 год </vt:lpstr>
      <vt:lpstr>указы доп 2018</vt:lpstr>
      <vt:lpstr>ЗП Учителя 2018</vt:lpstr>
      <vt:lpstr>указы доп 2017 (числ ДО ут) (3)</vt:lpstr>
      <vt:lpstr>'ЗП Учителя 2018'!Область_печати</vt:lpstr>
      <vt:lpstr>'Расчет ЗП ДОП на 2018 год  (с)'!Область_печати</vt:lpstr>
      <vt:lpstr>'Расчет ЗП ДОШ на 2018 год  (2)'!Область_печати</vt:lpstr>
      <vt:lpstr>'Расчет ЗП ОО на 2018 год '!Область_печати</vt:lpstr>
      <vt:lpstr>'указы доп 2017 (числ ДО ут) (3)'!Область_печати</vt:lpstr>
      <vt:lpstr>'указы доп 2018'!Область_печати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2017-10-10T11:58:06Z</cp:lastPrinted>
  <dcterms:created xsi:type="dcterms:W3CDTF">2017-06-02T10:02:32Z</dcterms:created>
  <dcterms:modified xsi:type="dcterms:W3CDTF">2017-10-10T11:58:08Z</dcterms:modified>
</cp:coreProperties>
</file>