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50" yWindow="7050" windowWidth="15150" windowHeight="7425"/>
  </bookViews>
  <sheets>
    <sheet name="факт 1 пг" sheetId="14" r:id="rId1"/>
  </sheets>
  <definedNames>
    <definedName name="_xlnm._FilterDatabase" localSheetId="0" hidden="1">'факт 1 пг'!$A$7:$T$200</definedName>
    <definedName name="_xlnm.Print_Titles" localSheetId="0">'факт 1 пг'!$A:$C,'факт 1 пг'!$5:$6</definedName>
  </definedNames>
  <calcPr calcId="125725"/>
</workbook>
</file>

<file path=xl/calcChain.xml><?xml version="1.0" encoding="utf-8"?>
<calcChain xmlns="http://schemas.openxmlformats.org/spreadsheetml/2006/main">
  <c r="E15" i="14"/>
  <c r="E46"/>
  <c r="E35"/>
  <c r="E115"/>
  <c r="E128"/>
  <c r="E90"/>
  <c r="E69"/>
  <c r="E141"/>
  <c r="E118"/>
  <c r="E66"/>
  <c r="E147"/>
  <c r="E146"/>
  <c r="E137"/>
  <c r="E148"/>
  <c r="E161"/>
  <c r="E163"/>
  <c r="E173"/>
  <c r="E105"/>
  <c r="E104"/>
  <c r="E103"/>
  <c r="E102"/>
  <c r="E101"/>
  <c r="E100"/>
  <c r="E133"/>
  <c r="E132"/>
  <c r="E119"/>
  <c r="E22"/>
  <c r="E52"/>
  <c r="E165"/>
  <c r="E164"/>
  <c r="E30"/>
  <c r="E168"/>
  <c r="E169"/>
  <c r="E167"/>
  <c r="E166"/>
  <c r="E31"/>
  <c r="E59"/>
  <c r="E10"/>
  <c r="E126"/>
  <c r="E152"/>
  <c r="D27"/>
  <c r="E27" s="1"/>
  <c r="D26"/>
  <c r="E26" s="1"/>
  <c r="E25"/>
  <c r="E43"/>
  <c r="E185"/>
  <c r="E134"/>
  <c r="E109"/>
  <c r="E108"/>
  <c r="E49"/>
  <c r="E48"/>
  <c r="E47"/>
  <c r="E199"/>
  <c r="E197"/>
  <c r="E196"/>
  <c r="E188"/>
  <c r="E186"/>
  <c r="E183"/>
  <c r="E182"/>
  <c r="E179"/>
  <c r="E178"/>
  <c r="E190"/>
  <c r="E184"/>
  <c r="E181" l="1"/>
  <c r="P193"/>
  <c r="O193"/>
  <c r="N193"/>
  <c r="M193"/>
  <c r="H193"/>
  <c r="E83"/>
  <c r="E94"/>
  <c r="E155"/>
  <c r="Q193" l="1"/>
  <c r="E107"/>
  <c r="E112"/>
  <c r="E111"/>
  <c r="E110"/>
  <c r="E78"/>
  <c r="E160"/>
  <c r="E95"/>
  <c r="E18"/>
  <c r="E13"/>
  <c r="E17"/>
  <c r="E16"/>
  <c r="E192"/>
  <c r="E64"/>
  <c r="E34"/>
  <c r="E33"/>
  <c r="E50"/>
  <c r="E11"/>
  <c r="E149"/>
  <c r="E9"/>
  <c r="E19"/>
  <c r="E20"/>
  <c r="E138"/>
  <c r="E189"/>
  <c r="E158"/>
  <c r="E159"/>
  <c r="E157"/>
  <c r="E151"/>
  <c r="E150"/>
  <c r="E70"/>
  <c r="E98"/>
  <c r="E97"/>
  <c r="E99"/>
  <c r="E114"/>
  <c r="E113"/>
  <c r="E23" l="1"/>
  <c r="E198"/>
  <c r="E29"/>
  <c r="E136"/>
  <c r="E135"/>
  <c r="E123"/>
  <c r="E122"/>
  <c r="E124"/>
  <c r="E125"/>
  <c r="E86"/>
  <c r="E87"/>
  <c r="E85"/>
  <c r="E88"/>
  <c r="E89"/>
  <c r="E84"/>
  <c r="E67"/>
  <c r="E61"/>
  <c r="E93"/>
  <c r="E81"/>
  <c r="E176"/>
  <c r="E42"/>
  <c r="E79"/>
  <c r="E40"/>
  <c r="E36"/>
  <c r="E38"/>
  <c r="E39"/>
  <c r="E37"/>
  <c r="E175"/>
  <c r="E180"/>
  <c r="E153"/>
  <c r="E154"/>
  <c r="E187"/>
  <c r="E142"/>
  <c r="E144"/>
  <c r="E140"/>
  <c r="E45"/>
  <c r="E44"/>
  <c r="E143"/>
  <c r="E139"/>
  <c r="E63" l="1"/>
  <c r="E68"/>
  <c r="E80"/>
  <c r="E117" l="1"/>
  <c r="E116"/>
  <c r="E194"/>
  <c r="E129"/>
  <c r="E130"/>
  <c r="E195" l="1"/>
  <c r="E172"/>
  <c r="H172" s="1"/>
  <c r="E121"/>
  <c r="N121" s="1"/>
  <c r="E120"/>
  <c r="N120" s="1"/>
  <c r="E96"/>
  <c r="N96" s="1"/>
  <c r="E171"/>
  <c r="N171" s="1"/>
  <c r="E74"/>
  <c r="N74" s="1"/>
  <c r="E72"/>
  <c r="H72" s="1"/>
  <c r="E58"/>
  <c r="E57"/>
  <c r="H57" s="1"/>
  <c r="E56"/>
  <c r="H56" s="1"/>
  <c r="E55"/>
  <c r="H55" s="1"/>
  <c r="E21"/>
  <c r="N21" s="1"/>
  <c r="E54"/>
  <c r="N54" s="1"/>
  <c r="E53"/>
  <c r="N53" s="1"/>
  <c r="E12"/>
  <c r="N12" s="1"/>
  <c r="G200"/>
  <c r="F200"/>
  <c r="P199"/>
  <c r="O199"/>
  <c r="N199"/>
  <c r="M199"/>
  <c r="H199"/>
  <c r="P198"/>
  <c r="O198"/>
  <c r="N198"/>
  <c r="M198"/>
  <c r="H198"/>
  <c r="P197"/>
  <c r="O197"/>
  <c r="N197"/>
  <c r="M197"/>
  <c r="H197"/>
  <c r="P196"/>
  <c r="O196"/>
  <c r="N196"/>
  <c r="M196"/>
  <c r="H196"/>
  <c r="P195"/>
  <c r="O195"/>
  <c r="N195"/>
  <c r="M195"/>
  <c r="H195"/>
  <c r="P194"/>
  <c r="O194"/>
  <c r="N194"/>
  <c r="M194"/>
  <c r="H194"/>
  <c r="P192"/>
  <c r="O192"/>
  <c r="N192"/>
  <c r="M192"/>
  <c r="H192"/>
  <c r="P191"/>
  <c r="O191"/>
  <c r="M191"/>
  <c r="D191"/>
  <c r="E191" s="1"/>
  <c r="N191" s="1"/>
  <c r="P190"/>
  <c r="O190"/>
  <c r="N190"/>
  <c r="M190"/>
  <c r="H190"/>
  <c r="P189"/>
  <c r="O189"/>
  <c r="N189"/>
  <c r="M189"/>
  <c r="H189"/>
  <c r="P188"/>
  <c r="O188"/>
  <c r="N188"/>
  <c r="M188"/>
  <c r="H188"/>
  <c r="P187"/>
  <c r="O187"/>
  <c r="N187"/>
  <c r="M187"/>
  <c r="H187"/>
  <c r="P186"/>
  <c r="O186"/>
  <c r="N186"/>
  <c r="M186"/>
  <c r="H186"/>
  <c r="P185"/>
  <c r="O185"/>
  <c r="N185"/>
  <c r="M185"/>
  <c r="H185"/>
  <c r="P184"/>
  <c r="O184"/>
  <c r="N184"/>
  <c r="M184"/>
  <c r="H184"/>
  <c r="P183"/>
  <c r="O183"/>
  <c r="N183"/>
  <c r="M183"/>
  <c r="H183"/>
  <c r="P182"/>
  <c r="O182"/>
  <c r="N182"/>
  <c r="M182"/>
  <c r="H182"/>
  <c r="P181"/>
  <c r="O181"/>
  <c r="N181"/>
  <c r="M181"/>
  <c r="H181"/>
  <c r="P180"/>
  <c r="O180"/>
  <c r="N180"/>
  <c r="M180"/>
  <c r="H180"/>
  <c r="P179"/>
  <c r="O179"/>
  <c r="N179"/>
  <c r="M179"/>
  <c r="H179"/>
  <c r="P178"/>
  <c r="O178"/>
  <c r="N178"/>
  <c r="M178"/>
  <c r="H178"/>
  <c r="P177"/>
  <c r="O177"/>
  <c r="N177"/>
  <c r="M177"/>
  <c r="H177"/>
  <c r="P176"/>
  <c r="O176"/>
  <c r="N176"/>
  <c r="M176"/>
  <c r="H176"/>
  <c r="P175"/>
  <c r="O175"/>
  <c r="N175"/>
  <c r="M175"/>
  <c r="H175"/>
  <c r="P174"/>
  <c r="O174"/>
  <c r="N174"/>
  <c r="M174"/>
  <c r="H174"/>
  <c r="P173"/>
  <c r="O173"/>
  <c r="N173"/>
  <c r="M173"/>
  <c r="H173"/>
  <c r="P172"/>
  <c r="O172"/>
  <c r="N172"/>
  <c r="M172"/>
  <c r="P171"/>
  <c r="O171"/>
  <c r="M171"/>
  <c r="P170"/>
  <c r="O170"/>
  <c r="N170"/>
  <c r="M170"/>
  <c r="H170"/>
  <c r="P169"/>
  <c r="O169"/>
  <c r="N169"/>
  <c r="M169"/>
  <c r="H169"/>
  <c r="P168"/>
  <c r="O168"/>
  <c r="N168"/>
  <c r="M168"/>
  <c r="H168"/>
  <c r="P167"/>
  <c r="O167"/>
  <c r="N167"/>
  <c r="M167"/>
  <c r="H167"/>
  <c r="P166"/>
  <c r="O166"/>
  <c r="N166"/>
  <c r="M166"/>
  <c r="H166"/>
  <c r="P165"/>
  <c r="O165"/>
  <c r="N165"/>
  <c r="M165"/>
  <c r="H165"/>
  <c r="P164"/>
  <c r="O164"/>
  <c r="N164"/>
  <c r="M164"/>
  <c r="H164"/>
  <c r="P163"/>
  <c r="O163"/>
  <c r="N163"/>
  <c r="M163"/>
  <c r="H163"/>
  <c r="P162"/>
  <c r="O162"/>
  <c r="N162"/>
  <c r="M162"/>
  <c r="H162"/>
  <c r="P161"/>
  <c r="O161"/>
  <c r="N161"/>
  <c r="M161"/>
  <c r="H161"/>
  <c r="P160"/>
  <c r="O160"/>
  <c r="N160"/>
  <c r="M160"/>
  <c r="H160"/>
  <c r="P159"/>
  <c r="O159"/>
  <c r="N159"/>
  <c r="M159"/>
  <c r="H159"/>
  <c r="P158"/>
  <c r="O158"/>
  <c r="N158"/>
  <c r="M158"/>
  <c r="H158"/>
  <c r="P157"/>
  <c r="O157"/>
  <c r="N157"/>
  <c r="M157"/>
  <c r="H157"/>
  <c r="P156"/>
  <c r="O156"/>
  <c r="M156"/>
  <c r="D156"/>
  <c r="P155"/>
  <c r="O155"/>
  <c r="N155"/>
  <c r="M155"/>
  <c r="H155"/>
  <c r="P154"/>
  <c r="O154"/>
  <c r="N154"/>
  <c r="M154"/>
  <c r="H154"/>
  <c r="P153"/>
  <c r="O153"/>
  <c r="N153"/>
  <c r="M153"/>
  <c r="H153"/>
  <c r="P152"/>
  <c r="O152"/>
  <c r="N152"/>
  <c r="M152"/>
  <c r="H152"/>
  <c r="P151"/>
  <c r="O151"/>
  <c r="N151"/>
  <c r="M151"/>
  <c r="H151"/>
  <c r="P150"/>
  <c r="O150"/>
  <c r="N150"/>
  <c r="M150"/>
  <c r="H150"/>
  <c r="P149"/>
  <c r="O149"/>
  <c r="N149"/>
  <c r="M149"/>
  <c r="H149"/>
  <c r="P148"/>
  <c r="O148"/>
  <c r="N148"/>
  <c r="M148"/>
  <c r="H148"/>
  <c r="P147"/>
  <c r="O147"/>
  <c r="N147"/>
  <c r="M147"/>
  <c r="H147"/>
  <c r="P146"/>
  <c r="O146"/>
  <c r="N146"/>
  <c r="M146"/>
  <c r="H146"/>
  <c r="P145"/>
  <c r="O145"/>
  <c r="N145"/>
  <c r="M145"/>
  <c r="H145"/>
  <c r="P144"/>
  <c r="O144"/>
  <c r="N144"/>
  <c r="M144"/>
  <c r="H144"/>
  <c r="P143"/>
  <c r="O143"/>
  <c r="N143"/>
  <c r="M143"/>
  <c r="H143"/>
  <c r="P142"/>
  <c r="O142"/>
  <c r="N142"/>
  <c r="M142"/>
  <c r="H142"/>
  <c r="P141"/>
  <c r="O141"/>
  <c r="N141"/>
  <c r="M141"/>
  <c r="H141"/>
  <c r="P140"/>
  <c r="O140"/>
  <c r="N140"/>
  <c r="M140"/>
  <c r="H140"/>
  <c r="P139"/>
  <c r="O139"/>
  <c r="N139"/>
  <c r="M139"/>
  <c r="H139"/>
  <c r="P138"/>
  <c r="O138"/>
  <c r="N138"/>
  <c r="M138"/>
  <c r="H138"/>
  <c r="P137"/>
  <c r="O137"/>
  <c r="N137"/>
  <c r="M137"/>
  <c r="H137"/>
  <c r="P136"/>
  <c r="O136"/>
  <c r="N136"/>
  <c r="M136"/>
  <c r="H136"/>
  <c r="P135"/>
  <c r="O135"/>
  <c r="N135"/>
  <c r="M135"/>
  <c r="H135"/>
  <c r="P134"/>
  <c r="O134"/>
  <c r="N134"/>
  <c r="M134"/>
  <c r="H134"/>
  <c r="P133"/>
  <c r="O133"/>
  <c r="N133"/>
  <c r="M133"/>
  <c r="H133"/>
  <c r="P132"/>
  <c r="O132"/>
  <c r="N132"/>
  <c r="M132"/>
  <c r="H132"/>
  <c r="P131"/>
  <c r="O131"/>
  <c r="N131"/>
  <c r="M131"/>
  <c r="H131"/>
  <c r="P130"/>
  <c r="O130"/>
  <c r="N130"/>
  <c r="M130"/>
  <c r="H130"/>
  <c r="P129"/>
  <c r="O129"/>
  <c r="N129"/>
  <c r="M129"/>
  <c r="H129"/>
  <c r="P128"/>
  <c r="O128"/>
  <c r="N128"/>
  <c r="M128"/>
  <c r="H128"/>
  <c r="P127"/>
  <c r="O127"/>
  <c r="N127"/>
  <c r="M127"/>
  <c r="H127"/>
  <c r="P126"/>
  <c r="O126"/>
  <c r="N126"/>
  <c r="M126"/>
  <c r="H126"/>
  <c r="P125"/>
  <c r="O125"/>
  <c r="N125"/>
  <c r="M125"/>
  <c r="H125"/>
  <c r="P124"/>
  <c r="O124"/>
  <c r="N124"/>
  <c r="M124"/>
  <c r="H124"/>
  <c r="P123"/>
  <c r="O123"/>
  <c r="N123"/>
  <c r="M123"/>
  <c r="H123"/>
  <c r="P122"/>
  <c r="O122"/>
  <c r="N122"/>
  <c r="M122"/>
  <c r="H122"/>
  <c r="P121"/>
  <c r="O121"/>
  <c r="M121"/>
  <c r="P120"/>
  <c r="O120"/>
  <c r="M120"/>
  <c r="P119"/>
  <c r="O119"/>
  <c r="N119"/>
  <c r="M119"/>
  <c r="H119"/>
  <c r="P118"/>
  <c r="O118"/>
  <c r="N118"/>
  <c r="M118"/>
  <c r="H118"/>
  <c r="P117"/>
  <c r="O117"/>
  <c r="N117"/>
  <c r="M117"/>
  <c r="H117"/>
  <c r="P116"/>
  <c r="O116"/>
  <c r="N116"/>
  <c r="M116"/>
  <c r="H116"/>
  <c r="P115"/>
  <c r="O115"/>
  <c r="N115"/>
  <c r="M115"/>
  <c r="H115"/>
  <c r="P114"/>
  <c r="O114"/>
  <c r="N114"/>
  <c r="M114"/>
  <c r="H114"/>
  <c r="P113"/>
  <c r="O113"/>
  <c r="N113"/>
  <c r="M113"/>
  <c r="H113"/>
  <c r="P112"/>
  <c r="O112"/>
  <c r="N112"/>
  <c r="M112"/>
  <c r="H112"/>
  <c r="P111"/>
  <c r="O111"/>
  <c r="N111"/>
  <c r="M111"/>
  <c r="H111"/>
  <c r="P110"/>
  <c r="O110"/>
  <c r="N110"/>
  <c r="M110"/>
  <c r="H110"/>
  <c r="P109"/>
  <c r="O109"/>
  <c r="N109"/>
  <c r="M109"/>
  <c r="H109"/>
  <c r="P108"/>
  <c r="O108"/>
  <c r="N108"/>
  <c r="M108"/>
  <c r="H108"/>
  <c r="P107"/>
  <c r="O107"/>
  <c r="N107"/>
  <c r="M107"/>
  <c r="H107"/>
  <c r="P106"/>
  <c r="O106"/>
  <c r="N106"/>
  <c r="M106"/>
  <c r="H106"/>
  <c r="P105"/>
  <c r="O105"/>
  <c r="N105"/>
  <c r="M105"/>
  <c r="H105"/>
  <c r="P104"/>
  <c r="O104"/>
  <c r="N104"/>
  <c r="M104"/>
  <c r="H104"/>
  <c r="P103"/>
  <c r="O103"/>
  <c r="N103"/>
  <c r="M103"/>
  <c r="H103"/>
  <c r="P102"/>
  <c r="O102"/>
  <c r="N102"/>
  <c r="M102"/>
  <c r="H102"/>
  <c r="P101"/>
  <c r="O101"/>
  <c r="N101"/>
  <c r="M101"/>
  <c r="H101"/>
  <c r="P100"/>
  <c r="O100"/>
  <c r="N100"/>
  <c r="M100"/>
  <c r="H100"/>
  <c r="P99"/>
  <c r="O99"/>
  <c r="N99"/>
  <c r="M99"/>
  <c r="H99"/>
  <c r="P98"/>
  <c r="O98"/>
  <c r="N98"/>
  <c r="M98"/>
  <c r="H98"/>
  <c r="P97"/>
  <c r="O97"/>
  <c r="N97"/>
  <c r="M97"/>
  <c r="H97"/>
  <c r="P96"/>
  <c r="O96"/>
  <c r="M96"/>
  <c r="H96"/>
  <c r="P95"/>
  <c r="O95"/>
  <c r="N95"/>
  <c r="M95"/>
  <c r="H95"/>
  <c r="P94"/>
  <c r="O94"/>
  <c r="N94"/>
  <c r="M94"/>
  <c r="H94"/>
  <c r="P93"/>
  <c r="O93"/>
  <c r="N93"/>
  <c r="M93"/>
  <c r="H93"/>
  <c r="P92"/>
  <c r="O92"/>
  <c r="N92"/>
  <c r="M92"/>
  <c r="P91"/>
  <c r="O91"/>
  <c r="M91"/>
  <c r="P90"/>
  <c r="O90"/>
  <c r="N90"/>
  <c r="M90"/>
  <c r="H90"/>
  <c r="P89"/>
  <c r="O89"/>
  <c r="N89"/>
  <c r="M89"/>
  <c r="H89"/>
  <c r="P88"/>
  <c r="O88"/>
  <c r="N88"/>
  <c r="M88"/>
  <c r="H88"/>
  <c r="P87"/>
  <c r="O87"/>
  <c r="N87"/>
  <c r="M87"/>
  <c r="H87"/>
  <c r="P86"/>
  <c r="O86"/>
  <c r="N86"/>
  <c r="M86"/>
  <c r="H86"/>
  <c r="P85"/>
  <c r="O85"/>
  <c r="N85"/>
  <c r="M85"/>
  <c r="H85"/>
  <c r="P84"/>
  <c r="O84"/>
  <c r="N84"/>
  <c r="M84"/>
  <c r="H84"/>
  <c r="P83"/>
  <c r="O83"/>
  <c r="N83"/>
  <c r="M83"/>
  <c r="H83"/>
  <c r="P82"/>
  <c r="O82"/>
  <c r="N82"/>
  <c r="M82"/>
  <c r="H82"/>
  <c r="P81"/>
  <c r="O81"/>
  <c r="N81"/>
  <c r="M81"/>
  <c r="H81"/>
  <c r="P80"/>
  <c r="O80"/>
  <c r="N80"/>
  <c r="M80"/>
  <c r="H80"/>
  <c r="P79"/>
  <c r="O79"/>
  <c r="N79"/>
  <c r="M79"/>
  <c r="H79"/>
  <c r="P78"/>
  <c r="O78"/>
  <c r="N78"/>
  <c r="M78"/>
  <c r="H78"/>
  <c r="P77"/>
  <c r="O77"/>
  <c r="N77"/>
  <c r="M77"/>
  <c r="H77"/>
  <c r="P76"/>
  <c r="O76"/>
  <c r="M76"/>
  <c r="D76"/>
  <c r="P75"/>
  <c r="O75"/>
  <c r="N75"/>
  <c r="M75"/>
  <c r="H75"/>
  <c r="P74"/>
  <c r="O74"/>
  <c r="M74"/>
  <c r="P73"/>
  <c r="O73"/>
  <c r="N73"/>
  <c r="M73"/>
  <c r="H73"/>
  <c r="P72"/>
  <c r="O72"/>
  <c r="M72"/>
  <c r="P71"/>
  <c r="O71"/>
  <c r="N71"/>
  <c r="M71"/>
  <c r="H71"/>
  <c r="P70"/>
  <c r="O70"/>
  <c r="N70"/>
  <c r="M70"/>
  <c r="H70"/>
  <c r="P69"/>
  <c r="O69"/>
  <c r="N69"/>
  <c r="M69"/>
  <c r="H69"/>
  <c r="P68"/>
  <c r="O68"/>
  <c r="N68"/>
  <c r="M68"/>
  <c r="H68"/>
  <c r="P67"/>
  <c r="O67"/>
  <c r="N67"/>
  <c r="M67"/>
  <c r="H67"/>
  <c r="P66"/>
  <c r="O66"/>
  <c r="N66"/>
  <c r="M66"/>
  <c r="H66"/>
  <c r="P65"/>
  <c r="O65"/>
  <c r="N65"/>
  <c r="M65"/>
  <c r="H65"/>
  <c r="P64"/>
  <c r="O64"/>
  <c r="N64"/>
  <c r="M64"/>
  <c r="H64"/>
  <c r="P63"/>
  <c r="O63"/>
  <c r="N63"/>
  <c r="M63"/>
  <c r="H63"/>
  <c r="P62"/>
  <c r="O62"/>
  <c r="N62"/>
  <c r="M62"/>
  <c r="H62"/>
  <c r="P61"/>
  <c r="O61"/>
  <c r="N61"/>
  <c r="M61"/>
  <c r="H61"/>
  <c r="R60"/>
  <c r="N60"/>
  <c r="Q60" s="1"/>
  <c r="P59"/>
  <c r="O59"/>
  <c r="N59"/>
  <c r="M59"/>
  <c r="H59"/>
  <c r="P58"/>
  <c r="O58"/>
  <c r="N58"/>
  <c r="M58"/>
  <c r="H58"/>
  <c r="P57"/>
  <c r="O57"/>
  <c r="N57"/>
  <c r="M57"/>
  <c r="P56"/>
  <c r="O56"/>
  <c r="M56"/>
  <c r="P55"/>
  <c r="O55"/>
  <c r="M55"/>
  <c r="P54"/>
  <c r="O54"/>
  <c r="M54"/>
  <c r="H54"/>
  <c r="P53"/>
  <c r="O53"/>
  <c r="M53"/>
  <c r="P52"/>
  <c r="O52"/>
  <c r="N52"/>
  <c r="M52"/>
  <c r="H52"/>
  <c r="P51"/>
  <c r="O51"/>
  <c r="N51"/>
  <c r="M51"/>
  <c r="H51"/>
  <c r="P50"/>
  <c r="O50"/>
  <c r="N50"/>
  <c r="M50"/>
  <c r="H50"/>
  <c r="P49"/>
  <c r="O49"/>
  <c r="N49"/>
  <c r="M49"/>
  <c r="H49"/>
  <c r="P48"/>
  <c r="O48"/>
  <c r="N48"/>
  <c r="M48"/>
  <c r="H48"/>
  <c r="P47"/>
  <c r="O47"/>
  <c r="N47"/>
  <c r="M47"/>
  <c r="H47"/>
  <c r="P46"/>
  <c r="O46"/>
  <c r="N46"/>
  <c r="M46"/>
  <c r="H46"/>
  <c r="P45"/>
  <c r="O45"/>
  <c r="N45"/>
  <c r="M45"/>
  <c r="H45"/>
  <c r="P44"/>
  <c r="O44"/>
  <c r="N44"/>
  <c r="M44"/>
  <c r="H44"/>
  <c r="P43"/>
  <c r="O43"/>
  <c r="N43"/>
  <c r="M43"/>
  <c r="H43"/>
  <c r="P42"/>
  <c r="O42"/>
  <c r="N42"/>
  <c r="M42"/>
  <c r="H42"/>
  <c r="P41"/>
  <c r="O41"/>
  <c r="N41"/>
  <c r="M41"/>
  <c r="H41"/>
  <c r="P40"/>
  <c r="O40"/>
  <c r="N40"/>
  <c r="M40"/>
  <c r="H40"/>
  <c r="P39"/>
  <c r="O39"/>
  <c r="N39"/>
  <c r="M39"/>
  <c r="H39"/>
  <c r="P38"/>
  <c r="O38"/>
  <c r="N38"/>
  <c r="M38"/>
  <c r="H38"/>
  <c r="P37"/>
  <c r="O37"/>
  <c r="N37"/>
  <c r="M37"/>
  <c r="H37"/>
  <c r="P36"/>
  <c r="O36"/>
  <c r="N36"/>
  <c r="M36"/>
  <c r="H36"/>
  <c r="P35"/>
  <c r="O35"/>
  <c r="N35"/>
  <c r="M35"/>
  <c r="H35"/>
  <c r="P34"/>
  <c r="O34"/>
  <c r="N34"/>
  <c r="M34"/>
  <c r="H34"/>
  <c r="P33"/>
  <c r="O33"/>
  <c r="N33"/>
  <c r="M33"/>
  <c r="H33"/>
  <c r="P32"/>
  <c r="O32"/>
  <c r="N32"/>
  <c r="M32"/>
  <c r="H32"/>
  <c r="P31"/>
  <c r="O31"/>
  <c r="N31"/>
  <c r="M31"/>
  <c r="H31"/>
  <c r="P30"/>
  <c r="O30"/>
  <c r="N30"/>
  <c r="M30"/>
  <c r="H30"/>
  <c r="P29"/>
  <c r="O29"/>
  <c r="N29"/>
  <c r="M29"/>
  <c r="H29"/>
  <c r="P28"/>
  <c r="O28"/>
  <c r="D28"/>
  <c r="P27"/>
  <c r="O27"/>
  <c r="N27"/>
  <c r="M27"/>
  <c r="H27"/>
  <c r="P26"/>
  <c r="O26"/>
  <c r="N26"/>
  <c r="M26"/>
  <c r="H26"/>
  <c r="P25"/>
  <c r="O25"/>
  <c r="N25"/>
  <c r="M25"/>
  <c r="H25"/>
  <c r="P24"/>
  <c r="O24"/>
  <c r="N24"/>
  <c r="M24"/>
  <c r="H24"/>
  <c r="P23"/>
  <c r="O23"/>
  <c r="N23"/>
  <c r="M23"/>
  <c r="H23"/>
  <c r="P22"/>
  <c r="O22"/>
  <c r="N22"/>
  <c r="M22"/>
  <c r="H22"/>
  <c r="P21"/>
  <c r="O21"/>
  <c r="M21"/>
  <c r="P20"/>
  <c r="O20"/>
  <c r="N20"/>
  <c r="M20"/>
  <c r="H20"/>
  <c r="P19"/>
  <c r="O19"/>
  <c r="N19"/>
  <c r="M19"/>
  <c r="H19"/>
  <c r="P18"/>
  <c r="O18"/>
  <c r="N18"/>
  <c r="M18"/>
  <c r="H18"/>
  <c r="P17"/>
  <c r="O17"/>
  <c r="N17"/>
  <c r="M17"/>
  <c r="H17"/>
  <c r="P16"/>
  <c r="O16"/>
  <c r="N16"/>
  <c r="M16"/>
  <c r="H16"/>
  <c r="P15"/>
  <c r="O15"/>
  <c r="N15"/>
  <c r="M15"/>
  <c r="H15"/>
  <c r="P14"/>
  <c r="O14"/>
  <c r="N14"/>
  <c r="M14"/>
  <c r="P13"/>
  <c r="O13"/>
  <c r="N13"/>
  <c r="M13"/>
  <c r="H13"/>
  <c r="P12"/>
  <c r="O12"/>
  <c r="M12"/>
  <c r="P11"/>
  <c r="O11"/>
  <c r="N11"/>
  <c r="M11"/>
  <c r="H11"/>
  <c r="P10"/>
  <c r="O10"/>
  <c r="N10"/>
  <c r="M10"/>
  <c r="H10"/>
  <c r="P9"/>
  <c r="O9"/>
  <c r="N9"/>
  <c r="M9"/>
  <c r="H9"/>
  <c r="N56" l="1"/>
  <c r="H12"/>
  <c r="N55"/>
  <c r="Q55" s="1"/>
  <c r="N72"/>
  <c r="Q72" s="1"/>
  <c r="H171"/>
  <c r="M28"/>
  <c r="M200" s="1"/>
  <c r="E28"/>
  <c r="N28" s="1"/>
  <c r="E76"/>
  <c r="N76" s="1"/>
  <c r="Q76" s="1"/>
  <c r="H191"/>
  <c r="E156"/>
  <c r="N156" s="1"/>
  <c r="Q156" s="1"/>
  <c r="H21"/>
  <c r="H53"/>
  <c r="H121"/>
  <c r="H120"/>
  <c r="H74"/>
  <c r="Q11"/>
  <c r="Q13"/>
  <c r="Q14"/>
  <c r="Q16"/>
  <c r="Q18"/>
  <c r="Q20"/>
  <c r="Q24"/>
  <c r="Q27"/>
  <c r="Q29"/>
  <c r="Q31"/>
  <c r="Q33"/>
  <c r="Q35"/>
  <c r="Q37"/>
  <c r="Q39"/>
  <c r="Q41"/>
  <c r="Q43"/>
  <c r="Q45"/>
  <c r="Q47"/>
  <c r="Q49"/>
  <c r="Q51"/>
  <c r="Q53"/>
  <c r="Q57"/>
  <c r="Q59"/>
  <c r="Q62"/>
  <c r="Q64"/>
  <c r="Q66"/>
  <c r="Q68"/>
  <c r="Q70"/>
  <c r="Q74"/>
  <c r="Q78"/>
  <c r="Q80"/>
  <c r="Q82"/>
  <c r="Q84"/>
  <c r="Q86"/>
  <c r="Q88"/>
  <c r="Q90"/>
  <c r="Q92"/>
  <c r="Q22"/>
  <c r="Q94"/>
  <c r="Q96"/>
  <c r="Q98"/>
  <c r="Q100"/>
  <c r="Q102"/>
  <c r="Q104"/>
  <c r="Q106"/>
  <c r="Q108"/>
  <c r="Q110"/>
  <c r="Q112"/>
  <c r="Q114"/>
  <c r="Q116"/>
  <c r="Q118"/>
  <c r="Q120"/>
  <c r="Q122"/>
  <c r="Q124"/>
  <c r="Q126"/>
  <c r="Q128"/>
  <c r="Q130"/>
  <c r="Q132"/>
  <c r="Q134"/>
  <c r="Q136"/>
  <c r="Q138"/>
  <c r="Q140"/>
  <c r="Q142"/>
  <c r="Q144"/>
  <c r="Q146"/>
  <c r="Q148"/>
  <c r="Q150"/>
  <c r="Q152"/>
  <c r="Q154"/>
  <c r="Q158"/>
  <c r="Q160"/>
  <c r="Q162"/>
  <c r="Q164"/>
  <c r="Q166"/>
  <c r="Q168"/>
  <c r="Q170"/>
  <c r="Q172"/>
  <c r="Q174"/>
  <c r="Q176"/>
  <c r="Q178"/>
  <c r="Q180"/>
  <c r="Q182"/>
  <c r="Q184"/>
  <c r="Q186"/>
  <c r="Q188"/>
  <c r="Q190"/>
  <c r="Q191"/>
  <c r="Q194"/>
  <c r="Q196"/>
  <c r="Q198"/>
  <c r="P200"/>
  <c r="S200" s="1"/>
  <c r="Q10"/>
  <c r="Q12"/>
  <c r="Q15"/>
  <c r="Q17"/>
  <c r="Q19"/>
  <c r="Q21"/>
  <c r="Q23"/>
  <c r="Q25"/>
  <c r="Q26"/>
  <c r="Q30"/>
  <c r="Q32"/>
  <c r="Q34"/>
  <c r="Q36"/>
  <c r="Q38"/>
  <c r="Q40"/>
  <c r="Q42"/>
  <c r="Q44"/>
  <c r="Q46"/>
  <c r="Q48"/>
  <c r="Q50"/>
  <c r="Q52"/>
  <c r="Q54"/>
  <c r="Q56"/>
  <c r="Q58"/>
  <c r="Q61"/>
  <c r="Q63"/>
  <c r="Q65"/>
  <c r="Q67"/>
  <c r="Q69"/>
  <c r="Q71"/>
  <c r="Q73"/>
  <c r="Q75"/>
  <c r="Q77"/>
  <c r="Q79"/>
  <c r="Q81"/>
  <c r="Q83"/>
  <c r="Q85"/>
  <c r="Q89"/>
  <c r="Q93"/>
  <c r="Q95"/>
  <c r="Q97"/>
  <c r="Q99"/>
  <c r="Q101"/>
  <c r="Q103"/>
  <c r="Q105"/>
  <c r="Q107"/>
  <c r="Q109"/>
  <c r="Q111"/>
  <c r="Q113"/>
  <c r="Q115"/>
  <c r="Q117"/>
  <c r="Q119"/>
  <c r="Q121"/>
  <c r="Q123"/>
  <c r="Q125"/>
  <c r="Q127"/>
  <c r="Q129"/>
  <c r="Q131"/>
  <c r="Q133"/>
  <c r="Q135"/>
  <c r="Q137"/>
  <c r="Q139"/>
  <c r="Q141"/>
  <c r="Q143"/>
  <c r="Q145"/>
  <c r="Q147"/>
  <c r="Q149"/>
  <c r="Q151"/>
  <c r="Q153"/>
  <c r="Q155"/>
  <c r="Q157"/>
  <c r="Q159"/>
  <c r="Q161"/>
  <c r="Q163"/>
  <c r="Q165"/>
  <c r="Q167"/>
  <c r="Q169"/>
  <c r="Q171"/>
  <c r="Q173"/>
  <c r="Q175"/>
  <c r="Q177"/>
  <c r="Q179"/>
  <c r="Q181"/>
  <c r="Q183"/>
  <c r="Q185"/>
  <c r="Q187"/>
  <c r="Q189"/>
  <c r="Q192"/>
  <c r="Q195"/>
  <c r="Q197"/>
  <c r="Q199"/>
  <c r="O200"/>
  <c r="Q9"/>
  <c r="D200"/>
  <c r="R61"/>
  <c r="Q87"/>
  <c r="H91"/>
  <c r="N91"/>
  <c r="Q28" l="1"/>
  <c r="H76"/>
  <c r="H28"/>
  <c r="H156"/>
  <c r="H200" s="1"/>
  <c r="N200"/>
  <c r="E200"/>
  <c r="Q91"/>
  <c r="Q200" l="1"/>
  <c r="T200" s="1"/>
</calcChain>
</file>

<file path=xl/sharedStrings.xml><?xml version="1.0" encoding="utf-8"?>
<sst xmlns="http://schemas.openxmlformats.org/spreadsheetml/2006/main" count="554" uniqueCount="372">
  <si>
    <t>ИНН</t>
  </si>
  <si>
    <t>2901200792</t>
  </si>
  <si>
    <t>2901179251</t>
  </si>
  <si>
    <t>2921000738</t>
  </si>
  <si>
    <t>2922007775</t>
  </si>
  <si>
    <t>2910004882</t>
  </si>
  <si>
    <t>2907000246</t>
  </si>
  <si>
    <t>2909003034</t>
  </si>
  <si>
    <t>2923006012</t>
  </si>
  <si>
    <t>2923006245</t>
  </si>
  <si>
    <t>2907013799</t>
  </si>
  <si>
    <t>2922007704</t>
  </si>
  <si>
    <t>2909003010</t>
  </si>
  <si>
    <t>2909002320</t>
  </si>
  <si>
    <t>2911005649</t>
  </si>
  <si>
    <t>2907011760</t>
  </si>
  <si>
    <t>7802312751</t>
  </si>
  <si>
    <t>2906006277</t>
  </si>
  <si>
    <t>2909002440</t>
  </si>
  <si>
    <t>2920012988</t>
  </si>
  <si>
    <t>2919004990</t>
  </si>
  <si>
    <t>2906006238</t>
  </si>
  <si>
    <t>7708503727</t>
  </si>
  <si>
    <t>2921012050</t>
  </si>
  <si>
    <t>2919006299</t>
  </si>
  <si>
    <t>2918009770</t>
  </si>
  <si>
    <t>2921011754</t>
  </si>
  <si>
    <t>2904021456</t>
  </si>
  <si>
    <t>2924005075</t>
  </si>
  <si>
    <t>2909001076</t>
  </si>
  <si>
    <t>2904022749</t>
  </si>
  <si>
    <t>2924005220</t>
  </si>
  <si>
    <t>2920011448</t>
  </si>
  <si>
    <t>2923006541</t>
  </si>
  <si>
    <t>2902046374</t>
  </si>
  <si>
    <t>2922007013</t>
  </si>
  <si>
    <t>2912006155</t>
  </si>
  <si>
    <t>2925003747</t>
  </si>
  <si>
    <t>2922006997</t>
  </si>
  <si>
    <t>2915003297</t>
  </si>
  <si>
    <t>2911004356</t>
  </si>
  <si>
    <t>2911004405</t>
  </si>
  <si>
    <t>2911004420</t>
  </si>
  <si>
    <t>2911004363</t>
  </si>
  <si>
    <t>2911004349</t>
  </si>
  <si>
    <t>Пинежское МП ЖКХ</t>
  </si>
  <si>
    <t>2919000794</t>
  </si>
  <si>
    <t>2914003174</t>
  </si>
  <si>
    <t>2907010396</t>
  </si>
  <si>
    <t>2907010220</t>
  </si>
  <si>
    <t>с. Ненокса</t>
  </si>
  <si>
    <t>Всего</t>
  </si>
  <si>
    <t>Предприятие</t>
  </si>
  <si>
    <t>Поселение</t>
  </si>
  <si>
    <t>одноставочный тариф на тепловую энергию, поставляемую населению на нужды теплоснабжения (без НДС), руб./Гкал</t>
  </si>
  <si>
    <t>Потребность в средствах субсидии, руб.</t>
  </si>
  <si>
    <t xml:space="preserve">Дебиторская (-), кредиторская (+) задолженность
 на 01.01.2018 г. </t>
  </si>
  <si>
    <t>декабрь 2018 г., руб. (36 % от объемов отпуска 4 квартала)</t>
  </si>
  <si>
    <t>3 кв.</t>
  </si>
  <si>
    <t>год</t>
  </si>
  <si>
    <t>1 полугодие</t>
  </si>
  <si>
    <t>2 полугодие</t>
  </si>
  <si>
    <t>1 кв.</t>
  </si>
  <si>
    <t>2 кв.</t>
  </si>
  <si>
    <t>4 кв.</t>
  </si>
  <si>
    <t>ВСЕГО</t>
  </si>
  <si>
    <t>МО "Верхнетоемский муниципальный район"</t>
  </si>
  <si>
    <t>ООО "Т-Сервис"</t>
  </si>
  <si>
    <t>МО "Пучужское"</t>
  </si>
  <si>
    <t>ООО "МПМК"</t>
  </si>
  <si>
    <t>МО "Верхнетоемское"</t>
  </si>
  <si>
    <t>ООО "Кондратовское"</t>
  </si>
  <si>
    <t>МО "Афанасьевское"</t>
  </si>
  <si>
    <t>ООО "Удар"</t>
  </si>
  <si>
    <t>МО "Двинское"</t>
  </si>
  <si>
    <t>АО "АрхоблЭнерго"</t>
  </si>
  <si>
    <t>МО "Вилегодский муниципальный район"</t>
  </si>
  <si>
    <t>ООО "Ильинск ЖКХ"</t>
  </si>
  <si>
    <t>МО "Ильинское"</t>
  </si>
  <si>
    <t>ООО "Управдом" (Вилегодский район)</t>
  </si>
  <si>
    <t>МО "Никольское"</t>
  </si>
  <si>
    <t>ООО "ЖКХ Регион"</t>
  </si>
  <si>
    <t>МО "Селянское"</t>
  </si>
  <si>
    <t>ООО "Лето"</t>
  </si>
  <si>
    <t>ООО "Вилегодск ЖКХ"</t>
  </si>
  <si>
    <t>МО "Вилегодское"</t>
  </si>
  <si>
    <t>ООО "Павловск ЖКХ"</t>
  </si>
  <si>
    <t>МО "Павловское"</t>
  </si>
  <si>
    <t>МО "Виноградовский муниципальный район"</t>
  </si>
  <si>
    <t>МО "Шидровское"</t>
  </si>
  <si>
    <t>МО "Березниковское"</t>
  </si>
  <si>
    <t>ООО "Трансавто"</t>
  </si>
  <si>
    <t>ООО "УК "Весна"</t>
  </si>
  <si>
    <t>МО "Рочегодское"</t>
  </si>
  <si>
    <t>МО "Борецкое"</t>
  </si>
  <si>
    <t>ООО "Березниковское ТСП"</t>
  </si>
  <si>
    <t>ООО ПК "Энергия Севера"</t>
  </si>
  <si>
    <t>МО "Моржегорское"</t>
  </si>
  <si>
    <t>МО "Каргопольский муниципальный район"</t>
  </si>
  <si>
    <t>МУП МО "Каргопольский муниципальный район" "Печниково"</t>
  </si>
  <si>
    <t>МО "Печниковское"</t>
  </si>
  <si>
    <t>МУП МО "Каргопольский муниципальный район" "Архангело"</t>
  </si>
  <si>
    <t>МО "Приозерное"</t>
  </si>
  <si>
    <t>МО "Каргопольское"</t>
  </si>
  <si>
    <t>МУП МО "Каргопольский муниципальный район" "Усачево"</t>
  </si>
  <si>
    <t>МУП МО "Каргопольский муниципальный район" "Ошевенское"</t>
  </si>
  <si>
    <t>МО "Ошевенское"</t>
  </si>
  <si>
    <t>МУП МО "Каргопольский муниципальный район" "Казаково"</t>
  </si>
  <si>
    <t>МУП МО "Каргопольский муниципальный район" "Тихманьга"</t>
  </si>
  <si>
    <t>МО "Ухотское"</t>
  </si>
  <si>
    <t>МО "Коношский муниципальный район"</t>
  </si>
  <si>
    <t>МО "Волошское"</t>
  </si>
  <si>
    <t>МУП "Ерцевские теплосети"</t>
  </si>
  <si>
    <t>МО "Ерцевское"</t>
  </si>
  <si>
    <t>ООО "Коношский хлебозавод"</t>
  </si>
  <si>
    <t>МО "Коношское"</t>
  </si>
  <si>
    <t>МУП "Коношское благоустройство"</t>
  </si>
  <si>
    <t>МО "Тавреньгское"</t>
  </si>
  <si>
    <t>ООО "Теплоэнерго"</t>
  </si>
  <si>
    <t>МО "Мирный"</t>
  </si>
  <si>
    <t>МО "Подюжское"</t>
  </si>
  <si>
    <t>ОАО "РЖД" (Исакогорский участок)</t>
  </si>
  <si>
    <t>МО "Котлас"</t>
  </si>
  <si>
    <t>ОАО "РЖД" (Сольвычегодский участок)</t>
  </si>
  <si>
    <t>МО "Котласский муниципальный район"</t>
  </si>
  <si>
    <t>ООО "Удима"</t>
  </si>
  <si>
    <t>МО "Приводинское"</t>
  </si>
  <si>
    <t>МО "Черемушское"</t>
  </si>
  <si>
    <t>МО "Шипицынское"</t>
  </si>
  <si>
    <t>ООО "Управдом Сервис"</t>
  </si>
  <si>
    <t>МО "Красноборский муниципальный район"</t>
  </si>
  <si>
    <t>МП "Телеговское ЖКХ"</t>
  </si>
  <si>
    <t>МО "Телеговское"</t>
  </si>
  <si>
    <t>МО "Алексеевское"</t>
  </si>
  <si>
    <t>МО "Ленский муниципальный район"</t>
  </si>
  <si>
    <t>ООО "Энергосфера"</t>
  </si>
  <si>
    <t>МО "Урдомское"</t>
  </si>
  <si>
    <t>Козьминское МУППЖКХ</t>
  </si>
  <si>
    <t>МО "Козьминское"</t>
  </si>
  <si>
    <t>ООО "АГТС"</t>
  </si>
  <si>
    <t>МО "Сафроновское"</t>
  </si>
  <si>
    <t>ПАО "МРСК Северо-Запада"</t>
  </si>
  <si>
    <t>ООО "Газпром энерго"</t>
  </si>
  <si>
    <t>МО "Лешуконский муниципальный район"</t>
  </si>
  <si>
    <t>МО "Мезенский муниципальный район"</t>
  </si>
  <si>
    <t>МУП "ЖЭУ"</t>
  </si>
  <si>
    <t>МО "Онежский муниципальный район"</t>
  </si>
  <si>
    <t>ОАО "Онега-Энергия"</t>
  </si>
  <si>
    <t>МО "Онежское"</t>
  </si>
  <si>
    <t>ИП Попов Михаил Александрович</t>
  </si>
  <si>
    <t>МО "Чекуевское"</t>
  </si>
  <si>
    <t>ООО "ПКТС"</t>
  </si>
  <si>
    <t>МО "Пинежский муниципальный район"</t>
  </si>
  <si>
    <t>ООО "Сийское"</t>
  </si>
  <si>
    <t>МО "Сийское"</t>
  </si>
  <si>
    <t>ООО "АльянсТеплоЭнерго"</t>
  </si>
  <si>
    <t>МО "Карпогорское"</t>
  </si>
  <si>
    <t>МО "Междуреченское"</t>
  </si>
  <si>
    <t>МО "Шилегское"</t>
  </si>
  <si>
    <t>МО "Сосновское"</t>
  </si>
  <si>
    <t>МО "Лавельское"</t>
  </si>
  <si>
    <t>МО "Кушкопальское"</t>
  </si>
  <si>
    <t>МО "Пинежское"</t>
  </si>
  <si>
    <t>ООО "Пинежьелес"</t>
  </si>
  <si>
    <t>МО "Плесецкий муниципальный район"</t>
  </si>
  <si>
    <t>ООО "Уют-2"</t>
  </si>
  <si>
    <t>МО "Североонежское"</t>
  </si>
  <si>
    <t>МО "Оксовское"</t>
  </si>
  <si>
    <t>МО "Ярнемское"</t>
  </si>
  <si>
    <t>МО "Обозерское"</t>
  </si>
  <si>
    <t>ООО "Газпром теплоэнерго Плесецк"</t>
  </si>
  <si>
    <t>МО "Плесецкое"</t>
  </si>
  <si>
    <t>МО "Коневское"</t>
  </si>
  <si>
    <t>ООО "ПЖКХ"</t>
  </si>
  <si>
    <t>МО "Савинское"</t>
  </si>
  <si>
    <t>ООО "Северо-западная консалтинговая компания"</t>
  </si>
  <si>
    <t>МО "Приморский муниципальный район"</t>
  </si>
  <si>
    <t>МО "Боброво-Лявленское"</t>
  </si>
  <si>
    <t>ООО "Газпром теплоэнерго Архангельск"</t>
  </si>
  <si>
    <t>МО "Уемское"</t>
  </si>
  <si>
    <t>МО "Приморское"</t>
  </si>
  <si>
    <t>МО "Заостровское"</t>
  </si>
  <si>
    <t>МО "Катунинское"</t>
  </si>
  <si>
    <t>ООО "Помор"</t>
  </si>
  <si>
    <t>ООО "Теплоснаб" (Приморский район)</t>
  </si>
  <si>
    <t>УЧРЕЖДЕНИЕ "БАЗОВЫЙ САНАТОРИЙ "БЕЛОМОРЬЕ"</t>
  </si>
  <si>
    <t>ООО "РЭП "СФЕРА"</t>
  </si>
  <si>
    <t>МО "Лисестровское"</t>
  </si>
  <si>
    <t>ООО "Архбиоэнерго"</t>
  </si>
  <si>
    <t>ИП Звягина Александра Владимировна</t>
  </si>
  <si>
    <t>МО "Соловецкое"</t>
  </si>
  <si>
    <t>МО "Северодвинск"</t>
  </si>
  <si>
    <t>СМУП "Белое озеро"</t>
  </si>
  <si>
    <t>АО "ПЖРЭП"</t>
  </si>
  <si>
    <t>п. Водогон</t>
  </si>
  <si>
    <t>МО "Устьянский муниципальный район"</t>
  </si>
  <si>
    <t>ООО "УТК"</t>
  </si>
  <si>
    <t>МО "Октябрьское"</t>
  </si>
  <si>
    <t>ООО "ЖКХ Малодоры"</t>
  </si>
  <si>
    <t>МО "Малодорское"</t>
  </si>
  <si>
    <t>ООО УК "Жилуправление"</t>
  </si>
  <si>
    <t>МО "Ростовско-Минское"</t>
  </si>
  <si>
    <t>ООО "Шангальский ЖКС"</t>
  </si>
  <si>
    <t>МО "Шангальское"</t>
  </si>
  <si>
    <t>МУП "Бестужевское"</t>
  </si>
  <si>
    <t>МО "Бестужевское"</t>
  </si>
  <si>
    <t>ООО "Березник"</t>
  </si>
  <si>
    <t>МО "Березницкое"</t>
  </si>
  <si>
    <t>МО "Орловское"</t>
  </si>
  <si>
    <t>МО "Синицкое"</t>
  </si>
  <si>
    <t>МУП "Илезское"</t>
  </si>
  <si>
    <t>МО "Илезское"</t>
  </si>
  <si>
    <t>ООО "ТеплоСнаб" (Устьянский район)</t>
  </si>
  <si>
    <t>МО "Киземское"</t>
  </si>
  <si>
    <t>МУП "Плосское"</t>
  </si>
  <si>
    <t>МО "Плосское"</t>
  </si>
  <si>
    <t>МУП "Дмитриевское"</t>
  </si>
  <si>
    <t>МО "Дмитриевское"</t>
  </si>
  <si>
    <t>МО "Холмогорский муниципальный район"</t>
  </si>
  <si>
    <t>ООО "Северная Энергетическая Компания"</t>
  </si>
  <si>
    <t>МО "Луковецкое"</t>
  </si>
  <si>
    <t>ООО "КМ ТЭР"</t>
  </si>
  <si>
    <t>МО "Светлозерское"</t>
  </si>
  <si>
    <t>ООО "ТСП Холмогоры"</t>
  </si>
  <si>
    <t>МО "Холмогорское"</t>
  </si>
  <si>
    <t>ООО "Двина" (Холмогорский район)</t>
  </si>
  <si>
    <t>МО "Емецкое"</t>
  </si>
  <si>
    <t>ООО "Емецкое ТСП"</t>
  </si>
  <si>
    <t>МО "Ракульское"</t>
  </si>
  <si>
    <t>ООО "Пинега"</t>
  </si>
  <si>
    <t>МО "Белогорское"</t>
  </si>
  <si>
    <t>ООО "Холмогорское ТСП"</t>
  </si>
  <si>
    <t>ООО "Штиль"</t>
  </si>
  <si>
    <t>ООО "Фарватер"</t>
  </si>
  <si>
    <t>МО "Матигорское"</t>
  </si>
  <si>
    <t>МО "Шенкурский муниципальный район"</t>
  </si>
  <si>
    <t>ООО "Уютный город"</t>
  </si>
  <si>
    <t>МО "Шенкурское"</t>
  </si>
  <si>
    <t>ООО "УК "Уютный город"</t>
  </si>
  <si>
    <t>МО "Федорогорское"</t>
  </si>
  <si>
    <t>МО "Ровдинское"</t>
  </si>
  <si>
    <t>МО "Няндомский муниципальный район"</t>
  </si>
  <si>
    <t>МО "Няндомское"</t>
  </si>
  <si>
    <t>МО "Шалакушское"</t>
  </si>
  <si>
    <t>МО "Мошинское"</t>
  </si>
  <si>
    <t>ООО "Стройсервис"</t>
  </si>
  <si>
    <t>МУП "ШЛИТ" МО "Шалакушское"</t>
  </si>
  <si>
    <t>МО "Вельский муниципальный район"</t>
  </si>
  <si>
    <t>ООО "Теплоресурс"</t>
  </si>
  <si>
    <t>МО "Попонаволоцкое"</t>
  </si>
  <si>
    <t>МО "Тегринское"</t>
  </si>
  <si>
    <t>МУП "Шадреньгское"</t>
  </si>
  <si>
    <t>МО "Шадреньгское"</t>
  </si>
  <si>
    <t>ООО "Теплодом"</t>
  </si>
  <si>
    <t>МО "Верхнеустькулойское"</t>
  </si>
  <si>
    <t>МО "Липовское"</t>
  </si>
  <si>
    <t>МО "Верхнешоношское"</t>
  </si>
  <si>
    <t>МО "Пуйское"</t>
  </si>
  <si>
    <t>ООО "Теплострой"</t>
  </si>
  <si>
    <t>МО "Низовское"</t>
  </si>
  <si>
    <t>МО "Солгинское"</t>
  </si>
  <si>
    <t>МУП "Хозьминское"</t>
  </si>
  <si>
    <t>МО "Хозьминское"</t>
  </si>
  <si>
    <t>МО "Благовещенское"</t>
  </si>
  <si>
    <t>ООО "ЖКХ Кокшеньга"</t>
  </si>
  <si>
    <t>МО "Ракуло-Кокшеньгское"</t>
  </si>
  <si>
    <t>МО "Судромское"</t>
  </si>
  <si>
    <t>МО "Муравьевское"</t>
  </si>
  <si>
    <t>ООО "Кулой ЖКХ"</t>
  </si>
  <si>
    <t>МО "Кулойское"</t>
  </si>
  <si>
    <t>Вельское ГОРПО</t>
  </si>
  <si>
    <t>МО "Вельское"</t>
  </si>
  <si>
    <t>МО "Аргуновское"</t>
  </si>
  <si>
    <t>МО "Пакшеньгское"</t>
  </si>
  <si>
    <t>ООО "ВГС"</t>
  </si>
  <si>
    <t>ООО "Теплосервис"</t>
  </si>
  <si>
    <t>2907015570</t>
  </si>
  <si>
    <t>2907016905</t>
  </si>
  <si>
    <t>2907016013</t>
  </si>
  <si>
    <t>2907014383</t>
  </si>
  <si>
    <t>2907017176</t>
  </si>
  <si>
    <t>2907016020</t>
  </si>
  <si>
    <t>2907015524</t>
  </si>
  <si>
    <t>2907010540</t>
  </si>
  <si>
    <t>2907010325</t>
  </si>
  <si>
    <t>2918002171</t>
  </si>
  <si>
    <t>2921012042</t>
  </si>
  <si>
    <t>2924005452</t>
  </si>
  <si>
    <t>2901248674</t>
  </si>
  <si>
    <t>2901230116</t>
  </si>
  <si>
    <t>2923007217</t>
  </si>
  <si>
    <t>2923007104</t>
  </si>
  <si>
    <t>2923007288</t>
  </si>
  <si>
    <t>2923007344</t>
  </si>
  <si>
    <t>2923007175</t>
  </si>
  <si>
    <t>2901192407</t>
  </si>
  <si>
    <t>2922007180</t>
  </si>
  <si>
    <t>2922008063</t>
  </si>
  <si>
    <t>2922007060</t>
  </si>
  <si>
    <t>2922008803</t>
  </si>
  <si>
    <t>2922009317</t>
  </si>
  <si>
    <t>2922009194</t>
  </si>
  <si>
    <t>2922008497</t>
  </si>
  <si>
    <t>2902065289</t>
  </si>
  <si>
    <t>290222043671</t>
  </si>
  <si>
    <t>2921126730</t>
  </si>
  <si>
    <t>2901252021</t>
  </si>
  <si>
    <t>2920013847</t>
  </si>
  <si>
    <t>2920015594</t>
  </si>
  <si>
    <t>2901249879</t>
  </si>
  <si>
    <t>290604109003</t>
  </si>
  <si>
    <t>7736186950</t>
  </si>
  <si>
    <t>2901265172</t>
  </si>
  <si>
    <t>2915004011</t>
  </si>
  <si>
    <t>2912006620</t>
  </si>
  <si>
    <t>2912004817</t>
  </si>
  <si>
    <t>2912006268</t>
  </si>
  <si>
    <t>2911004331</t>
  </si>
  <si>
    <t>2910004650</t>
  </si>
  <si>
    <t>2910005075</t>
  </si>
  <si>
    <t>2909003179</t>
  </si>
  <si>
    <t>2908004966</t>
  </si>
  <si>
    <t>2908003698</t>
  </si>
  <si>
    <t>2908004701</t>
  </si>
  <si>
    <t>Запланированный объем ресурса на период</t>
  </si>
  <si>
    <t>2901286856</t>
  </si>
  <si>
    <t>ООО "Каскад"</t>
  </si>
  <si>
    <t>ООО "КТС"(Каргопольский район)</t>
  </si>
  <si>
    <t>2912006814</t>
  </si>
  <si>
    <t>ООО "Теплоснаб" (Коношский район)</t>
  </si>
  <si>
    <t>2914003625</t>
  </si>
  <si>
    <t>ООО "КТС"(Красноборский район)</t>
  </si>
  <si>
    <t>МО "Кенозерское"</t>
  </si>
  <si>
    <t>2921010743</t>
  </si>
  <si>
    <t>ООО "Управляющая жилищная компания"</t>
  </si>
  <si>
    <t>пос. Двинской, ул. Лесная, д. 62</t>
  </si>
  <si>
    <t>МО "Усть-Пинежское"</t>
  </si>
  <si>
    <t>2901283870</t>
  </si>
  <si>
    <t>ООО "ТЭВОС"</t>
  </si>
  <si>
    <t>МУП "Лихачевское"</t>
  </si>
  <si>
    <t>МО "Лихачёвское"</t>
  </si>
  <si>
    <t>одноставочный тариф тепловую энергию, отпускаемую потребителям, в случае отутствия дифференциации тарифов по схеме подключения (без НДС),руб./Гкал</t>
  </si>
  <si>
    <t>Потребность в средствах субсидии 2018 года с учетом дебиторской, кредиторской задолженности без учета декабря, руб.</t>
  </si>
  <si>
    <t>МО Лешуконский район</t>
  </si>
  <si>
    <t>МО Мезенский район</t>
  </si>
  <si>
    <t>МО Малошуйское</t>
  </si>
  <si>
    <t>МО Коношское</t>
  </si>
  <si>
    <t>МО Обозерское</t>
  </si>
  <si>
    <t>МО "Островное", д. Пустошь</t>
  </si>
  <si>
    <t>МО "Островное", д. Ластола</t>
  </si>
  <si>
    <t>МО "Островное", с Вознесенье, д. Кяростров</t>
  </si>
  <si>
    <t>МО "Емецкое", ул. Почтовая</t>
  </si>
  <si>
    <t>МО "Емецкое", ул. Жолобова</t>
  </si>
  <si>
    <t>МО "Шеговарское",(с. Шеговары, ул. Центральная, д.68 а)</t>
  </si>
  <si>
    <t>МО "Шеговарское" (с. Шеговары, ул. Садовая, д.1)</t>
  </si>
  <si>
    <t>МО "Приводинское", д. Курцево</t>
  </si>
  <si>
    <t>МО "Приводинское", д. Куимиха</t>
  </si>
  <si>
    <t>МО "Сольвычегодское", г. Сольвычегодск</t>
  </si>
  <si>
    <t>МО "Сольвычегодское", пом. Харитоново</t>
  </si>
  <si>
    <t>МО "Сольвычегодское", д. Григорово</t>
  </si>
  <si>
    <t>МО "Холмогорское" д. Анашкино</t>
  </si>
  <si>
    <t>МО "Холмогорское"с.Ломоносово</t>
  </si>
  <si>
    <t>МО "Ильинское", д. Кошкино</t>
  </si>
  <si>
    <t>МО "Ильинское"С. Илдьинско-Подомское</t>
  </si>
  <si>
    <t>МО "Ильинское", с. Ильинско-Подомское, ул. Советская</t>
  </si>
  <si>
    <t>МО "Ильинское", с. Ильинско-Подомское, ул. Кедрова</t>
  </si>
  <si>
    <t>ООО "ФинансГрупп"</t>
  </si>
  <si>
    <t>МУП "Холмогорский ВОДОКАНАЛ" / ООО "Штиль"</t>
  </si>
  <si>
    <t>МУП "Холмогорский ВОДОКАНАЛ"/ ООО "Штиль"</t>
  </si>
  <si>
    <t xml:space="preserve">                                           к пояснительной записке</t>
  </si>
  <si>
    <t xml:space="preserve">Плановый расчет потребности в средствах субсидии на возмещение недополученных доходов, возникающих в результате государственного регулирования тарифов на тепловую энергию,поставляемую населению и потребителям, приравненным к населению на нужды теплоснабжения в 2018 году </t>
  </si>
  <si>
    <t xml:space="preserve">                                           Приложение № 33</t>
  </si>
</sst>
</file>

<file path=xl/styles.xml><?xml version="1.0" encoding="utf-8"?>
<styleSheet xmlns="http://schemas.openxmlformats.org/spreadsheetml/2006/main">
  <numFmts count="55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#,##0.00_ ;\-#,##0.00\ "/>
    <numFmt numFmtId="170" formatCode="0.0"/>
    <numFmt numFmtId="171" formatCode="_(* #,##0.00_);_(* \(\ #,##0.00\ \);_(* &quot;-&quot;??_);_(\ @_ \)"/>
    <numFmt numFmtId="172" formatCode="_(* #,##0.000_);_(* \(\ #,##0.000\ \);_(* &quot;-&quot;??_);_(\ @_ \)"/>
    <numFmt numFmtId="173" formatCode="_-* #,##0.00[$€-1]_-;\-* #,##0.00[$€-1]_-;_-* &quot;-&quot;??[$€-1]_-"/>
    <numFmt numFmtId="174" formatCode="0.0%"/>
    <numFmt numFmtId="175" formatCode="0.0%_);\(0.0%\)"/>
    <numFmt numFmtId="176" formatCode="#,##0_);[Red]\(#,##0\)"/>
    <numFmt numFmtId="177" formatCode="#,##0;\(#,##0\)"/>
    <numFmt numFmtId="178" formatCode="_-* #,##0.00\ _$_-;\-* #,##0.00\ _$_-;_-* &quot;-&quot;??\ _$_-;_-@_-"/>
    <numFmt numFmtId="179" formatCode="#.##0\.00"/>
    <numFmt numFmtId="180" formatCode="#\.00"/>
    <numFmt numFmtId="181" formatCode="#\."/>
    <numFmt numFmtId="182" formatCode="_-* #,##0\ &quot;руб&quot;_-;\-* #,##0\ &quot;руб&quot;_-;_-* &quot;-&quot;\ &quot;руб&quot;_-;_-@_-"/>
    <numFmt numFmtId="183" formatCode="General_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&quot;$&quot;#,##0_);[Red]\(&quot;$&quot;#,##0\)"/>
    <numFmt numFmtId="187" formatCode="\$#,##0\ ;\(\$#,##0\)"/>
    <numFmt numFmtId="188" formatCode="#,##0.0"/>
    <numFmt numFmtId="189" formatCode="#,##0.0000"/>
    <numFmt numFmtId="190" formatCode="#,##0.000[$р.-419];\-#,##0.000[$р.-419]"/>
    <numFmt numFmtId="191" formatCode="_-* #,##0.0\ _$_-;\-* #,##0.0\ _$_-;_-* &quot;-&quot;??\ _$_-;_-@_-"/>
    <numFmt numFmtId="192" formatCode="#,##0.0_);\(#,##0.0\)"/>
    <numFmt numFmtId="193" formatCode="#,##0_ ;[Red]\-#,##0\ "/>
    <numFmt numFmtId="194" formatCode="#,##0_);[Blue]\(#,##0\)"/>
    <numFmt numFmtId="195" formatCode="_-* #,##0_-;\-* #,##0_-;_-* &quot;-&quot;_-;_-@_-"/>
    <numFmt numFmtId="196" formatCode="_-* #,##0.00_-;\-* #,##0.00_-;_-* &quot;-&quot;??_-;_-@_-"/>
    <numFmt numFmtId="197" formatCode="_ * #,##0_ ;_ * \-#,##0_ ;_ * &quot;-&quot;_ ;_ @_ "/>
    <numFmt numFmtId="198" formatCode="_ * #,##0.00_ ;_ * \-#,##0.00_ ;_ * &quot;-&quot;??_ ;_ @_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_-* #,##0_đ_._-;\-* #,##0_đ_._-;_-* &quot;-&quot;_đ_._-;_-@_-"/>
    <numFmt numFmtId="205" formatCode="_-* #,##0.00_đ_._-;\-* #,##0.00_đ_._-;_-* &quot;-&quot;??_đ_._-;_-@_-"/>
    <numFmt numFmtId="206" formatCode="\(#,##0.0\)"/>
    <numFmt numFmtId="207" formatCode="#,##0\ &quot;?.&quot;;\-#,##0\ &quot;?.&quot;"/>
    <numFmt numFmtId="208" formatCode="#,##0______;;&quot;------------      &quot;"/>
    <numFmt numFmtId="209" formatCode="&quot;$&quot;#,##0"/>
    <numFmt numFmtId="210" formatCode="#,##0.000_ ;\-#,##0.000\ "/>
    <numFmt numFmtId="211" formatCode="#,##0.00_ ;[Red]\-#,##0.00\ "/>
    <numFmt numFmtId="212" formatCode="_(&quot;$&quot;* #,##0.00_);_(&quot;$&quot;* \(#,##0.00\);_(&quot;$&quot;* &quot;-&quot;??_);_(@_)"/>
    <numFmt numFmtId="213" formatCode="0_)"/>
    <numFmt numFmtId="214" formatCode="0.000"/>
    <numFmt numFmtId="215" formatCode="_(* #,##0_);_(* \(#,##0\);_(* &quot;-&quot;_);_(@_)"/>
    <numFmt numFmtId="216" formatCode="_(* #,##0.00_);_(* \(#,##0.00\);_(* &quot;-&quot;??_);_(@_)"/>
    <numFmt numFmtId="217" formatCode="_-* #,##0.00\ _р_._-;\-* #,##0.00\ _р_._-;_-* &quot;-&quot;??\ _р_._-;_-@_-"/>
    <numFmt numFmtId="218" formatCode="_-* #,##0\ _$_-;\-* #,##0\ _$_-;_-* &quot;-&quot;\ _$_-;_-@_-"/>
  </numFmts>
  <fonts count="18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ahoma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4"/>
      <name val="Times New Roman"/>
      <family val="1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Verdana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3"/>
      <color indexed="9"/>
      <name val="Times New Roman"/>
      <family val="2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SimSun"/>
      <family val="2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b/>
      <sz val="10"/>
      <name val="SvobodaFWF"/>
    </font>
    <font>
      <sz val="6"/>
      <color indexed="16"/>
      <name val="Palatino"/>
      <family val="1"/>
    </font>
    <font>
      <b/>
      <sz val="12"/>
      <name val="NTHelvetica/Cyrillic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sz val="10"/>
      <name val="NTHelvetica/Cyrillic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3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3"/>
      <color indexed="63"/>
      <name val="Times New Roman"/>
      <family val="2"/>
      <charset val="204"/>
    </font>
    <font>
      <b/>
      <sz val="13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name val="Arial Cyr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3"/>
      <color indexed="8"/>
      <name val="Times New Roman"/>
      <family val="2"/>
      <charset val="204"/>
    </font>
    <font>
      <b/>
      <sz val="13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3"/>
      <color indexed="60"/>
      <name val="Times New Roman"/>
      <family val="2"/>
      <charset val="204"/>
    </font>
    <font>
      <sz val="12"/>
      <name val="Arial Cyr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</font>
    <font>
      <b/>
      <i/>
      <sz val="10"/>
      <color indexed="10"/>
      <name val="Arial Cyr"/>
      <family val="2"/>
      <charset val="204"/>
    </font>
    <font>
      <sz val="13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3"/>
      <color indexed="23"/>
      <name val="Times New Roman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3"/>
      <color indexed="52"/>
      <name val="Times New Roman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sz val="13"/>
      <color indexed="10"/>
      <name val="Times New Roman"/>
      <family val="2"/>
      <charset val="204"/>
    </font>
    <font>
      <sz val="9"/>
      <name val="Arial Cyr"/>
      <charset val="204"/>
    </font>
    <font>
      <sz val="13"/>
      <color indexed="17"/>
      <name val="Times New Roman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3"/>
      <name val="Tahoma"/>
      <family val="2"/>
      <charset val="204"/>
    </font>
    <font>
      <b/>
      <sz val="13"/>
      <color theme="1"/>
      <name val="Tahoma"/>
      <family val="2"/>
      <charset val="204"/>
    </font>
    <font>
      <sz val="13"/>
      <color theme="1"/>
      <name val="Tahoma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FF0000"/>
      <name val="Tahoma"/>
      <family val="2"/>
      <charset val="204"/>
    </font>
    <font>
      <sz val="13"/>
      <color rgb="FFFF0000"/>
      <name val="Calibri"/>
      <family val="2"/>
      <charset val="204"/>
      <scheme val="minor"/>
    </font>
    <font>
      <sz val="12"/>
      <name val="Tahoma"/>
      <family val="2"/>
      <charset val="204"/>
    </font>
  </fonts>
  <fills count="6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8"/>
        <bgColor indexed="11"/>
      </patternFill>
    </fill>
    <fill>
      <patternFill patternType="solid">
        <fgColor indexed="3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21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4" fillId="0" borderId="0"/>
    <xf numFmtId="173" fontId="14" fillId="0" borderId="0"/>
    <xf numFmtId="0" fontId="15" fillId="0" borderId="0"/>
    <xf numFmtId="0" fontId="16" fillId="0" borderId="0"/>
    <xf numFmtId="174" fontId="17" fillId="0" borderId="0">
      <alignment vertical="top"/>
    </xf>
    <xf numFmtId="174" fontId="18" fillId="0" borderId="0">
      <alignment vertical="top"/>
    </xf>
    <xf numFmtId="175" fontId="18" fillId="2" borderId="0">
      <alignment vertical="top"/>
    </xf>
    <xf numFmtId="175" fontId="18" fillId="2" borderId="0">
      <alignment vertical="top"/>
    </xf>
    <xf numFmtId="175" fontId="18" fillId="2" borderId="0">
      <alignment vertical="top"/>
    </xf>
    <xf numFmtId="175" fontId="18" fillId="2" borderId="0">
      <alignment vertical="top"/>
    </xf>
    <xf numFmtId="174" fontId="18" fillId="3" borderId="0">
      <alignment vertical="top"/>
    </xf>
    <xf numFmtId="174" fontId="18" fillId="3" borderId="0">
      <alignment vertical="top"/>
    </xf>
    <xf numFmtId="174" fontId="18" fillId="3" borderId="0">
      <alignment vertical="top"/>
    </xf>
    <xf numFmtId="174" fontId="18" fillId="3" borderId="0">
      <alignment vertical="top"/>
    </xf>
    <xf numFmtId="0" fontId="3" fillId="0" borderId="0"/>
    <xf numFmtId="40" fontId="19" fillId="0" borderId="0" applyFont="0" applyFill="0" applyBorder="0" applyAlignment="0" applyProtection="0"/>
    <xf numFmtId="0" fontId="20" fillId="0" borderId="0"/>
    <xf numFmtId="0" fontId="16" fillId="0" borderId="0"/>
    <xf numFmtId="0" fontId="16" fillId="0" borderId="0"/>
    <xf numFmtId="0" fontId="15" fillId="0" borderId="0"/>
    <xf numFmtId="0" fontId="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7" fontId="16" fillId="4" borderId="9">
      <alignment wrapText="1"/>
      <protection locked="0"/>
    </xf>
    <xf numFmtId="177" fontId="16" fillId="4" borderId="9">
      <alignment wrapText="1"/>
      <protection locked="0"/>
    </xf>
    <xf numFmtId="177" fontId="16" fillId="4" borderId="9">
      <alignment wrapText="1"/>
      <protection locked="0"/>
    </xf>
    <xf numFmtId="177" fontId="16" fillId="4" borderId="9">
      <alignment wrapText="1"/>
      <protection locked="0"/>
    </xf>
    <xf numFmtId="177" fontId="16" fillId="4" borderId="9">
      <alignment wrapText="1"/>
      <protection locked="0"/>
    </xf>
    <xf numFmtId="0" fontId="21" fillId="5" borderId="10" applyNumberFormat="0">
      <alignment readingOrder="1"/>
      <protection locked="0"/>
    </xf>
    <xf numFmtId="0" fontId="14" fillId="0" borderId="0"/>
    <xf numFmtId="0" fontId="14" fillId="0" borderId="0"/>
    <xf numFmtId="0" fontId="14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173" fontId="15" fillId="0" borderId="0"/>
    <xf numFmtId="0" fontId="15" fillId="0" borderId="0"/>
    <xf numFmtId="173" fontId="15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15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0" fontId="14" fillId="0" borderId="0"/>
    <xf numFmtId="0" fontId="14" fillId="0" borderId="0"/>
    <xf numFmtId="0" fontId="14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176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6" fontId="17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4" fillId="0" borderId="0"/>
    <xf numFmtId="0" fontId="15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5" fillId="0" borderId="0"/>
    <xf numFmtId="173" fontId="15" fillId="0" borderId="0"/>
    <xf numFmtId="178" fontId="24" fillId="0" borderId="0" applyFont="0" applyFill="0" applyBorder="0" applyAlignment="0" applyProtection="0"/>
    <xf numFmtId="0" fontId="25" fillId="0" borderId="11">
      <protection locked="0"/>
    </xf>
    <xf numFmtId="179" fontId="26" fillId="0" borderId="0">
      <protection locked="0"/>
    </xf>
    <xf numFmtId="180" fontId="26" fillId="0" borderId="0">
      <protection locked="0"/>
    </xf>
    <xf numFmtId="166" fontId="25" fillId="0" borderId="0">
      <protection locked="0"/>
    </xf>
    <xf numFmtId="166" fontId="25" fillId="0" borderId="0">
      <protection locked="0"/>
    </xf>
    <xf numFmtId="166" fontId="25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181" fontId="26" fillId="0" borderId="11">
      <protection locked="0"/>
    </xf>
    <xf numFmtId="182" fontId="24" fillId="0" borderId="0">
      <alignment horizontal="center"/>
    </xf>
    <xf numFmtId="182" fontId="24" fillId="0" borderId="0">
      <alignment horizontal="center"/>
    </xf>
    <xf numFmtId="182" fontId="24" fillId="0" borderId="0">
      <alignment horizontal="center"/>
    </xf>
    <xf numFmtId="182" fontId="24" fillId="0" borderId="0">
      <alignment horizontal="center"/>
    </xf>
    <xf numFmtId="0" fontId="28" fillId="6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7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2" borderId="0" applyNumberFormat="0" applyBorder="0" applyAlignment="0" applyProtection="0"/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26" borderId="10" applyNumberFormat="0" applyAlignment="0"/>
    <xf numFmtId="0" fontId="23" fillId="0" borderId="0"/>
    <xf numFmtId="183" fontId="22" fillId="0" borderId="12">
      <protection locked="0"/>
    </xf>
    <xf numFmtId="184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35" fillId="8" borderId="0" applyNumberFormat="0" applyBorder="0" applyAlignment="0" applyProtection="0"/>
    <xf numFmtId="10" fontId="36" fillId="0" borderId="0" applyNumberFormat="0" applyFill="0" applyBorder="0" applyAlignment="0"/>
    <xf numFmtId="0" fontId="37" fillId="0" borderId="0"/>
    <xf numFmtId="0" fontId="38" fillId="17" borderId="10" applyNumberFormat="0" applyAlignment="0" applyProtection="0"/>
    <xf numFmtId="0" fontId="4" fillId="0" borderId="10" applyNumberFormat="0" applyAlignment="0">
      <protection locked="0"/>
    </xf>
    <xf numFmtId="0" fontId="4" fillId="0" borderId="10" applyNumberFormat="0" applyAlignment="0">
      <protection locked="0"/>
    </xf>
    <xf numFmtId="0" fontId="4" fillId="0" borderId="10" applyNumberFormat="0" applyAlignment="0">
      <protection locked="0"/>
    </xf>
    <xf numFmtId="0" fontId="4" fillId="0" borderId="10" applyNumberFormat="0" applyAlignment="0">
      <protection locked="0"/>
    </xf>
    <xf numFmtId="0" fontId="39" fillId="27" borderId="13" applyNumberFormat="0" applyAlignment="0" applyProtection="0"/>
    <xf numFmtId="0" fontId="40" fillId="0" borderId="6">
      <alignment horizontal="left" vertical="center"/>
    </xf>
    <xf numFmtId="165" fontId="16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3" fontId="42" fillId="0" borderId="0" applyFont="0" applyFill="0" applyBorder="0" applyAlignment="0" applyProtection="0"/>
    <xf numFmtId="183" fontId="43" fillId="28" borderId="12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ont="0" applyFill="0" applyBorder="0" applyAlignment="0" applyProtection="0">
      <alignment horizontal="right"/>
    </xf>
    <xf numFmtId="166" fontId="16" fillId="0" borderId="0" applyFont="0" applyFill="0" applyBorder="0" applyAlignment="0" applyProtection="0"/>
    <xf numFmtId="187" fontId="42" fillId="0" borderId="0" applyFont="0" applyFill="0" applyBorder="0" applyAlignment="0" applyProtection="0"/>
    <xf numFmtId="188" fontId="12" fillId="4" borderId="0">
      <protection locked="0"/>
    </xf>
    <xf numFmtId="0" fontId="41" fillId="0" borderId="0" applyFill="0" applyBorder="0" applyProtection="0">
      <alignment vertical="center"/>
    </xf>
    <xf numFmtId="168" fontId="12" fillId="4" borderId="0">
      <protection locked="0"/>
    </xf>
    <xf numFmtId="189" fontId="12" fillId="4" borderId="0">
      <protection locked="0"/>
    </xf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4" fontId="44" fillId="0" borderId="0">
      <alignment vertical="top"/>
    </xf>
    <xf numFmtId="0" fontId="4" fillId="29" borderId="10" applyAlignment="0">
      <alignment horizontal="left" vertical="center"/>
    </xf>
    <xf numFmtId="0" fontId="4" fillId="29" borderId="10" applyAlignment="0">
      <alignment horizontal="left" vertical="center"/>
    </xf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0" fontId="41" fillId="0" borderId="14" applyNumberFormat="0" applyFont="0" applyFill="0" applyAlignment="0" applyProtection="0"/>
    <xf numFmtId="0" fontId="45" fillId="0" borderId="0" applyNumberFormat="0" applyFill="0" applyBorder="0" applyAlignment="0" applyProtection="0"/>
    <xf numFmtId="176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173" fontId="9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37" fontId="16" fillId="0" borderId="0"/>
    <xf numFmtId="0" fontId="29" fillId="0" borderId="0"/>
    <xf numFmtId="0" fontId="47" fillId="0" borderId="0"/>
    <xf numFmtId="0" fontId="48" fillId="0" borderId="0"/>
    <xf numFmtId="0" fontId="49" fillId="0" borderId="0" applyNumberFormat="0" applyFill="0" applyBorder="0" applyAlignment="0" applyProtection="0"/>
    <xf numFmtId="170" fontId="50" fillId="0" borderId="0" applyFill="0" applyBorder="0" applyAlignment="0" applyProtection="0"/>
    <xf numFmtId="170" fontId="17" fillId="0" borderId="0" applyFill="0" applyBorder="0" applyAlignment="0" applyProtection="0"/>
    <xf numFmtId="170" fontId="51" fillId="0" borderId="0" applyFill="0" applyBorder="0" applyAlignment="0" applyProtection="0"/>
    <xf numFmtId="170" fontId="52" fillId="0" borderId="0" applyFill="0" applyBorder="0" applyAlignment="0" applyProtection="0"/>
    <xf numFmtId="170" fontId="53" fillId="0" borderId="0" applyFill="0" applyBorder="0" applyAlignment="0" applyProtection="0"/>
    <xf numFmtId="170" fontId="54" fillId="0" borderId="0" applyFill="0" applyBorder="0" applyAlignment="0" applyProtection="0"/>
    <xf numFmtId="170" fontId="55" fillId="0" borderId="0" applyFill="0" applyBorder="0" applyAlignment="0" applyProtection="0"/>
    <xf numFmtId="2" fontId="42" fillId="0" borderId="0" applyFont="0" applyFill="0" applyBorder="0" applyAlignment="0" applyProtection="0"/>
    <xf numFmtId="0" fontId="56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ill="0" applyBorder="0" applyProtection="0">
      <alignment horizontal="left"/>
    </xf>
    <xf numFmtId="0" fontId="4" fillId="9" borderId="10" applyNumberFormat="0" applyAlignment="0"/>
    <xf numFmtId="0" fontId="4" fillId="9" borderId="10" applyNumberFormat="0" applyAlignment="0"/>
    <xf numFmtId="0" fontId="59" fillId="9" borderId="0" applyNumberFormat="0" applyBorder="0" applyAlignment="0" applyProtection="0"/>
    <xf numFmtId="174" fontId="60" fillId="3" borderId="6" applyNumberFormat="0" applyFont="0" applyBorder="0" applyAlignment="0" applyProtection="0"/>
    <xf numFmtId="0" fontId="41" fillId="0" borderId="0" applyFont="0" applyFill="0" applyBorder="0" applyAlignment="0" applyProtection="0">
      <alignment horizontal="right"/>
    </xf>
    <xf numFmtId="192" fontId="61" fillId="3" borderId="0" applyNumberFormat="0" applyFont="0" applyAlignment="0"/>
    <xf numFmtId="0" fontId="62" fillId="0" borderId="15" applyNumberFormat="0" applyBorder="0">
      <alignment horizontal="centerContinuous"/>
    </xf>
    <xf numFmtId="0" fontId="63" fillId="0" borderId="0" applyProtection="0">
      <alignment horizontal="right"/>
    </xf>
    <xf numFmtId="0" fontId="4" fillId="17" borderId="10" applyNumberFormat="0" applyAlignment="0"/>
    <xf numFmtId="0" fontId="4" fillId="17" borderId="10" applyNumberFormat="0" applyAlignment="0"/>
    <xf numFmtId="0" fontId="64" fillId="0" borderId="0">
      <alignment horizontal="center"/>
    </xf>
    <xf numFmtId="0" fontId="64" fillId="30" borderId="0">
      <alignment horizontal="center"/>
    </xf>
    <xf numFmtId="0" fontId="65" fillId="0" borderId="0">
      <alignment vertical="top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8" fillId="0" borderId="0" applyNumberFormat="0" applyFill="0" applyBorder="0" applyAlignment="0" applyProtection="0"/>
    <xf numFmtId="2" fontId="69" fillId="31" borderId="0" applyAlignment="0">
      <alignment horizontal="right"/>
      <protection locked="0"/>
    </xf>
    <xf numFmtId="176" fontId="70" fillId="0" borderId="0">
      <alignment vertical="top"/>
    </xf>
    <xf numFmtId="38" fontId="70" fillId="0" borderId="0">
      <alignment vertical="top"/>
    </xf>
    <xf numFmtId="38" fontId="70" fillId="0" borderId="0">
      <alignment vertical="top"/>
    </xf>
    <xf numFmtId="0" fontId="71" fillId="32" borderId="0"/>
    <xf numFmtId="0" fontId="72" fillId="33" borderId="0"/>
    <xf numFmtId="0" fontId="9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24" fillId="0" borderId="0"/>
    <xf numFmtId="183" fontId="74" fillId="0" borderId="0"/>
    <xf numFmtId="0" fontId="16" fillId="0" borderId="0"/>
    <xf numFmtId="0" fontId="75" fillId="0" borderId="0" applyNumberFormat="0" applyFill="0" applyBorder="0" applyAlignment="0" applyProtection="0">
      <alignment vertical="top"/>
      <protection locked="0"/>
    </xf>
    <xf numFmtId="193" fontId="76" fillId="0" borderId="6">
      <alignment horizontal="center" vertical="center" wrapText="1"/>
    </xf>
    <xf numFmtId="0" fontId="77" fillId="12" borderId="10" applyNumberFormat="0" applyAlignment="0" applyProtection="0"/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0" fontId="78" fillId="0" borderId="0" applyFill="0" applyBorder="0" applyProtection="0">
      <alignment vertical="center"/>
    </xf>
    <xf numFmtId="176" fontId="18" fillId="0" borderId="0">
      <alignment vertical="top"/>
    </xf>
    <xf numFmtId="176" fontId="18" fillId="2" borderId="0">
      <alignment vertical="top"/>
    </xf>
    <xf numFmtId="38" fontId="18" fillId="2" borderId="0">
      <alignment vertical="top"/>
    </xf>
    <xf numFmtId="38" fontId="18" fillId="2" borderId="0">
      <alignment vertical="top"/>
    </xf>
    <xf numFmtId="38" fontId="18" fillId="0" borderId="0">
      <alignment vertical="top"/>
    </xf>
    <xf numFmtId="194" fontId="18" fillId="3" borderId="0">
      <alignment vertical="top"/>
    </xf>
    <xf numFmtId="38" fontId="18" fillId="0" borderId="0">
      <alignment vertical="top"/>
    </xf>
    <xf numFmtId="0" fontId="79" fillId="0" borderId="17" applyNumberFormat="0" applyFill="0" applyAlignment="0" applyProtection="0"/>
    <xf numFmtId="195" fontId="80" fillId="0" borderId="0" applyFont="0" applyFill="0" applyBorder="0" applyAlignment="0" applyProtection="0"/>
    <xf numFmtId="196" fontId="80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199" fontId="81" fillId="0" borderId="6">
      <alignment horizontal="right"/>
      <protection locked="0"/>
    </xf>
    <xf numFmtId="200" fontId="80" fillId="0" borderId="0" applyFont="0" applyFill="0" applyBorder="0" applyAlignment="0" applyProtection="0"/>
    <xf numFmtId="201" fontId="80" fillId="0" borderId="0" applyFont="0" applyFill="0" applyBorder="0" applyAlignment="0" applyProtection="0"/>
    <xf numFmtId="200" fontId="80" fillId="0" borderId="0" applyFont="0" applyFill="0" applyBorder="0" applyAlignment="0" applyProtection="0"/>
    <xf numFmtId="201" fontId="80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41" fillId="0" borderId="0" applyFill="0" applyBorder="0" applyProtection="0">
      <alignment vertical="center"/>
    </xf>
    <xf numFmtId="0" fontId="41" fillId="0" borderId="0" applyFont="0" applyFill="0" applyBorder="0" applyAlignment="0" applyProtection="0">
      <alignment horizontal="right"/>
    </xf>
    <xf numFmtId="3" fontId="24" fillId="0" borderId="18" applyFont="0" applyBorder="0">
      <alignment horizontal="center" vertical="center"/>
    </xf>
    <xf numFmtId="0" fontId="82" fillId="34" borderId="0" applyNumberFormat="0" applyBorder="0" applyAlignment="0" applyProtection="0"/>
    <xf numFmtId="0" fontId="28" fillId="0" borderId="1"/>
    <xf numFmtId="0" fontId="83" fillId="0" borderId="0" applyNumberFormat="0" applyFill="0" applyBorder="0" applyAlignment="0" applyProtection="0"/>
    <xf numFmtId="202" fontId="24" fillId="0" borderId="0"/>
    <xf numFmtId="0" fontId="8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>
      <alignment horizontal="right"/>
    </xf>
    <xf numFmtId="0" fontId="24" fillId="0" borderId="0"/>
    <xf numFmtId="0" fontId="85" fillId="0" borderId="0"/>
    <xf numFmtId="0" fontId="41" fillId="0" borderId="0" applyFill="0" applyBorder="0" applyProtection="0">
      <alignment vertical="center"/>
    </xf>
    <xf numFmtId="0" fontId="86" fillId="0" borderId="0"/>
    <xf numFmtId="0" fontId="16" fillId="0" borderId="0"/>
    <xf numFmtId="0" fontId="14" fillId="0" borderId="0"/>
    <xf numFmtId="0" fontId="12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203" fontId="24" fillId="0" borderId="0" applyFont="0" applyAlignment="0">
      <alignment horizontal="center"/>
    </xf>
    <xf numFmtId="204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0" fontId="60" fillId="0" borderId="0"/>
    <xf numFmtId="206" fontId="60" fillId="0" borderId="0" applyFont="0" applyFill="0" applyBorder="0" applyAlignment="0" applyProtection="0"/>
    <xf numFmtId="207" fontId="60" fillId="0" borderId="0" applyFont="0" applyFill="0" applyBorder="0" applyAlignment="0" applyProtection="0"/>
    <xf numFmtId="0" fontId="87" fillId="17" borderId="20" applyNumberFormat="0" applyAlignment="0" applyProtection="0"/>
    <xf numFmtId="1" fontId="88" fillId="0" borderId="0" applyProtection="0">
      <alignment horizontal="right" vertical="center"/>
    </xf>
    <xf numFmtId="49" fontId="89" fillId="0" borderId="21" applyFill="0" applyProtection="0">
      <alignment vertical="center"/>
    </xf>
    <xf numFmtId="9" fontId="16" fillId="0" borderId="0" applyFont="0" applyFill="0" applyBorder="0" applyAlignment="0" applyProtection="0"/>
    <xf numFmtId="0" fontId="41" fillId="0" borderId="0" applyFill="0" applyBorder="0" applyProtection="0">
      <alignment vertical="center"/>
    </xf>
    <xf numFmtId="37" fontId="90" fillId="4" borderId="22"/>
    <xf numFmtId="37" fontId="90" fillId="4" borderId="22"/>
    <xf numFmtId="0" fontId="91" fillId="0" borderId="0" applyNumberFormat="0">
      <alignment horizontal="left"/>
    </xf>
    <xf numFmtId="208" fontId="92" fillId="0" borderId="23" applyBorder="0">
      <alignment horizontal="right"/>
      <protection locked="0"/>
    </xf>
    <xf numFmtId="49" fontId="93" fillId="0" borderId="6" applyNumberFormat="0">
      <alignment horizontal="left" vertical="center"/>
    </xf>
    <xf numFmtId="0" fontId="94" fillId="0" borderId="24">
      <alignment vertical="center"/>
    </xf>
    <xf numFmtId="4" fontId="95" fillId="4" borderId="20" applyNumberFormat="0" applyProtection="0">
      <alignment vertical="center"/>
    </xf>
    <xf numFmtId="4" fontId="96" fillId="4" borderId="20" applyNumberFormat="0" applyProtection="0">
      <alignment vertical="center"/>
    </xf>
    <xf numFmtId="4" fontId="95" fillId="4" borderId="20" applyNumberFormat="0" applyProtection="0">
      <alignment horizontal="left" vertical="center" indent="1"/>
    </xf>
    <xf numFmtId="4" fontId="95" fillId="4" borderId="20" applyNumberFormat="0" applyProtection="0">
      <alignment horizontal="left" vertical="center" indent="1"/>
    </xf>
    <xf numFmtId="0" fontId="16" fillId="5" borderId="20" applyNumberFormat="0" applyProtection="0">
      <alignment horizontal="left" vertical="center" indent="1"/>
    </xf>
    <xf numFmtId="4" fontId="95" fillId="36" borderId="20" applyNumberFormat="0" applyProtection="0">
      <alignment horizontal="right" vertical="center"/>
    </xf>
    <xf numFmtId="4" fontId="95" fillId="37" borderId="20" applyNumberFormat="0" applyProtection="0">
      <alignment horizontal="right" vertical="center"/>
    </xf>
    <xf numFmtId="4" fontId="95" fillId="38" borderId="20" applyNumberFormat="0" applyProtection="0">
      <alignment horizontal="right" vertical="center"/>
    </xf>
    <xf numFmtId="4" fontId="95" fillId="39" borderId="20" applyNumberFormat="0" applyProtection="0">
      <alignment horizontal="right" vertical="center"/>
    </xf>
    <xf numFmtId="4" fontId="95" fillId="40" borderId="20" applyNumberFormat="0" applyProtection="0">
      <alignment horizontal="right" vertical="center"/>
    </xf>
    <xf numFmtId="4" fontId="95" fillId="41" borderId="20" applyNumberFormat="0" applyProtection="0">
      <alignment horizontal="right" vertical="center"/>
    </xf>
    <xf numFmtId="4" fontId="95" fillId="42" borderId="20" applyNumberFormat="0" applyProtection="0">
      <alignment horizontal="right" vertical="center"/>
    </xf>
    <xf numFmtId="4" fontId="95" fillId="43" borderId="20" applyNumberFormat="0" applyProtection="0">
      <alignment horizontal="right" vertical="center"/>
    </xf>
    <xf numFmtId="4" fontId="95" fillId="44" borderId="20" applyNumberFormat="0" applyProtection="0">
      <alignment horizontal="right" vertical="center"/>
    </xf>
    <xf numFmtId="4" fontId="97" fillId="45" borderId="20" applyNumberFormat="0" applyProtection="0">
      <alignment horizontal="left" vertical="center" indent="1"/>
    </xf>
    <xf numFmtId="4" fontId="95" fillId="46" borderId="25" applyNumberFormat="0" applyProtection="0">
      <alignment horizontal="left" vertical="center" indent="1"/>
    </xf>
    <xf numFmtId="4" fontId="98" fillId="47" borderId="0" applyNumberFormat="0" applyProtection="0">
      <alignment horizontal="left" vertical="center" indent="1"/>
    </xf>
    <xf numFmtId="0" fontId="16" fillId="5" borderId="20" applyNumberFormat="0" applyProtection="0">
      <alignment horizontal="left" vertical="center" indent="1"/>
    </xf>
    <xf numFmtId="4" fontId="3" fillId="46" borderId="20" applyNumberFormat="0" applyProtection="0">
      <alignment horizontal="left" vertical="center" indent="1"/>
    </xf>
    <xf numFmtId="4" fontId="3" fillId="48" borderId="20" applyNumberFormat="0" applyProtection="0">
      <alignment horizontal="left" vertical="center" indent="1"/>
    </xf>
    <xf numFmtId="0" fontId="16" fillId="48" borderId="20" applyNumberFormat="0" applyProtection="0">
      <alignment horizontal="left" vertical="center" indent="1"/>
    </xf>
    <xf numFmtId="0" fontId="16" fillId="48" borderId="20" applyNumberFormat="0" applyProtection="0">
      <alignment horizontal="left" vertical="center" indent="1"/>
    </xf>
    <xf numFmtId="0" fontId="16" fillId="49" borderId="20" applyNumberFormat="0" applyProtection="0">
      <alignment horizontal="left" vertical="center" indent="1"/>
    </xf>
    <xf numFmtId="0" fontId="16" fillId="49" borderId="20" applyNumberFormat="0" applyProtection="0">
      <alignment horizontal="left" vertical="center" indent="1"/>
    </xf>
    <xf numFmtId="0" fontId="16" fillId="2" borderId="20" applyNumberFormat="0" applyProtection="0">
      <alignment horizontal="left" vertical="center" indent="1"/>
    </xf>
    <xf numFmtId="0" fontId="16" fillId="2" borderId="20" applyNumberFormat="0" applyProtection="0">
      <alignment horizontal="left" vertical="center" indent="1"/>
    </xf>
    <xf numFmtId="0" fontId="16" fillId="5" borderId="20" applyNumberFormat="0" applyProtection="0">
      <alignment horizontal="left" vertical="center" indent="1"/>
    </xf>
    <xf numFmtId="0" fontId="16" fillId="5" borderId="20" applyNumberFormat="0" applyProtection="0">
      <alignment horizontal="left" vertical="center" indent="1"/>
    </xf>
    <xf numFmtId="0" fontId="24" fillId="0" borderId="0"/>
    <xf numFmtId="4" fontId="95" fillId="50" borderId="20" applyNumberFormat="0" applyProtection="0">
      <alignment vertical="center"/>
    </xf>
    <xf numFmtId="4" fontId="96" fillId="50" borderId="20" applyNumberFormat="0" applyProtection="0">
      <alignment vertical="center"/>
    </xf>
    <xf numFmtId="4" fontId="95" fillId="50" borderId="20" applyNumberFormat="0" applyProtection="0">
      <alignment horizontal="left" vertical="center" indent="1"/>
    </xf>
    <xf numFmtId="4" fontId="95" fillId="50" borderId="20" applyNumberFormat="0" applyProtection="0">
      <alignment horizontal="left" vertical="center" indent="1"/>
    </xf>
    <xf numFmtId="4" fontId="95" fillId="46" borderId="20" applyNumberFormat="0" applyProtection="0">
      <alignment horizontal="right" vertical="center"/>
    </xf>
    <xf numFmtId="4" fontId="96" fillId="46" borderId="20" applyNumberFormat="0" applyProtection="0">
      <alignment horizontal="right" vertical="center"/>
    </xf>
    <xf numFmtId="0" fontId="16" fillId="5" borderId="20" applyNumberFormat="0" applyProtection="0">
      <alignment horizontal="left" vertical="center" indent="1"/>
    </xf>
    <xf numFmtId="0" fontId="16" fillId="5" borderId="20" applyNumberFormat="0" applyProtection="0">
      <alignment horizontal="left" vertical="center" indent="1"/>
    </xf>
    <xf numFmtId="0" fontId="99" fillId="0" borderId="0"/>
    <xf numFmtId="4" fontId="100" fillId="46" borderId="20" applyNumberFormat="0" applyProtection="0">
      <alignment horizontal="right" vertical="center"/>
    </xf>
    <xf numFmtId="0" fontId="101" fillId="0" borderId="0">
      <alignment horizontal="left" vertical="center" wrapText="1"/>
    </xf>
    <xf numFmtId="209" fontId="102" fillId="0" borderId="6">
      <alignment horizontal="left" vertical="center"/>
      <protection locked="0"/>
    </xf>
    <xf numFmtId="0" fontId="16" fillId="0" borderId="0"/>
    <xf numFmtId="0" fontId="14" fillId="0" borderId="0"/>
    <xf numFmtId="2" fontId="103" fillId="51" borderId="26" applyProtection="0"/>
    <xf numFmtId="2" fontId="103" fillId="51" borderId="26" applyProtection="0"/>
    <xf numFmtId="2" fontId="104" fillId="0" borderId="0" applyFill="0" applyBorder="0" applyProtection="0"/>
    <xf numFmtId="2" fontId="21" fillId="0" borderId="0" applyFill="0" applyBorder="0" applyProtection="0"/>
    <xf numFmtId="2" fontId="21" fillId="52" borderId="26" applyProtection="0"/>
    <xf numFmtId="2" fontId="21" fillId="53" borderId="26" applyProtection="0"/>
    <xf numFmtId="2" fontId="21" fillId="54" borderId="26" applyProtection="0"/>
    <xf numFmtId="2" fontId="21" fillId="54" borderId="26" applyProtection="0">
      <alignment horizontal="center"/>
    </xf>
    <xf numFmtId="2" fontId="21" fillId="53" borderId="26" applyProtection="0">
      <alignment horizontal="center"/>
    </xf>
    <xf numFmtId="0" fontId="105" fillId="0" borderId="0" applyBorder="0" applyProtection="0">
      <alignment vertical="center"/>
    </xf>
    <xf numFmtId="0" fontId="105" fillId="0" borderId="21" applyBorder="0" applyProtection="0">
      <alignment horizontal="right" vertical="center"/>
    </xf>
    <xf numFmtId="0" fontId="106" fillId="55" borderId="0" applyBorder="0" applyProtection="0">
      <alignment horizontal="centerContinuous" vertical="center"/>
    </xf>
    <xf numFmtId="0" fontId="106" fillId="56" borderId="21" applyBorder="0" applyProtection="0">
      <alignment horizontal="centerContinuous" vertical="center"/>
    </xf>
    <xf numFmtId="0" fontId="107" fillId="0" borderId="0"/>
    <xf numFmtId="176" fontId="108" fillId="57" borderId="0">
      <alignment horizontal="right" vertical="top"/>
    </xf>
    <xf numFmtId="38" fontId="108" fillId="57" borderId="0">
      <alignment horizontal="right" vertical="top"/>
    </xf>
    <xf numFmtId="38" fontId="108" fillId="57" borderId="0">
      <alignment horizontal="right" vertical="top"/>
    </xf>
    <xf numFmtId="0" fontId="86" fillId="0" borderId="0"/>
    <xf numFmtId="0" fontId="109" fillId="0" borderId="0" applyFill="0" applyBorder="0" applyProtection="0">
      <alignment horizontal="left"/>
    </xf>
    <xf numFmtId="0" fontId="58" fillId="0" borderId="27" applyFill="0" applyBorder="0" applyProtection="0">
      <alignment horizontal="left" vertical="top"/>
    </xf>
    <xf numFmtId="0" fontId="110" fillId="0" borderId="0">
      <alignment horizontal="centerContinuous"/>
    </xf>
    <xf numFmtId="4" fontId="29" fillId="58" borderId="0">
      <alignment horizontal="right"/>
    </xf>
    <xf numFmtId="4" fontId="29" fillId="58" borderId="0">
      <alignment horizontal="right"/>
    </xf>
    <xf numFmtId="0" fontId="111" fillId="0" borderId="27" applyFill="0" applyBorder="0" applyProtection="0"/>
    <xf numFmtId="0" fontId="111" fillId="0" borderId="0"/>
    <xf numFmtId="0" fontId="112" fillId="0" borderId="0" applyFill="0" applyBorder="0" applyProtection="0"/>
    <xf numFmtId="0" fontId="113" fillId="0" borderId="0"/>
    <xf numFmtId="0" fontId="114" fillId="0" borderId="0" applyNumberFormat="0" applyFill="0" applyBorder="0" applyAlignment="0" applyProtection="0"/>
    <xf numFmtId="0" fontId="115" fillId="59" borderId="28" applyNumberFormat="0">
      <alignment horizontal="center" vertical="center"/>
    </xf>
    <xf numFmtId="49" fontId="116" fillId="49" borderId="29" applyNumberFormat="0">
      <alignment horizontal="center" vertical="center"/>
    </xf>
    <xf numFmtId="0" fontId="42" fillId="0" borderId="30" applyNumberFormat="0" applyFont="0" applyFill="0" applyAlignment="0" applyProtection="0"/>
    <xf numFmtId="0" fontId="42" fillId="0" borderId="30" applyNumberFormat="0" applyFont="0" applyFill="0" applyAlignment="0" applyProtection="0"/>
    <xf numFmtId="0" fontId="117" fillId="0" borderId="14" applyFill="0" applyBorder="0" applyProtection="0">
      <alignment vertical="center"/>
    </xf>
    <xf numFmtId="0" fontId="118" fillId="0" borderId="0">
      <alignment horizontal="fill"/>
    </xf>
    <xf numFmtId="0" fontId="60" fillId="0" borderId="0"/>
    <xf numFmtId="0" fontId="119" fillId="0" borderId="0" applyNumberFormat="0" applyFill="0" applyBorder="0" applyAlignment="0" applyProtection="0"/>
    <xf numFmtId="0" fontId="120" fillId="0" borderId="21" applyBorder="0" applyProtection="0">
      <alignment horizontal="right"/>
    </xf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183" fontId="22" fillId="0" borderId="12">
      <protection locked="0"/>
    </xf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121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0" fontId="77" fillId="12" borderId="10" applyNumberFormat="0" applyAlignment="0" applyProtection="0"/>
    <xf numFmtId="3" fontId="122" fillId="0" borderId="0">
      <alignment horizontal="center" vertical="center" textRotation="90" wrapText="1"/>
    </xf>
    <xf numFmtId="210" fontId="22" fillId="0" borderId="6">
      <alignment vertical="top" wrapText="1"/>
    </xf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123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87" fillId="17" borderId="2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4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38" fillId="17" borderId="10" applyNumberFormat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0" fontId="125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49" fontId="126" fillId="0" borderId="0" applyNumberFormat="0" applyFill="0" applyBorder="0" applyAlignment="0" applyProtection="0">
      <alignment vertical="top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211" fontId="129" fillId="0" borderId="6">
      <alignment vertical="top" wrapText="1"/>
    </xf>
    <xf numFmtId="4" fontId="130" fillId="0" borderId="6">
      <alignment horizontal="left" vertical="center"/>
    </xf>
    <xf numFmtId="4" fontId="130" fillId="0" borderId="6"/>
    <xf numFmtId="4" fontId="130" fillId="60" borderId="6"/>
    <xf numFmtId="4" fontId="130" fillId="61" borderId="6"/>
    <xf numFmtId="4" fontId="131" fillId="62" borderId="6"/>
    <xf numFmtId="4" fontId="132" fillId="2" borderId="6"/>
    <xf numFmtId="4" fontId="133" fillId="0" borderId="6">
      <alignment horizontal="center" wrapText="1"/>
    </xf>
    <xf numFmtId="211" fontId="130" fillId="0" borderId="6"/>
    <xf numFmtId="211" fontId="129" fillId="0" borderId="6">
      <alignment horizontal="center" vertical="center" wrapText="1"/>
    </xf>
    <xf numFmtId="211" fontId="129" fillId="0" borderId="6">
      <alignment vertical="top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12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16" fillId="0" borderId="0"/>
    <xf numFmtId="0" fontId="16" fillId="0" borderId="0"/>
    <xf numFmtId="0" fontId="134" fillId="0" borderId="0" applyBorder="0">
      <alignment horizontal="center" vertical="center" wrapText="1"/>
    </xf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6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5" fillId="0" borderId="31" applyNumberFormat="0" applyFill="0" applyAlignment="0" applyProtection="0"/>
    <xf numFmtId="0" fontId="137" fillId="0" borderId="32" applyNumberFormat="0" applyFill="0" applyAlignment="0" applyProtection="0"/>
    <xf numFmtId="0" fontId="5" fillId="0" borderId="7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8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137" fillId="0" borderId="32" applyNumberFormat="0" applyFill="0" applyAlignment="0" applyProtection="0"/>
    <xf numFmtId="0" fontId="68" fillId="0" borderId="16" applyNumberFormat="0" applyFill="0" applyAlignment="0" applyProtection="0"/>
    <xf numFmtId="0" fontId="6" fillId="0" borderId="8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13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4" fillId="0" borderId="0" applyBorder="0">
      <alignment horizontal="center" vertical="center" wrapText="1"/>
    </xf>
    <xf numFmtId="209" fontId="140" fillId="0" borderId="0" applyProtection="0">
      <alignment horizontal="center"/>
    </xf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1" fillId="0" borderId="33" applyBorder="0">
      <alignment horizontal="center" vertical="center" wrapText="1"/>
    </xf>
    <xf numFmtId="183" fontId="43" fillId="28" borderId="12"/>
    <xf numFmtId="4" fontId="12" fillId="4" borderId="6" applyBorder="0">
      <alignment horizontal="right"/>
    </xf>
    <xf numFmtId="49" fontId="143" fillId="0" borderId="0" applyBorder="0">
      <alignment vertical="center"/>
    </xf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5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0" fontId="144" fillId="0" borderId="34" applyNumberFormat="0" applyFill="0" applyAlignment="0" applyProtection="0"/>
    <xf numFmtId="3" fontId="43" fillId="0" borderId="6" applyBorder="0">
      <alignment vertical="center"/>
    </xf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146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39" fillId="27" borderId="13" applyNumberFormat="0" applyAlignment="0" applyProtection="0"/>
    <xf numFmtId="0" fontId="24" fillId="0" borderId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0" fontId="83" fillId="3" borderId="0" applyFill="0">
      <alignment wrapText="1"/>
    </xf>
    <xf numFmtId="173" fontId="83" fillId="3" borderId="0" applyFill="0">
      <alignment wrapText="1"/>
    </xf>
    <xf numFmtId="0" fontId="142" fillId="0" borderId="0">
      <alignment horizontal="center" vertical="top" wrapText="1"/>
    </xf>
    <xf numFmtId="0" fontId="147" fillId="0" borderId="0">
      <alignment horizontal="center" vertical="center" wrapText="1"/>
    </xf>
    <xf numFmtId="0" fontId="147" fillId="0" borderId="0">
      <alignment horizontal="center" vertical="center" wrapText="1"/>
    </xf>
    <xf numFmtId="173" fontId="142" fillId="0" borderId="0">
      <alignment horizontal="center" vertical="top" wrapText="1"/>
    </xf>
    <xf numFmtId="168" fontId="148" fillId="3" borderId="6">
      <alignment wrapText="1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64" fontId="149" fillId="0" borderId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50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49" fontId="122" fillId="0" borderId="6">
      <alignment horizontal="right" vertical="top" wrapText="1"/>
    </xf>
    <xf numFmtId="170" fontId="151" fillId="0" borderId="0">
      <alignment horizontal="right" vertical="top" wrapText="1"/>
    </xf>
    <xf numFmtId="0" fontId="4" fillId="0" borderId="0"/>
    <xf numFmtId="0" fontId="1" fillId="0" borderId="0"/>
    <xf numFmtId="0" fontId="1" fillId="0" borderId="0"/>
    <xf numFmtId="49" fontId="12" fillId="0" borderId="0" applyBorder="0">
      <alignment vertical="top"/>
    </xf>
    <xf numFmtId="0" fontId="4" fillId="0" borderId="0"/>
    <xf numFmtId="0" fontId="4" fillId="0" borderId="0"/>
    <xf numFmtId="0" fontId="152" fillId="0" borderId="0"/>
    <xf numFmtId="0" fontId="16" fillId="0" borderId="0"/>
    <xf numFmtId="0" fontId="16" fillId="0" borderId="0"/>
    <xf numFmtId="0" fontId="1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9" fillId="0" borderId="0"/>
    <xf numFmtId="0" fontId="4" fillId="0" borderId="0"/>
    <xf numFmtId="0" fontId="154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9" fontId="12" fillId="0" borderId="0" applyBorder="0">
      <alignment vertical="top"/>
    </xf>
    <xf numFmtId="0" fontId="29" fillId="0" borderId="0"/>
    <xf numFmtId="0" fontId="29" fillId="0" borderId="0"/>
    <xf numFmtId="49" fontId="12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53" fillId="0" borderId="0"/>
    <xf numFmtId="0" fontId="24" fillId="0" borderId="0"/>
    <xf numFmtId="0" fontId="17" fillId="0" borderId="0">
      <alignment horizontal="left"/>
    </xf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5" fillId="44" borderId="0" applyNumberFormat="0" applyBorder="0" applyAlignment="0">
      <alignment horizontal="left" vertical="center"/>
    </xf>
    <xf numFmtId="0" fontId="24" fillId="0" borderId="0"/>
    <xf numFmtId="0" fontId="156" fillId="0" borderId="0"/>
    <xf numFmtId="0" fontId="24" fillId="0" borderId="0"/>
    <xf numFmtId="0" fontId="16" fillId="0" borderId="0"/>
    <xf numFmtId="0" fontId="24" fillId="0" borderId="0"/>
    <xf numFmtId="0" fontId="153" fillId="0" borderId="0"/>
    <xf numFmtId="0" fontId="153" fillId="0" borderId="0"/>
    <xf numFmtId="49" fontId="12" fillId="0" borderId="0" applyBorder="0">
      <alignment vertical="top"/>
    </xf>
    <xf numFmtId="0" fontId="153" fillId="0" borderId="0"/>
    <xf numFmtId="0" fontId="24" fillId="0" borderId="0"/>
    <xf numFmtId="0" fontId="16" fillId="0" borderId="0" applyNumberFormat="0" applyFont="0" applyFill="0" applyBorder="0" applyAlignment="0" applyProtection="0">
      <alignment vertical="top"/>
    </xf>
    <xf numFmtId="0" fontId="156" fillId="0" borderId="0"/>
    <xf numFmtId="0" fontId="16" fillId="0" borderId="0"/>
    <xf numFmtId="0" fontId="29" fillId="0" borderId="0"/>
    <xf numFmtId="0" fontId="29" fillId="0" borderId="0"/>
    <xf numFmtId="0" fontId="24" fillId="0" borderId="0"/>
    <xf numFmtId="0" fontId="155" fillId="44" borderId="0" applyNumberFormat="0" applyBorder="0" applyAlignment="0">
      <alignment horizontal="left" vertical="center"/>
    </xf>
    <xf numFmtId="0" fontId="155" fillId="44" borderId="0" applyNumberFormat="0" applyBorder="0" applyAlignment="0">
      <alignment horizontal="left" vertical="center"/>
    </xf>
    <xf numFmtId="0" fontId="157" fillId="0" borderId="0"/>
    <xf numFmtId="0" fontId="22" fillId="0" borderId="0"/>
    <xf numFmtId="0" fontId="24" fillId="0" borderId="0"/>
    <xf numFmtId="0" fontId="156" fillId="0" borderId="0"/>
    <xf numFmtId="0" fontId="29" fillId="0" borderId="0"/>
    <xf numFmtId="0" fontId="29" fillId="0" borderId="0"/>
    <xf numFmtId="0" fontId="24" fillId="0" borderId="0"/>
    <xf numFmtId="0" fontId="1" fillId="0" borderId="0"/>
    <xf numFmtId="0" fontId="1" fillId="0" borderId="0"/>
    <xf numFmtId="0" fontId="156" fillId="0" borderId="0"/>
    <xf numFmtId="0" fontId="29" fillId="0" borderId="0"/>
    <xf numFmtId="0" fontId="24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1" fillId="0" borderId="0"/>
    <xf numFmtId="0" fontId="1" fillId="0" borderId="0"/>
    <xf numFmtId="0" fontId="29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4" fillId="0" borderId="0">
      <alignment wrapText="1"/>
    </xf>
    <xf numFmtId="0" fontId="24" fillId="0" borderId="0"/>
    <xf numFmtId="0" fontId="4" fillId="0" borderId="0">
      <alignment wrapText="1"/>
    </xf>
    <xf numFmtId="0" fontId="4" fillId="0" borderId="0">
      <alignment wrapText="1"/>
    </xf>
    <xf numFmtId="0" fontId="24" fillId="0" borderId="0"/>
    <xf numFmtId="0" fontId="4" fillId="0" borderId="0">
      <alignment wrapText="1"/>
    </xf>
    <xf numFmtId="0" fontId="4" fillId="0" borderId="0">
      <alignment wrapText="1"/>
    </xf>
    <xf numFmtId="0" fontId="24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24" fillId="0" borderId="0"/>
    <xf numFmtId="49" fontId="12" fillId="44" borderId="0" applyBorder="0">
      <alignment vertical="top"/>
    </xf>
    <xf numFmtId="0" fontId="16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16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57" fillId="0" borderId="0"/>
    <xf numFmtId="0" fontId="16" fillId="0" borderId="0"/>
    <xf numFmtId="0" fontId="24" fillId="0" borderId="0"/>
    <xf numFmtId="0" fontId="24" fillId="0" borderId="0"/>
    <xf numFmtId="0" fontId="158" fillId="0" borderId="0"/>
    <xf numFmtId="0" fontId="1" fillId="0" borderId="0"/>
    <xf numFmtId="0" fontId="1" fillId="0" borderId="0"/>
    <xf numFmtId="0" fontId="24" fillId="0" borderId="0"/>
    <xf numFmtId="213" fontId="5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213" fontId="56" fillId="0" borderId="0"/>
    <xf numFmtId="0" fontId="29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2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9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9" fontId="12" fillId="0" borderId="0" applyBorder="0">
      <alignment vertical="top"/>
    </xf>
    <xf numFmtId="0" fontId="4" fillId="0" borderId="0"/>
    <xf numFmtId="0" fontId="1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1" fontId="159" fillId="0" borderId="6">
      <alignment horizontal="left" vertical="center"/>
    </xf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160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4" fillId="0" borderId="0" applyFont="0" applyFill="0" applyBorder="0" applyProtection="0">
      <alignment horizontal="center" vertical="center" wrapText="1"/>
    </xf>
    <xf numFmtId="0" fontId="24" fillId="0" borderId="0" applyNumberFormat="0" applyFont="0" applyFill="0" applyBorder="0" applyProtection="0">
      <alignment horizontal="justify" vertical="center" wrapText="1"/>
    </xf>
    <xf numFmtId="211" fontId="140" fillId="0" borderId="6">
      <alignment vertical="top"/>
    </xf>
    <xf numFmtId="170" fontId="161" fillId="4" borderId="22" applyNumberFormat="0" applyBorder="0" applyAlignment="0">
      <alignment vertical="center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4" fillId="35" borderId="19" applyNumberFormat="0" applyFont="0" applyAlignment="0" applyProtection="0"/>
    <xf numFmtId="0" fontId="29" fillId="35" borderId="19" applyNumberFormat="0" applyFont="0" applyAlignment="0" applyProtection="0"/>
    <xf numFmtId="0" fontId="29" fillId="35" borderId="19" applyNumberFormat="0" applyFont="0" applyAlignment="0" applyProtection="0"/>
    <xf numFmtId="0" fontId="29" fillId="35" borderId="19" applyNumberFormat="0" applyFont="0" applyAlignment="0" applyProtection="0"/>
    <xf numFmtId="0" fontId="29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2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4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30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30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0" fontId="16" fillId="35" borderId="19" applyNumberFormat="0" applyFont="0" applyAlignment="0" applyProtection="0"/>
    <xf numFmtId="49" fontId="131" fillId="0" borderId="9">
      <alignment horizontal="left"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22" fillId="0" borderId="0" applyFill="0" applyBorder="0" applyAlignment="0" applyProtection="0"/>
    <xf numFmtId="9" fontId="4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214" fontId="163" fillId="0" borderId="6"/>
    <xf numFmtId="0" fontId="24" fillId="0" borderId="6" applyNumberFormat="0" applyFont="0" applyFill="0" applyAlignment="0" applyProtection="0"/>
    <xf numFmtId="3" fontId="164" fillId="63" borderId="9">
      <alignment horizontal="justify" vertical="center"/>
    </xf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65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14" fillId="0" borderId="0"/>
    <xf numFmtId="176" fontId="17" fillId="0" borderId="0">
      <alignment vertical="top"/>
    </xf>
    <xf numFmtId="38" fontId="17" fillId="0" borderId="0">
      <alignment vertical="top"/>
    </xf>
    <xf numFmtId="0" fontId="15" fillId="0" borderId="0"/>
    <xf numFmtId="38" fontId="17" fillId="0" borderId="0">
      <alignment vertical="top"/>
    </xf>
    <xf numFmtId="0" fontId="14" fillId="0" borderId="0"/>
    <xf numFmtId="176" fontId="17" fillId="0" borderId="0">
      <alignment vertical="top"/>
    </xf>
    <xf numFmtId="49" fontId="151" fillId="0" borderId="0"/>
    <xf numFmtId="49" fontId="166" fillId="0" borderId="0">
      <alignment vertical="top"/>
    </xf>
    <xf numFmtId="3" fontId="167" fillId="0" borderId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170" fontId="83" fillId="0" borderId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49" fontId="83" fillId="0" borderId="0">
      <alignment horizontal="center"/>
    </xf>
    <xf numFmtId="38" fontId="23" fillId="0" borderId="0" applyFont="0" applyFill="0" applyBorder="0" applyAlignment="0" applyProtection="0"/>
    <xf numFmtId="3" fontId="169" fillId="0" borderId="9" applyFont="0" applyBorder="0">
      <alignment horizontal="right"/>
      <protection locked="0"/>
    </xf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" fontId="83" fillId="0" borderId="0" applyFill="0" applyBorder="0" applyAlignment="0" applyProtection="0"/>
    <xf numFmtId="215" fontId="1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6" fillId="0" borderId="0" applyFont="0" applyFill="0" applyBorder="0" applyAlignment="0" applyProtection="0"/>
    <xf numFmtId="216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6" fillId="0" borderId="0" applyFont="0" applyFill="0" applyBorder="0" applyAlignment="0" applyProtection="0"/>
    <xf numFmtId="21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216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217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216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218" fontId="24" fillId="0" borderId="0" applyFont="0" applyFill="0" applyBorder="0" applyAlignment="0" applyProtection="0"/>
    <xf numFmtId="4" fontId="12" fillId="3" borderId="0" applyFont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Font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0" applyBorder="0">
      <alignment horizontal="right"/>
    </xf>
    <xf numFmtId="4" fontId="12" fillId="3" borderId="35" applyBorder="0">
      <alignment horizontal="right"/>
    </xf>
    <xf numFmtId="4" fontId="12" fillId="3" borderId="35" applyBorder="0">
      <alignment horizontal="right"/>
    </xf>
    <xf numFmtId="4" fontId="12" fillId="64" borderId="36" applyBorder="0">
      <alignment horizontal="right"/>
    </xf>
    <xf numFmtId="4" fontId="12" fillId="64" borderId="36" applyBorder="0">
      <alignment horizontal="right"/>
    </xf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170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169" fontId="22" fillId="0" borderId="9">
      <alignment vertical="top" wrapText="1"/>
    </xf>
    <xf numFmtId="188" fontId="24" fillId="0" borderId="6" applyFont="0" applyFill="0" applyBorder="0" applyProtection="0">
      <alignment horizontal="center" vertical="center"/>
    </xf>
    <xf numFmtId="3" fontId="24" fillId="0" borderId="0" applyFont="0" applyBorder="0">
      <alignment horizontal="center"/>
    </xf>
    <xf numFmtId="166" fontId="25" fillId="0" borderId="0">
      <protection locked="0"/>
    </xf>
    <xf numFmtId="49" fontId="129" fillId="0" borderId="6">
      <alignment horizontal="center" vertical="center" wrapText="1"/>
    </xf>
    <xf numFmtId="0" fontId="22" fillId="0" borderId="6" applyBorder="0">
      <alignment horizontal="center" vertical="center" wrapText="1"/>
    </xf>
    <xf numFmtId="49" fontId="129" fillId="0" borderId="6">
      <alignment horizontal="center" vertical="center" wrapText="1"/>
    </xf>
    <xf numFmtId="49" fontId="101" fillId="0" borderId="6" applyNumberFormat="0" applyFill="0" applyAlignment="0" applyProtection="0"/>
    <xf numFmtId="168" fontId="24" fillId="0" borderId="0"/>
    <xf numFmtId="0" fontId="77" fillId="12" borderId="10" applyNumberFormat="0" applyAlignment="0" applyProtection="0"/>
    <xf numFmtId="0" fontId="16" fillId="0" borderId="0"/>
    <xf numFmtId="0" fontId="171" fillId="0" borderId="0"/>
    <xf numFmtId="0" fontId="171" fillId="35" borderId="19" applyNumberFormat="0" applyFont="0" applyAlignment="0" applyProtection="0"/>
    <xf numFmtId="0" fontId="171" fillId="0" borderId="0"/>
    <xf numFmtId="0" fontId="171" fillId="35" borderId="19" applyNumberFormat="0" applyFont="0" applyAlignment="0" applyProtection="0"/>
    <xf numFmtId="0" fontId="171" fillId="35" borderId="19" applyNumberFormat="0" applyFont="0" applyAlignment="0" applyProtection="0"/>
    <xf numFmtId="0" fontId="171" fillId="35" borderId="19" applyNumberFormat="0" applyFont="0" applyAlignment="0" applyProtection="0"/>
    <xf numFmtId="0" fontId="171" fillId="35" borderId="19" applyNumberFormat="0" applyFont="0" applyAlignment="0" applyProtection="0"/>
    <xf numFmtId="0" fontId="171" fillId="0" borderId="0"/>
    <xf numFmtId="0" fontId="171" fillId="0" borderId="0"/>
    <xf numFmtId="0" fontId="17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8" fillId="0" borderId="0" xfId="0" applyFont="1" applyFill="1"/>
    <xf numFmtId="49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73" fillId="0" borderId="0" xfId="0" applyFont="1" applyFill="1" applyAlignment="1">
      <alignment horizontal="center" vertical="center" wrapText="1" shrinkToFit="1"/>
    </xf>
    <xf numFmtId="0" fontId="172" fillId="0" borderId="0" xfId="0" applyFont="1" applyFill="1"/>
    <xf numFmtId="0" fontId="4" fillId="0" borderId="0" xfId="3" applyFont="1" applyFill="1"/>
    <xf numFmtId="0" fontId="4" fillId="0" borderId="0" xfId="3" applyFont="1" applyFill="1" applyAlignment="1">
      <alignment vertical="center"/>
    </xf>
    <xf numFmtId="0" fontId="174" fillId="0" borderId="0" xfId="0" applyFont="1" applyFill="1"/>
    <xf numFmtId="0" fontId="7" fillId="0" borderId="0" xfId="3" applyFill="1"/>
    <xf numFmtId="0" fontId="13" fillId="0" borderId="0" xfId="0" applyFont="1" applyFill="1" applyAlignment="1">
      <alignment vertical="center"/>
    </xf>
    <xf numFmtId="0" fontId="115" fillId="65" borderId="1" xfId="0" applyFont="1" applyFill="1" applyBorder="1" applyAlignment="1">
      <alignment horizontal="center" vertical="center" wrapText="1"/>
    </xf>
    <xf numFmtId="0" fontId="176" fillId="0" borderId="1" xfId="0" applyFont="1" applyFill="1" applyBorder="1" applyAlignment="1">
      <alignment horizontal="left" vertical="center" wrapText="1"/>
    </xf>
    <xf numFmtId="0" fontId="176" fillId="0" borderId="1" xfId="0" applyFont="1" applyFill="1" applyBorder="1" applyAlignment="1">
      <alignment vertical="center" wrapText="1"/>
    </xf>
    <xf numFmtId="0" fontId="176" fillId="0" borderId="1" xfId="0" applyFont="1" applyFill="1" applyBorder="1" applyAlignment="1">
      <alignment horizontal="center" vertical="center" wrapText="1"/>
    </xf>
    <xf numFmtId="0" fontId="176" fillId="0" borderId="3" xfId="0" applyFont="1" applyFill="1" applyBorder="1" applyAlignment="1">
      <alignment horizontal="center" vertical="center" wrapText="1"/>
    </xf>
    <xf numFmtId="0" fontId="177" fillId="0" borderId="1" xfId="0" applyFont="1" applyFill="1" applyBorder="1" applyAlignment="1">
      <alignment horizontal="center" vertical="center" wrapText="1"/>
    </xf>
    <xf numFmtId="49" fontId="115" fillId="0" borderId="1" xfId="0" applyNumberFormat="1" applyFont="1" applyFill="1" applyBorder="1" applyAlignment="1">
      <alignment horizontal="left" vertical="center" wrapText="1" shrinkToFit="1"/>
    </xf>
    <xf numFmtId="0" fontId="115" fillId="0" borderId="1" xfId="0" applyFont="1" applyFill="1" applyBorder="1" applyAlignment="1">
      <alignment horizontal="left" vertical="center" wrapText="1" shrinkToFit="1"/>
    </xf>
    <xf numFmtId="0" fontId="178" fillId="0" borderId="1" xfId="0" applyFont="1" applyFill="1" applyBorder="1" applyAlignment="1">
      <alignment horizontal="center" vertical="center" wrapText="1" shrinkToFit="1"/>
    </xf>
    <xf numFmtId="0" fontId="115" fillId="0" borderId="1" xfId="0" applyFont="1" applyFill="1" applyBorder="1" applyAlignment="1">
      <alignment horizontal="center" vertical="center" wrapText="1" shrinkToFit="1"/>
    </xf>
    <xf numFmtId="0" fontId="115" fillId="0" borderId="2" xfId="0" applyFont="1" applyFill="1" applyBorder="1" applyAlignment="1">
      <alignment horizontal="center" vertical="center" wrapText="1" shrinkToFit="1"/>
    </xf>
    <xf numFmtId="171" fontId="115" fillId="0" borderId="3" xfId="5" applyFont="1" applyFill="1" applyBorder="1" applyAlignment="1">
      <alignment horizontal="center" vertical="center" wrapText="1" shrinkToFit="1"/>
    </xf>
    <xf numFmtId="171" fontId="115" fillId="0" borderId="1" xfId="5" applyFont="1" applyFill="1" applyBorder="1" applyAlignment="1">
      <alignment horizontal="center" vertical="center" wrapText="1" shrinkToFit="1"/>
    </xf>
    <xf numFmtId="0" fontId="179" fillId="0" borderId="1" xfId="0" applyFont="1" applyFill="1" applyBorder="1"/>
    <xf numFmtId="0" fontId="115" fillId="0" borderId="1" xfId="4509" applyFont="1" applyFill="1" applyBorder="1" applyAlignment="1">
      <alignment horizontal="center" vertical="center" wrapText="1" shrinkToFit="1"/>
    </xf>
    <xf numFmtId="0" fontId="115" fillId="0" borderId="1" xfId="0" applyFont="1" applyFill="1" applyBorder="1" applyAlignment="1">
      <alignment horizontal="left"/>
    </xf>
    <xf numFmtId="0" fontId="115" fillId="0" borderId="1" xfId="0" applyFont="1" applyFill="1" applyBorder="1" applyAlignment="1">
      <alignment horizontal="left" vertical="center" wrapText="1"/>
    </xf>
    <xf numFmtId="0" fontId="178" fillId="0" borderId="1" xfId="0" applyFont="1" applyFill="1" applyBorder="1" applyAlignment="1">
      <alignment horizontal="center" vertical="center" wrapText="1"/>
    </xf>
    <xf numFmtId="0" fontId="115" fillId="0" borderId="1" xfId="0" applyFont="1" applyFill="1" applyBorder="1" applyAlignment="1">
      <alignment horizontal="center" vertical="center" wrapText="1"/>
    </xf>
    <xf numFmtId="0" fontId="178" fillId="0" borderId="1" xfId="3" applyFont="1" applyFill="1" applyBorder="1"/>
    <xf numFmtId="172" fontId="178" fillId="0" borderId="1" xfId="6" applyNumberFormat="1" applyFont="1" applyFill="1" applyBorder="1" applyAlignment="1">
      <alignment horizontal="center" vertical="center" wrapText="1" shrinkToFit="1"/>
    </xf>
    <xf numFmtId="172" fontId="115" fillId="0" borderId="1" xfId="6" applyNumberFormat="1" applyFont="1" applyFill="1" applyBorder="1" applyAlignment="1">
      <alignment horizontal="center" vertical="center" wrapText="1" shrinkToFit="1"/>
    </xf>
    <xf numFmtId="2" fontId="115" fillId="0" borderId="1" xfId="6" applyNumberFormat="1" applyFont="1" applyFill="1" applyBorder="1" applyAlignment="1">
      <alignment horizontal="center" vertical="center" wrapText="1" shrinkToFit="1"/>
    </xf>
    <xf numFmtId="49" fontId="115" fillId="0" borderId="1" xfId="4" applyNumberFormat="1" applyFont="1" applyFill="1" applyBorder="1" applyAlignment="1">
      <alignment horizontal="left" vertical="center" wrapText="1" shrinkToFit="1"/>
    </xf>
    <xf numFmtId="0" fontId="115" fillId="0" borderId="1" xfId="4" applyFont="1" applyFill="1" applyBorder="1" applyAlignment="1">
      <alignment horizontal="left" vertical="center" wrapText="1" shrinkToFit="1"/>
    </xf>
    <xf numFmtId="210" fontId="178" fillId="0" borderId="1" xfId="1" applyNumberFormat="1" applyFont="1" applyFill="1" applyBorder="1" applyAlignment="1">
      <alignment horizontal="center" vertical="center" wrapText="1" shrinkToFit="1"/>
    </xf>
    <xf numFmtId="167" fontId="178" fillId="0" borderId="1" xfId="1" applyFont="1" applyFill="1" applyBorder="1" applyAlignment="1">
      <alignment horizontal="center" vertical="center" wrapText="1" shrinkToFit="1"/>
    </xf>
    <xf numFmtId="167" fontId="115" fillId="0" borderId="1" xfId="1" applyFont="1" applyFill="1" applyBorder="1" applyAlignment="1">
      <alignment horizontal="center" vertical="center" wrapText="1" shrinkToFit="1"/>
    </xf>
    <xf numFmtId="0" fontId="115" fillId="0" borderId="1" xfId="4514" applyFont="1" applyFill="1" applyBorder="1" applyAlignment="1">
      <alignment horizontal="center" vertical="center" wrapText="1" shrinkToFit="1"/>
    </xf>
    <xf numFmtId="0" fontId="180" fillId="0" borderId="1" xfId="0" applyFont="1" applyFill="1" applyBorder="1" applyAlignment="1">
      <alignment horizontal="center" vertical="center" wrapText="1" shrinkToFit="1"/>
    </xf>
    <xf numFmtId="0" fontId="115" fillId="0" borderId="1" xfId="4516" applyFont="1" applyFill="1" applyBorder="1" applyAlignment="1">
      <alignment horizontal="center" vertical="center" wrapText="1" shrinkToFit="1"/>
    </xf>
    <xf numFmtId="0" fontId="115" fillId="0" borderId="1" xfId="3" applyFont="1" applyFill="1" applyBorder="1" applyAlignment="1">
      <alignment vertical="center"/>
    </xf>
    <xf numFmtId="0" fontId="178" fillId="0" borderId="1" xfId="3" applyFont="1" applyFill="1" applyBorder="1" applyAlignment="1">
      <alignment vertical="center"/>
    </xf>
    <xf numFmtId="167" fontId="178" fillId="0" borderId="1" xfId="0" applyNumberFormat="1" applyFont="1" applyFill="1" applyBorder="1" applyAlignment="1">
      <alignment horizontal="center" vertical="center" wrapText="1" shrinkToFit="1"/>
    </xf>
    <xf numFmtId="0" fontId="178" fillId="0" borderId="1" xfId="0" applyFont="1" applyFill="1" applyBorder="1"/>
    <xf numFmtId="0" fontId="115" fillId="0" borderId="1" xfId="0" applyFont="1" applyFill="1" applyBorder="1"/>
    <xf numFmtId="2" fontId="115" fillId="0" borderId="1" xfId="7" applyNumberFormat="1" applyFont="1" applyFill="1" applyBorder="1" applyAlignment="1">
      <alignment horizontal="center" vertical="center" wrapText="1" shrinkToFit="1"/>
    </xf>
    <xf numFmtId="171" fontId="180" fillId="0" borderId="1" xfId="5" applyFont="1" applyFill="1" applyBorder="1" applyAlignment="1">
      <alignment horizontal="center" vertical="center" wrapText="1" shrinkToFit="1"/>
    </xf>
    <xf numFmtId="0" fontId="181" fillId="0" borderId="1" xfId="0" applyFont="1" applyFill="1" applyBorder="1"/>
    <xf numFmtId="172" fontId="115" fillId="0" borderId="2" xfId="0" applyNumberFormat="1" applyFont="1" applyFill="1" applyBorder="1" applyAlignment="1">
      <alignment horizontal="center" vertical="center" wrapText="1" shrinkToFit="1"/>
    </xf>
    <xf numFmtId="171" fontId="177" fillId="0" borderId="1" xfId="5" applyFont="1" applyFill="1" applyBorder="1" applyAlignment="1">
      <alignment vertical="center" wrapText="1"/>
    </xf>
    <xf numFmtId="171" fontId="176" fillId="0" borderId="1" xfId="5" applyFont="1" applyFill="1" applyBorder="1" applyAlignment="1">
      <alignment vertical="center" wrapText="1"/>
    </xf>
    <xf numFmtId="0" fontId="182" fillId="6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75" fillId="0" borderId="0" xfId="0" applyFont="1" applyFill="1" applyAlignment="1">
      <alignment horizontal="left" vertical="center" wrapText="1"/>
    </xf>
    <xf numFmtId="0" fontId="176" fillId="0" borderId="1" xfId="0" applyFont="1" applyFill="1" applyBorder="1" applyAlignment="1">
      <alignment horizontal="left" vertical="center" wrapText="1"/>
    </xf>
    <xf numFmtId="49" fontId="115" fillId="65" borderId="1" xfId="0" applyNumberFormat="1" applyFont="1" applyFill="1" applyBorder="1" applyAlignment="1">
      <alignment horizontal="center" vertical="center" wrapText="1"/>
    </xf>
    <xf numFmtId="0" fontId="115" fillId="65" borderId="1" xfId="0" applyFont="1" applyFill="1" applyBorder="1" applyAlignment="1">
      <alignment horizontal="center" vertical="center" wrapText="1"/>
    </xf>
    <xf numFmtId="0" fontId="182" fillId="65" borderId="1" xfId="0" applyFont="1" applyFill="1" applyBorder="1" applyAlignment="1">
      <alignment horizontal="center" vertical="center" wrapText="1"/>
    </xf>
    <xf numFmtId="0" fontId="115" fillId="65" borderId="5" xfId="0" applyFont="1" applyFill="1" applyBorder="1" applyAlignment="1">
      <alignment horizontal="center" vertical="center" wrapText="1"/>
    </xf>
    <xf numFmtId="0" fontId="115" fillId="65" borderId="4" xfId="0" applyFont="1" applyFill="1" applyBorder="1" applyAlignment="1">
      <alignment horizontal="center" vertical="center" wrapText="1"/>
    </xf>
    <xf numFmtId="0" fontId="176" fillId="0" borderId="1" xfId="3" applyFont="1" applyFill="1" applyBorder="1" applyAlignment="1">
      <alignment horizontal="left" vertical="center" wrapText="1"/>
    </xf>
  </cellXfs>
  <cellStyles count="4521">
    <cellStyle name=" 1" xfId="8"/>
    <cellStyle name=" 1 2" xfId="9"/>
    <cellStyle name=" 1_Stage1" xfId="10"/>
    <cellStyle name="_x000a_bidires=100_x000d_" xfId="11"/>
    <cellStyle name="%" xfId="12"/>
    <cellStyle name="%_Inputs" xfId="13"/>
    <cellStyle name="%_Inputs (const)" xfId="14"/>
    <cellStyle name="%_Inputs (const)_Расче тарифа на тэ 2014 Мезенский АрхоблЭнерго" xfId="15"/>
    <cellStyle name="%_Inputs (const)_Тариф тепло Мезень для АТЦ" xfId="16"/>
    <cellStyle name="%_Inputs (const)_тарифы по ТЭ на 2014 год Соловки исправ." xfId="17"/>
    <cellStyle name="%_Inputs Co" xfId="18"/>
    <cellStyle name="%_Inputs Co_Расче тарифа на тэ 2014 Мезенский АрхоблЭнерго" xfId="19"/>
    <cellStyle name="%_Inputs Co_Тариф тепло Мезень для АТЦ" xfId="20"/>
    <cellStyle name="%_Inputs Co_тарифы по ТЭ на 2014 год Соловки исправ." xfId="21"/>
    <cellStyle name="?" xfId="22"/>
    <cellStyle name="?…?ж?Ш?и [0.00]" xfId="23"/>
    <cellStyle name="?W??_‘O’с?р??" xfId="24"/>
    <cellStyle name="_~6450243" xfId="25"/>
    <cellStyle name="_~6450243 2" xfId="26"/>
    <cellStyle name="_CashFlow_2007_проект_02_02_final" xfId="27"/>
    <cellStyle name="_CPI foodimp" xfId="28"/>
    <cellStyle name="_FFF" xfId="29"/>
    <cellStyle name="_FFF_New Form10_2" xfId="30"/>
    <cellStyle name="_FFF_Nsi" xfId="31"/>
    <cellStyle name="_FFF_Nsi_1" xfId="32"/>
    <cellStyle name="_FFF_Nsi_139" xfId="33"/>
    <cellStyle name="_FFF_Nsi_140" xfId="34"/>
    <cellStyle name="_FFF_Nsi_140(Зах)" xfId="35"/>
    <cellStyle name="_FFF_Nsi_140_mod" xfId="36"/>
    <cellStyle name="_FFF_Summary" xfId="37"/>
    <cellStyle name="_FFF_Tax_form_1кв_3" xfId="38"/>
    <cellStyle name="_FFF_БКЭ" xfId="39"/>
    <cellStyle name="_Final_Book_010301" xfId="40"/>
    <cellStyle name="_Final_Book_010301_New Form10_2" xfId="41"/>
    <cellStyle name="_Final_Book_010301_Nsi" xfId="42"/>
    <cellStyle name="_Final_Book_010301_Nsi_1" xfId="43"/>
    <cellStyle name="_Final_Book_010301_Nsi_139" xfId="44"/>
    <cellStyle name="_Final_Book_010301_Nsi_140" xfId="45"/>
    <cellStyle name="_Final_Book_010301_Nsi_140(Зах)" xfId="46"/>
    <cellStyle name="_Final_Book_010301_Nsi_140_mod" xfId="47"/>
    <cellStyle name="_Final_Book_010301_Summary" xfId="48"/>
    <cellStyle name="_Final_Book_010301_Tax_form_1кв_3" xfId="49"/>
    <cellStyle name="_Final_Book_010301_БКЭ" xfId="50"/>
    <cellStyle name="_macro 2012 var 1" xfId="51"/>
    <cellStyle name="_Model_RAB Мой" xfId="52"/>
    <cellStyle name="_Model_RAB Мой 2" xfId="53"/>
    <cellStyle name="_Model_RAB Мой 2_OREP.KU.2011.MONTHLY.02(v0.1)" xfId="54"/>
    <cellStyle name="_Model_RAB Мой 2_OREP.KU.2011.MONTHLY.02(v0.4)" xfId="55"/>
    <cellStyle name="_Model_RAB Мой 2_OREP.KU.2011.MONTHLY.11(v1.4)" xfId="56"/>
    <cellStyle name="_Model_RAB Мой 2_UPDATE.OREP.KU.2011.MONTHLY.02.TO.1.2" xfId="57"/>
    <cellStyle name="_Model_RAB Мой_46EE.2011(v1.0)" xfId="58"/>
    <cellStyle name="_Model_RAB Мой_46EE.2011(v1.0)_46TE.2011(v1.0)" xfId="59"/>
    <cellStyle name="_Model_RAB Мой_46EE.2011(v1.0)_INDEX.STATION.2012(v1.0)_" xfId="60"/>
    <cellStyle name="_Model_RAB Мой_46EE.2011(v1.0)_INDEX.STATION.2012(v2.0)" xfId="61"/>
    <cellStyle name="_Model_RAB Мой_46EE.2011(v1.0)_INDEX.STATION.2012(v2.1)" xfId="62"/>
    <cellStyle name="_Model_RAB Мой_46EE.2011(v1.0)_TEPLO.PREDEL.2012.M(v1.1)_test" xfId="63"/>
    <cellStyle name="_Model_RAB Мой_46EE.2011(v1.2)" xfId="64"/>
    <cellStyle name="_Model_RAB Мой_46EP.2011(v2.0)" xfId="65"/>
    <cellStyle name="_Model_RAB Мой_46EP.2012(v0.1)" xfId="66"/>
    <cellStyle name="_Model_RAB Мой_46TE.2011(v1.0)" xfId="67"/>
    <cellStyle name="_Model_RAB Мой_4DNS.UPDATE.EXAMPLE" xfId="68"/>
    <cellStyle name="_Model_RAB Мой_ARMRAZR" xfId="69"/>
    <cellStyle name="_Model_RAB Мой_BALANCE.WARM.2010.FACT(v1.0)" xfId="70"/>
    <cellStyle name="_Model_RAB Мой_BALANCE.WARM.2010.PLAN" xfId="71"/>
    <cellStyle name="_Model_RAB Мой_BALANCE.WARM.2011YEAR(v0.7)" xfId="72"/>
    <cellStyle name="_Model_RAB Мой_BALANCE.WARM.2011YEAR.NEW.UPDATE.SCHEME" xfId="73"/>
    <cellStyle name="_Model_RAB Мой_CALC.NORMATIV.KU(v0.2)" xfId="74"/>
    <cellStyle name="_Model_RAB Мой_EE.2REK.P2011.4.78(v0.3)" xfId="75"/>
    <cellStyle name="_Model_RAB Мой_FORM3.1.2013(v0.2)" xfId="76"/>
    <cellStyle name="_Model_RAB Мой_FORM3.2013(v1.0)" xfId="77"/>
    <cellStyle name="_Model_RAB Мой_FORM3.REG(v1.0)" xfId="78"/>
    <cellStyle name="_Model_RAB Мой_FORM910.2012(v1.1)" xfId="79"/>
    <cellStyle name="_Model_RAB Мой_INDEX.STATION.2012(v2.1)" xfId="80"/>
    <cellStyle name="_Model_RAB Мой_INDEX.STATION.2013(v1.0)_патч до 1.1" xfId="81"/>
    <cellStyle name="_Model_RAB Мой_INVEST.EE.PLAN.4.78(v0.1)" xfId="82"/>
    <cellStyle name="_Model_RAB Мой_INVEST.EE.PLAN.4.78(v0.3)" xfId="83"/>
    <cellStyle name="_Model_RAB Мой_INVEST.EE.PLAN.4.78(v1.0)" xfId="84"/>
    <cellStyle name="_Model_RAB Мой_INVEST.EE.PLAN.4.78(v1.0)_PASSPORT.TEPLO.PROIZV(v2.0)" xfId="85"/>
    <cellStyle name="_Model_RAB Мой_INVEST.EE.PLAN.4.78(v1.0)_PASSPORT.TEPLO.PROIZV(v2.0)_INDEX.STATION.2013(v1.0)_патч до 1.1" xfId="86"/>
    <cellStyle name="_Model_RAB Мой_INVEST.EE.PLAN.4.78(v1.0)_PASSPORT.TEPLO.PROIZV(v2.0)_TEPLO.PREDEL.2013(v2.0)" xfId="87"/>
    <cellStyle name="_Model_RAB Мой_INVEST.PLAN.4.78(v0.1)" xfId="88"/>
    <cellStyle name="_Model_RAB Мой_INVEST.WARM.PLAN.4.78(v0.1)" xfId="89"/>
    <cellStyle name="_Model_RAB Мой_INVEST_WARM_PLAN" xfId="90"/>
    <cellStyle name="_Model_RAB Мой_NADB.JNVLP.APTEKA.2012(v1.0)_21_02_12" xfId="91"/>
    <cellStyle name="_Model_RAB Мой_NADB.JNVLS.APTEKA.2011(v1.3.3)" xfId="92"/>
    <cellStyle name="_Model_RAB Мой_NADB.JNVLS.APTEKA.2011(v1.3.3)_46TE.2011(v1.0)" xfId="93"/>
    <cellStyle name="_Model_RAB Мой_NADB.JNVLS.APTEKA.2011(v1.3.3)_INDEX.STATION.2012(v1.0)_" xfId="94"/>
    <cellStyle name="_Model_RAB Мой_NADB.JNVLS.APTEKA.2011(v1.3.3)_INDEX.STATION.2012(v2.0)" xfId="95"/>
    <cellStyle name="_Model_RAB Мой_NADB.JNVLS.APTEKA.2011(v1.3.3)_INDEX.STATION.2012(v2.1)" xfId="96"/>
    <cellStyle name="_Model_RAB Мой_NADB.JNVLS.APTEKA.2011(v1.3.3)_TEPLO.PREDEL.2012.M(v1.1)_test" xfId="97"/>
    <cellStyle name="_Model_RAB Мой_NADB.JNVLS.APTEKA.2011(v1.3.4)" xfId="98"/>
    <cellStyle name="_Model_RAB Мой_NADB.JNVLS.APTEKA.2011(v1.3.4)_46TE.2011(v1.0)" xfId="99"/>
    <cellStyle name="_Model_RAB Мой_NADB.JNVLS.APTEKA.2011(v1.3.4)_INDEX.STATION.2012(v1.0)_" xfId="100"/>
    <cellStyle name="_Model_RAB Мой_NADB.JNVLS.APTEKA.2011(v1.3.4)_INDEX.STATION.2012(v2.0)" xfId="101"/>
    <cellStyle name="_Model_RAB Мой_NADB.JNVLS.APTEKA.2011(v1.3.4)_INDEX.STATION.2012(v2.1)" xfId="102"/>
    <cellStyle name="_Model_RAB Мой_NADB.JNVLS.APTEKA.2011(v1.3.4)_TEPLO.PREDEL.2012.M(v1.1)_test" xfId="103"/>
    <cellStyle name="_Model_RAB Мой_PASSPORT.TEPLO.PROIZV(v2.1)" xfId="104"/>
    <cellStyle name="_Model_RAB Мой_PASSPORT.TEPLO.SETI(v0.7)" xfId="105"/>
    <cellStyle name="_Model_RAB Мой_PASSPORT.TEPLO.SETI(v1.0)" xfId="106"/>
    <cellStyle name="_Model_RAB Мой_PR.PROG.WARM.NOTCOMBI.2012.2.16_v1.4(04.04.11) " xfId="107"/>
    <cellStyle name="_Model_RAB Мой_PREDEL.JKH.UTV.2011(v1.0.1)" xfId="108"/>
    <cellStyle name="_Model_RAB Мой_PREDEL.JKH.UTV.2011(v1.0.1)_46TE.2011(v1.0)" xfId="109"/>
    <cellStyle name="_Model_RAB Мой_PREDEL.JKH.UTV.2011(v1.0.1)_INDEX.STATION.2012(v1.0)_" xfId="110"/>
    <cellStyle name="_Model_RAB Мой_PREDEL.JKH.UTV.2011(v1.0.1)_INDEX.STATION.2012(v2.0)" xfId="111"/>
    <cellStyle name="_Model_RAB Мой_PREDEL.JKH.UTV.2011(v1.0.1)_INDEX.STATION.2012(v2.1)" xfId="112"/>
    <cellStyle name="_Model_RAB Мой_PREDEL.JKH.UTV.2011(v1.0.1)_TEPLO.PREDEL.2012.M(v1.1)_test" xfId="113"/>
    <cellStyle name="_Model_RAB Мой_PREDEL.JKH.UTV.2011(v1.1)" xfId="114"/>
    <cellStyle name="_Model_RAB Мой_REP.BLR.2012(v1.0)" xfId="115"/>
    <cellStyle name="_Model_RAB Мой_TEPLO.PREDEL.2012.M(v1.1)" xfId="116"/>
    <cellStyle name="_Model_RAB Мой_TEPLO.PREDEL.2013(v2.0)" xfId="117"/>
    <cellStyle name="_Model_RAB Мой_TEST.TEMPLATE" xfId="118"/>
    <cellStyle name="_Model_RAB Мой_UPDATE.46EE.2011.TO.1.1" xfId="119"/>
    <cellStyle name="_Model_RAB Мой_UPDATE.46TE.2011.TO.1.1" xfId="120"/>
    <cellStyle name="_Model_RAB Мой_UPDATE.46TE.2011.TO.1.2" xfId="121"/>
    <cellStyle name="_Model_RAB Мой_UPDATE.BALANCE.WARM.2011YEAR.TO.1.1" xfId="122"/>
    <cellStyle name="_Model_RAB Мой_UPDATE.BALANCE.WARM.2011YEAR.TO.1.1_46TE.2011(v1.0)" xfId="123"/>
    <cellStyle name="_Model_RAB Мой_UPDATE.BALANCE.WARM.2011YEAR.TO.1.1_INDEX.STATION.2012(v1.0)_" xfId="124"/>
    <cellStyle name="_Model_RAB Мой_UPDATE.BALANCE.WARM.2011YEAR.TO.1.1_INDEX.STATION.2012(v2.0)" xfId="125"/>
    <cellStyle name="_Model_RAB Мой_UPDATE.BALANCE.WARM.2011YEAR.TO.1.1_INDEX.STATION.2012(v2.1)" xfId="126"/>
    <cellStyle name="_Model_RAB Мой_UPDATE.BALANCE.WARM.2011YEAR.TO.1.1_OREP.KU.2011.MONTHLY.02(v1.1)" xfId="127"/>
    <cellStyle name="_Model_RAB Мой_UPDATE.BALANCE.WARM.2011YEAR.TO.1.1_TEPLO.PREDEL.2012.M(v1.1)_test" xfId="128"/>
    <cellStyle name="_Model_RAB Мой_UPDATE.NADB.JNVLS.APTEKA.2011.TO.1.3.4" xfId="129"/>
    <cellStyle name="_Model_RAB Мой_Книга2_PR.PROG.WARM.NOTCOMBI.2012.2.16_v1.4(04.04.11) " xfId="130"/>
    <cellStyle name="_Model_RAB Мой_Тариф 2013 Архангельск для агентства" xfId="131"/>
    <cellStyle name="_Model_RAB Мой_Тариф 2014 уч. Шипицыно газ" xfId="132"/>
    <cellStyle name="_Model_RAB_MRSK_svod" xfId="133"/>
    <cellStyle name="_Model_RAB_MRSK_svod 2" xfId="134"/>
    <cellStyle name="_Model_RAB_MRSK_svod 2_OREP.KU.2011.MONTHLY.02(v0.1)" xfId="135"/>
    <cellStyle name="_Model_RAB_MRSK_svod 2_OREP.KU.2011.MONTHLY.02(v0.4)" xfId="136"/>
    <cellStyle name="_Model_RAB_MRSK_svod 2_OREP.KU.2011.MONTHLY.11(v1.4)" xfId="137"/>
    <cellStyle name="_Model_RAB_MRSK_svod 2_UPDATE.OREP.KU.2011.MONTHLY.02.TO.1.2" xfId="138"/>
    <cellStyle name="_Model_RAB_MRSK_svod_46EE.2011(v1.0)" xfId="139"/>
    <cellStyle name="_Model_RAB_MRSK_svod_46EE.2011(v1.0)_46TE.2011(v1.0)" xfId="140"/>
    <cellStyle name="_Model_RAB_MRSK_svod_46EE.2011(v1.0)_INDEX.STATION.2012(v1.0)_" xfId="141"/>
    <cellStyle name="_Model_RAB_MRSK_svod_46EE.2011(v1.0)_INDEX.STATION.2012(v2.0)" xfId="142"/>
    <cellStyle name="_Model_RAB_MRSK_svod_46EE.2011(v1.0)_INDEX.STATION.2012(v2.1)" xfId="143"/>
    <cellStyle name="_Model_RAB_MRSK_svod_46EE.2011(v1.0)_TEPLO.PREDEL.2012.M(v1.1)_test" xfId="144"/>
    <cellStyle name="_Model_RAB_MRSK_svod_46EE.2011(v1.2)" xfId="145"/>
    <cellStyle name="_Model_RAB_MRSK_svod_46EP.2011(v2.0)" xfId="146"/>
    <cellStyle name="_Model_RAB_MRSK_svod_46EP.2012(v0.1)" xfId="147"/>
    <cellStyle name="_Model_RAB_MRSK_svod_46TE.2011(v1.0)" xfId="148"/>
    <cellStyle name="_Model_RAB_MRSK_svod_4DNS.UPDATE.EXAMPLE" xfId="149"/>
    <cellStyle name="_Model_RAB_MRSK_svod_ARMRAZR" xfId="150"/>
    <cellStyle name="_Model_RAB_MRSK_svod_BALANCE.WARM.2010.FACT(v1.0)" xfId="151"/>
    <cellStyle name="_Model_RAB_MRSK_svod_BALANCE.WARM.2010.PLAN" xfId="152"/>
    <cellStyle name="_Model_RAB_MRSK_svod_BALANCE.WARM.2011YEAR(v0.7)" xfId="153"/>
    <cellStyle name="_Model_RAB_MRSK_svod_BALANCE.WARM.2011YEAR.NEW.UPDATE.SCHEME" xfId="154"/>
    <cellStyle name="_Model_RAB_MRSK_svod_CALC.NORMATIV.KU(v0.2)" xfId="155"/>
    <cellStyle name="_Model_RAB_MRSK_svod_EE.2REK.P2011.4.78(v0.3)" xfId="156"/>
    <cellStyle name="_Model_RAB_MRSK_svod_FORM3.1.2013(v0.2)" xfId="157"/>
    <cellStyle name="_Model_RAB_MRSK_svod_FORM3.2013(v1.0)" xfId="158"/>
    <cellStyle name="_Model_RAB_MRSK_svod_FORM3.REG(v1.0)" xfId="159"/>
    <cellStyle name="_Model_RAB_MRSK_svod_FORM910.2012(v1.1)" xfId="160"/>
    <cellStyle name="_Model_RAB_MRSK_svod_INDEX.STATION.2012(v2.1)" xfId="161"/>
    <cellStyle name="_Model_RAB_MRSK_svod_INDEX.STATION.2013(v1.0)_патч до 1.1" xfId="162"/>
    <cellStyle name="_Model_RAB_MRSK_svod_INVEST.EE.PLAN.4.78(v0.1)" xfId="163"/>
    <cellStyle name="_Model_RAB_MRSK_svod_INVEST.EE.PLAN.4.78(v0.3)" xfId="164"/>
    <cellStyle name="_Model_RAB_MRSK_svod_INVEST.EE.PLAN.4.78(v1.0)" xfId="165"/>
    <cellStyle name="_Model_RAB_MRSK_svod_INVEST.EE.PLAN.4.78(v1.0)_PASSPORT.TEPLO.PROIZV(v2.0)" xfId="166"/>
    <cellStyle name="_Model_RAB_MRSK_svod_INVEST.EE.PLAN.4.78(v1.0)_PASSPORT.TEPLO.PROIZV(v2.0)_INDEX.STATION.2013(v1.0)_патч до 1.1" xfId="167"/>
    <cellStyle name="_Model_RAB_MRSK_svod_INVEST.EE.PLAN.4.78(v1.0)_PASSPORT.TEPLO.PROIZV(v2.0)_TEPLO.PREDEL.2013(v2.0)" xfId="168"/>
    <cellStyle name="_Model_RAB_MRSK_svod_INVEST.PLAN.4.78(v0.1)" xfId="169"/>
    <cellStyle name="_Model_RAB_MRSK_svod_INVEST.WARM.PLAN.4.78(v0.1)" xfId="170"/>
    <cellStyle name="_Model_RAB_MRSK_svod_INVEST_WARM_PLAN" xfId="171"/>
    <cellStyle name="_Model_RAB_MRSK_svod_NADB.JNVLP.APTEKA.2012(v1.0)_21_02_12" xfId="172"/>
    <cellStyle name="_Model_RAB_MRSK_svod_NADB.JNVLS.APTEKA.2011(v1.3.3)" xfId="173"/>
    <cellStyle name="_Model_RAB_MRSK_svod_NADB.JNVLS.APTEKA.2011(v1.3.3)_46TE.2011(v1.0)" xfId="174"/>
    <cellStyle name="_Model_RAB_MRSK_svod_NADB.JNVLS.APTEKA.2011(v1.3.3)_INDEX.STATION.2012(v1.0)_" xfId="175"/>
    <cellStyle name="_Model_RAB_MRSK_svod_NADB.JNVLS.APTEKA.2011(v1.3.3)_INDEX.STATION.2012(v2.0)" xfId="176"/>
    <cellStyle name="_Model_RAB_MRSK_svod_NADB.JNVLS.APTEKA.2011(v1.3.3)_INDEX.STATION.2012(v2.1)" xfId="177"/>
    <cellStyle name="_Model_RAB_MRSK_svod_NADB.JNVLS.APTEKA.2011(v1.3.3)_TEPLO.PREDEL.2012.M(v1.1)_test" xfId="178"/>
    <cellStyle name="_Model_RAB_MRSK_svod_NADB.JNVLS.APTEKA.2011(v1.3.4)" xfId="179"/>
    <cellStyle name="_Model_RAB_MRSK_svod_NADB.JNVLS.APTEKA.2011(v1.3.4)_46TE.2011(v1.0)" xfId="180"/>
    <cellStyle name="_Model_RAB_MRSK_svod_NADB.JNVLS.APTEKA.2011(v1.3.4)_INDEX.STATION.2012(v1.0)_" xfId="181"/>
    <cellStyle name="_Model_RAB_MRSK_svod_NADB.JNVLS.APTEKA.2011(v1.3.4)_INDEX.STATION.2012(v2.0)" xfId="182"/>
    <cellStyle name="_Model_RAB_MRSK_svod_NADB.JNVLS.APTEKA.2011(v1.3.4)_INDEX.STATION.2012(v2.1)" xfId="183"/>
    <cellStyle name="_Model_RAB_MRSK_svod_NADB.JNVLS.APTEKA.2011(v1.3.4)_TEPLO.PREDEL.2012.M(v1.1)_test" xfId="184"/>
    <cellStyle name="_Model_RAB_MRSK_svod_PASSPORT.TEPLO.PROIZV(v2.1)" xfId="185"/>
    <cellStyle name="_Model_RAB_MRSK_svod_PASSPORT.TEPLO.SETI(v0.7)" xfId="186"/>
    <cellStyle name="_Model_RAB_MRSK_svod_PASSPORT.TEPLO.SETI(v1.0)" xfId="187"/>
    <cellStyle name="_Model_RAB_MRSK_svod_PR.PROG.WARM.NOTCOMBI.2012.2.16_v1.4(04.04.11) " xfId="188"/>
    <cellStyle name="_Model_RAB_MRSK_svod_PREDEL.JKH.UTV.2011(v1.0.1)" xfId="189"/>
    <cellStyle name="_Model_RAB_MRSK_svod_PREDEL.JKH.UTV.2011(v1.0.1)_46TE.2011(v1.0)" xfId="190"/>
    <cellStyle name="_Model_RAB_MRSK_svod_PREDEL.JKH.UTV.2011(v1.0.1)_INDEX.STATION.2012(v1.0)_" xfId="191"/>
    <cellStyle name="_Model_RAB_MRSK_svod_PREDEL.JKH.UTV.2011(v1.0.1)_INDEX.STATION.2012(v2.0)" xfId="192"/>
    <cellStyle name="_Model_RAB_MRSK_svod_PREDEL.JKH.UTV.2011(v1.0.1)_INDEX.STATION.2012(v2.1)" xfId="193"/>
    <cellStyle name="_Model_RAB_MRSK_svod_PREDEL.JKH.UTV.2011(v1.0.1)_TEPLO.PREDEL.2012.M(v1.1)_test" xfId="194"/>
    <cellStyle name="_Model_RAB_MRSK_svod_PREDEL.JKH.UTV.2011(v1.1)" xfId="195"/>
    <cellStyle name="_Model_RAB_MRSK_svod_REP.BLR.2012(v1.0)" xfId="196"/>
    <cellStyle name="_Model_RAB_MRSK_svod_TEPLO.PREDEL.2012.M(v1.1)" xfId="197"/>
    <cellStyle name="_Model_RAB_MRSK_svod_TEPLO.PREDEL.2013(v2.0)" xfId="198"/>
    <cellStyle name="_Model_RAB_MRSK_svod_TEST.TEMPLATE" xfId="199"/>
    <cellStyle name="_Model_RAB_MRSK_svod_UPDATE.46EE.2011.TO.1.1" xfId="200"/>
    <cellStyle name="_Model_RAB_MRSK_svod_UPDATE.46TE.2011.TO.1.1" xfId="201"/>
    <cellStyle name="_Model_RAB_MRSK_svod_UPDATE.46TE.2011.TO.1.2" xfId="202"/>
    <cellStyle name="_Model_RAB_MRSK_svod_UPDATE.BALANCE.WARM.2011YEAR.TO.1.1" xfId="203"/>
    <cellStyle name="_Model_RAB_MRSK_svod_UPDATE.BALANCE.WARM.2011YEAR.TO.1.1_46TE.2011(v1.0)" xfId="204"/>
    <cellStyle name="_Model_RAB_MRSK_svod_UPDATE.BALANCE.WARM.2011YEAR.TO.1.1_INDEX.STATION.2012(v1.0)_" xfId="205"/>
    <cellStyle name="_Model_RAB_MRSK_svod_UPDATE.BALANCE.WARM.2011YEAR.TO.1.1_INDEX.STATION.2012(v2.0)" xfId="206"/>
    <cellStyle name="_Model_RAB_MRSK_svod_UPDATE.BALANCE.WARM.2011YEAR.TO.1.1_INDEX.STATION.2012(v2.1)" xfId="207"/>
    <cellStyle name="_Model_RAB_MRSK_svod_UPDATE.BALANCE.WARM.2011YEAR.TO.1.1_OREP.KU.2011.MONTHLY.02(v1.1)" xfId="208"/>
    <cellStyle name="_Model_RAB_MRSK_svod_UPDATE.BALANCE.WARM.2011YEAR.TO.1.1_TEPLO.PREDEL.2012.M(v1.1)_test" xfId="209"/>
    <cellStyle name="_Model_RAB_MRSK_svod_UPDATE.NADB.JNVLS.APTEKA.2011.TO.1.3.4" xfId="210"/>
    <cellStyle name="_Model_RAB_MRSK_svod_Книга2_PR.PROG.WARM.NOTCOMBI.2012.2.16_v1.4(04.04.11) " xfId="211"/>
    <cellStyle name="_Model_RAB_MRSK_svod_Тариф 2013 Архангельск для агентства" xfId="212"/>
    <cellStyle name="_Model_RAB_MRSK_svod_Тариф 2014 уч. Шипицыно газ" xfId="213"/>
    <cellStyle name="_New_Sofi" xfId="214"/>
    <cellStyle name="_New_Sofi_FFF" xfId="215"/>
    <cellStyle name="_New_Sofi_New Form10_2" xfId="216"/>
    <cellStyle name="_New_Sofi_Nsi" xfId="217"/>
    <cellStyle name="_New_Sofi_Nsi_1" xfId="218"/>
    <cellStyle name="_New_Sofi_Nsi_139" xfId="219"/>
    <cellStyle name="_New_Sofi_Nsi_140" xfId="220"/>
    <cellStyle name="_New_Sofi_Nsi_140(Зах)" xfId="221"/>
    <cellStyle name="_New_Sofi_Nsi_140_mod" xfId="222"/>
    <cellStyle name="_New_Sofi_Summary" xfId="223"/>
    <cellStyle name="_New_Sofi_Tax_form_1кв_3" xfId="224"/>
    <cellStyle name="_New_Sofi_БКЭ" xfId="225"/>
    <cellStyle name="_Nsi" xfId="226"/>
    <cellStyle name="_Plug" xfId="227"/>
    <cellStyle name="_Plug_4DNS.UPDATE.EXAMPLE" xfId="228"/>
    <cellStyle name="_Plug_4DNS.UPDATE.EXAMPLE_INDEX.STATION.2013(v1.0)_патч до 1.1" xfId="229"/>
    <cellStyle name="_Plug_4DNS.UPDATE.EXAMPLE_TEPLO.PREDEL.2013(v2.1)_FST" xfId="230"/>
    <cellStyle name="_Plug_4DNS.UPDATE.EXAMPLE_TEPLO.PREDEL.2013.FST_update1" xfId="231"/>
    <cellStyle name="_SeriesAttributes" xfId="232"/>
    <cellStyle name="_TSET.NET.2010.варианты расчета_min_max_ГК_03.09.09 RAB" xfId="233"/>
    <cellStyle name="_TSET.NET.2010.варианты расчета_min_max_ГК_03.09.09 RAB_Расче тарифа на тэ 2014 Мезенский АрхоблЭнерго" xfId="234"/>
    <cellStyle name="_TSET.NET.2010.варианты расчета_min_max_ГК_03.09.09 RAB_тарифы по ТЭ на 2014 год Соловки исправ." xfId="235"/>
    <cellStyle name="_v-2013-2030- 2b17.01.11Нах-cpiнов. курс inn 1-2-Е1xls" xfId="236"/>
    <cellStyle name="_Аморт,налоги,охрана,молоко" xfId="237"/>
    <cellStyle name="_БДР (ЦФО) 05-11-08" xfId="238"/>
    <cellStyle name="_БДР 2008 факт 1 кв. + проект на год 10.04.08" xfId="239"/>
    <cellStyle name="_БДР 2009" xfId="240"/>
    <cellStyle name="_БДР 3 квартал" xfId="241"/>
    <cellStyle name="_Бухгалтерия (налоги, амортизация, прочие)" xfId="242"/>
    <cellStyle name="_Бюджет2006_ПОКАЗАТЕЛИ СВОДНЫЕ" xfId="243"/>
    <cellStyle name="_Вводы 2008-2012 Колэнерго" xfId="244"/>
    <cellStyle name="_Вводы 2008-2012 Колэнерго_Расче тарифа на тэ 2014 Мезенский АрхоблЭнерго" xfId="245"/>
    <cellStyle name="_Вводы 2008-2012 Колэнерго_тарифы по ТЭ на 2014 год Соловки исправ." xfId="246"/>
    <cellStyle name="_ВО ОП ТЭС-ОТ- 2007" xfId="247"/>
    <cellStyle name="_ВО ОП ТЭС-ОТ- 2007_Новая инструкция1_фст" xfId="248"/>
    <cellStyle name="_ВФ ОАО ТЭС-ОТ- 2009" xfId="249"/>
    <cellStyle name="_ВФ ОАО ТЭС-ОТ- 2009_Новая инструкция1_фст" xfId="250"/>
    <cellStyle name="_выручка по присоединениям2" xfId="251"/>
    <cellStyle name="_выручка по присоединениям2_Новая инструкция1_фст" xfId="252"/>
    <cellStyle name="_выручка по присоединениям2_Расче тарифа на тэ 2014 Мезенский АрхоблЭнерго" xfId="253"/>
    <cellStyle name="_выручка по присоединениям2_Тариф тепло Мезень для АТЦ" xfId="254"/>
    <cellStyle name="_выручка по присоединениям2_тарифы по ТЭ на 2014 год Соловки исправ." xfId="255"/>
    <cellStyle name="_ГКПЗ 2009" xfId="256"/>
    <cellStyle name="_Договор аренды ЯЭ с разбивкой" xfId="257"/>
    <cellStyle name="_Договор аренды ЯЭ с разбивкой_Новая инструкция1_фст" xfId="258"/>
    <cellStyle name="_Защита ФЗП" xfId="259"/>
    <cellStyle name="_инвест" xfId="260"/>
    <cellStyle name="_инвест_Расче тарифа на тэ 2014 Мезенский АрхоблЭнерго" xfId="261"/>
    <cellStyle name="_инвест_тарифы по ТЭ на 2014 год Соловки исправ." xfId="262"/>
    <cellStyle name="_ИП 17032006" xfId="263"/>
    <cellStyle name="_ИП 17032006_Расче тарифа на тэ 2014 Мезенский АрхоблЭнерго" xfId="264"/>
    <cellStyle name="_ИП 17032006_тарифы по ТЭ на 2014 год Соловки исправ." xfId="265"/>
    <cellStyle name="_ИП СО 2006-2010 отпр 22 01 07" xfId="266"/>
    <cellStyle name="_ИП СО 2006-2010 отпр 22 01 07_Расче тарифа на тэ 2014 Мезенский АрхоблЭнерго" xfId="267"/>
    <cellStyle name="_ИП СО 2006-2010 отпр 22 01 07_тарифы по ТЭ на 2014 год Соловки исправ." xfId="268"/>
    <cellStyle name="_Исходные данные для модели" xfId="269"/>
    <cellStyle name="_Исходные данные для модели_Новая инструкция1_фст" xfId="270"/>
    <cellStyle name="_Исходные данные для модели_Расче тарифа на тэ 2014 Мезенский АрхоблЭнерго" xfId="271"/>
    <cellStyle name="_Исходные данные для модели_Тариф тепло Мезень для АТЦ" xfId="272"/>
    <cellStyle name="_Исходные данные для модели_тарифы по ТЭ на 2014 год Соловки исправ." xfId="273"/>
    <cellStyle name="_Книга1" xfId="274"/>
    <cellStyle name="_Книга3" xfId="275"/>
    <cellStyle name="_Книга3_New Form10_2" xfId="276"/>
    <cellStyle name="_Книга3_Nsi" xfId="277"/>
    <cellStyle name="_Книга3_Nsi_1" xfId="278"/>
    <cellStyle name="_Книга3_Nsi_139" xfId="279"/>
    <cellStyle name="_Книга3_Nsi_140" xfId="280"/>
    <cellStyle name="_Книга3_Nsi_140(Зах)" xfId="281"/>
    <cellStyle name="_Книга3_Nsi_140_mod" xfId="282"/>
    <cellStyle name="_Книга3_Summary" xfId="283"/>
    <cellStyle name="_Книга3_Tax_form_1кв_3" xfId="284"/>
    <cellStyle name="_Книга3_БКЭ" xfId="285"/>
    <cellStyle name="_Книга7" xfId="286"/>
    <cellStyle name="_Книга7_New Form10_2" xfId="287"/>
    <cellStyle name="_Книга7_Nsi" xfId="288"/>
    <cellStyle name="_Книга7_Nsi_1" xfId="289"/>
    <cellStyle name="_Книга7_Nsi_139" xfId="290"/>
    <cellStyle name="_Книга7_Nsi_140" xfId="291"/>
    <cellStyle name="_Книга7_Nsi_140(Зах)" xfId="292"/>
    <cellStyle name="_Книга7_Nsi_140_mod" xfId="293"/>
    <cellStyle name="_Книга7_Summary" xfId="294"/>
    <cellStyle name="_Книга7_Tax_form_1кв_3" xfId="295"/>
    <cellStyle name="_Книга7_БКЭ" xfId="296"/>
    <cellStyle name="_Консолидация-2008-проект-new" xfId="297"/>
    <cellStyle name="_Копия Затраты под АЭР ремонт+содерж на март" xfId="298"/>
    <cellStyle name="_Копия Прил 2(Показатели ИП)" xfId="299"/>
    <cellStyle name="_Копия Прил 2(Показатели ИП)_Расче тарифа на тэ 2014 Мезенский АрхоблЭнерго" xfId="300"/>
    <cellStyle name="_Копия Прил 2(Показатели ИП)_тарифы по ТЭ на 2014 год Соловки исправ." xfId="301"/>
    <cellStyle name="_мин_макс_24.09.2009_ГК" xfId="302"/>
    <cellStyle name="_мин_макс_24.09.2009_ГК_Расче тарифа на тэ 2014 Мезенский АрхоблЭнерго" xfId="303"/>
    <cellStyle name="_мин_макс_24.09.2009_ГК_тарифы по ТЭ на 2014 год Соловки исправ." xfId="304"/>
    <cellStyle name="_Модель - 2(23)" xfId="305"/>
    <cellStyle name="_МОДЕЛЬ_1 (2)" xfId="306"/>
    <cellStyle name="_МОДЕЛЬ_1 (2) 2" xfId="307"/>
    <cellStyle name="_МОДЕЛЬ_1 (2) 2_OREP.KU.2011.MONTHLY.02(v0.1)" xfId="308"/>
    <cellStyle name="_МОДЕЛЬ_1 (2) 2_OREP.KU.2011.MONTHLY.02(v0.4)" xfId="309"/>
    <cellStyle name="_МОДЕЛЬ_1 (2) 2_OREP.KU.2011.MONTHLY.11(v1.4)" xfId="310"/>
    <cellStyle name="_МОДЕЛЬ_1 (2) 2_UPDATE.OREP.KU.2011.MONTHLY.02.TO.1.2" xfId="311"/>
    <cellStyle name="_МОДЕЛЬ_1 (2) Псков max затраты ПЭ сценарные Холдинга ( конечн.19,8)" xfId="312"/>
    <cellStyle name="_МОДЕЛЬ_1 (2)_46EE.2011(v1.0)" xfId="313"/>
    <cellStyle name="_МОДЕЛЬ_1 (2)_46EE.2011(v1.0)_46TE.2011(v1.0)" xfId="314"/>
    <cellStyle name="_МОДЕЛЬ_1 (2)_46EE.2011(v1.0)_INDEX.STATION.2012(v1.0)_" xfId="315"/>
    <cellStyle name="_МОДЕЛЬ_1 (2)_46EE.2011(v1.0)_INDEX.STATION.2012(v2.0)" xfId="316"/>
    <cellStyle name="_МОДЕЛЬ_1 (2)_46EE.2011(v1.0)_INDEX.STATION.2012(v2.1)" xfId="317"/>
    <cellStyle name="_МОДЕЛЬ_1 (2)_46EE.2011(v1.0)_TEPLO.PREDEL.2012.M(v1.1)_test" xfId="318"/>
    <cellStyle name="_МОДЕЛЬ_1 (2)_46EE.2011(v1.2)" xfId="319"/>
    <cellStyle name="_МОДЕЛЬ_1 (2)_46EP.2011(v2.0)" xfId="320"/>
    <cellStyle name="_МОДЕЛЬ_1 (2)_46EP.2012(v0.1)" xfId="321"/>
    <cellStyle name="_МОДЕЛЬ_1 (2)_46TE.2011(v1.0)" xfId="322"/>
    <cellStyle name="_МОДЕЛЬ_1 (2)_4DNS.UPDATE.EXAMPLE" xfId="323"/>
    <cellStyle name="_МОДЕЛЬ_1 (2)_ARMRAZR" xfId="324"/>
    <cellStyle name="_МОДЕЛЬ_1 (2)_BALANCE.WARM.2010.FACT(v1.0)" xfId="325"/>
    <cellStyle name="_МОДЕЛЬ_1 (2)_BALANCE.WARM.2010.PLAN" xfId="326"/>
    <cellStyle name="_МОДЕЛЬ_1 (2)_BALANCE.WARM.2011YEAR(v0.7)" xfId="327"/>
    <cellStyle name="_МОДЕЛЬ_1 (2)_BALANCE.WARM.2011YEAR.NEW.UPDATE.SCHEME" xfId="328"/>
    <cellStyle name="_МОДЕЛЬ_1 (2)_CALC.NORMATIV.KU(v0.2)" xfId="329"/>
    <cellStyle name="_МОДЕЛЬ_1 (2)_EE.2REK.P2011.4.78(v0.3)" xfId="330"/>
    <cellStyle name="_МОДЕЛЬ_1 (2)_FORM3.1.2013(v0.2)" xfId="331"/>
    <cellStyle name="_МОДЕЛЬ_1 (2)_FORM3.2013(v1.0)" xfId="332"/>
    <cellStyle name="_МОДЕЛЬ_1 (2)_FORM3.REG(v1.0)" xfId="333"/>
    <cellStyle name="_МОДЕЛЬ_1 (2)_FORM910.2012(v1.1)" xfId="334"/>
    <cellStyle name="_МОДЕЛЬ_1 (2)_INDEX.STATION.2012(v2.1)" xfId="335"/>
    <cellStyle name="_МОДЕЛЬ_1 (2)_INDEX.STATION.2013(v1.0)_патч до 1.1" xfId="336"/>
    <cellStyle name="_МОДЕЛЬ_1 (2)_INVEST.EE.PLAN.4.78(v0.1)" xfId="337"/>
    <cellStyle name="_МОДЕЛЬ_1 (2)_INVEST.EE.PLAN.4.78(v0.3)" xfId="338"/>
    <cellStyle name="_МОДЕЛЬ_1 (2)_INVEST.EE.PLAN.4.78(v1.0)" xfId="339"/>
    <cellStyle name="_МОДЕЛЬ_1 (2)_INVEST.EE.PLAN.4.78(v1.0)_PASSPORT.TEPLO.PROIZV(v2.0)" xfId="340"/>
    <cellStyle name="_МОДЕЛЬ_1 (2)_INVEST.EE.PLAN.4.78(v1.0)_PASSPORT.TEPLO.PROIZV(v2.0)_INDEX.STATION.2013(v1.0)_патч до 1.1" xfId="341"/>
    <cellStyle name="_МОДЕЛЬ_1 (2)_INVEST.EE.PLAN.4.78(v1.0)_PASSPORT.TEPLO.PROIZV(v2.0)_TEPLO.PREDEL.2013(v2.0)" xfId="342"/>
    <cellStyle name="_МОДЕЛЬ_1 (2)_INVEST.PLAN.4.78(v0.1)" xfId="343"/>
    <cellStyle name="_МОДЕЛЬ_1 (2)_INVEST.WARM.PLAN.4.78(v0.1)" xfId="344"/>
    <cellStyle name="_МОДЕЛЬ_1 (2)_INVEST_WARM_PLAN" xfId="345"/>
    <cellStyle name="_МОДЕЛЬ_1 (2)_NADB.JNVLP.APTEKA.2012(v1.0)_21_02_12" xfId="346"/>
    <cellStyle name="_МОДЕЛЬ_1 (2)_NADB.JNVLS.APTEKA.2011(v1.3.3)" xfId="347"/>
    <cellStyle name="_МОДЕЛЬ_1 (2)_NADB.JNVLS.APTEKA.2011(v1.3.3)_46TE.2011(v1.0)" xfId="348"/>
    <cellStyle name="_МОДЕЛЬ_1 (2)_NADB.JNVLS.APTEKA.2011(v1.3.3)_INDEX.STATION.2012(v1.0)_" xfId="349"/>
    <cellStyle name="_МОДЕЛЬ_1 (2)_NADB.JNVLS.APTEKA.2011(v1.3.3)_INDEX.STATION.2012(v2.0)" xfId="350"/>
    <cellStyle name="_МОДЕЛЬ_1 (2)_NADB.JNVLS.APTEKA.2011(v1.3.3)_INDEX.STATION.2012(v2.1)" xfId="351"/>
    <cellStyle name="_МОДЕЛЬ_1 (2)_NADB.JNVLS.APTEKA.2011(v1.3.3)_TEPLO.PREDEL.2012.M(v1.1)_test" xfId="352"/>
    <cellStyle name="_МОДЕЛЬ_1 (2)_NADB.JNVLS.APTEKA.2011(v1.3.4)" xfId="353"/>
    <cellStyle name="_МОДЕЛЬ_1 (2)_NADB.JNVLS.APTEKA.2011(v1.3.4)_46TE.2011(v1.0)" xfId="354"/>
    <cellStyle name="_МОДЕЛЬ_1 (2)_NADB.JNVLS.APTEKA.2011(v1.3.4)_INDEX.STATION.2012(v1.0)_" xfId="355"/>
    <cellStyle name="_МОДЕЛЬ_1 (2)_NADB.JNVLS.APTEKA.2011(v1.3.4)_INDEX.STATION.2012(v2.0)" xfId="356"/>
    <cellStyle name="_МОДЕЛЬ_1 (2)_NADB.JNVLS.APTEKA.2011(v1.3.4)_INDEX.STATION.2012(v2.1)" xfId="357"/>
    <cellStyle name="_МОДЕЛЬ_1 (2)_NADB.JNVLS.APTEKA.2011(v1.3.4)_TEPLO.PREDEL.2012.M(v1.1)_test" xfId="358"/>
    <cellStyle name="_МОДЕЛЬ_1 (2)_PASSPORT.TEPLO.PROIZV(v2.1)" xfId="359"/>
    <cellStyle name="_МОДЕЛЬ_1 (2)_PASSPORT.TEPLO.SETI(v0.7)" xfId="360"/>
    <cellStyle name="_МОДЕЛЬ_1 (2)_PASSPORT.TEPLO.SETI(v1.0)" xfId="361"/>
    <cellStyle name="_МОДЕЛЬ_1 (2)_PR.PROG.WARM.NOTCOMBI.2012.2.16_v1.4(04.04.11) " xfId="362"/>
    <cellStyle name="_МОДЕЛЬ_1 (2)_PREDEL.JKH.UTV.2011(v1.0.1)" xfId="363"/>
    <cellStyle name="_МОДЕЛЬ_1 (2)_PREDEL.JKH.UTV.2011(v1.0.1)_46TE.2011(v1.0)" xfId="364"/>
    <cellStyle name="_МОДЕЛЬ_1 (2)_PREDEL.JKH.UTV.2011(v1.0.1)_INDEX.STATION.2012(v1.0)_" xfId="365"/>
    <cellStyle name="_МОДЕЛЬ_1 (2)_PREDEL.JKH.UTV.2011(v1.0.1)_INDEX.STATION.2012(v2.0)" xfId="366"/>
    <cellStyle name="_МОДЕЛЬ_1 (2)_PREDEL.JKH.UTV.2011(v1.0.1)_INDEX.STATION.2012(v2.1)" xfId="367"/>
    <cellStyle name="_МОДЕЛЬ_1 (2)_PREDEL.JKH.UTV.2011(v1.0.1)_TEPLO.PREDEL.2012.M(v1.1)_test" xfId="368"/>
    <cellStyle name="_МОДЕЛЬ_1 (2)_PREDEL.JKH.UTV.2011(v1.1)" xfId="369"/>
    <cellStyle name="_МОДЕЛЬ_1 (2)_REP.BLR.2012(v1.0)" xfId="370"/>
    <cellStyle name="_МОДЕЛЬ_1 (2)_TEPLO.PREDEL.2012.M(v1.1)" xfId="371"/>
    <cellStyle name="_МОДЕЛЬ_1 (2)_TEPLO.PREDEL.2013(v2.0)" xfId="372"/>
    <cellStyle name="_МОДЕЛЬ_1 (2)_TEST.TEMPLATE" xfId="373"/>
    <cellStyle name="_МОДЕЛЬ_1 (2)_UPDATE.46EE.2011.TO.1.1" xfId="374"/>
    <cellStyle name="_МОДЕЛЬ_1 (2)_UPDATE.46TE.2011.TO.1.1" xfId="375"/>
    <cellStyle name="_МОДЕЛЬ_1 (2)_UPDATE.46TE.2011.TO.1.2" xfId="376"/>
    <cellStyle name="_МОДЕЛЬ_1 (2)_UPDATE.BALANCE.WARM.2011YEAR.TO.1.1" xfId="377"/>
    <cellStyle name="_МОДЕЛЬ_1 (2)_UPDATE.BALANCE.WARM.2011YEAR.TO.1.1_46TE.2011(v1.0)" xfId="378"/>
    <cellStyle name="_МОДЕЛЬ_1 (2)_UPDATE.BALANCE.WARM.2011YEAR.TO.1.1_INDEX.STATION.2012(v1.0)_" xfId="379"/>
    <cellStyle name="_МОДЕЛЬ_1 (2)_UPDATE.BALANCE.WARM.2011YEAR.TO.1.1_INDEX.STATION.2012(v2.0)" xfId="380"/>
    <cellStyle name="_МОДЕЛЬ_1 (2)_UPDATE.BALANCE.WARM.2011YEAR.TO.1.1_INDEX.STATION.2012(v2.1)" xfId="381"/>
    <cellStyle name="_МОДЕЛЬ_1 (2)_UPDATE.BALANCE.WARM.2011YEAR.TO.1.1_OREP.KU.2011.MONTHLY.02(v1.1)" xfId="382"/>
    <cellStyle name="_МОДЕЛЬ_1 (2)_UPDATE.BALANCE.WARM.2011YEAR.TO.1.1_TEPLO.PREDEL.2012.M(v1.1)_test" xfId="383"/>
    <cellStyle name="_МОДЕЛЬ_1 (2)_UPDATE.NADB.JNVLS.APTEKA.2011.TO.1.3.4" xfId="384"/>
    <cellStyle name="_МОДЕЛЬ_1 (2)_Книга2_PR.PROG.WARM.NOTCOMBI.2012.2.16_v1.4(04.04.11) " xfId="385"/>
    <cellStyle name="_МОДЕЛЬ_1 (2)_Тариф 2013 Архангельск для агентства" xfId="386"/>
    <cellStyle name="_МОДЕЛЬ_1 (2)_Тариф 2014 уч. Шипицыно газ" xfId="387"/>
    <cellStyle name="_НВВ 2009 постатейно свод по филиалам_09_02_09" xfId="388"/>
    <cellStyle name="_НВВ 2009 постатейно свод по филиалам_09_02_09_Новая инструкция1_фст" xfId="389"/>
    <cellStyle name="_НВВ 2009 постатейно свод по филиалам_09_02_09_Расче тарифа на тэ 2014 Мезенский АрхоблЭнерго" xfId="390"/>
    <cellStyle name="_НВВ 2009 постатейно свод по филиалам_09_02_09_Тариф тепло Мезень для АТЦ" xfId="391"/>
    <cellStyle name="_НВВ 2009 постатейно свод по филиалам_09_02_09_тарифы по ТЭ на 2014 год Соловки исправ." xfId="392"/>
    <cellStyle name="_НВВ 2009 постатейно свод по филиалам_для Валентина" xfId="393"/>
    <cellStyle name="_НВВ 2009 постатейно свод по филиалам_для Валентина_Новая инструкция1_фст" xfId="394"/>
    <cellStyle name="_НВВ 2009 постатейно свод по филиалам_для Валентина_Расче тарифа на тэ 2014 Мезенский АрхоблЭнерго" xfId="395"/>
    <cellStyle name="_НВВ 2009 постатейно свод по филиалам_для Валентина_Тариф тепло Мезень для АТЦ" xfId="396"/>
    <cellStyle name="_НВВ 2009 постатейно свод по филиалам_для Валентина_тарифы по ТЭ на 2014 год Соловки исправ." xfId="397"/>
    <cellStyle name="_Омск" xfId="398"/>
    <cellStyle name="_Омск_Новая инструкция1_фст" xfId="399"/>
    <cellStyle name="_Омск_Расче тарифа на тэ 2014 Мезенский АрхоблЭнерго" xfId="400"/>
    <cellStyle name="_Омск_Тариф тепло Мезень для АТЦ" xfId="401"/>
    <cellStyle name="_Омск_тарифы по ТЭ на 2014 год Соловки исправ." xfId="402"/>
    <cellStyle name="_ОТ ИД 2009" xfId="403"/>
    <cellStyle name="_ОТ ИД 2009_Новая инструкция1_фст" xfId="404"/>
    <cellStyle name="_ПЛАН 2006  АРМ " xfId="405"/>
    <cellStyle name="_ПЛАН 2008 АРМ " xfId="406"/>
    <cellStyle name="_ПЛАН 2011 под 130 млн итог на подпись" xfId="407"/>
    <cellStyle name="_ПЛАН 2011 тарифы 250 млн блочный" xfId="408"/>
    <cellStyle name="_План по ремонту ХЦ 2007" xfId="409"/>
    <cellStyle name="_пр 5 тариф RAB" xfId="410"/>
    <cellStyle name="_пр 5 тариф RAB 2" xfId="411"/>
    <cellStyle name="_пр 5 тариф RAB 2_OREP.KU.2011.MONTHLY.02(v0.1)" xfId="412"/>
    <cellStyle name="_пр 5 тариф RAB 2_OREP.KU.2011.MONTHLY.02(v0.4)" xfId="413"/>
    <cellStyle name="_пр 5 тариф RAB 2_OREP.KU.2011.MONTHLY.11(v1.4)" xfId="414"/>
    <cellStyle name="_пр 5 тариф RAB 2_UPDATE.OREP.KU.2011.MONTHLY.02.TO.1.2" xfId="415"/>
    <cellStyle name="_пр 5 тариф RAB_46EE.2011(v1.0)" xfId="416"/>
    <cellStyle name="_пр 5 тариф RAB_46EE.2011(v1.0)_46TE.2011(v1.0)" xfId="417"/>
    <cellStyle name="_пр 5 тариф RAB_46EE.2011(v1.0)_INDEX.STATION.2012(v1.0)_" xfId="418"/>
    <cellStyle name="_пр 5 тариф RAB_46EE.2011(v1.0)_INDEX.STATION.2012(v2.0)" xfId="419"/>
    <cellStyle name="_пр 5 тариф RAB_46EE.2011(v1.0)_INDEX.STATION.2012(v2.1)" xfId="420"/>
    <cellStyle name="_пр 5 тариф RAB_46EE.2011(v1.0)_TEPLO.PREDEL.2012.M(v1.1)_test" xfId="421"/>
    <cellStyle name="_пр 5 тариф RAB_46EE.2011(v1.2)" xfId="422"/>
    <cellStyle name="_пр 5 тариф RAB_46EP.2011(v2.0)" xfId="423"/>
    <cellStyle name="_пр 5 тариф RAB_46EP.2012(v0.1)" xfId="424"/>
    <cellStyle name="_пр 5 тариф RAB_46TE.2011(v1.0)" xfId="425"/>
    <cellStyle name="_пр 5 тариф RAB_4DNS.UPDATE.EXAMPLE" xfId="426"/>
    <cellStyle name="_пр 5 тариф RAB_ARMRAZR" xfId="427"/>
    <cellStyle name="_пр 5 тариф RAB_BALANCE.WARM.2010.FACT(v1.0)" xfId="428"/>
    <cellStyle name="_пр 5 тариф RAB_BALANCE.WARM.2010.PLAN" xfId="429"/>
    <cellStyle name="_пр 5 тариф RAB_BALANCE.WARM.2011YEAR(v0.7)" xfId="430"/>
    <cellStyle name="_пр 5 тариф RAB_BALANCE.WARM.2011YEAR.NEW.UPDATE.SCHEME" xfId="431"/>
    <cellStyle name="_пр 5 тариф RAB_CALC.NORMATIV.KU(v0.2)" xfId="432"/>
    <cellStyle name="_пр 5 тариф RAB_EE.2REK.P2011.4.78(v0.3)" xfId="433"/>
    <cellStyle name="_пр 5 тариф RAB_FORM3.1.2013(v0.2)" xfId="434"/>
    <cellStyle name="_пр 5 тариф RAB_FORM3.2013(v1.0)" xfId="435"/>
    <cellStyle name="_пр 5 тариф RAB_FORM3.REG(v1.0)" xfId="436"/>
    <cellStyle name="_пр 5 тариф RAB_FORM910.2012(v1.1)" xfId="437"/>
    <cellStyle name="_пр 5 тариф RAB_INDEX.STATION.2012(v2.1)" xfId="438"/>
    <cellStyle name="_пр 5 тариф RAB_INDEX.STATION.2013(v1.0)_патч до 1.1" xfId="439"/>
    <cellStyle name="_пр 5 тариф RAB_INVEST.EE.PLAN.4.78(v0.1)" xfId="440"/>
    <cellStyle name="_пр 5 тариф RAB_INVEST.EE.PLAN.4.78(v0.3)" xfId="441"/>
    <cellStyle name="_пр 5 тариф RAB_INVEST.EE.PLAN.4.78(v1.0)" xfId="442"/>
    <cellStyle name="_пр 5 тариф RAB_INVEST.EE.PLAN.4.78(v1.0)_PASSPORT.TEPLO.PROIZV(v2.0)" xfId="443"/>
    <cellStyle name="_пр 5 тариф RAB_INVEST.EE.PLAN.4.78(v1.0)_PASSPORT.TEPLO.PROIZV(v2.0)_INDEX.STATION.2013(v1.0)_патч до 1.1" xfId="444"/>
    <cellStyle name="_пр 5 тариф RAB_INVEST.EE.PLAN.4.78(v1.0)_PASSPORT.TEPLO.PROIZV(v2.0)_TEPLO.PREDEL.2013(v2.0)" xfId="445"/>
    <cellStyle name="_пр 5 тариф RAB_INVEST.PLAN.4.78(v0.1)" xfId="446"/>
    <cellStyle name="_пр 5 тариф RAB_INVEST.WARM.PLAN.4.78(v0.1)" xfId="447"/>
    <cellStyle name="_пр 5 тариф RAB_INVEST_WARM_PLAN" xfId="448"/>
    <cellStyle name="_пр 5 тариф RAB_NADB.JNVLP.APTEKA.2012(v1.0)_21_02_12" xfId="449"/>
    <cellStyle name="_пр 5 тариф RAB_NADB.JNVLS.APTEKA.2011(v1.3.3)" xfId="450"/>
    <cellStyle name="_пр 5 тариф RAB_NADB.JNVLS.APTEKA.2011(v1.3.3)_46TE.2011(v1.0)" xfId="451"/>
    <cellStyle name="_пр 5 тариф RAB_NADB.JNVLS.APTEKA.2011(v1.3.3)_INDEX.STATION.2012(v1.0)_" xfId="452"/>
    <cellStyle name="_пр 5 тариф RAB_NADB.JNVLS.APTEKA.2011(v1.3.3)_INDEX.STATION.2012(v2.0)" xfId="453"/>
    <cellStyle name="_пр 5 тариф RAB_NADB.JNVLS.APTEKA.2011(v1.3.3)_INDEX.STATION.2012(v2.1)" xfId="454"/>
    <cellStyle name="_пр 5 тариф RAB_NADB.JNVLS.APTEKA.2011(v1.3.3)_TEPLO.PREDEL.2012.M(v1.1)_test" xfId="455"/>
    <cellStyle name="_пр 5 тариф RAB_NADB.JNVLS.APTEKA.2011(v1.3.4)" xfId="456"/>
    <cellStyle name="_пр 5 тариф RAB_NADB.JNVLS.APTEKA.2011(v1.3.4)_46TE.2011(v1.0)" xfId="457"/>
    <cellStyle name="_пр 5 тариф RAB_NADB.JNVLS.APTEKA.2011(v1.3.4)_INDEX.STATION.2012(v1.0)_" xfId="458"/>
    <cellStyle name="_пр 5 тариф RAB_NADB.JNVLS.APTEKA.2011(v1.3.4)_INDEX.STATION.2012(v2.0)" xfId="459"/>
    <cellStyle name="_пр 5 тариф RAB_NADB.JNVLS.APTEKA.2011(v1.3.4)_INDEX.STATION.2012(v2.1)" xfId="460"/>
    <cellStyle name="_пр 5 тариф RAB_NADB.JNVLS.APTEKA.2011(v1.3.4)_TEPLO.PREDEL.2012.M(v1.1)_test" xfId="461"/>
    <cellStyle name="_пр 5 тариф RAB_PASSPORT.TEPLO.PROIZV(v2.1)" xfId="462"/>
    <cellStyle name="_пр 5 тариф RAB_PASSPORT.TEPLO.SETI(v0.7)" xfId="463"/>
    <cellStyle name="_пр 5 тариф RAB_PASSPORT.TEPLO.SETI(v1.0)" xfId="464"/>
    <cellStyle name="_пр 5 тариф RAB_PR.PROG.WARM.NOTCOMBI.2012.2.16_v1.4(04.04.11) " xfId="465"/>
    <cellStyle name="_пр 5 тариф RAB_PREDEL.JKH.UTV.2011(v1.0.1)" xfId="466"/>
    <cellStyle name="_пр 5 тариф RAB_PREDEL.JKH.UTV.2011(v1.0.1)_46TE.2011(v1.0)" xfId="467"/>
    <cellStyle name="_пр 5 тариф RAB_PREDEL.JKH.UTV.2011(v1.0.1)_INDEX.STATION.2012(v1.0)_" xfId="468"/>
    <cellStyle name="_пр 5 тариф RAB_PREDEL.JKH.UTV.2011(v1.0.1)_INDEX.STATION.2012(v2.0)" xfId="469"/>
    <cellStyle name="_пр 5 тариф RAB_PREDEL.JKH.UTV.2011(v1.0.1)_INDEX.STATION.2012(v2.1)" xfId="470"/>
    <cellStyle name="_пр 5 тариф RAB_PREDEL.JKH.UTV.2011(v1.0.1)_TEPLO.PREDEL.2012.M(v1.1)_test" xfId="471"/>
    <cellStyle name="_пр 5 тариф RAB_PREDEL.JKH.UTV.2011(v1.1)" xfId="472"/>
    <cellStyle name="_пр 5 тариф RAB_REP.BLR.2012(v1.0)" xfId="473"/>
    <cellStyle name="_пр 5 тариф RAB_TEPLO.PREDEL.2012.M(v1.1)" xfId="474"/>
    <cellStyle name="_пр 5 тариф RAB_TEPLO.PREDEL.2013(v2.0)" xfId="475"/>
    <cellStyle name="_пр 5 тариф RAB_TEST.TEMPLATE" xfId="476"/>
    <cellStyle name="_пр 5 тариф RAB_UPDATE.46EE.2011.TO.1.1" xfId="477"/>
    <cellStyle name="_пр 5 тариф RAB_UPDATE.46TE.2011.TO.1.1" xfId="478"/>
    <cellStyle name="_пр 5 тариф RAB_UPDATE.46TE.2011.TO.1.2" xfId="479"/>
    <cellStyle name="_пр 5 тариф RAB_UPDATE.BALANCE.WARM.2011YEAR.TO.1.1" xfId="480"/>
    <cellStyle name="_пр 5 тариф RAB_UPDATE.BALANCE.WARM.2011YEAR.TO.1.1_46TE.2011(v1.0)" xfId="481"/>
    <cellStyle name="_пр 5 тариф RAB_UPDATE.BALANCE.WARM.2011YEAR.TO.1.1_INDEX.STATION.2012(v1.0)_" xfId="482"/>
    <cellStyle name="_пр 5 тариф RAB_UPDATE.BALANCE.WARM.2011YEAR.TO.1.1_INDEX.STATION.2012(v2.0)" xfId="483"/>
    <cellStyle name="_пр 5 тариф RAB_UPDATE.BALANCE.WARM.2011YEAR.TO.1.1_INDEX.STATION.2012(v2.1)" xfId="484"/>
    <cellStyle name="_пр 5 тариф RAB_UPDATE.BALANCE.WARM.2011YEAR.TO.1.1_OREP.KU.2011.MONTHLY.02(v1.1)" xfId="485"/>
    <cellStyle name="_пр 5 тариф RAB_UPDATE.BALANCE.WARM.2011YEAR.TO.1.1_TEPLO.PREDEL.2012.M(v1.1)_test" xfId="486"/>
    <cellStyle name="_пр 5 тариф RAB_UPDATE.NADB.JNVLS.APTEKA.2011.TO.1.3.4" xfId="487"/>
    <cellStyle name="_пр 5 тариф RAB_Книга2_PR.PROG.WARM.NOTCOMBI.2012.2.16_v1.4(04.04.11) " xfId="488"/>
    <cellStyle name="_пр 5 тариф RAB_Тариф 2013 Архангельск для агентства" xfId="489"/>
    <cellStyle name="_пр 5 тариф RAB_Тариф 2014 уч. Шипицыно газ" xfId="490"/>
    <cellStyle name="_пр 6 финпроекция" xfId="491"/>
    <cellStyle name="_пр 6 финпроекция_Расче тарифа на тэ 2014 Мезенский АрхоблЭнерго" xfId="492"/>
    <cellStyle name="_пр 6 финпроекция_тарифы по ТЭ на 2014 год Соловки исправ." xfId="493"/>
    <cellStyle name="_Предожение _ДБП_2009 г ( согласованные БП)  (2)" xfId="494"/>
    <cellStyle name="_Предожение _ДБП_2009 г ( согласованные БП)  (2)_Новая инструкция1_фст" xfId="495"/>
    <cellStyle name="_Предожение _ДБП_2009 г ( согласованные БП)  (2)_Расче тарифа на тэ 2014 Мезенский АрхоблЭнерго" xfId="496"/>
    <cellStyle name="_Предожение _ДБП_2009 г ( согласованные БП)  (2)_Тариф тепло Мезень для АТЦ" xfId="497"/>
    <cellStyle name="_Предожение _ДБП_2009 г ( согласованные БП)  (2)_тарифы по ТЭ на 2014 год Соловки исправ." xfId="498"/>
    <cellStyle name="_Прил1-1 (МГИ) (Дубинину) 22 01 07" xfId="499"/>
    <cellStyle name="_Прил1-1 (МГИ) (Дубинину) 22 01 07_Расче тарифа на тэ 2014 Мезенский АрхоблЭнерго" xfId="500"/>
    <cellStyle name="_Прил1-1 (МГИ) (Дубинину) 22 01 07_тарифы по ТЭ на 2014 год Соловки исправ." xfId="501"/>
    <cellStyle name="_Приложение 2 0806 факт" xfId="502"/>
    <cellStyle name="_Приложение МТС-3-КС" xfId="503"/>
    <cellStyle name="_Приложение МТС-3-КС_Новая инструкция1_фст" xfId="504"/>
    <cellStyle name="_Приложение МТС-3-КС_Расче тарифа на тэ 2014 Мезенский АрхоблЭнерго" xfId="505"/>
    <cellStyle name="_Приложение МТС-3-КС_Тариф тепло Мезень для АТЦ" xfId="506"/>
    <cellStyle name="_Приложение МТС-3-КС_тарифы по ТЭ на 2014 год Соловки исправ." xfId="507"/>
    <cellStyle name="_Приложение-МТС--2-1" xfId="508"/>
    <cellStyle name="_Приложение-МТС--2-1_Новая инструкция1_фст" xfId="509"/>
    <cellStyle name="_Приложение-МТС--2-1_Расче тарифа на тэ 2014 Мезенский АрхоблЭнерго" xfId="510"/>
    <cellStyle name="_Приложение-МТС--2-1_Тариф тепло Мезень для АТЦ" xfId="511"/>
    <cellStyle name="_Приложение-МТС--2-1_тарифы по ТЭ на 2014 год Соловки исправ." xfId="512"/>
    <cellStyle name="_Программа СО 7-09 для СД от 29 марта" xfId="513"/>
    <cellStyle name="_Программа СО 7-09 для СД от 29 марта_Расче тарифа на тэ 2014 Мезенский АрхоблЭнерго" xfId="514"/>
    <cellStyle name="_Программа СО 7-09 для СД от 29 марта_тарифы по ТЭ на 2014 год Соловки исправ." xfId="515"/>
    <cellStyle name="_Расчет RAB_22072008" xfId="516"/>
    <cellStyle name="_Расчет RAB_22072008 2" xfId="517"/>
    <cellStyle name="_Расчет RAB_22072008 2_OREP.KU.2011.MONTHLY.02(v0.1)" xfId="518"/>
    <cellStyle name="_Расчет RAB_22072008 2_OREP.KU.2011.MONTHLY.02(v0.4)" xfId="519"/>
    <cellStyle name="_Расчет RAB_22072008 2_OREP.KU.2011.MONTHLY.11(v1.4)" xfId="520"/>
    <cellStyle name="_Расчет RAB_22072008 2_UPDATE.OREP.KU.2011.MONTHLY.02.TO.1.2" xfId="521"/>
    <cellStyle name="_Расчет RAB_22072008_46EE.2011(v1.0)" xfId="522"/>
    <cellStyle name="_Расчет RAB_22072008_46EE.2011(v1.0)_46TE.2011(v1.0)" xfId="523"/>
    <cellStyle name="_Расчет RAB_22072008_46EE.2011(v1.0)_INDEX.STATION.2012(v1.0)_" xfId="524"/>
    <cellStyle name="_Расчет RAB_22072008_46EE.2011(v1.0)_INDEX.STATION.2012(v2.0)" xfId="525"/>
    <cellStyle name="_Расчет RAB_22072008_46EE.2011(v1.0)_INDEX.STATION.2012(v2.1)" xfId="526"/>
    <cellStyle name="_Расчет RAB_22072008_46EE.2011(v1.0)_TEPLO.PREDEL.2012.M(v1.1)_test" xfId="527"/>
    <cellStyle name="_Расчет RAB_22072008_46EE.2011(v1.2)" xfId="528"/>
    <cellStyle name="_Расчет RAB_22072008_46EP.2011(v2.0)" xfId="529"/>
    <cellStyle name="_Расчет RAB_22072008_46EP.2012(v0.1)" xfId="530"/>
    <cellStyle name="_Расчет RAB_22072008_46TE.2011(v1.0)" xfId="531"/>
    <cellStyle name="_Расчет RAB_22072008_4DNS.UPDATE.EXAMPLE" xfId="532"/>
    <cellStyle name="_Расчет RAB_22072008_ARMRAZR" xfId="533"/>
    <cellStyle name="_Расчет RAB_22072008_BALANCE.WARM.2010.FACT(v1.0)" xfId="534"/>
    <cellStyle name="_Расчет RAB_22072008_BALANCE.WARM.2010.PLAN" xfId="535"/>
    <cellStyle name="_Расчет RAB_22072008_BALANCE.WARM.2011YEAR(v0.7)" xfId="536"/>
    <cellStyle name="_Расчет RAB_22072008_BALANCE.WARM.2011YEAR.NEW.UPDATE.SCHEME" xfId="537"/>
    <cellStyle name="_Расчет RAB_22072008_CALC.NORMATIV.KU(v0.2)" xfId="538"/>
    <cellStyle name="_Расчет RAB_22072008_EE.2REK.P2011.4.78(v0.3)" xfId="539"/>
    <cellStyle name="_Расчет RAB_22072008_FORM3.1.2013(v0.2)" xfId="540"/>
    <cellStyle name="_Расчет RAB_22072008_FORM3.2013(v1.0)" xfId="541"/>
    <cellStyle name="_Расчет RAB_22072008_FORM3.REG(v1.0)" xfId="542"/>
    <cellStyle name="_Расчет RAB_22072008_FORM910.2012(v1.1)" xfId="543"/>
    <cellStyle name="_Расчет RAB_22072008_INDEX.STATION.2012(v2.1)" xfId="544"/>
    <cellStyle name="_Расчет RAB_22072008_INDEX.STATION.2013(v1.0)_патч до 1.1" xfId="545"/>
    <cellStyle name="_Расчет RAB_22072008_INVEST.EE.PLAN.4.78(v0.1)" xfId="546"/>
    <cellStyle name="_Расчет RAB_22072008_INVEST.EE.PLAN.4.78(v0.3)" xfId="547"/>
    <cellStyle name="_Расчет RAB_22072008_INVEST.EE.PLAN.4.78(v1.0)" xfId="548"/>
    <cellStyle name="_Расчет RAB_22072008_INVEST.EE.PLAN.4.78(v1.0)_PASSPORT.TEPLO.PROIZV(v2.0)" xfId="549"/>
    <cellStyle name="_Расчет RAB_22072008_INVEST.EE.PLAN.4.78(v1.0)_PASSPORT.TEPLO.PROIZV(v2.0)_INDEX.STATION.2013(v1.0)_патч до 1.1" xfId="550"/>
    <cellStyle name="_Расчет RAB_22072008_INVEST.EE.PLAN.4.78(v1.0)_PASSPORT.TEPLO.PROIZV(v2.0)_TEPLO.PREDEL.2013(v2.0)" xfId="551"/>
    <cellStyle name="_Расчет RAB_22072008_INVEST.PLAN.4.78(v0.1)" xfId="552"/>
    <cellStyle name="_Расчет RAB_22072008_INVEST.WARM.PLAN.4.78(v0.1)" xfId="553"/>
    <cellStyle name="_Расчет RAB_22072008_INVEST_WARM_PLAN" xfId="554"/>
    <cellStyle name="_Расчет RAB_22072008_NADB.JNVLP.APTEKA.2012(v1.0)_21_02_12" xfId="555"/>
    <cellStyle name="_Расчет RAB_22072008_NADB.JNVLS.APTEKA.2011(v1.3.3)" xfId="556"/>
    <cellStyle name="_Расчет RAB_22072008_NADB.JNVLS.APTEKA.2011(v1.3.3)_46TE.2011(v1.0)" xfId="557"/>
    <cellStyle name="_Расчет RAB_22072008_NADB.JNVLS.APTEKA.2011(v1.3.3)_INDEX.STATION.2012(v1.0)_" xfId="558"/>
    <cellStyle name="_Расчет RAB_22072008_NADB.JNVLS.APTEKA.2011(v1.3.3)_INDEX.STATION.2012(v2.0)" xfId="559"/>
    <cellStyle name="_Расчет RAB_22072008_NADB.JNVLS.APTEKA.2011(v1.3.3)_INDEX.STATION.2012(v2.1)" xfId="560"/>
    <cellStyle name="_Расчет RAB_22072008_NADB.JNVLS.APTEKA.2011(v1.3.3)_TEPLO.PREDEL.2012.M(v1.1)_test" xfId="561"/>
    <cellStyle name="_Расчет RAB_22072008_NADB.JNVLS.APTEKA.2011(v1.3.4)" xfId="562"/>
    <cellStyle name="_Расчет RAB_22072008_NADB.JNVLS.APTEKA.2011(v1.3.4)_46TE.2011(v1.0)" xfId="563"/>
    <cellStyle name="_Расчет RAB_22072008_NADB.JNVLS.APTEKA.2011(v1.3.4)_INDEX.STATION.2012(v1.0)_" xfId="564"/>
    <cellStyle name="_Расчет RAB_22072008_NADB.JNVLS.APTEKA.2011(v1.3.4)_INDEX.STATION.2012(v2.0)" xfId="565"/>
    <cellStyle name="_Расчет RAB_22072008_NADB.JNVLS.APTEKA.2011(v1.3.4)_INDEX.STATION.2012(v2.1)" xfId="566"/>
    <cellStyle name="_Расчет RAB_22072008_NADB.JNVLS.APTEKA.2011(v1.3.4)_TEPLO.PREDEL.2012.M(v1.1)_test" xfId="567"/>
    <cellStyle name="_Расчет RAB_22072008_PASSPORT.TEPLO.PROIZV(v2.1)" xfId="568"/>
    <cellStyle name="_Расчет RAB_22072008_PASSPORT.TEPLO.SETI(v0.7)" xfId="569"/>
    <cellStyle name="_Расчет RAB_22072008_PASSPORT.TEPLO.SETI(v1.0)" xfId="570"/>
    <cellStyle name="_Расчет RAB_22072008_PR.PROG.WARM.NOTCOMBI.2012.2.16_v1.4(04.04.11) " xfId="571"/>
    <cellStyle name="_Расчет RAB_22072008_PREDEL.JKH.UTV.2011(v1.0.1)" xfId="572"/>
    <cellStyle name="_Расчет RAB_22072008_PREDEL.JKH.UTV.2011(v1.0.1)_46TE.2011(v1.0)" xfId="573"/>
    <cellStyle name="_Расчет RAB_22072008_PREDEL.JKH.UTV.2011(v1.0.1)_INDEX.STATION.2012(v1.0)_" xfId="574"/>
    <cellStyle name="_Расчет RAB_22072008_PREDEL.JKH.UTV.2011(v1.0.1)_INDEX.STATION.2012(v2.0)" xfId="575"/>
    <cellStyle name="_Расчет RAB_22072008_PREDEL.JKH.UTV.2011(v1.0.1)_INDEX.STATION.2012(v2.1)" xfId="576"/>
    <cellStyle name="_Расчет RAB_22072008_PREDEL.JKH.UTV.2011(v1.0.1)_TEPLO.PREDEL.2012.M(v1.1)_test" xfId="577"/>
    <cellStyle name="_Расчет RAB_22072008_PREDEL.JKH.UTV.2011(v1.1)" xfId="578"/>
    <cellStyle name="_Расчет RAB_22072008_REP.BLR.2012(v1.0)" xfId="579"/>
    <cellStyle name="_Расчет RAB_22072008_TEPLO.PREDEL.2012.M(v1.1)" xfId="580"/>
    <cellStyle name="_Расчет RAB_22072008_TEPLO.PREDEL.2013(v2.0)" xfId="581"/>
    <cellStyle name="_Расчет RAB_22072008_TEST.TEMPLATE" xfId="582"/>
    <cellStyle name="_Расчет RAB_22072008_UPDATE.46EE.2011.TO.1.1" xfId="583"/>
    <cellStyle name="_Расчет RAB_22072008_UPDATE.46TE.2011.TO.1.1" xfId="584"/>
    <cellStyle name="_Расчет RAB_22072008_UPDATE.46TE.2011.TO.1.2" xfId="585"/>
    <cellStyle name="_Расчет RAB_22072008_UPDATE.BALANCE.WARM.2011YEAR.TO.1.1" xfId="586"/>
    <cellStyle name="_Расчет RAB_22072008_UPDATE.BALANCE.WARM.2011YEAR.TO.1.1_46TE.2011(v1.0)" xfId="587"/>
    <cellStyle name="_Расчет RAB_22072008_UPDATE.BALANCE.WARM.2011YEAR.TO.1.1_INDEX.STATION.2012(v1.0)_" xfId="588"/>
    <cellStyle name="_Расчет RAB_22072008_UPDATE.BALANCE.WARM.2011YEAR.TO.1.1_INDEX.STATION.2012(v2.0)" xfId="589"/>
    <cellStyle name="_Расчет RAB_22072008_UPDATE.BALANCE.WARM.2011YEAR.TO.1.1_INDEX.STATION.2012(v2.1)" xfId="590"/>
    <cellStyle name="_Расчет RAB_22072008_UPDATE.BALANCE.WARM.2011YEAR.TO.1.1_OREP.KU.2011.MONTHLY.02(v1.1)" xfId="591"/>
    <cellStyle name="_Расчет RAB_22072008_UPDATE.BALANCE.WARM.2011YEAR.TO.1.1_TEPLO.PREDEL.2012.M(v1.1)_test" xfId="592"/>
    <cellStyle name="_Расчет RAB_22072008_UPDATE.NADB.JNVLS.APTEKA.2011.TO.1.3.4" xfId="593"/>
    <cellStyle name="_Расчет RAB_22072008_Книга2_PR.PROG.WARM.NOTCOMBI.2012.2.16_v1.4(04.04.11) " xfId="594"/>
    <cellStyle name="_Расчет RAB_22072008_Тариф 2013 Архангельск для агентства" xfId="595"/>
    <cellStyle name="_Расчет RAB_22072008_Тариф 2014 уч. Шипицыно газ" xfId="596"/>
    <cellStyle name="_Расчет RAB_Лен и МОЭСК_с 2010 года_14.04.2009_со сглаж_version 3.0_без ФСК" xfId="597"/>
    <cellStyle name="_Расчет RAB_Лен и МОЭСК_с 2010 года_14.04.2009_со сглаж_version 3.0_без ФСК 2" xfId="598"/>
    <cellStyle name="_Расчет RAB_Лен и МОЭСК_с 2010 года_14.04.2009_со сглаж_version 3.0_без ФСК 2_OREP.KU.2011.MONTHLY.02(v0.1)" xfId="599"/>
    <cellStyle name="_Расчет RAB_Лен и МОЭСК_с 2010 года_14.04.2009_со сглаж_version 3.0_без ФСК 2_OREP.KU.2011.MONTHLY.02(v0.4)" xfId="600"/>
    <cellStyle name="_Расчет RAB_Лен и МОЭСК_с 2010 года_14.04.2009_со сглаж_version 3.0_без ФСК 2_OREP.KU.2011.MONTHLY.11(v1.4)" xfId="601"/>
    <cellStyle name="_Расчет RAB_Лен и МОЭСК_с 2010 года_14.04.2009_со сглаж_version 3.0_без ФСК 2_UPDATE.OREP.KU.2011.MONTHLY.02.TO.1.2" xfId="602"/>
    <cellStyle name="_Расчет RAB_Лен и МОЭСК_с 2010 года_14.04.2009_со сглаж_version 3.0_без ФСК_46EE.2011(v1.0)" xfId="603"/>
    <cellStyle name="_Расчет RAB_Лен и МОЭСК_с 2010 года_14.04.2009_со сглаж_version 3.0_без ФСК_46EE.2011(v1.0)_46TE.2011(v1.0)" xfId="604"/>
    <cellStyle name="_Расчет RAB_Лен и МОЭСК_с 2010 года_14.04.2009_со сглаж_version 3.0_без ФСК_46EE.2011(v1.0)_INDEX.STATION.2012(v1.0)_" xfId="605"/>
    <cellStyle name="_Расчет RAB_Лен и МОЭСК_с 2010 года_14.04.2009_со сглаж_version 3.0_без ФСК_46EE.2011(v1.0)_INDEX.STATION.2012(v2.0)" xfId="606"/>
    <cellStyle name="_Расчет RAB_Лен и МОЭСК_с 2010 года_14.04.2009_со сглаж_version 3.0_без ФСК_46EE.2011(v1.0)_INDEX.STATION.2012(v2.1)" xfId="607"/>
    <cellStyle name="_Расчет RAB_Лен и МОЭСК_с 2010 года_14.04.2009_со сглаж_version 3.0_без ФСК_46EE.2011(v1.0)_TEPLO.PREDEL.2012.M(v1.1)_test" xfId="608"/>
    <cellStyle name="_Расчет RAB_Лен и МОЭСК_с 2010 года_14.04.2009_со сглаж_version 3.0_без ФСК_46EE.2011(v1.2)" xfId="609"/>
    <cellStyle name="_Расчет RAB_Лен и МОЭСК_с 2010 года_14.04.2009_со сглаж_version 3.0_без ФСК_46EP.2011(v2.0)" xfId="610"/>
    <cellStyle name="_Расчет RAB_Лен и МОЭСК_с 2010 года_14.04.2009_со сглаж_version 3.0_без ФСК_46EP.2012(v0.1)" xfId="611"/>
    <cellStyle name="_Расчет RAB_Лен и МОЭСК_с 2010 года_14.04.2009_со сглаж_version 3.0_без ФСК_46TE.2011(v1.0)" xfId="612"/>
    <cellStyle name="_Расчет RAB_Лен и МОЭСК_с 2010 года_14.04.2009_со сглаж_version 3.0_без ФСК_4DNS.UPDATE.EXAMPLE" xfId="613"/>
    <cellStyle name="_Расчет RAB_Лен и МОЭСК_с 2010 года_14.04.2009_со сглаж_version 3.0_без ФСК_ARMRAZR" xfId="614"/>
    <cellStyle name="_Расчет RAB_Лен и МОЭСК_с 2010 года_14.04.2009_со сглаж_version 3.0_без ФСК_BALANCE.WARM.2010.FACT(v1.0)" xfId="615"/>
    <cellStyle name="_Расчет RAB_Лен и МОЭСК_с 2010 года_14.04.2009_со сглаж_version 3.0_без ФСК_BALANCE.WARM.2010.PLAN" xfId="616"/>
    <cellStyle name="_Расчет RAB_Лен и МОЭСК_с 2010 года_14.04.2009_со сглаж_version 3.0_без ФСК_BALANCE.WARM.2011YEAR(v0.7)" xfId="617"/>
    <cellStyle name="_Расчет RAB_Лен и МОЭСК_с 2010 года_14.04.2009_со сглаж_version 3.0_без ФСК_BALANCE.WARM.2011YEAR.NEW.UPDATE.SCHEME" xfId="618"/>
    <cellStyle name="_Расчет RAB_Лен и МОЭСК_с 2010 года_14.04.2009_со сглаж_version 3.0_без ФСК_CALC.NORMATIV.KU(v0.2)" xfId="619"/>
    <cellStyle name="_Расчет RAB_Лен и МОЭСК_с 2010 года_14.04.2009_со сглаж_version 3.0_без ФСК_EE.2REK.P2011.4.78(v0.3)" xfId="620"/>
    <cellStyle name="_Расчет RAB_Лен и МОЭСК_с 2010 года_14.04.2009_со сглаж_version 3.0_без ФСК_FORM3.1.2013(v0.2)" xfId="621"/>
    <cellStyle name="_Расчет RAB_Лен и МОЭСК_с 2010 года_14.04.2009_со сглаж_version 3.0_без ФСК_FORM3.2013(v1.0)" xfId="622"/>
    <cellStyle name="_Расчет RAB_Лен и МОЭСК_с 2010 года_14.04.2009_со сглаж_version 3.0_без ФСК_FORM3.REG(v1.0)" xfId="623"/>
    <cellStyle name="_Расчет RAB_Лен и МОЭСК_с 2010 года_14.04.2009_со сглаж_version 3.0_без ФСК_FORM910.2012(v1.1)" xfId="624"/>
    <cellStyle name="_Расчет RAB_Лен и МОЭСК_с 2010 года_14.04.2009_со сглаж_version 3.0_без ФСК_INDEX.STATION.2012(v2.1)" xfId="625"/>
    <cellStyle name="_Расчет RAB_Лен и МОЭСК_с 2010 года_14.04.2009_со сглаж_version 3.0_без ФСК_INDEX.STATION.2013(v1.0)_патч до 1.1" xfId="626"/>
    <cellStyle name="_Расчет RAB_Лен и МОЭСК_с 2010 года_14.04.2009_со сглаж_version 3.0_без ФСК_INVEST.EE.PLAN.4.78(v0.1)" xfId="627"/>
    <cellStyle name="_Расчет RAB_Лен и МОЭСК_с 2010 года_14.04.2009_со сглаж_version 3.0_без ФСК_INVEST.EE.PLAN.4.78(v0.3)" xfId="628"/>
    <cellStyle name="_Расчет RAB_Лен и МОЭСК_с 2010 года_14.04.2009_со сглаж_version 3.0_без ФСК_INVEST.EE.PLAN.4.78(v1.0)" xfId="629"/>
    <cellStyle name="_Расчет RAB_Лен и МОЭСК_с 2010 года_14.04.2009_со сглаж_version 3.0_без ФСК_INVEST.EE.PLAN.4.78(v1.0)_PASSPORT.TEPLO.PROIZV(v2.0)" xfId="630"/>
    <cellStyle name="_Расчет RAB_Лен и МОЭСК_с 2010 года_14.04.2009_со сглаж_version 3.0_без ФСК_INVEST.EE.PLAN.4.78(v1.0)_PASSPORT.TEPLO.PROIZV(v2.0)_INDEX.STATION.2013(v1.0)_патч до 1.1" xfId="631"/>
    <cellStyle name="_Расчет RAB_Лен и МОЭСК_с 2010 года_14.04.2009_со сглаж_version 3.0_без ФСК_INVEST.EE.PLAN.4.78(v1.0)_PASSPORT.TEPLO.PROIZV(v2.0)_TEPLO.PREDEL.2013(v2.0)" xfId="632"/>
    <cellStyle name="_Расчет RAB_Лен и МОЭСК_с 2010 года_14.04.2009_со сглаж_version 3.0_без ФСК_INVEST.PLAN.4.78(v0.1)" xfId="633"/>
    <cellStyle name="_Расчет RAB_Лен и МОЭСК_с 2010 года_14.04.2009_со сглаж_version 3.0_без ФСК_INVEST.WARM.PLAN.4.78(v0.1)" xfId="634"/>
    <cellStyle name="_Расчет RAB_Лен и МОЭСК_с 2010 года_14.04.2009_со сглаж_version 3.0_без ФСК_INVEST_WARM_PLAN" xfId="635"/>
    <cellStyle name="_Расчет RAB_Лен и МОЭСК_с 2010 года_14.04.2009_со сглаж_version 3.0_без ФСК_NADB.JNVLP.APTEKA.2012(v1.0)_21_02_12" xfId="636"/>
    <cellStyle name="_Расчет RAB_Лен и МОЭСК_с 2010 года_14.04.2009_со сглаж_version 3.0_без ФСК_NADB.JNVLS.APTEKA.2011(v1.3.3)" xfId="637"/>
    <cellStyle name="_Расчет RAB_Лен и МОЭСК_с 2010 года_14.04.2009_со сглаж_version 3.0_без ФСК_NADB.JNVLS.APTEKA.2011(v1.3.3)_46TE.2011(v1.0)" xfId="638"/>
    <cellStyle name="_Расчет RAB_Лен и МОЭСК_с 2010 года_14.04.2009_со сглаж_version 3.0_без ФСК_NADB.JNVLS.APTEKA.2011(v1.3.3)_INDEX.STATION.2012(v1.0)_" xfId="639"/>
    <cellStyle name="_Расчет RAB_Лен и МОЭСК_с 2010 года_14.04.2009_со сглаж_version 3.0_без ФСК_NADB.JNVLS.APTEKA.2011(v1.3.3)_INDEX.STATION.2012(v2.0)" xfId="640"/>
    <cellStyle name="_Расчет RAB_Лен и МОЭСК_с 2010 года_14.04.2009_со сглаж_version 3.0_без ФСК_NADB.JNVLS.APTEKA.2011(v1.3.3)_INDEX.STATION.2012(v2.1)" xfId="641"/>
    <cellStyle name="_Расчет RAB_Лен и МОЭСК_с 2010 года_14.04.2009_со сглаж_version 3.0_без ФСК_NADB.JNVLS.APTEKA.2011(v1.3.3)_TEPLO.PREDEL.2012.M(v1.1)_test" xfId="642"/>
    <cellStyle name="_Расчет RAB_Лен и МОЭСК_с 2010 года_14.04.2009_со сглаж_version 3.0_без ФСК_NADB.JNVLS.APTEKA.2011(v1.3.4)" xfId="643"/>
    <cellStyle name="_Расчет RAB_Лен и МОЭСК_с 2010 года_14.04.2009_со сглаж_version 3.0_без ФСК_NADB.JNVLS.APTEKA.2011(v1.3.4)_46TE.2011(v1.0)" xfId="644"/>
    <cellStyle name="_Расчет RAB_Лен и МОЭСК_с 2010 года_14.04.2009_со сглаж_version 3.0_без ФСК_NADB.JNVLS.APTEKA.2011(v1.3.4)_INDEX.STATION.2012(v1.0)_" xfId="645"/>
    <cellStyle name="_Расчет RAB_Лен и МОЭСК_с 2010 года_14.04.2009_со сглаж_version 3.0_без ФСК_NADB.JNVLS.APTEKA.2011(v1.3.4)_INDEX.STATION.2012(v2.0)" xfId="646"/>
    <cellStyle name="_Расчет RAB_Лен и МОЭСК_с 2010 года_14.04.2009_со сглаж_version 3.0_без ФСК_NADB.JNVLS.APTEKA.2011(v1.3.4)_INDEX.STATION.2012(v2.1)" xfId="647"/>
    <cellStyle name="_Расчет RAB_Лен и МОЭСК_с 2010 года_14.04.2009_со сглаж_version 3.0_без ФСК_NADB.JNVLS.APTEKA.2011(v1.3.4)_TEPLO.PREDEL.2012.M(v1.1)_test" xfId="648"/>
    <cellStyle name="_Расчет RAB_Лен и МОЭСК_с 2010 года_14.04.2009_со сглаж_version 3.0_без ФСК_PASSPORT.TEPLO.PROIZV(v2.1)" xfId="649"/>
    <cellStyle name="_Расчет RAB_Лен и МОЭСК_с 2010 года_14.04.2009_со сглаж_version 3.0_без ФСК_PASSPORT.TEPLO.SETI(v0.7)" xfId="650"/>
    <cellStyle name="_Расчет RAB_Лен и МОЭСК_с 2010 года_14.04.2009_со сглаж_version 3.0_без ФСК_PASSPORT.TEPLO.SETI(v1.0)" xfId="651"/>
    <cellStyle name="_Расчет RAB_Лен и МОЭСК_с 2010 года_14.04.2009_со сглаж_version 3.0_без ФСК_PR.PROG.WARM.NOTCOMBI.2012.2.16_v1.4(04.04.11) " xfId="652"/>
    <cellStyle name="_Расчет RAB_Лен и МОЭСК_с 2010 года_14.04.2009_со сглаж_version 3.0_без ФСК_PREDEL.JKH.UTV.2011(v1.0.1)" xfId="653"/>
    <cellStyle name="_Расчет RAB_Лен и МОЭСК_с 2010 года_14.04.2009_со сглаж_version 3.0_без ФСК_PREDEL.JKH.UTV.2011(v1.0.1)_46TE.2011(v1.0)" xfId="654"/>
    <cellStyle name="_Расчет RAB_Лен и МОЭСК_с 2010 года_14.04.2009_со сглаж_version 3.0_без ФСК_PREDEL.JKH.UTV.2011(v1.0.1)_INDEX.STATION.2012(v1.0)_" xfId="655"/>
    <cellStyle name="_Расчет RAB_Лен и МОЭСК_с 2010 года_14.04.2009_со сглаж_version 3.0_без ФСК_PREDEL.JKH.UTV.2011(v1.0.1)_INDEX.STATION.2012(v2.0)" xfId="656"/>
    <cellStyle name="_Расчет RAB_Лен и МОЭСК_с 2010 года_14.04.2009_со сглаж_version 3.0_без ФСК_PREDEL.JKH.UTV.2011(v1.0.1)_INDEX.STATION.2012(v2.1)" xfId="657"/>
    <cellStyle name="_Расчет RAB_Лен и МОЭСК_с 2010 года_14.04.2009_со сглаж_version 3.0_без ФСК_PREDEL.JKH.UTV.2011(v1.0.1)_TEPLO.PREDEL.2012.M(v1.1)_test" xfId="658"/>
    <cellStyle name="_Расчет RAB_Лен и МОЭСК_с 2010 года_14.04.2009_со сглаж_version 3.0_без ФСК_PREDEL.JKH.UTV.2011(v1.1)" xfId="659"/>
    <cellStyle name="_Расчет RAB_Лен и МОЭСК_с 2010 года_14.04.2009_со сглаж_version 3.0_без ФСК_REP.BLR.2012(v1.0)" xfId="660"/>
    <cellStyle name="_Расчет RAB_Лен и МОЭСК_с 2010 года_14.04.2009_со сглаж_version 3.0_без ФСК_TEPLO.PREDEL.2012.M(v1.1)" xfId="661"/>
    <cellStyle name="_Расчет RAB_Лен и МОЭСК_с 2010 года_14.04.2009_со сглаж_version 3.0_без ФСК_TEPLO.PREDEL.2013(v2.0)" xfId="662"/>
    <cellStyle name="_Расчет RAB_Лен и МОЭСК_с 2010 года_14.04.2009_со сглаж_version 3.0_без ФСК_TEST.TEMPLATE" xfId="663"/>
    <cellStyle name="_Расчет RAB_Лен и МОЭСК_с 2010 года_14.04.2009_со сглаж_version 3.0_без ФСК_UPDATE.46EE.2011.TO.1.1" xfId="664"/>
    <cellStyle name="_Расчет RAB_Лен и МОЭСК_с 2010 года_14.04.2009_со сглаж_version 3.0_без ФСК_UPDATE.46TE.2011.TO.1.1" xfId="665"/>
    <cellStyle name="_Расчет RAB_Лен и МОЭСК_с 2010 года_14.04.2009_со сглаж_version 3.0_без ФСК_UPDATE.46TE.2011.TO.1.2" xfId="666"/>
    <cellStyle name="_Расчет RAB_Лен и МОЭСК_с 2010 года_14.04.2009_со сглаж_version 3.0_без ФСК_UPDATE.BALANCE.WARM.2011YEAR.TO.1.1" xfId="667"/>
    <cellStyle name="_Расчет RAB_Лен и МОЭСК_с 2010 года_14.04.2009_со сглаж_version 3.0_без ФСК_UPDATE.BALANCE.WARM.2011YEAR.TO.1.1_46TE.2011(v1.0)" xfId="668"/>
    <cellStyle name="_Расчет RAB_Лен и МОЭСК_с 2010 года_14.04.2009_со сглаж_version 3.0_без ФСК_UPDATE.BALANCE.WARM.2011YEAR.TO.1.1_INDEX.STATION.2012(v1.0)_" xfId="669"/>
    <cellStyle name="_Расчет RAB_Лен и МОЭСК_с 2010 года_14.04.2009_со сглаж_version 3.0_без ФСК_UPDATE.BALANCE.WARM.2011YEAR.TO.1.1_INDEX.STATION.2012(v2.0)" xfId="670"/>
    <cellStyle name="_Расчет RAB_Лен и МОЭСК_с 2010 года_14.04.2009_со сглаж_version 3.0_без ФСК_UPDATE.BALANCE.WARM.2011YEAR.TO.1.1_INDEX.STATION.2012(v2.1)" xfId="671"/>
    <cellStyle name="_Расчет RAB_Лен и МОЭСК_с 2010 года_14.04.2009_со сглаж_version 3.0_без ФСК_UPDATE.BALANCE.WARM.2011YEAR.TO.1.1_OREP.KU.2011.MONTHLY.02(v1.1)" xfId="672"/>
    <cellStyle name="_Расчет RAB_Лен и МОЭСК_с 2010 года_14.04.2009_со сглаж_version 3.0_без ФСК_UPDATE.BALANCE.WARM.2011YEAR.TO.1.1_TEPLO.PREDEL.2012.M(v1.1)_test" xfId="673"/>
    <cellStyle name="_Расчет RAB_Лен и МОЭСК_с 2010 года_14.04.2009_со сглаж_version 3.0_без ФСК_UPDATE.NADB.JNVLS.APTEKA.2011.TO.1.3.4" xfId="674"/>
    <cellStyle name="_Расчет RAB_Лен и МОЭСК_с 2010 года_14.04.2009_со сглаж_version 3.0_без ФСК_Книга2_PR.PROG.WARM.NOTCOMBI.2012.2.16_v1.4(04.04.11) " xfId="675"/>
    <cellStyle name="_Расчет RAB_Лен и МОЭСК_с 2010 года_14.04.2009_со сглаж_version 3.0_без ФСК_Тариф 2013 Архангельск для агентства" xfId="676"/>
    <cellStyle name="_Расчет RAB_Лен и МОЭСК_с 2010 года_14.04.2009_со сглаж_version 3.0_без ФСК_Тариф 2014 уч. Шипицыно газ" xfId="677"/>
    <cellStyle name="_Расчет кредита_RAB 2010-2014  max конечн.20,77" xfId="678"/>
    <cellStyle name="_Расчет кредита_RAB 2010-2014  max конечн.20,77_Расче тарифа на тэ 2014 Мезенский АрхоблЭнерго" xfId="679"/>
    <cellStyle name="_Расчет кредита_RAB 2010-2014  max конечн.20,77_тарифы по ТЭ на 2014 год Соловки исправ." xfId="680"/>
    <cellStyle name="_Расчет на 2008 год" xfId="681"/>
    <cellStyle name="_Расчет на 2009 год" xfId="682"/>
    <cellStyle name="_Расчет ТЕХПД на 2010 год" xfId="683"/>
    <cellStyle name="_Расшифровка по приоритетам_МРСК 2" xfId="684"/>
    <cellStyle name="_Расшифровка по приоритетам_МРСК 2_Расче тарифа на тэ 2014 Мезенский АрхоблЭнерго" xfId="685"/>
    <cellStyle name="_Расшифровка по приоритетам_МРСК 2_тарифы по ТЭ на 2014 год Соловки исправ." xfId="686"/>
    <cellStyle name="_Рем программа СТЭЦ-1тарифы 2010 год" xfId="687"/>
    <cellStyle name="_Сб-macro 2020" xfId="688"/>
    <cellStyle name="_Сб-macro 2020 2" xfId="689"/>
    <cellStyle name="_Свод по ИПР (2)" xfId="690"/>
    <cellStyle name="_Свод по ИПР (2)_Новая инструкция1_фст" xfId="691"/>
    <cellStyle name="_Свод по ИПР (2)_Расче тарифа на тэ 2014 Мезенский АрхоблЭнерго" xfId="692"/>
    <cellStyle name="_Свод по ИПР (2)_Тариф тепло Мезень для АТЦ" xfId="693"/>
    <cellStyle name="_Свод по ИПР (2)_тарифы по ТЭ на 2014 год Соловки исправ." xfId="694"/>
    <cellStyle name="_сводная таблица (2)" xfId="695"/>
    <cellStyle name="_сводная таблица (2)_Расче тарифа на тэ 2014 Мезенский АрхоблЭнерго" xfId="696"/>
    <cellStyle name="_сводная таблица (2)_тарифы по ТЭ на 2014 год Соловки исправ." xfId="697"/>
    <cellStyle name="_СО 2006-2010  Прил1-1 (Дубинину)" xfId="698"/>
    <cellStyle name="_СО 2006-2010  Прил1-1 (Дубинину)_Расче тарифа на тэ 2014 Мезенский АрхоблЭнерго" xfId="699"/>
    <cellStyle name="_СО 2006-2010  Прил1-1 (Дубинину)_тарифы по ТЭ на 2014 год Соловки исправ." xfId="700"/>
    <cellStyle name="_Справочник затрат_ЛХ_20.10.05" xfId="701"/>
    <cellStyle name="_Табл П2-5 (вар18-10-2006)" xfId="702"/>
    <cellStyle name="_Табл П2-5 (вар18-10-2006)_Расче тарифа на тэ 2014 Мезенский АрхоблЭнерго" xfId="703"/>
    <cellStyle name="_Табл П2-5 (вар18-10-2006)_тарифы по ТЭ на 2014 год Соловки исправ." xfId="704"/>
    <cellStyle name="_Табл. 9, ТФБ 2009" xfId="705"/>
    <cellStyle name="_таблицы для расчетов28-04-08_2006-2009_прибыль корр_по ИА" xfId="706"/>
    <cellStyle name="_таблицы для расчетов28-04-08_2006-2009_прибыль корр_по ИА_Новая инструкция1_фст" xfId="707"/>
    <cellStyle name="_таблицы для расчетов28-04-08_2006-2009_прибыль корр_по ИА_Расче тарифа на тэ 2014 Мезенский АрхоблЭнерго" xfId="708"/>
    <cellStyle name="_таблицы для расчетов28-04-08_2006-2009_прибыль корр_по ИА_Тариф тепло Мезень для АТЦ" xfId="709"/>
    <cellStyle name="_таблицы для расчетов28-04-08_2006-2009_прибыль корр_по ИА_тарифы по ТЭ на 2014 год Соловки исправ." xfId="710"/>
    <cellStyle name="_таблицы для расчетов28-04-08_2006-2009с ИА" xfId="711"/>
    <cellStyle name="_таблицы для расчетов28-04-08_2006-2009с ИА_Новая инструкция1_фст" xfId="712"/>
    <cellStyle name="_таблицы для расчетов28-04-08_2006-2009с ИА_Расче тарифа на тэ 2014 Мезенский АрхоблЭнерго" xfId="713"/>
    <cellStyle name="_таблицы для расчетов28-04-08_2006-2009с ИА_Тариф тепло Мезень для АТЦ" xfId="714"/>
    <cellStyle name="_таблицы для расчетов28-04-08_2006-2009с ИА_тарифы по ТЭ на 2014 год Соловки исправ." xfId="715"/>
    <cellStyle name="_Тарифы  СИЗ СП ОД Шапина" xfId="716"/>
    <cellStyle name="_УЕ  свод Псковэнерго" xfId="717"/>
    <cellStyle name="_УЕ  свод Псковэнерго_Расче тарифа на тэ 2014 Мезенский АрхоблЭнерго" xfId="718"/>
    <cellStyle name="_УЕ  свод Псковэнерго_тарифы по ТЭ на 2014 год Соловки исправ." xfId="719"/>
    <cellStyle name="_Условные единицы ПСКОВЭНЕРГО (RAB)" xfId="720"/>
    <cellStyle name="_Условные единицы ПСКОВЭНЕРГО (RAB)_Расче тарифа на тэ 2014 Мезенский АрхоблЭнерго" xfId="721"/>
    <cellStyle name="_Условные единицы ПСКОВЭНЕРГО (RAB)_тарифы по ТЭ на 2014 год Соловки исправ." xfId="722"/>
    <cellStyle name="_Услуги связи_2008_котельные" xfId="723"/>
    <cellStyle name="_Форма 6  РТК.xls(отчет по Адр пр. ЛО)" xfId="724"/>
    <cellStyle name="_Форма 6  РТК.xls(отчет по Адр пр. ЛО)_Новая инструкция1_фст" xfId="725"/>
    <cellStyle name="_Форма 6  РТК.xls(отчет по Адр пр. ЛО)_Расче тарифа на тэ 2014 Мезенский АрхоблЭнерго" xfId="726"/>
    <cellStyle name="_Форма 6  РТК.xls(отчет по Адр пр. ЛО)_Тариф тепло Мезень для АТЦ" xfId="727"/>
    <cellStyle name="_Форма 6  РТК.xls(отчет по Адр пр. ЛО)_тарифы по ТЭ на 2014 год Соловки исправ." xfId="728"/>
    <cellStyle name="_Форма программы ремонтов " xfId="729"/>
    <cellStyle name="_Форма программы ремонтов  2" xfId="730"/>
    <cellStyle name="_Формат разбивки по МРСК_РСК" xfId="731"/>
    <cellStyle name="_Формат разбивки по МРСК_РСК_Новая инструкция1_фст" xfId="732"/>
    <cellStyle name="_Формат разбивки по МРСК_РСК_Расче тарифа на тэ 2014 Мезенский АрхоблЭнерго" xfId="733"/>
    <cellStyle name="_Формат разбивки по МРСК_РСК_Тариф тепло Мезень для АТЦ" xfId="734"/>
    <cellStyle name="_Формат разбивки по МРСК_РСК_тарифы по ТЭ на 2014 год Соловки исправ." xfId="735"/>
    <cellStyle name="_Формат_для Согласования" xfId="736"/>
    <cellStyle name="_Формат_для Согласования_Новая инструкция1_фст" xfId="737"/>
    <cellStyle name="_Формат_для Согласования_Расче тарифа на тэ 2014 Мезенский АрхоблЭнерго" xfId="738"/>
    <cellStyle name="_Формат_для Согласования_Тариф тепло Мезень для АТЦ" xfId="739"/>
    <cellStyle name="_Формат_для Согласования_тарифы по ТЭ на 2014 год Соловки исправ." xfId="740"/>
    <cellStyle name="_ХХХ Прил 2 Формы бюджетных документов 2007" xfId="741"/>
    <cellStyle name="_экон.форм-т ВО 1 с разбивкой" xfId="742"/>
    <cellStyle name="_экон.форм-т ВО 1 с разбивкой_Новая инструкция1_фст" xfId="743"/>
    <cellStyle name="’К‰Э [0.00]" xfId="744"/>
    <cellStyle name="”€ќђќ‘ћ‚›‰" xfId="746"/>
    <cellStyle name="”€љ‘€ђћ‚ђќќ›‰" xfId="747"/>
    <cellStyle name="”ќђќ‘ћ‚›‰" xfId="748"/>
    <cellStyle name="”љ‘ђћ‚ђќќ›‰" xfId="749"/>
    <cellStyle name="„…ќ…†ќ›‰" xfId="750"/>
    <cellStyle name="€’ћѓћ‚›‰" xfId="753"/>
    <cellStyle name="‡ђѓћ‹ћ‚ћљ1" xfId="751"/>
    <cellStyle name="‡ђѓћ‹ћ‚ћљ2" xfId="752"/>
    <cellStyle name="’ћѓћ‚›‰" xfId="745"/>
    <cellStyle name="0,00;0;" xfId="754"/>
    <cellStyle name="0,00;0; 2" xfId="755"/>
    <cellStyle name="0,00;0; 3" xfId="756"/>
    <cellStyle name="0,00;0; 4" xfId="757"/>
    <cellStyle name="1Normal" xfId="758"/>
    <cellStyle name="20% - Accent1" xfId="759"/>
    <cellStyle name="20% - Accent1 2" xfId="760"/>
    <cellStyle name="20% - Accent1 2 2" xfId="761"/>
    <cellStyle name="20% - Accent1 3" xfId="762"/>
    <cellStyle name="20% - Accent1 3 2" xfId="763"/>
    <cellStyle name="20% - Accent1 4" xfId="764"/>
    <cellStyle name="20% - Accent1_46EE.2011(v1.0)" xfId="765"/>
    <cellStyle name="20% - Accent2" xfId="766"/>
    <cellStyle name="20% - Accent2 2" xfId="767"/>
    <cellStyle name="20% - Accent2 2 2" xfId="768"/>
    <cellStyle name="20% - Accent2 3" xfId="769"/>
    <cellStyle name="20% - Accent2 3 2" xfId="770"/>
    <cellStyle name="20% - Accent2 4" xfId="771"/>
    <cellStyle name="20% - Accent2_46EE.2011(v1.0)" xfId="772"/>
    <cellStyle name="20% - Accent3" xfId="773"/>
    <cellStyle name="20% - Accent3 2" xfId="774"/>
    <cellStyle name="20% - Accent3 2 2" xfId="775"/>
    <cellStyle name="20% - Accent3 3" xfId="776"/>
    <cellStyle name="20% - Accent3 3 2" xfId="777"/>
    <cellStyle name="20% - Accent3 4" xfId="778"/>
    <cellStyle name="20% - Accent3_46EE.2011(v1.0)" xfId="779"/>
    <cellStyle name="20% - Accent4" xfId="780"/>
    <cellStyle name="20% - Accent4 2" xfId="781"/>
    <cellStyle name="20% - Accent4 2 2" xfId="782"/>
    <cellStyle name="20% - Accent4 3" xfId="783"/>
    <cellStyle name="20% - Accent4 3 2" xfId="784"/>
    <cellStyle name="20% - Accent4 4" xfId="785"/>
    <cellStyle name="20% - Accent4_46EE.2011(v1.0)" xfId="786"/>
    <cellStyle name="20% - Accent5" xfId="787"/>
    <cellStyle name="20% - Accent5 2" xfId="788"/>
    <cellStyle name="20% - Accent5 2 2" xfId="789"/>
    <cellStyle name="20% - Accent5 3" xfId="790"/>
    <cellStyle name="20% - Accent5 3 2" xfId="791"/>
    <cellStyle name="20% - Accent5 4" xfId="792"/>
    <cellStyle name="20% - Accent5_46EE.2011(v1.0)" xfId="793"/>
    <cellStyle name="20% - Accent6" xfId="794"/>
    <cellStyle name="20% - Accent6 2" xfId="795"/>
    <cellStyle name="20% - Accent6 2 2" xfId="796"/>
    <cellStyle name="20% - Accent6 3" xfId="797"/>
    <cellStyle name="20% - Accent6 3 2" xfId="798"/>
    <cellStyle name="20% - Accent6 4" xfId="799"/>
    <cellStyle name="20% - Accent6_46EE.2011(v1.0)" xfId="800"/>
    <cellStyle name="20% — акцент1" xfId="801"/>
    <cellStyle name="20% - Акцент1 10" xfId="802"/>
    <cellStyle name="20% — акцент1 10" xfId="803"/>
    <cellStyle name="20% - Акцент1 10 2" xfId="804"/>
    <cellStyle name="20% - Акцент1 11" xfId="805"/>
    <cellStyle name="20% — акцент1 11" xfId="806"/>
    <cellStyle name="20% - Акцент1 11 2" xfId="807"/>
    <cellStyle name="20% — акцент1 12" xfId="808"/>
    <cellStyle name="20% — акцент1 13" xfId="809"/>
    <cellStyle name="20% — акцент1 14" xfId="810"/>
    <cellStyle name="20% — акцент1 15" xfId="811"/>
    <cellStyle name="20% — акцент1 16" xfId="812"/>
    <cellStyle name="20% — акцент1 17" xfId="813"/>
    <cellStyle name="20% — акцент1 18" xfId="814"/>
    <cellStyle name="20% — акцент1 19" xfId="815"/>
    <cellStyle name="20% - Акцент1 2" xfId="816"/>
    <cellStyle name="20% — акцент1 2" xfId="817"/>
    <cellStyle name="20% - Акцент1 2 10" xfId="818"/>
    <cellStyle name="20% - Акцент1 2 2" xfId="819"/>
    <cellStyle name="20% - Акцент1 2 2 2" xfId="820"/>
    <cellStyle name="20% - Акцент1 2 3" xfId="821"/>
    <cellStyle name="20% - Акцент1 2 3 2" xfId="822"/>
    <cellStyle name="20% - Акцент1 2 4" xfId="823"/>
    <cellStyle name="20% - Акцент1 2 5" xfId="824"/>
    <cellStyle name="20% - Акцент1 2 6" xfId="825"/>
    <cellStyle name="20% - Акцент1 2 7" xfId="826"/>
    <cellStyle name="20% - Акцент1 2 8" xfId="827"/>
    <cellStyle name="20% - Акцент1 2 9" xfId="828"/>
    <cellStyle name="20% - Акцент1 2_46EE.2011(v1.0)" xfId="829"/>
    <cellStyle name="20% — акцент1 20" xfId="830"/>
    <cellStyle name="20% — акцент1 21" xfId="831"/>
    <cellStyle name="20% - Акцент1 3" xfId="832"/>
    <cellStyle name="20% — акцент1 3" xfId="833"/>
    <cellStyle name="20% - Акцент1 3 10" xfId="834"/>
    <cellStyle name="20% - Акцент1 3 11" xfId="835"/>
    <cellStyle name="20% - Акцент1 3 2" xfId="836"/>
    <cellStyle name="20% - Акцент1 3 2 2" xfId="837"/>
    <cellStyle name="20% - Акцент1 3 3" xfId="838"/>
    <cellStyle name="20% - Акцент1 3 3 2" xfId="839"/>
    <cellStyle name="20% - Акцент1 3 4" xfId="840"/>
    <cellStyle name="20% - Акцент1 3 5" xfId="841"/>
    <cellStyle name="20% - Акцент1 3 6" xfId="842"/>
    <cellStyle name="20% - Акцент1 3 7" xfId="843"/>
    <cellStyle name="20% - Акцент1 3 8" xfId="844"/>
    <cellStyle name="20% - Акцент1 3 9" xfId="845"/>
    <cellStyle name="20% - Акцент1 3_46EE.2011(v1.0)" xfId="846"/>
    <cellStyle name="20% - Акцент1 4" xfId="847"/>
    <cellStyle name="20% — акцент1 4" xfId="848"/>
    <cellStyle name="20% - Акцент1 4 2" xfId="849"/>
    <cellStyle name="20% - Акцент1 4 2 2" xfId="850"/>
    <cellStyle name="20% - Акцент1 4 3" xfId="851"/>
    <cellStyle name="20% - Акцент1 4 3 2" xfId="852"/>
    <cellStyle name="20% - Акцент1 4_46EE.2011(v1.0)" xfId="853"/>
    <cellStyle name="20% - Акцент1 5" xfId="854"/>
    <cellStyle name="20% — акцент1 5" xfId="855"/>
    <cellStyle name="20% - Акцент1 5 2" xfId="856"/>
    <cellStyle name="20% - Акцент1 5 2 2" xfId="857"/>
    <cellStyle name="20% - Акцент1 5 3" xfId="858"/>
    <cellStyle name="20% - Акцент1 5 3 2" xfId="859"/>
    <cellStyle name="20% - Акцент1 5_46EE.2011(v1.0)" xfId="860"/>
    <cellStyle name="20% - Акцент1 6" xfId="861"/>
    <cellStyle name="20% — акцент1 6" xfId="862"/>
    <cellStyle name="20% - Акцент1 6 2" xfId="863"/>
    <cellStyle name="20% - Акцент1 6 2 2" xfId="864"/>
    <cellStyle name="20% - Акцент1 6 3" xfId="865"/>
    <cellStyle name="20% - Акцент1 6 3 2" xfId="866"/>
    <cellStyle name="20% - Акцент1 6_46EE.2011(v1.0)" xfId="867"/>
    <cellStyle name="20% - Акцент1 7" xfId="868"/>
    <cellStyle name="20% — акцент1 7" xfId="869"/>
    <cellStyle name="20% - Акцент1 7 2" xfId="870"/>
    <cellStyle name="20% - Акцент1 7 2 2" xfId="871"/>
    <cellStyle name="20% - Акцент1 7 3" xfId="872"/>
    <cellStyle name="20% - Акцент1 7 3 2" xfId="873"/>
    <cellStyle name="20% - Акцент1 7_46EE.2011(v1.0)" xfId="874"/>
    <cellStyle name="20% - Акцент1 8" xfId="875"/>
    <cellStyle name="20% — акцент1 8" xfId="876"/>
    <cellStyle name="20% - Акцент1 8 2" xfId="877"/>
    <cellStyle name="20% - Акцент1 8 2 2" xfId="878"/>
    <cellStyle name="20% - Акцент1 8 3" xfId="879"/>
    <cellStyle name="20% - Акцент1 8 3 2" xfId="880"/>
    <cellStyle name="20% - Акцент1 8 4" xfId="881"/>
    <cellStyle name="20% - Акцент1 8_46EE.2011(v1.0)" xfId="882"/>
    <cellStyle name="20% - Акцент1 9" xfId="883"/>
    <cellStyle name="20% — акцент1 9" xfId="884"/>
    <cellStyle name="20% - Акцент1 9 2" xfId="885"/>
    <cellStyle name="20% - Акцент1 9 2 2" xfId="886"/>
    <cellStyle name="20% - Акцент1 9 3" xfId="887"/>
    <cellStyle name="20% - Акцент1 9 3 2" xfId="888"/>
    <cellStyle name="20% - Акцент1 9 4" xfId="889"/>
    <cellStyle name="20% - Акцент1 9_46EE.2011(v1.0)" xfId="890"/>
    <cellStyle name="20% — акцент1_Расчет тарифа на тэ 2015 СЛФ" xfId="891"/>
    <cellStyle name="20% — акцент2" xfId="892"/>
    <cellStyle name="20% - Акцент2 10" xfId="893"/>
    <cellStyle name="20% — акцент2 10" xfId="894"/>
    <cellStyle name="20% - Акцент2 10 2" xfId="895"/>
    <cellStyle name="20% - Акцент2 11" xfId="896"/>
    <cellStyle name="20% — акцент2 11" xfId="897"/>
    <cellStyle name="20% - Акцент2 11 2" xfId="898"/>
    <cellStyle name="20% — акцент2 12" xfId="899"/>
    <cellStyle name="20% — акцент2 13" xfId="900"/>
    <cellStyle name="20% — акцент2 14" xfId="901"/>
    <cellStyle name="20% — акцент2 15" xfId="902"/>
    <cellStyle name="20% — акцент2 16" xfId="903"/>
    <cellStyle name="20% — акцент2 17" xfId="904"/>
    <cellStyle name="20% — акцент2 18" xfId="905"/>
    <cellStyle name="20% — акцент2 19" xfId="906"/>
    <cellStyle name="20% - Акцент2 2" xfId="907"/>
    <cellStyle name="20% — акцент2 2" xfId="908"/>
    <cellStyle name="20% - Акцент2 2 10" xfId="909"/>
    <cellStyle name="20% - Акцент2 2 2" xfId="910"/>
    <cellStyle name="20% - Акцент2 2 2 2" xfId="911"/>
    <cellStyle name="20% - Акцент2 2 3" xfId="912"/>
    <cellStyle name="20% - Акцент2 2 3 2" xfId="913"/>
    <cellStyle name="20% - Акцент2 2 4" xfId="914"/>
    <cellStyle name="20% - Акцент2 2 5" xfId="915"/>
    <cellStyle name="20% - Акцент2 2 6" xfId="916"/>
    <cellStyle name="20% - Акцент2 2 7" xfId="917"/>
    <cellStyle name="20% - Акцент2 2 8" xfId="918"/>
    <cellStyle name="20% - Акцент2 2 9" xfId="919"/>
    <cellStyle name="20% - Акцент2 2_46EE.2011(v1.0)" xfId="920"/>
    <cellStyle name="20% — акцент2 20" xfId="921"/>
    <cellStyle name="20% — акцент2 21" xfId="922"/>
    <cellStyle name="20% - Акцент2 3" xfId="923"/>
    <cellStyle name="20% — акцент2 3" xfId="924"/>
    <cellStyle name="20% - Акцент2 3 10" xfId="925"/>
    <cellStyle name="20% - Акцент2 3 11" xfId="926"/>
    <cellStyle name="20% - Акцент2 3 2" xfId="927"/>
    <cellStyle name="20% - Акцент2 3 2 2" xfId="928"/>
    <cellStyle name="20% - Акцент2 3 3" xfId="929"/>
    <cellStyle name="20% - Акцент2 3 3 2" xfId="930"/>
    <cellStyle name="20% - Акцент2 3 4" xfId="931"/>
    <cellStyle name="20% - Акцент2 3 5" xfId="932"/>
    <cellStyle name="20% - Акцент2 3 6" xfId="933"/>
    <cellStyle name="20% - Акцент2 3 7" xfId="934"/>
    <cellStyle name="20% - Акцент2 3 8" xfId="935"/>
    <cellStyle name="20% - Акцент2 3 9" xfId="936"/>
    <cellStyle name="20% - Акцент2 3_46EE.2011(v1.0)" xfId="937"/>
    <cellStyle name="20% - Акцент2 4" xfId="938"/>
    <cellStyle name="20% — акцент2 4" xfId="939"/>
    <cellStyle name="20% - Акцент2 4 2" xfId="940"/>
    <cellStyle name="20% - Акцент2 4 2 2" xfId="941"/>
    <cellStyle name="20% - Акцент2 4 3" xfId="942"/>
    <cellStyle name="20% - Акцент2 4 3 2" xfId="943"/>
    <cellStyle name="20% - Акцент2 4_46EE.2011(v1.0)" xfId="944"/>
    <cellStyle name="20% - Акцент2 5" xfId="945"/>
    <cellStyle name="20% — акцент2 5" xfId="946"/>
    <cellStyle name="20% - Акцент2 5 2" xfId="947"/>
    <cellStyle name="20% - Акцент2 5 2 2" xfId="948"/>
    <cellStyle name="20% - Акцент2 5 3" xfId="949"/>
    <cellStyle name="20% - Акцент2 5 3 2" xfId="950"/>
    <cellStyle name="20% - Акцент2 5_46EE.2011(v1.0)" xfId="951"/>
    <cellStyle name="20% - Акцент2 6" xfId="952"/>
    <cellStyle name="20% — акцент2 6" xfId="953"/>
    <cellStyle name="20% - Акцент2 6 2" xfId="954"/>
    <cellStyle name="20% - Акцент2 6 2 2" xfId="955"/>
    <cellStyle name="20% - Акцент2 6 3" xfId="956"/>
    <cellStyle name="20% - Акцент2 6 3 2" xfId="957"/>
    <cellStyle name="20% - Акцент2 6_46EE.2011(v1.0)" xfId="958"/>
    <cellStyle name="20% - Акцент2 7" xfId="959"/>
    <cellStyle name="20% — акцент2 7" xfId="960"/>
    <cellStyle name="20% - Акцент2 7 2" xfId="961"/>
    <cellStyle name="20% - Акцент2 7 2 2" xfId="962"/>
    <cellStyle name="20% - Акцент2 7 3" xfId="963"/>
    <cellStyle name="20% - Акцент2 7 3 2" xfId="964"/>
    <cellStyle name="20% - Акцент2 7_46EE.2011(v1.0)" xfId="965"/>
    <cellStyle name="20% - Акцент2 8" xfId="966"/>
    <cellStyle name="20% — акцент2 8" xfId="967"/>
    <cellStyle name="20% - Акцент2 8 2" xfId="968"/>
    <cellStyle name="20% - Акцент2 8 2 2" xfId="969"/>
    <cellStyle name="20% - Акцент2 8 3" xfId="970"/>
    <cellStyle name="20% - Акцент2 8 3 2" xfId="971"/>
    <cellStyle name="20% - Акцент2 8 4" xfId="972"/>
    <cellStyle name="20% - Акцент2 8_46EE.2011(v1.0)" xfId="973"/>
    <cellStyle name="20% - Акцент2 9" xfId="974"/>
    <cellStyle name="20% — акцент2 9" xfId="975"/>
    <cellStyle name="20% - Акцент2 9 2" xfId="976"/>
    <cellStyle name="20% - Акцент2 9 2 2" xfId="977"/>
    <cellStyle name="20% - Акцент2 9 3" xfId="978"/>
    <cellStyle name="20% - Акцент2 9 3 2" xfId="979"/>
    <cellStyle name="20% - Акцент2 9 4" xfId="980"/>
    <cellStyle name="20% - Акцент2 9_46EE.2011(v1.0)" xfId="981"/>
    <cellStyle name="20% — акцент2_Расчет тарифа на тэ 2015 СЛФ" xfId="982"/>
    <cellStyle name="20% — акцент3" xfId="983"/>
    <cellStyle name="20% - Акцент3 10" xfId="984"/>
    <cellStyle name="20% — акцент3 10" xfId="985"/>
    <cellStyle name="20% - Акцент3 10 2" xfId="986"/>
    <cellStyle name="20% - Акцент3 11" xfId="987"/>
    <cellStyle name="20% — акцент3 11" xfId="988"/>
    <cellStyle name="20% - Акцент3 11 2" xfId="989"/>
    <cellStyle name="20% — акцент3 12" xfId="990"/>
    <cellStyle name="20% — акцент3 13" xfId="991"/>
    <cellStyle name="20% — акцент3 14" xfId="992"/>
    <cellStyle name="20% — акцент3 15" xfId="993"/>
    <cellStyle name="20% — акцент3 16" xfId="994"/>
    <cellStyle name="20% — акцент3 17" xfId="995"/>
    <cellStyle name="20% — акцент3 18" xfId="996"/>
    <cellStyle name="20% — акцент3 19" xfId="997"/>
    <cellStyle name="20% - Акцент3 2" xfId="998"/>
    <cellStyle name="20% — акцент3 2" xfId="999"/>
    <cellStyle name="20% - Акцент3 2 10" xfId="1000"/>
    <cellStyle name="20% - Акцент3 2 2" xfId="1001"/>
    <cellStyle name="20% - Акцент3 2 2 2" xfId="1002"/>
    <cellStyle name="20% - Акцент3 2 3" xfId="1003"/>
    <cellStyle name="20% - Акцент3 2 3 2" xfId="1004"/>
    <cellStyle name="20% - Акцент3 2 4" xfId="1005"/>
    <cellStyle name="20% - Акцент3 2 5" xfId="1006"/>
    <cellStyle name="20% - Акцент3 2 6" xfId="1007"/>
    <cellStyle name="20% - Акцент3 2 7" xfId="1008"/>
    <cellStyle name="20% - Акцент3 2 8" xfId="1009"/>
    <cellStyle name="20% - Акцент3 2 9" xfId="1010"/>
    <cellStyle name="20% - Акцент3 2_46EE.2011(v1.0)" xfId="1011"/>
    <cellStyle name="20% — акцент3 20" xfId="1012"/>
    <cellStyle name="20% — акцент3 21" xfId="1013"/>
    <cellStyle name="20% - Акцент3 3" xfId="1014"/>
    <cellStyle name="20% — акцент3 3" xfId="1015"/>
    <cellStyle name="20% - Акцент3 3 10" xfId="1016"/>
    <cellStyle name="20% - Акцент3 3 11" xfId="1017"/>
    <cellStyle name="20% - Акцент3 3 2" xfId="1018"/>
    <cellStyle name="20% - Акцент3 3 2 2" xfId="1019"/>
    <cellStyle name="20% - Акцент3 3 3" xfId="1020"/>
    <cellStyle name="20% - Акцент3 3 3 2" xfId="1021"/>
    <cellStyle name="20% - Акцент3 3 4" xfId="1022"/>
    <cellStyle name="20% - Акцент3 3 5" xfId="1023"/>
    <cellStyle name="20% - Акцент3 3 6" xfId="1024"/>
    <cellStyle name="20% - Акцент3 3 7" xfId="1025"/>
    <cellStyle name="20% - Акцент3 3 8" xfId="1026"/>
    <cellStyle name="20% - Акцент3 3 9" xfId="1027"/>
    <cellStyle name="20% - Акцент3 3_46EE.2011(v1.0)" xfId="1028"/>
    <cellStyle name="20% - Акцент3 4" xfId="1029"/>
    <cellStyle name="20% — акцент3 4" xfId="1030"/>
    <cellStyle name="20% - Акцент3 4 2" xfId="1031"/>
    <cellStyle name="20% - Акцент3 4 2 2" xfId="1032"/>
    <cellStyle name="20% - Акцент3 4 3" xfId="1033"/>
    <cellStyle name="20% - Акцент3 4 3 2" xfId="1034"/>
    <cellStyle name="20% - Акцент3 4_46EE.2011(v1.0)" xfId="1035"/>
    <cellStyle name="20% - Акцент3 5" xfId="1036"/>
    <cellStyle name="20% — акцент3 5" xfId="1037"/>
    <cellStyle name="20% - Акцент3 5 2" xfId="1038"/>
    <cellStyle name="20% - Акцент3 5 2 2" xfId="1039"/>
    <cellStyle name="20% - Акцент3 5 3" xfId="1040"/>
    <cellStyle name="20% - Акцент3 5 3 2" xfId="1041"/>
    <cellStyle name="20% - Акцент3 5_46EE.2011(v1.0)" xfId="1042"/>
    <cellStyle name="20% - Акцент3 6" xfId="1043"/>
    <cellStyle name="20% — акцент3 6" xfId="1044"/>
    <cellStyle name="20% - Акцент3 6 2" xfId="1045"/>
    <cellStyle name="20% - Акцент3 6 2 2" xfId="1046"/>
    <cellStyle name="20% - Акцент3 6 3" xfId="1047"/>
    <cellStyle name="20% - Акцент3 6 3 2" xfId="1048"/>
    <cellStyle name="20% - Акцент3 6_46EE.2011(v1.0)" xfId="1049"/>
    <cellStyle name="20% - Акцент3 7" xfId="1050"/>
    <cellStyle name="20% — акцент3 7" xfId="1051"/>
    <cellStyle name="20% - Акцент3 7 2" xfId="1052"/>
    <cellStyle name="20% - Акцент3 7 2 2" xfId="1053"/>
    <cellStyle name="20% - Акцент3 7 3" xfId="1054"/>
    <cellStyle name="20% - Акцент3 7 3 2" xfId="1055"/>
    <cellStyle name="20% - Акцент3 7_46EE.2011(v1.0)" xfId="1056"/>
    <cellStyle name="20% - Акцент3 8" xfId="1057"/>
    <cellStyle name="20% — акцент3 8" xfId="1058"/>
    <cellStyle name="20% - Акцент3 8 2" xfId="1059"/>
    <cellStyle name="20% - Акцент3 8 2 2" xfId="1060"/>
    <cellStyle name="20% - Акцент3 8 3" xfId="1061"/>
    <cellStyle name="20% - Акцент3 8 3 2" xfId="1062"/>
    <cellStyle name="20% - Акцент3 8 4" xfId="1063"/>
    <cellStyle name="20% - Акцент3 8_46EE.2011(v1.0)" xfId="1064"/>
    <cellStyle name="20% - Акцент3 9" xfId="1065"/>
    <cellStyle name="20% — акцент3 9" xfId="1066"/>
    <cellStyle name="20% - Акцент3 9 2" xfId="1067"/>
    <cellStyle name="20% - Акцент3 9 2 2" xfId="1068"/>
    <cellStyle name="20% - Акцент3 9 3" xfId="1069"/>
    <cellStyle name="20% - Акцент3 9 3 2" xfId="1070"/>
    <cellStyle name="20% - Акцент3 9 4" xfId="1071"/>
    <cellStyle name="20% - Акцент3 9_46EE.2011(v1.0)" xfId="1072"/>
    <cellStyle name="20% — акцент3_Расчет тарифа на тэ 2015 СЛФ" xfId="1073"/>
    <cellStyle name="20% — акцент4" xfId="1074"/>
    <cellStyle name="20% - Акцент4 10" xfId="1075"/>
    <cellStyle name="20% — акцент4 10" xfId="1076"/>
    <cellStyle name="20% - Акцент4 10 2" xfId="1077"/>
    <cellStyle name="20% - Акцент4 11" xfId="1078"/>
    <cellStyle name="20% — акцент4 11" xfId="1079"/>
    <cellStyle name="20% - Акцент4 11 2" xfId="1080"/>
    <cellStyle name="20% — акцент4 12" xfId="1081"/>
    <cellStyle name="20% — акцент4 13" xfId="1082"/>
    <cellStyle name="20% — акцент4 14" xfId="1083"/>
    <cellStyle name="20% — акцент4 15" xfId="1084"/>
    <cellStyle name="20% — акцент4 16" xfId="1085"/>
    <cellStyle name="20% — акцент4 17" xfId="1086"/>
    <cellStyle name="20% — акцент4 18" xfId="1087"/>
    <cellStyle name="20% — акцент4 19" xfId="1088"/>
    <cellStyle name="20% - Акцент4 2" xfId="1089"/>
    <cellStyle name="20% — акцент4 2" xfId="1090"/>
    <cellStyle name="20% - Акцент4 2 10" xfId="1091"/>
    <cellStyle name="20% - Акцент4 2 2" xfId="1092"/>
    <cellStyle name="20% - Акцент4 2 2 2" xfId="1093"/>
    <cellStyle name="20% - Акцент4 2 3" xfId="1094"/>
    <cellStyle name="20% - Акцент4 2 3 2" xfId="1095"/>
    <cellStyle name="20% - Акцент4 2 4" xfId="1096"/>
    <cellStyle name="20% - Акцент4 2 5" xfId="1097"/>
    <cellStyle name="20% - Акцент4 2 6" xfId="1098"/>
    <cellStyle name="20% - Акцент4 2 7" xfId="1099"/>
    <cellStyle name="20% - Акцент4 2 8" xfId="1100"/>
    <cellStyle name="20% - Акцент4 2 9" xfId="1101"/>
    <cellStyle name="20% - Акцент4 2_46EE.2011(v1.0)" xfId="1102"/>
    <cellStyle name="20% — акцент4 20" xfId="1103"/>
    <cellStyle name="20% — акцент4 21" xfId="1104"/>
    <cellStyle name="20% - Акцент4 3" xfId="1105"/>
    <cellStyle name="20% — акцент4 3" xfId="1106"/>
    <cellStyle name="20% - Акцент4 3 10" xfId="1107"/>
    <cellStyle name="20% - Акцент4 3 11" xfId="1108"/>
    <cellStyle name="20% - Акцент4 3 2" xfId="1109"/>
    <cellStyle name="20% - Акцент4 3 2 2" xfId="1110"/>
    <cellStyle name="20% - Акцент4 3 3" xfId="1111"/>
    <cellStyle name="20% - Акцент4 3 3 2" xfId="1112"/>
    <cellStyle name="20% - Акцент4 3 4" xfId="1113"/>
    <cellStyle name="20% - Акцент4 3 5" xfId="1114"/>
    <cellStyle name="20% - Акцент4 3 6" xfId="1115"/>
    <cellStyle name="20% - Акцент4 3 7" xfId="1116"/>
    <cellStyle name="20% - Акцент4 3 8" xfId="1117"/>
    <cellStyle name="20% - Акцент4 3 9" xfId="1118"/>
    <cellStyle name="20% - Акцент4 3_46EE.2011(v1.0)" xfId="1119"/>
    <cellStyle name="20% - Акцент4 4" xfId="1120"/>
    <cellStyle name="20% — акцент4 4" xfId="1121"/>
    <cellStyle name="20% - Акцент4 4 2" xfId="1122"/>
    <cellStyle name="20% - Акцент4 4 2 2" xfId="1123"/>
    <cellStyle name="20% - Акцент4 4 3" xfId="1124"/>
    <cellStyle name="20% - Акцент4 4 3 2" xfId="1125"/>
    <cellStyle name="20% - Акцент4 4_46EE.2011(v1.0)" xfId="1126"/>
    <cellStyle name="20% - Акцент4 5" xfId="1127"/>
    <cellStyle name="20% — акцент4 5" xfId="1128"/>
    <cellStyle name="20% - Акцент4 5 2" xfId="1129"/>
    <cellStyle name="20% - Акцент4 5 2 2" xfId="1130"/>
    <cellStyle name="20% - Акцент4 5 3" xfId="1131"/>
    <cellStyle name="20% - Акцент4 5 3 2" xfId="1132"/>
    <cellStyle name="20% - Акцент4 5_46EE.2011(v1.0)" xfId="1133"/>
    <cellStyle name="20% - Акцент4 6" xfId="1134"/>
    <cellStyle name="20% — акцент4 6" xfId="1135"/>
    <cellStyle name="20% - Акцент4 6 2" xfId="1136"/>
    <cellStyle name="20% - Акцент4 6 2 2" xfId="1137"/>
    <cellStyle name="20% - Акцент4 6 3" xfId="1138"/>
    <cellStyle name="20% - Акцент4 6 3 2" xfId="1139"/>
    <cellStyle name="20% - Акцент4 6_46EE.2011(v1.0)" xfId="1140"/>
    <cellStyle name="20% - Акцент4 7" xfId="1141"/>
    <cellStyle name="20% — акцент4 7" xfId="1142"/>
    <cellStyle name="20% - Акцент4 7 2" xfId="1143"/>
    <cellStyle name="20% - Акцент4 7 2 2" xfId="1144"/>
    <cellStyle name="20% - Акцент4 7 3" xfId="1145"/>
    <cellStyle name="20% - Акцент4 7 3 2" xfId="1146"/>
    <cellStyle name="20% - Акцент4 7_46EE.2011(v1.0)" xfId="1147"/>
    <cellStyle name="20% - Акцент4 8" xfId="1148"/>
    <cellStyle name="20% — акцент4 8" xfId="1149"/>
    <cellStyle name="20% - Акцент4 8 2" xfId="1150"/>
    <cellStyle name="20% - Акцент4 8 2 2" xfId="1151"/>
    <cellStyle name="20% - Акцент4 8 3" xfId="1152"/>
    <cellStyle name="20% - Акцент4 8 3 2" xfId="1153"/>
    <cellStyle name="20% - Акцент4 8 4" xfId="1154"/>
    <cellStyle name="20% - Акцент4 8_46EE.2011(v1.0)" xfId="1155"/>
    <cellStyle name="20% - Акцент4 9" xfId="1156"/>
    <cellStyle name="20% — акцент4 9" xfId="1157"/>
    <cellStyle name="20% - Акцент4 9 2" xfId="1158"/>
    <cellStyle name="20% - Акцент4 9 2 2" xfId="1159"/>
    <cellStyle name="20% - Акцент4 9 3" xfId="1160"/>
    <cellStyle name="20% - Акцент4 9 3 2" xfId="1161"/>
    <cellStyle name="20% - Акцент4 9 4" xfId="1162"/>
    <cellStyle name="20% - Акцент4 9_46EE.2011(v1.0)" xfId="1163"/>
    <cellStyle name="20% — акцент4_Расчет тарифа на тэ 2015 СЛФ" xfId="1164"/>
    <cellStyle name="20% — акцент5" xfId="1165"/>
    <cellStyle name="20% - Акцент5 10" xfId="1166"/>
    <cellStyle name="20% — акцент5 10" xfId="1167"/>
    <cellStyle name="20% - Акцент5 10 2" xfId="1168"/>
    <cellStyle name="20% - Акцент5 11" xfId="1169"/>
    <cellStyle name="20% — акцент5 11" xfId="1170"/>
    <cellStyle name="20% - Акцент5 11 2" xfId="1171"/>
    <cellStyle name="20% — акцент5 12" xfId="1172"/>
    <cellStyle name="20% — акцент5 13" xfId="1173"/>
    <cellStyle name="20% — акцент5 14" xfId="1174"/>
    <cellStyle name="20% — акцент5 15" xfId="1175"/>
    <cellStyle name="20% — акцент5 16" xfId="1176"/>
    <cellStyle name="20% — акцент5 17" xfId="1177"/>
    <cellStyle name="20% — акцент5 18" xfId="1178"/>
    <cellStyle name="20% — акцент5 19" xfId="1179"/>
    <cellStyle name="20% - Акцент5 2" xfId="1180"/>
    <cellStyle name="20% — акцент5 2" xfId="1181"/>
    <cellStyle name="20% - Акцент5 2 10" xfId="1182"/>
    <cellStyle name="20% - Акцент5 2 2" xfId="1183"/>
    <cellStyle name="20% - Акцент5 2 2 2" xfId="1184"/>
    <cellStyle name="20% - Акцент5 2 3" xfId="1185"/>
    <cellStyle name="20% - Акцент5 2 3 2" xfId="1186"/>
    <cellStyle name="20% - Акцент5 2 4" xfId="1187"/>
    <cellStyle name="20% - Акцент5 2 5" xfId="1188"/>
    <cellStyle name="20% - Акцент5 2 6" xfId="1189"/>
    <cellStyle name="20% - Акцент5 2 7" xfId="1190"/>
    <cellStyle name="20% - Акцент5 2 8" xfId="1191"/>
    <cellStyle name="20% - Акцент5 2 9" xfId="1192"/>
    <cellStyle name="20% - Акцент5 2_46EE.2011(v1.0)" xfId="1193"/>
    <cellStyle name="20% — акцент5 20" xfId="1194"/>
    <cellStyle name="20% — акцент5 21" xfId="1195"/>
    <cellStyle name="20% - Акцент5 3" xfId="1196"/>
    <cellStyle name="20% — акцент5 3" xfId="1197"/>
    <cellStyle name="20% - Акцент5 3 10" xfId="1198"/>
    <cellStyle name="20% - Акцент5 3 11" xfId="1199"/>
    <cellStyle name="20% - Акцент5 3 2" xfId="1200"/>
    <cellStyle name="20% - Акцент5 3 2 2" xfId="1201"/>
    <cellStyle name="20% - Акцент5 3 3" xfId="1202"/>
    <cellStyle name="20% - Акцент5 3 3 2" xfId="1203"/>
    <cellStyle name="20% - Акцент5 3 4" xfId="1204"/>
    <cellStyle name="20% - Акцент5 3 5" xfId="1205"/>
    <cellStyle name="20% - Акцент5 3 6" xfId="1206"/>
    <cellStyle name="20% - Акцент5 3 7" xfId="1207"/>
    <cellStyle name="20% - Акцент5 3 8" xfId="1208"/>
    <cellStyle name="20% - Акцент5 3 9" xfId="1209"/>
    <cellStyle name="20% - Акцент5 3_46EE.2011(v1.0)" xfId="1210"/>
    <cellStyle name="20% - Акцент5 4" xfId="1211"/>
    <cellStyle name="20% — акцент5 4" xfId="1212"/>
    <cellStyle name="20% - Акцент5 4 2" xfId="1213"/>
    <cellStyle name="20% - Акцент5 4 2 2" xfId="1214"/>
    <cellStyle name="20% - Акцент5 4 3" xfId="1215"/>
    <cellStyle name="20% - Акцент5 4 3 2" xfId="1216"/>
    <cellStyle name="20% - Акцент5 4_46EE.2011(v1.0)" xfId="1217"/>
    <cellStyle name="20% - Акцент5 5" xfId="1218"/>
    <cellStyle name="20% — акцент5 5" xfId="1219"/>
    <cellStyle name="20% - Акцент5 5 2" xfId="1220"/>
    <cellStyle name="20% - Акцент5 5 2 2" xfId="1221"/>
    <cellStyle name="20% - Акцент5 5 3" xfId="1222"/>
    <cellStyle name="20% - Акцент5 5 3 2" xfId="1223"/>
    <cellStyle name="20% - Акцент5 5_46EE.2011(v1.0)" xfId="1224"/>
    <cellStyle name="20% - Акцент5 6" xfId="1225"/>
    <cellStyle name="20% — акцент5 6" xfId="1226"/>
    <cellStyle name="20% - Акцент5 6 2" xfId="1227"/>
    <cellStyle name="20% - Акцент5 6 2 2" xfId="1228"/>
    <cellStyle name="20% - Акцент5 6 3" xfId="1229"/>
    <cellStyle name="20% - Акцент5 6 3 2" xfId="1230"/>
    <cellStyle name="20% - Акцент5 6_46EE.2011(v1.0)" xfId="1231"/>
    <cellStyle name="20% - Акцент5 7" xfId="1232"/>
    <cellStyle name="20% — акцент5 7" xfId="1233"/>
    <cellStyle name="20% - Акцент5 7 2" xfId="1234"/>
    <cellStyle name="20% - Акцент5 7 2 2" xfId="1235"/>
    <cellStyle name="20% - Акцент5 7 3" xfId="1236"/>
    <cellStyle name="20% - Акцент5 7 3 2" xfId="1237"/>
    <cellStyle name="20% - Акцент5 7_46EE.2011(v1.0)" xfId="1238"/>
    <cellStyle name="20% - Акцент5 8" xfId="1239"/>
    <cellStyle name="20% — акцент5 8" xfId="1240"/>
    <cellStyle name="20% - Акцент5 8 2" xfId="1241"/>
    <cellStyle name="20% - Акцент5 8 2 2" xfId="1242"/>
    <cellStyle name="20% - Акцент5 8 3" xfId="1243"/>
    <cellStyle name="20% - Акцент5 8 3 2" xfId="1244"/>
    <cellStyle name="20% - Акцент5 8 4" xfId="1245"/>
    <cellStyle name="20% - Акцент5 8_46EE.2011(v1.0)" xfId="1246"/>
    <cellStyle name="20% - Акцент5 9" xfId="1247"/>
    <cellStyle name="20% — акцент5 9" xfId="1248"/>
    <cellStyle name="20% - Акцент5 9 2" xfId="1249"/>
    <cellStyle name="20% - Акцент5 9 2 2" xfId="1250"/>
    <cellStyle name="20% - Акцент5 9 3" xfId="1251"/>
    <cellStyle name="20% - Акцент5 9 3 2" xfId="1252"/>
    <cellStyle name="20% - Акцент5 9 4" xfId="1253"/>
    <cellStyle name="20% - Акцент5 9_46EE.2011(v1.0)" xfId="1254"/>
    <cellStyle name="20% — акцент5_Расчет тарифа на тэ 2015 СЛФ" xfId="1255"/>
    <cellStyle name="20% — акцент6" xfId="1256"/>
    <cellStyle name="20% - Акцент6 10" xfId="1257"/>
    <cellStyle name="20% — акцент6 10" xfId="1258"/>
    <cellStyle name="20% - Акцент6 10 2" xfId="1259"/>
    <cellStyle name="20% - Акцент6 11" xfId="1260"/>
    <cellStyle name="20% — акцент6 11" xfId="1261"/>
    <cellStyle name="20% - Акцент6 11 2" xfId="1262"/>
    <cellStyle name="20% — акцент6 12" xfId="1263"/>
    <cellStyle name="20% — акцент6 13" xfId="1264"/>
    <cellStyle name="20% — акцент6 14" xfId="1265"/>
    <cellStyle name="20% — акцент6 15" xfId="1266"/>
    <cellStyle name="20% — акцент6 16" xfId="1267"/>
    <cellStyle name="20% — акцент6 17" xfId="1268"/>
    <cellStyle name="20% — акцент6 18" xfId="1269"/>
    <cellStyle name="20% — акцент6 19" xfId="1270"/>
    <cellStyle name="20% - Акцент6 2" xfId="1271"/>
    <cellStyle name="20% — акцент6 2" xfId="1272"/>
    <cellStyle name="20% - Акцент6 2 10" xfId="1273"/>
    <cellStyle name="20% - Акцент6 2 2" xfId="1274"/>
    <cellStyle name="20% - Акцент6 2 2 2" xfId="1275"/>
    <cellStyle name="20% - Акцент6 2 3" xfId="1276"/>
    <cellStyle name="20% - Акцент6 2 3 2" xfId="1277"/>
    <cellStyle name="20% - Акцент6 2 4" xfId="1278"/>
    <cellStyle name="20% - Акцент6 2 5" xfId="1279"/>
    <cellStyle name="20% - Акцент6 2 6" xfId="1280"/>
    <cellStyle name="20% - Акцент6 2 7" xfId="1281"/>
    <cellStyle name="20% - Акцент6 2 8" xfId="1282"/>
    <cellStyle name="20% - Акцент6 2 9" xfId="1283"/>
    <cellStyle name="20% - Акцент6 2_46EE.2011(v1.0)" xfId="1284"/>
    <cellStyle name="20% — акцент6 20" xfId="1285"/>
    <cellStyle name="20% — акцент6 21" xfId="1286"/>
    <cellStyle name="20% - Акцент6 3" xfId="1287"/>
    <cellStyle name="20% — акцент6 3" xfId="1288"/>
    <cellStyle name="20% - Акцент6 3 10" xfId="1289"/>
    <cellStyle name="20% - Акцент6 3 11" xfId="1290"/>
    <cellStyle name="20% - Акцент6 3 2" xfId="1291"/>
    <cellStyle name="20% - Акцент6 3 2 2" xfId="1292"/>
    <cellStyle name="20% - Акцент6 3 3" xfId="1293"/>
    <cellStyle name="20% - Акцент6 3 3 2" xfId="1294"/>
    <cellStyle name="20% - Акцент6 3 4" xfId="1295"/>
    <cellStyle name="20% - Акцент6 3 5" xfId="1296"/>
    <cellStyle name="20% - Акцент6 3 6" xfId="1297"/>
    <cellStyle name="20% - Акцент6 3 7" xfId="1298"/>
    <cellStyle name="20% - Акцент6 3 8" xfId="1299"/>
    <cellStyle name="20% - Акцент6 3 9" xfId="1300"/>
    <cellStyle name="20% - Акцент6 3_46EE.2011(v1.0)" xfId="1301"/>
    <cellStyle name="20% - Акцент6 4" xfId="1302"/>
    <cellStyle name="20% — акцент6 4" xfId="1303"/>
    <cellStyle name="20% - Акцент6 4 2" xfId="1304"/>
    <cellStyle name="20% - Акцент6 4 2 2" xfId="1305"/>
    <cellStyle name="20% - Акцент6 4 3" xfId="1306"/>
    <cellStyle name="20% - Акцент6 4 3 2" xfId="1307"/>
    <cellStyle name="20% - Акцент6 4_46EE.2011(v1.0)" xfId="1308"/>
    <cellStyle name="20% - Акцент6 5" xfId="1309"/>
    <cellStyle name="20% — акцент6 5" xfId="1310"/>
    <cellStyle name="20% - Акцент6 5 2" xfId="1311"/>
    <cellStyle name="20% - Акцент6 5 2 2" xfId="1312"/>
    <cellStyle name="20% - Акцент6 5 3" xfId="1313"/>
    <cellStyle name="20% - Акцент6 5 3 2" xfId="1314"/>
    <cellStyle name="20% - Акцент6 5_46EE.2011(v1.0)" xfId="1315"/>
    <cellStyle name="20% - Акцент6 6" xfId="1316"/>
    <cellStyle name="20% — акцент6 6" xfId="1317"/>
    <cellStyle name="20% - Акцент6 6 2" xfId="1318"/>
    <cellStyle name="20% - Акцент6 6 2 2" xfId="1319"/>
    <cellStyle name="20% - Акцент6 6 3" xfId="1320"/>
    <cellStyle name="20% - Акцент6 6 3 2" xfId="1321"/>
    <cellStyle name="20% - Акцент6 6_46EE.2011(v1.0)" xfId="1322"/>
    <cellStyle name="20% - Акцент6 7" xfId="1323"/>
    <cellStyle name="20% — акцент6 7" xfId="1324"/>
    <cellStyle name="20% - Акцент6 7 2" xfId="1325"/>
    <cellStyle name="20% - Акцент6 7 2 2" xfId="1326"/>
    <cellStyle name="20% - Акцент6 7 3" xfId="1327"/>
    <cellStyle name="20% - Акцент6 7 3 2" xfId="1328"/>
    <cellStyle name="20% - Акцент6 7_46EE.2011(v1.0)" xfId="1329"/>
    <cellStyle name="20% - Акцент6 8" xfId="1330"/>
    <cellStyle name="20% — акцент6 8" xfId="1331"/>
    <cellStyle name="20% - Акцент6 8 2" xfId="1332"/>
    <cellStyle name="20% - Акцент6 8 2 2" xfId="1333"/>
    <cellStyle name="20% - Акцент6 8 3" xfId="1334"/>
    <cellStyle name="20% - Акцент6 8 3 2" xfId="1335"/>
    <cellStyle name="20% - Акцент6 8 4" xfId="1336"/>
    <cellStyle name="20% - Акцент6 8_46EE.2011(v1.0)" xfId="1337"/>
    <cellStyle name="20% - Акцент6 9" xfId="1338"/>
    <cellStyle name="20% — акцент6 9" xfId="1339"/>
    <cellStyle name="20% - Акцент6 9 2" xfId="1340"/>
    <cellStyle name="20% - Акцент6 9 2 2" xfId="1341"/>
    <cellStyle name="20% - Акцент6 9 3" xfId="1342"/>
    <cellStyle name="20% - Акцент6 9 3 2" xfId="1343"/>
    <cellStyle name="20% - Акцент6 9 4" xfId="1344"/>
    <cellStyle name="20% - Акцент6 9_46EE.2011(v1.0)" xfId="1345"/>
    <cellStyle name="20% — акцент6_Расчет тарифа на тэ 2015 СЛФ" xfId="1346"/>
    <cellStyle name="40% - Accent1" xfId="1347"/>
    <cellStyle name="40% - Accent1 2" xfId="1348"/>
    <cellStyle name="40% - Accent1 2 2" xfId="1349"/>
    <cellStyle name="40% - Accent1 3" xfId="1350"/>
    <cellStyle name="40% - Accent1 3 2" xfId="1351"/>
    <cellStyle name="40% - Accent1 4" xfId="1352"/>
    <cellStyle name="40% - Accent1_46EE.2011(v1.0)" xfId="1353"/>
    <cellStyle name="40% - Accent2" xfId="1354"/>
    <cellStyle name="40% - Accent2 2" xfId="1355"/>
    <cellStyle name="40% - Accent2 2 2" xfId="1356"/>
    <cellStyle name="40% - Accent2 3" xfId="1357"/>
    <cellStyle name="40% - Accent2 3 2" xfId="1358"/>
    <cellStyle name="40% - Accent2 4" xfId="1359"/>
    <cellStyle name="40% - Accent2_46EE.2011(v1.0)" xfId="1360"/>
    <cellStyle name="40% - Accent3" xfId="1361"/>
    <cellStyle name="40% - Accent3 2" xfId="1362"/>
    <cellStyle name="40% - Accent3 2 2" xfId="1363"/>
    <cellStyle name="40% - Accent3 3" xfId="1364"/>
    <cellStyle name="40% - Accent3 3 2" xfId="1365"/>
    <cellStyle name="40% - Accent3 4" xfId="1366"/>
    <cellStyle name="40% - Accent3_46EE.2011(v1.0)" xfId="1367"/>
    <cellStyle name="40% - Accent4" xfId="1368"/>
    <cellStyle name="40% - Accent4 2" xfId="1369"/>
    <cellStyle name="40% - Accent4 2 2" xfId="1370"/>
    <cellStyle name="40% - Accent4 3" xfId="1371"/>
    <cellStyle name="40% - Accent4 3 2" xfId="1372"/>
    <cellStyle name="40% - Accent4 4" xfId="1373"/>
    <cellStyle name="40% - Accent4_46EE.2011(v1.0)" xfId="1374"/>
    <cellStyle name="40% - Accent5" xfId="1375"/>
    <cellStyle name="40% - Accent5 2" xfId="1376"/>
    <cellStyle name="40% - Accent5 2 2" xfId="1377"/>
    <cellStyle name="40% - Accent5 3" xfId="1378"/>
    <cellStyle name="40% - Accent5 3 2" xfId="1379"/>
    <cellStyle name="40% - Accent5 4" xfId="1380"/>
    <cellStyle name="40% - Accent5_46EE.2011(v1.0)" xfId="1381"/>
    <cellStyle name="40% - Accent6" xfId="1382"/>
    <cellStyle name="40% - Accent6 2" xfId="1383"/>
    <cellStyle name="40% - Accent6 2 2" xfId="1384"/>
    <cellStyle name="40% - Accent6 3" xfId="1385"/>
    <cellStyle name="40% - Accent6 3 2" xfId="1386"/>
    <cellStyle name="40% - Accent6 4" xfId="1387"/>
    <cellStyle name="40% - Accent6_46EE.2011(v1.0)" xfId="1388"/>
    <cellStyle name="40% — акцент1" xfId="1389"/>
    <cellStyle name="40% - Акцент1 10" xfId="1390"/>
    <cellStyle name="40% — акцент1 10" xfId="1391"/>
    <cellStyle name="40% - Акцент1 10 2" xfId="1392"/>
    <cellStyle name="40% - Акцент1 11" xfId="1393"/>
    <cellStyle name="40% — акцент1 11" xfId="1394"/>
    <cellStyle name="40% - Акцент1 11 2" xfId="1395"/>
    <cellStyle name="40% — акцент1 12" xfId="1396"/>
    <cellStyle name="40% — акцент1 13" xfId="1397"/>
    <cellStyle name="40% — акцент1 14" xfId="1398"/>
    <cellStyle name="40% — акцент1 15" xfId="1399"/>
    <cellStyle name="40% — акцент1 16" xfId="1400"/>
    <cellStyle name="40% — акцент1 17" xfId="1401"/>
    <cellStyle name="40% — акцент1 18" xfId="1402"/>
    <cellStyle name="40% — акцент1 19" xfId="1403"/>
    <cellStyle name="40% - Акцент1 2" xfId="1404"/>
    <cellStyle name="40% — акцент1 2" xfId="1405"/>
    <cellStyle name="40% - Акцент1 2 10" xfId="1406"/>
    <cellStyle name="40% - Акцент1 2 2" xfId="1407"/>
    <cellStyle name="40% - Акцент1 2 2 2" xfId="1408"/>
    <cellStyle name="40% - Акцент1 2 3" xfId="1409"/>
    <cellStyle name="40% - Акцент1 2 3 2" xfId="1410"/>
    <cellStyle name="40% - Акцент1 2 4" xfId="1411"/>
    <cellStyle name="40% - Акцент1 2 5" xfId="1412"/>
    <cellStyle name="40% - Акцент1 2 6" xfId="1413"/>
    <cellStyle name="40% - Акцент1 2 7" xfId="1414"/>
    <cellStyle name="40% - Акцент1 2 8" xfId="1415"/>
    <cellStyle name="40% - Акцент1 2 9" xfId="1416"/>
    <cellStyle name="40% - Акцент1 2_46EE.2011(v1.0)" xfId="1417"/>
    <cellStyle name="40% — акцент1 20" xfId="1418"/>
    <cellStyle name="40% — акцент1 21" xfId="1419"/>
    <cellStyle name="40% - Акцент1 3" xfId="1420"/>
    <cellStyle name="40% — акцент1 3" xfId="1421"/>
    <cellStyle name="40% - Акцент1 3 10" xfId="1422"/>
    <cellStyle name="40% - Акцент1 3 11" xfId="1423"/>
    <cellStyle name="40% - Акцент1 3 2" xfId="1424"/>
    <cellStyle name="40% - Акцент1 3 2 2" xfId="1425"/>
    <cellStyle name="40% - Акцент1 3 3" xfId="1426"/>
    <cellStyle name="40% - Акцент1 3 3 2" xfId="1427"/>
    <cellStyle name="40% - Акцент1 3 4" xfId="1428"/>
    <cellStyle name="40% - Акцент1 3 5" xfId="1429"/>
    <cellStyle name="40% - Акцент1 3 6" xfId="1430"/>
    <cellStyle name="40% - Акцент1 3 7" xfId="1431"/>
    <cellStyle name="40% - Акцент1 3 8" xfId="1432"/>
    <cellStyle name="40% - Акцент1 3 9" xfId="1433"/>
    <cellStyle name="40% - Акцент1 3_46EE.2011(v1.0)" xfId="1434"/>
    <cellStyle name="40% - Акцент1 4" xfId="1435"/>
    <cellStyle name="40% — акцент1 4" xfId="1436"/>
    <cellStyle name="40% - Акцент1 4 2" xfId="1437"/>
    <cellStyle name="40% - Акцент1 4 2 2" xfId="1438"/>
    <cellStyle name="40% - Акцент1 4 3" xfId="1439"/>
    <cellStyle name="40% - Акцент1 4 3 2" xfId="1440"/>
    <cellStyle name="40% - Акцент1 4_46EE.2011(v1.0)" xfId="1441"/>
    <cellStyle name="40% - Акцент1 5" xfId="1442"/>
    <cellStyle name="40% — акцент1 5" xfId="1443"/>
    <cellStyle name="40% - Акцент1 5 2" xfId="1444"/>
    <cellStyle name="40% - Акцент1 5 2 2" xfId="1445"/>
    <cellStyle name="40% - Акцент1 5 3" xfId="1446"/>
    <cellStyle name="40% - Акцент1 5 3 2" xfId="1447"/>
    <cellStyle name="40% - Акцент1 5_46EE.2011(v1.0)" xfId="1448"/>
    <cellStyle name="40% - Акцент1 6" xfId="1449"/>
    <cellStyle name="40% — акцент1 6" xfId="1450"/>
    <cellStyle name="40% - Акцент1 6 2" xfId="1451"/>
    <cellStyle name="40% - Акцент1 6 2 2" xfId="1452"/>
    <cellStyle name="40% - Акцент1 6 3" xfId="1453"/>
    <cellStyle name="40% - Акцент1 6 3 2" xfId="1454"/>
    <cellStyle name="40% - Акцент1 6_46EE.2011(v1.0)" xfId="1455"/>
    <cellStyle name="40% - Акцент1 7" xfId="1456"/>
    <cellStyle name="40% — акцент1 7" xfId="1457"/>
    <cellStyle name="40% - Акцент1 7 2" xfId="1458"/>
    <cellStyle name="40% - Акцент1 7 2 2" xfId="1459"/>
    <cellStyle name="40% - Акцент1 7 3" xfId="1460"/>
    <cellStyle name="40% - Акцент1 7 3 2" xfId="1461"/>
    <cellStyle name="40% - Акцент1 7_46EE.2011(v1.0)" xfId="1462"/>
    <cellStyle name="40% - Акцент1 8" xfId="1463"/>
    <cellStyle name="40% — акцент1 8" xfId="1464"/>
    <cellStyle name="40% - Акцент1 8 2" xfId="1465"/>
    <cellStyle name="40% - Акцент1 8 2 2" xfId="1466"/>
    <cellStyle name="40% - Акцент1 8 3" xfId="1467"/>
    <cellStyle name="40% - Акцент1 8 3 2" xfId="1468"/>
    <cellStyle name="40% - Акцент1 8 4" xfId="1469"/>
    <cellStyle name="40% - Акцент1 8_46EE.2011(v1.0)" xfId="1470"/>
    <cellStyle name="40% - Акцент1 9" xfId="1471"/>
    <cellStyle name="40% — акцент1 9" xfId="1472"/>
    <cellStyle name="40% - Акцент1 9 2" xfId="1473"/>
    <cellStyle name="40% - Акцент1 9 2 2" xfId="1474"/>
    <cellStyle name="40% - Акцент1 9 3" xfId="1475"/>
    <cellStyle name="40% - Акцент1 9 3 2" xfId="1476"/>
    <cellStyle name="40% - Акцент1 9 4" xfId="1477"/>
    <cellStyle name="40% - Акцент1 9_46EE.2011(v1.0)" xfId="1478"/>
    <cellStyle name="40% — акцент1_Расчет тарифа на тэ 2015 СЛФ" xfId="1479"/>
    <cellStyle name="40% — акцент2" xfId="1480"/>
    <cellStyle name="40% - Акцент2 10" xfId="1481"/>
    <cellStyle name="40% — акцент2 10" xfId="1482"/>
    <cellStyle name="40% - Акцент2 10 2" xfId="1483"/>
    <cellStyle name="40% - Акцент2 11" xfId="1484"/>
    <cellStyle name="40% — акцент2 11" xfId="1485"/>
    <cellStyle name="40% - Акцент2 11 2" xfId="1486"/>
    <cellStyle name="40% — акцент2 12" xfId="1487"/>
    <cellStyle name="40% — акцент2 13" xfId="1488"/>
    <cellStyle name="40% — акцент2 14" xfId="1489"/>
    <cellStyle name="40% — акцент2 15" xfId="1490"/>
    <cellStyle name="40% — акцент2 16" xfId="1491"/>
    <cellStyle name="40% — акцент2 17" xfId="1492"/>
    <cellStyle name="40% — акцент2 18" xfId="1493"/>
    <cellStyle name="40% — акцент2 19" xfId="1494"/>
    <cellStyle name="40% - Акцент2 2" xfId="1495"/>
    <cellStyle name="40% — акцент2 2" xfId="1496"/>
    <cellStyle name="40% - Акцент2 2 10" xfId="1497"/>
    <cellStyle name="40% - Акцент2 2 2" xfId="1498"/>
    <cellStyle name="40% - Акцент2 2 2 2" xfId="1499"/>
    <cellStyle name="40% - Акцент2 2 3" xfId="1500"/>
    <cellStyle name="40% - Акцент2 2 3 2" xfId="1501"/>
    <cellStyle name="40% - Акцент2 2 4" xfId="1502"/>
    <cellStyle name="40% - Акцент2 2 5" xfId="1503"/>
    <cellStyle name="40% - Акцент2 2 6" xfId="1504"/>
    <cellStyle name="40% - Акцент2 2 7" xfId="1505"/>
    <cellStyle name="40% - Акцент2 2 8" xfId="1506"/>
    <cellStyle name="40% - Акцент2 2 9" xfId="1507"/>
    <cellStyle name="40% - Акцент2 2_46EE.2011(v1.0)" xfId="1508"/>
    <cellStyle name="40% — акцент2 20" xfId="1509"/>
    <cellStyle name="40% — акцент2 21" xfId="1510"/>
    <cellStyle name="40% - Акцент2 3" xfId="1511"/>
    <cellStyle name="40% — акцент2 3" xfId="1512"/>
    <cellStyle name="40% - Акцент2 3 10" xfId="1513"/>
    <cellStyle name="40% - Акцент2 3 11" xfId="1514"/>
    <cellStyle name="40% - Акцент2 3 2" xfId="1515"/>
    <cellStyle name="40% - Акцент2 3 2 2" xfId="1516"/>
    <cellStyle name="40% - Акцент2 3 3" xfId="1517"/>
    <cellStyle name="40% - Акцент2 3 3 2" xfId="1518"/>
    <cellStyle name="40% - Акцент2 3 4" xfId="1519"/>
    <cellStyle name="40% - Акцент2 3 5" xfId="1520"/>
    <cellStyle name="40% - Акцент2 3 6" xfId="1521"/>
    <cellStyle name="40% - Акцент2 3 7" xfId="1522"/>
    <cellStyle name="40% - Акцент2 3 8" xfId="1523"/>
    <cellStyle name="40% - Акцент2 3 9" xfId="1524"/>
    <cellStyle name="40% - Акцент2 3_46EE.2011(v1.0)" xfId="1525"/>
    <cellStyle name="40% - Акцент2 4" xfId="1526"/>
    <cellStyle name="40% — акцент2 4" xfId="1527"/>
    <cellStyle name="40% - Акцент2 4 2" xfId="1528"/>
    <cellStyle name="40% - Акцент2 4 2 2" xfId="1529"/>
    <cellStyle name="40% - Акцент2 4 3" xfId="1530"/>
    <cellStyle name="40% - Акцент2 4 3 2" xfId="1531"/>
    <cellStyle name="40% - Акцент2 4_46EE.2011(v1.0)" xfId="1532"/>
    <cellStyle name="40% - Акцент2 5" xfId="1533"/>
    <cellStyle name="40% — акцент2 5" xfId="1534"/>
    <cellStyle name="40% - Акцент2 5 2" xfId="1535"/>
    <cellStyle name="40% - Акцент2 5 2 2" xfId="1536"/>
    <cellStyle name="40% - Акцент2 5 3" xfId="1537"/>
    <cellStyle name="40% - Акцент2 5 3 2" xfId="1538"/>
    <cellStyle name="40% - Акцент2 5_46EE.2011(v1.0)" xfId="1539"/>
    <cellStyle name="40% - Акцент2 6" xfId="1540"/>
    <cellStyle name="40% — акцент2 6" xfId="1541"/>
    <cellStyle name="40% - Акцент2 6 2" xfId="1542"/>
    <cellStyle name="40% - Акцент2 6 2 2" xfId="1543"/>
    <cellStyle name="40% - Акцент2 6 3" xfId="1544"/>
    <cellStyle name="40% - Акцент2 6 3 2" xfId="1545"/>
    <cellStyle name="40% - Акцент2 6_46EE.2011(v1.0)" xfId="1546"/>
    <cellStyle name="40% - Акцент2 7" xfId="1547"/>
    <cellStyle name="40% — акцент2 7" xfId="1548"/>
    <cellStyle name="40% - Акцент2 7 2" xfId="1549"/>
    <cellStyle name="40% - Акцент2 7 2 2" xfId="1550"/>
    <cellStyle name="40% - Акцент2 7 3" xfId="1551"/>
    <cellStyle name="40% - Акцент2 7 3 2" xfId="1552"/>
    <cellStyle name="40% - Акцент2 7_46EE.2011(v1.0)" xfId="1553"/>
    <cellStyle name="40% - Акцент2 8" xfId="1554"/>
    <cellStyle name="40% — акцент2 8" xfId="1555"/>
    <cellStyle name="40% - Акцент2 8 2" xfId="1556"/>
    <cellStyle name="40% - Акцент2 8 2 2" xfId="1557"/>
    <cellStyle name="40% - Акцент2 8 3" xfId="1558"/>
    <cellStyle name="40% - Акцент2 8 3 2" xfId="1559"/>
    <cellStyle name="40% - Акцент2 8 4" xfId="1560"/>
    <cellStyle name="40% - Акцент2 8_46EE.2011(v1.0)" xfId="1561"/>
    <cellStyle name="40% - Акцент2 9" xfId="1562"/>
    <cellStyle name="40% — акцент2 9" xfId="1563"/>
    <cellStyle name="40% - Акцент2 9 2" xfId="1564"/>
    <cellStyle name="40% - Акцент2 9 2 2" xfId="1565"/>
    <cellStyle name="40% - Акцент2 9 3" xfId="1566"/>
    <cellStyle name="40% - Акцент2 9 3 2" xfId="1567"/>
    <cellStyle name="40% - Акцент2 9 4" xfId="1568"/>
    <cellStyle name="40% - Акцент2 9_46EE.2011(v1.0)" xfId="1569"/>
    <cellStyle name="40% — акцент2_Расчет тарифа на тэ 2015 СЛФ" xfId="1570"/>
    <cellStyle name="40% — акцент3" xfId="1571"/>
    <cellStyle name="40% - Акцент3 10" xfId="1572"/>
    <cellStyle name="40% — акцент3 10" xfId="1573"/>
    <cellStyle name="40% - Акцент3 10 2" xfId="1574"/>
    <cellStyle name="40% - Акцент3 11" xfId="1575"/>
    <cellStyle name="40% — акцент3 11" xfId="1576"/>
    <cellStyle name="40% - Акцент3 11 2" xfId="1577"/>
    <cellStyle name="40% — акцент3 12" xfId="1578"/>
    <cellStyle name="40% — акцент3 13" xfId="1579"/>
    <cellStyle name="40% — акцент3 14" xfId="1580"/>
    <cellStyle name="40% — акцент3 15" xfId="1581"/>
    <cellStyle name="40% — акцент3 16" xfId="1582"/>
    <cellStyle name="40% — акцент3 17" xfId="1583"/>
    <cellStyle name="40% — акцент3 18" xfId="1584"/>
    <cellStyle name="40% — акцент3 19" xfId="1585"/>
    <cellStyle name="40% - Акцент3 2" xfId="1586"/>
    <cellStyle name="40% — акцент3 2" xfId="1587"/>
    <cellStyle name="40% - Акцент3 2 10" xfId="1588"/>
    <cellStyle name="40% - Акцент3 2 2" xfId="1589"/>
    <cellStyle name="40% - Акцент3 2 2 2" xfId="1590"/>
    <cellStyle name="40% - Акцент3 2 3" xfId="1591"/>
    <cellStyle name="40% - Акцент3 2 3 2" xfId="1592"/>
    <cellStyle name="40% - Акцент3 2 4" xfId="1593"/>
    <cellStyle name="40% - Акцент3 2 5" xfId="1594"/>
    <cellStyle name="40% - Акцент3 2 6" xfId="1595"/>
    <cellStyle name="40% - Акцент3 2 7" xfId="1596"/>
    <cellStyle name="40% - Акцент3 2 8" xfId="1597"/>
    <cellStyle name="40% - Акцент3 2 9" xfId="1598"/>
    <cellStyle name="40% - Акцент3 2_46EE.2011(v1.0)" xfId="1599"/>
    <cellStyle name="40% — акцент3 20" xfId="1600"/>
    <cellStyle name="40% — акцент3 21" xfId="1601"/>
    <cellStyle name="40% - Акцент3 3" xfId="1602"/>
    <cellStyle name="40% — акцент3 3" xfId="1603"/>
    <cellStyle name="40% - Акцент3 3 10" xfId="1604"/>
    <cellStyle name="40% - Акцент3 3 11" xfId="1605"/>
    <cellStyle name="40% - Акцент3 3 2" xfId="1606"/>
    <cellStyle name="40% - Акцент3 3 2 2" xfId="1607"/>
    <cellStyle name="40% - Акцент3 3 3" xfId="1608"/>
    <cellStyle name="40% - Акцент3 3 3 2" xfId="1609"/>
    <cellStyle name="40% - Акцент3 3 4" xfId="1610"/>
    <cellStyle name="40% - Акцент3 3 5" xfId="1611"/>
    <cellStyle name="40% - Акцент3 3 6" xfId="1612"/>
    <cellStyle name="40% - Акцент3 3 7" xfId="1613"/>
    <cellStyle name="40% - Акцент3 3 8" xfId="1614"/>
    <cellStyle name="40% - Акцент3 3 9" xfId="1615"/>
    <cellStyle name="40% - Акцент3 3_46EE.2011(v1.0)" xfId="1616"/>
    <cellStyle name="40% - Акцент3 4" xfId="1617"/>
    <cellStyle name="40% — акцент3 4" xfId="1618"/>
    <cellStyle name="40% - Акцент3 4 2" xfId="1619"/>
    <cellStyle name="40% - Акцент3 4 2 2" xfId="1620"/>
    <cellStyle name="40% - Акцент3 4 3" xfId="1621"/>
    <cellStyle name="40% - Акцент3 4 3 2" xfId="1622"/>
    <cellStyle name="40% - Акцент3 4_46EE.2011(v1.0)" xfId="1623"/>
    <cellStyle name="40% - Акцент3 5" xfId="1624"/>
    <cellStyle name="40% — акцент3 5" xfId="1625"/>
    <cellStyle name="40% - Акцент3 5 2" xfId="1626"/>
    <cellStyle name="40% - Акцент3 5 2 2" xfId="1627"/>
    <cellStyle name="40% - Акцент3 5 3" xfId="1628"/>
    <cellStyle name="40% - Акцент3 5 3 2" xfId="1629"/>
    <cellStyle name="40% - Акцент3 5_46EE.2011(v1.0)" xfId="1630"/>
    <cellStyle name="40% - Акцент3 6" xfId="1631"/>
    <cellStyle name="40% — акцент3 6" xfId="1632"/>
    <cellStyle name="40% - Акцент3 6 2" xfId="1633"/>
    <cellStyle name="40% - Акцент3 6 2 2" xfId="1634"/>
    <cellStyle name="40% - Акцент3 6 3" xfId="1635"/>
    <cellStyle name="40% - Акцент3 6 3 2" xfId="1636"/>
    <cellStyle name="40% - Акцент3 6_46EE.2011(v1.0)" xfId="1637"/>
    <cellStyle name="40% - Акцент3 7" xfId="1638"/>
    <cellStyle name="40% — акцент3 7" xfId="1639"/>
    <cellStyle name="40% - Акцент3 7 2" xfId="1640"/>
    <cellStyle name="40% - Акцент3 7 2 2" xfId="1641"/>
    <cellStyle name="40% - Акцент3 7 3" xfId="1642"/>
    <cellStyle name="40% - Акцент3 7 3 2" xfId="1643"/>
    <cellStyle name="40% - Акцент3 7_46EE.2011(v1.0)" xfId="1644"/>
    <cellStyle name="40% - Акцент3 8" xfId="1645"/>
    <cellStyle name="40% — акцент3 8" xfId="1646"/>
    <cellStyle name="40% - Акцент3 8 2" xfId="1647"/>
    <cellStyle name="40% - Акцент3 8 2 2" xfId="1648"/>
    <cellStyle name="40% - Акцент3 8 3" xfId="1649"/>
    <cellStyle name="40% - Акцент3 8 3 2" xfId="1650"/>
    <cellStyle name="40% - Акцент3 8 4" xfId="1651"/>
    <cellStyle name="40% - Акцент3 8_46EE.2011(v1.0)" xfId="1652"/>
    <cellStyle name="40% - Акцент3 9" xfId="1653"/>
    <cellStyle name="40% — акцент3 9" xfId="1654"/>
    <cellStyle name="40% - Акцент3 9 2" xfId="1655"/>
    <cellStyle name="40% - Акцент3 9 2 2" xfId="1656"/>
    <cellStyle name="40% - Акцент3 9 3" xfId="1657"/>
    <cellStyle name="40% - Акцент3 9 3 2" xfId="1658"/>
    <cellStyle name="40% - Акцент3 9 4" xfId="1659"/>
    <cellStyle name="40% - Акцент3 9_46EE.2011(v1.0)" xfId="1660"/>
    <cellStyle name="40% — акцент3_Расчет тарифа на тэ 2015 СЛФ" xfId="1661"/>
    <cellStyle name="40% — акцент4" xfId="1662"/>
    <cellStyle name="40% - Акцент4 10" xfId="1663"/>
    <cellStyle name="40% — акцент4 10" xfId="1664"/>
    <cellStyle name="40% - Акцент4 10 2" xfId="1665"/>
    <cellStyle name="40% - Акцент4 11" xfId="1666"/>
    <cellStyle name="40% — акцент4 11" xfId="1667"/>
    <cellStyle name="40% - Акцент4 11 2" xfId="1668"/>
    <cellStyle name="40% — акцент4 12" xfId="1669"/>
    <cellStyle name="40% — акцент4 13" xfId="1670"/>
    <cellStyle name="40% — акцент4 14" xfId="1671"/>
    <cellStyle name="40% — акцент4 15" xfId="1672"/>
    <cellStyle name="40% — акцент4 16" xfId="1673"/>
    <cellStyle name="40% — акцент4 17" xfId="1674"/>
    <cellStyle name="40% — акцент4 18" xfId="1675"/>
    <cellStyle name="40% — акцент4 19" xfId="1676"/>
    <cellStyle name="40% - Акцент4 2" xfId="1677"/>
    <cellStyle name="40% — акцент4 2" xfId="1678"/>
    <cellStyle name="40% - Акцент4 2 10" xfId="1679"/>
    <cellStyle name="40% - Акцент4 2 2" xfId="1680"/>
    <cellStyle name="40% - Акцент4 2 2 2" xfId="1681"/>
    <cellStyle name="40% - Акцент4 2 3" xfId="1682"/>
    <cellStyle name="40% - Акцент4 2 3 2" xfId="1683"/>
    <cellStyle name="40% - Акцент4 2 4" xfId="1684"/>
    <cellStyle name="40% - Акцент4 2 5" xfId="1685"/>
    <cellStyle name="40% - Акцент4 2 6" xfId="1686"/>
    <cellStyle name="40% - Акцент4 2 7" xfId="1687"/>
    <cellStyle name="40% - Акцент4 2 8" xfId="1688"/>
    <cellStyle name="40% - Акцент4 2 9" xfId="1689"/>
    <cellStyle name="40% - Акцент4 2_46EE.2011(v1.0)" xfId="1690"/>
    <cellStyle name="40% — акцент4 20" xfId="1691"/>
    <cellStyle name="40% — акцент4 21" xfId="1692"/>
    <cellStyle name="40% - Акцент4 3" xfId="1693"/>
    <cellStyle name="40% — акцент4 3" xfId="1694"/>
    <cellStyle name="40% - Акцент4 3 10" xfId="1695"/>
    <cellStyle name="40% - Акцент4 3 11" xfId="1696"/>
    <cellStyle name="40% - Акцент4 3 2" xfId="1697"/>
    <cellStyle name="40% - Акцент4 3 2 2" xfId="1698"/>
    <cellStyle name="40% - Акцент4 3 3" xfId="1699"/>
    <cellStyle name="40% - Акцент4 3 3 2" xfId="1700"/>
    <cellStyle name="40% - Акцент4 3 4" xfId="1701"/>
    <cellStyle name="40% - Акцент4 3 5" xfId="1702"/>
    <cellStyle name="40% - Акцент4 3 6" xfId="1703"/>
    <cellStyle name="40% - Акцент4 3 7" xfId="1704"/>
    <cellStyle name="40% - Акцент4 3 8" xfId="1705"/>
    <cellStyle name="40% - Акцент4 3 9" xfId="1706"/>
    <cellStyle name="40% - Акцент4 3_46EE.2011(v1.0)" xfId="1707"/>
    <cellStyle name="40% - Акцент4 4" xfId="1708"/>
    <cellStyle name="40% — акцент4 4" xfId="1709"/>
    <cellStyle name="40% - Акцент4 4 2" xfId="1710"/>
    <cellStyle name="40% - Акцент4 4 2 2" xfId="1711"/>
    <cellStyle name="40% - Акцент4 4 3" xfId="1712"/>
    <cellStyle name="40% - Акцент4 4 3 2" xfId="1713"/>
    <cellStyle name="40% - Акцент4 4_46EE.2011(v1.0)" xfId="1714"/>
    <cellStyle name="40% - Акцент4 5" xfId="1715"/>
    <cellStyle name="40% — акцент4 5" xfId="1716"/>
    <cellStyle name="40% - Акцент4 5 2" xfId="1717"/>
    <cellStyle name="40% - Акцент4 5 2 2" xfId="1718"/>
    <cellStyle name="40% - Акцент4 5 3" xfId="1719"/>
    <cellStyle name="40% - Акцент4 5 3 2" xfId="1720"/>
    <cellStyle name="40% - Акцент4 5_46EE.2011(v1.0)" xfId="1721"/>
    <cellStyle name="40% - Акцент4 6" xfId="1722"/>
    <cellStyle name="40% — акцент4 6" xfId="1723"/>
    <cellStyle name="40% - Акцент4 6 2" xfId="1724"/>
    <cellStyle name="40% - Акцент4 6 2 2" xfId="1725"/>
    <cellStyle name="40% - Акцент4 6 3" xfId="1726"/>
    <cellStyle name="40% - Акцент4 6 3 2" xfId="1727"/>
    <cellStyle name="40% - Акцент4 6_46EE.2011(v1.0)" xfId="1728"/>
    <cellStyle name="40% - Акцент4 7" xfId="1729"/>
    <cellStyle name="40% — акцент4 7" xfId="1730"/>
    <cellStyle name="40% - Акцент4 7 2" xfId="1731"/>
    <cellStyle name="40% - Акцент4 7 2 2" xfId="1732"/>
    <cellStyle name="40% - Акцент4 7 3" xfId="1733"/>
    <cellStyle name="40% - Акцент4 7 3 2" xfId="1734"/>
    <cellStyle name="40% - Акцент4 7_46EE.2011(v1.0)" xfId="1735"/>
    <cellStyle name="40% - Акцент4 8" xfId="1736"/>
    <cellStyle name="40% — акцент4 8" xfId="1737"/>
    <cellStyle name="40% - Акцент4 8 2" xfId="1738"/>
    <cellStyle name="40% - Акцент4 8 2 2" xfId="1739"/>
    <cellStyle name="40% - Акцент4 8 3" xfId="1740"/>
    <cellStyle name="40% - Акцент4 8 3 2" xfId="1741"/>
    <cellStyle name="40% - Акцент4 8 4" xfId="1742"/>
    <cellStyle name="40% - Акцент4 8_46EE.2011(v1.0)" xfId="1743"/>
    <cellStyle name="40% - Акцент4 9" xfId="1744"/>
    <cellStyle name="40% — акцент4 9" xfId="1745"/>
    <cellStyle name="40% - Акцент4 9 2" xfId="1746"/>
    <cellStyle name="40% - Акцент4 9 2 2" xfId="1747"/>
    <cellStyle name="40% - Акцент4 9 3" xfId="1748"/>
    <cellStyle name="40% - Акцент4 9 3 2" xfId="1749"/>
    <cellStyle name="40% - Акцент4 9 4" xfId="1750"/>
    <cellStyle name="40% - Акцент4 9_46EE.2011(v1.0)" xfId="1751"/>
    <cellStyle name="40% — акцент4_Расчет тарифа на тэ 2015 СЛФ" xfId="1752"/>
    <cellStyle name="40% — акцент5" xfId="1753"/>
    <cellStyle name="40% - Акцент5 10" xfId="1754"/>
    <cellStyle name="40% — акцент5 10" xfId="1755"/>
    <cellStyle name="40% - Акцент5 10 2" xfId="1756"/>
    <cellStyle name="40% - Акцент5 11" xfId="1757"/>
    <cellStyle name="40% — акцент5 11" xfId="1758"/>
    <cellStyle name="40% - Акцент5 11 2" xfId="1759"/>
    <cellStyle name="40% — акцент5 12" xfId="1760"/>
    <cellStyle name="40% — акцент5 13" xfId="1761"/>
    <cellStyle name="40% — акцент5 14" xfId="1762"/>
    <cellStyle name="40% — акцент5 15" xfId="1763"/>
    <cellStyle name="40% — акцент5 16" xfId="1764"/>
    <cellStyle name="40% — акцент5 17" xfId="1765"/>
    <cellStyle name="40% — акцент5 18" xfId="1766"/>
    <cellStyle name="40% — акцент5 19" xfId="1767"/>
    <cellStyle name="40% - Акцент5 2" xfId="1768"/>
    <cellStyle name="40% — акцент5 2" xfId="1769"/>
    <cellStyle name="40% - Акцент5 2 10" xfId="1770"/>
    <cellStyle name="40% - Акцент5 2 2" xfId="1771"/>
    <cellStyle name="40% - Акцент5 2 2 2" xfId="1772"/>
    <cellStyle name="40% - Акцент5 2 3" xfId="1773"/>
    <cellStyle name="40% - Акцент5 2 3 2" xfId="1774"/>
    <cellStyle name="40% - Акцент5 2 4" xfId="1775"/>
    <cellStyle name="40% - Акцент5 2 5" xfId="1776"/>
    <cellStyle name="40% - Акцент5 2 6" xfId="1777"/>
    <cellStyle name="40% - Акцент5 2 7" xfId="1778"/>
    <cellStyle name="40% - Акцент5 2 8" xfId="1779"/>
    <cellStyle name="40% - Акцент5 2 9" xfId="1780"/>
    <cellStyle name="40% - Акцент5 2_46EE.2011(v1.0)" xfId="1781"/>
    <cellStyle name="40% — акцент5 20" xfId="1782"/>
    <cellStyle name="40% — акцент5 21" xfId="1783"/>
    <cellStyle name="40% - Акцент5 3" xfId="1784"/>
    <cellStyle name="40% — акцент5 3" xfId="1785"/>
    <cellStyle name="40% - Акцент5 3 10" xfId="1786"/>
    <cellStyle name="40% - Акцент5 3 11" xfId="1787"/>
    <cellStyle name="40% - Акцент5 3 2" xfId="1788"/>
    <cellStyle name="40% - Акцент5 3 2 2" xfId="1789"/>
    <cellStyle name="40% - Акцент5 3 3" xfId="1790"/>
    <cellStyle name="40% - Акцент5 3 3 2" xfId="1791"/>
    <cellStyle name="40% - Акцент5 3 4" xfId="1792"/>
    <cellStyle name="40% - Акцент5 3 5" xfId="1793"/>
    <cellStyle name="40% - Акцент5 3 6" xfId="1794"/>
    <cellStyle name="40% - Акцент5 3 7" xfId="1795"/>
    <cellStyle name="40% - Акцент5 3 8" xfId="1796"/>
    <cellStyle name="40% - Акцент5 3 9" xfId="1797"/>
    <cellStyle name="40% - Акцент5 3_46EE.2011(v1.0)" xfId="1798"/>
    <cellStyle name="40% - Акцент5 4" xfId="1799"/>
    <cellStyle name="40% — акцент5 4" xfId="1800"/>
    <cellStyle name="40% - Акцент5 4 2" xfId="1801"/>
    <cellStyle name="40% - Акцент5 4 2 2" xfId="1802"/>
    <cellStyle name="40% - Акцент5 4 3" xfId="1803"/>
    <cellStyle name="40% - Акцент5 4 3 2" xfId="1804"/>
    <cellStyle name="40% - Акцент5 4_46EE.2011(v1.0)" xfId="1805"/>
    <cellStyle name="40% - Акцент5 5" xfId="1806"/>
    <cellStyle name="40% — акцент5 5" xfId="1807"/>
    <cellStyle name="40% - Акцент5 5 2" xfId="1808"/>
    <cellStyle name="40% - Акцент5 5 2 2" xfId="1809"/>
    <cellStyle name="40% - Акцент5 5 3" xfId="1810"/>
    <cellStyle name="40% - Акцент5 5 3 2" xfId="1811"/>
    <cellStyle name="40% - Акцент5 5_46EE.2011(v1.0)" xfId="1812"/>
    <cellStyle name="40% - Акцент5 6" xfId="1813"/>
    <cellStyle name="40% — акцент5 6" xfId="1814"/>
    <cellStyle name="40% - Акцент5 6 2" xfId="1815"/>
    <cellStyle name="40% - Акцент5 6 2 2" xfId="1816"/>
    <cellStyle name="40% - Акцент5 6 3" xfId="1817"/>
    <cellStyle name="40% - Акцент5 6 3 2" xfId="1818"/>
    <cellStyle name="40% - Акцент5 6_46EE.2011(v1.0)" xfId="1819"/>
    <cellStyle name="40% - Акцент5 7" xfId="1820"/>
    <cellStyle name="40% — акцент5 7" xfId="1821"/>
    <cellStyle name="40% - Акцент5 7 2" xfId="1822"/>
    <cellStyle name="40% - Акцент5 7 2 2" xfId="1823"/>
    <cellStyle name="40% - Акцент5 7 3" xfId="1824"/>
    <cellStyle name="40% - Акцент5 7 3 2" xfId="1825"/>
    <cellStyle name="40% - Акцент5 7_46EE.2011(v1.0)" xfId="1826"/>
    <cellStyle name="40% - Акцент5 8" xfId="1827"/>
    <cellStyle name="40% — акцент5 8" xfId="1828"/>
    <cellStyle name="40% - Акцент5 8 2" xfId="1829"/>
    <cellStyle name="40% - Акцент5 8 2 2" xfId="1830"/>
    <cellStyle name="40% - Акцент5 8 3" xfId="1831"/>
    <cellStyle name="40% - Акцент5 8 3 2" xfId="1832"/>
    <cellStyle name="40% - Акцент5 8 4" xfId="1833"/>
    <cellStyle name="40% - Акцент5 8_46EE.2011(v1.0)" xfId="1834"/>
    <cellStyle name="40% - Акцент5 9" xfId="1835"/>
    <cellStyle name="40% — акцент5 9" xfId="1836"/>
    <cellStyle name="40% - Акцент5 9 2" xfId="1837"/>
    <cellStyle name="40% - Акцент5 9 2 2" xfId="1838"/>
    <cellStyle name="40% - Акцент5 9 3" xfId="1839"/>
    <cellStyle name="40% - Акцент5 9 3 2" xfId="1840"/>
    <cellStyle name="40% - Акцент5 9 4" xfId="1841"/>
    <cellStyle name="40% - Акцент5 9_46EE.2011(v1.0)" xfId="1842"/>
    <cellStyle name="40% — акцент5_Расчет тарифа на тэ 2015 СЛФ" xfId="1843"/>
    <cellStyle name="40% — акцент6" xfId="1844"/>
    <cellStyle name="40% - Акцент6 10" xfId="1845"/>
    <cellStyle name="40% — акцент6 10" xfId="1846"/>
    <cellStyle name="40% - Акцент6 10 2" xfId="1847"/>
    <cellStyle name="40% - Акцент6 11" xfId="1848"/>
    <cellStyle name="40% — акцент6 11" xfId="1849"/>
    <cellStyle name="40% - Акцент6 11 2" xfId="1850"/>
    <cellStyle name="40% — акцент6 12" xfId="1851"/>
    <cellStyle name="40% — акцент6 13" xfId="1852"/>
    <cellStyle name="40% — акцент6 14" xfId="1853"/>
    <cellStyle name="40% — акцент6 15" xfId="1854"/>
    <cellStyle name="40% — акцент6 16" xfId="1855"/>
    <cellStyle name="40% — акцент6 17" xfId="1856"/>
    <cellStyle name="40% — акцент6 18" xfId="1857"/>
    <cellStyle name="40% — акцент6 19" xfId="1858"/>
    <cellStyle name="40% - Акцент6 2" xfId="1859"/>
    <cellStyle name="40% — акцент6 2" xfId="1860"/>
    <cellStyle name="40% - Акцент6 2 10" xfId="1861"/>
    <cellStyle name="40% - Акцент6 2 2" xfId="1862"/>
    <cellStyle name="40% - Акцент6 2 2 2" xfId="1863"/>
    <cellStyle name="40% - Акцент6 2 3" xfId="1864"/>
    <cellStyle name="40% - Акцент6 2 3 2" xfId="1865"/>
    <cellStyle name="40% - Акцент6 2 4" xfId="1866"/>
    <cellStyle name="40% - Акцент6 2 5" xfId="1867"/>
    <cellStyle name="40% - Акцент6 2 6" xfId="1868"/>
    <cellStyle name="40% - Акцент6 2 7" xfId="1869"/>
    <cellStyle name="40% - Акцент6 2 8" xfId="1870"/>
    <cellStyle name="40% - Акцент6 2 9" xfId="1871"/>
    <cellStyle name="40% - Акцент6 2_46EE.2011(v1.0)" xfId="1872"/>
    <cellStyle name="40% — акцент6 20" xfId="1873"/>
    <cellStyle name="40% — акцент6 21" xfId="1874"/>
    <cellStyle name="40% - Акцент6 3" xfId="1875"/>
    <cellStyle name="40% — акцент6 3" xfId="1876"/>
    <cellStyle name="40% - Акцент6 3 10" xfId="1877"/>
    <cellStyle name="40% - Акцент6 3 11" xfId="1878"/>
    <cellStyle name="40% - Акцент6 3 2" xfId="1879"/>
    <cellStyle name="40% - Акцент6 3 2 2" xfId="1880"/>
    <cellStyle name="40% - Акцент6 3 3" xfId="1881"/>
    <cellStyle name="40% - Акцент6 3 3 2" xfId="1882"/>
    <cellStyle name="40% - Акцент6 3 4" xfId="1883"/>
    <cellStyle name="40% - Акцент6 3 5" xfId="1884"/>
    <cellStyle name="40% - Акцент6 3 6" xfId="1885"/>
    <cellStyle name="40% - Акцент6 3 7" xfId="1886"/>
    <cellStyle name="40% - Акцент6 3 8" xfId="1887"/>
    <cellStyle name="40% - Акцент6 3 9" xfId="1888"/>
    <cellStyle name="40% - Акцент6 3_46EE.2011(v1.0)" xfId="1889"/>
    <cellStyle name="40% - Акцент6 4" xfId="1890"/>
    <cellStyle name="40% — акцент6 4" xfId="1891"/>
    <cellStyle name="40% - Акцент6 4 2" xfId="1892"/>
    <cellStyle name="40% - Акцент6 4 2 2" xfId="1893"/>
    <cellStyle name="40% - Акцент6 4 3" xfId="1894"/>
    <cellStyle name="40% - Акцент6 4 3 2" xfId="1895"/>
    <cellStyle name="40% - Акцент6 4_46EE.2011(v1.0)" xfId="1896"/>
    <cellStyle name="40% - Акцент6 5" xfId="1897"/>
    <cellStyle name="40% — акцент6 5" xfId="1898"/>
    <cellStyle name="40% - Акцент6 5 2" xfId="1899"/>
    <cellStyle name="40% - Акцент6 5 2 2" xfId="1900"/>
    <cellStyle name="40% - Акцент6 5 3" xfId="1901"/>
    <cellStyle name="40% - Акцент6 5 3 2" xfId="1902"/>
    <cellStyle name="40% - Акцент6 5_46EE.2011(v1.0)" xfId="1903"/>
    <cellStyle name="40% - Акцент6 6" xfId="1904"/>
    <cellStyle name="40% — акцент6 6" xfId="1905"/>
    <cellStyle name="40% - Акцент6 6 2" xfId="1906"/>
    <cellStyle name="40% - Акцент6 6 2 2" xfId="1907"/>
    <cellStyle name="40% - Акцент6 6 3" xfId="1908"/>
    <cellStyle name="40% - Акцент6 6 3 2" xfId="1909"/>
    <cellStyle name="40% - Акцент6 6_46EE.2011(v1.0)" xfId="1910"/>
    <cellStyle name="40% - Акцент6 7" xfId="1911"/>
    <cellStyle name="40% — акцент6 7" xfId="1912"/>
    <cellStyle name="40% - Акцент6 7 2" xfId="1913"/>
    <cellStyle name="40% - Акцент6 7 2 2" xfId="1914"/>
    <cellStyle name="40% - Акцент6 7 3" xfId="1915"/>
    <cellStyle name="40% - Акцент6 7 3 2" xfId="1916"/>
    <cellStyle name="40% - Акцент6 7_46EE.2011(v1.0)" xfId="1917"/>
    <cellStyle name="40% - Акцент6 8" xfId="1918"/>
    <cellStyle name="40% — акцент6 8" xfId="1919"/>
    <cellStyle name="40% - Акцент6 8 2" xfId="1920"/>
    <cellStyle name="40% - Акцент6 8 2 2" xfId="1921"/>
    <cellStyle name="40% - Акцент6 8 3" xfId="1922"/>
    <cellStyle name="40% - Акцент6 8 3 2" xfId="1923"/>
    <cellStyle name="40% - Акцент6 8 4" xfId="1924"/>
    <cellStyle name="40% - Акцент6 8_46EE.2011(v1.0)" xfId="1925"/>
    <cellStyle name="40% - Акцент6 9" xfId="1926"/>
    <cellStyle name="40% — акцент6 9" xfId="1927"/>
    <cellStyle name="40% - Акцент6 9 2" xfId="1928"/>
    <cellStyle name="40% - Акцент6 9 2 2" xfId="1929"/>
    <cellStyle name="40% - Акцент6 9 3" xfId="1930"/>
    <cellStyle name="40% - Акцент6 9 3 2" xfId="1931"/>
    <cellStyle name="40% - Акцент6 9 4" xfId="1932"/>
    <cellStyle name="40% - Акцент6 9_46EE.2011(v1.0)" xfId="1933"/>
    <cellStyle name="40% — акцент6_Расчет тарифа на тэ 2015 СЛФ" xfId="1934"/>
    <cellStyle name="60% - Accent1" xfId="1935"/>
    <cellStyle name="60% - Accent2" xfId="1936"/>
    <cellStyle name="60% - Accent3" xfId="1937"/>
    <cellStyle name="60% - Accent4" xfId="1938"/>
    <cellStyle name="60% - Accent5" xfId="1939"/>
    <cellStyle name="60% - Accent6" xfId="1940"/>
    <cellStyle name="60% — акцент1" xfId="1941"/>
    <cellStyle name="60% - Акцент1 10" xfId="1942"/>
    <cellStyle name="60% — акцент1 10" xfId="1943"/>
    <cellStyle name="60% — акцент1 11" xfId="1944"/>
    <cellStyle name="60% — акцент1 12" xfId="1945"/>
    <cellStyle name="60% — акцент1 13" xfId="1946"/>
    <cellStyle name="60% — акцент1 14" xfId="1947"/>
    <cellStyle name="60% — акцент1 15" xfId="1948"/>
    <cellStyle name="60% — акцент1 16" xfId="1949"/>
    <cellStyle name="60% — акцент1 17" xfId="1950"/>
    <cellStyle name="60% — акцент1 18" xfId="1951"/>
    <cellStyle name="60% — акцент1 19" xfId="1952"/>
    <cellStyle name="60% - Акцент1 2" xfId="1953"/>
    <cellStyle name="60% — акцент1 2" xfId="1954"/>
    <cellStyle name="60% - Акцент1 2 10" xfId="1955"/>
    <cellStyle name="60% - Акцент1 2 2" xfId="1956"/>
    <cellStyle name="60% - Акцент1 2 2 2" xfId="1957"/>
    <cellStyle name="60% - Акцент1 2 3" xfId="1958"/>
    <cellStyle name="60% - Акцент1 2 4" xfId="1959"/>
    <cellStyle name="60% - Акцент1 2 5" xfId="1960"/>
    <cellStyle name="60% - Акцент1 2 6" xfId="1961"/>
    <cellStyle name="60% - Акцент1 2 7" xfId="1962"/>
    <cellStyle name="60% - Акцент1 2 8" xfId="1963"/>
    <cellStyle name="60% - Акцент1 2 9" xfId="1964"/>
    <cellStyle name="60% - Акцент1 2_МФ тепловой баланс 2015 дубль 3" xfId="1965"/>
    <cellStyle name="60% — акцент1 20" xfId="1966"/>
    <cellStyle name="60% — акцент1 21" xfId="1967"/>
    <cellStyle name="60% - Акцент1 3" xfId="1968"/>
    <cellStyle name="60% — акцент1 3" xfId="1969"/>
    <cellStyle name="60% - Акцент1 3 10" xfId="1970"/>
    <cellStyle name="60% - Акцент1 3 11" xfId="1971"/>
    <cellStyle name="60% - Акцент1 3 2" xfId="1972"/>
    <cellStyle name="60% - Акцент1 3 3" xfId="1973"/>
    <cellStyle name="60% - Акцент1 3 4" xfId="1974"/>
    <cellStyle name="60% - Акцент1 3 5" xfId="1975"/>
    <cellStyle name="60% - Акцент1 3 6" xfId="1976"/>
    <cellStyle name="60% - Акцент1 3 7" xfId="1977"/>
    <cellStyle name="60% - Акцент1 3 8" xfId="1978"/>
    <cellStyle name="60% - Акцент1 3 9" xfId="1979"/>
    <cellStyle name="60% - Акцент1 3_МФ тепловой баланс 2015 дубль 3" xfId="1980"/>
    <cellStyle name="60% - Акцент1 4" xfId="1981"/>
    <cellStyle name="60% — акцент1 4" xfId="1982"/>
    <cellStyle name="60% - Акцент1 4 2" xfId="1983"/>
    <cellStyle name="60% - Акцент1 4_МФ тепловой баланс 2015 дубль 3" xfId="1984"/>
    <cellStyle name="60% - Акцент1 5" xfId="1985"/>
    <cellStyle name="60% — акцент1 5" xfId="1986"/>
    <cellStyle name="60% - Акцент1 5 2" xfId="1987"/>
    <cellStyle name="60% - Акцент1 5_МФ тепловой баланс 2015 дубль 3" xfId="1988"/>
    <cellStyle name="60% - Акцент1 6" xfId="1989"/>
    <cellStyle name="60% — акцент1 6" xfId="1990"/>
    <cellStyle name="60% - Акцент1 6 2" xfId="1991"/>
    <cellStyle name="60% - Акцент1 6_МФ тепловой баланс 2015 дубль 3" xfId="1992"/>
    <cellStyle name="60% - Акцент1 7" xfId="1993"/>
    <cellStyle name="60% — акцент1 7" xfId="1994"/>
    <cellStyle name="60% - Акцент1 7 2" xfId="1995"/>
    <cellStyle name="60% - Акцент1 7_МФ тепловой баланс 2015 дубль 3" xfId="1996"/>
    <cellStyle name="60% - Акцент1 8" xfId="1997"/>
    <cellStyle name="60% — акцент1 8" xfId="1998"/>
    <cellStyle name="60% - Акцент1 8 2" xfId="1999"/>
    <cellStyle name="60% - Акцент1 9" xfId="2000"/>
    <cellStyle name="60% — акцент1 9" xfId="2001"/>
    <cellStyle name="60% - Акцент1 9 2" xfId="2002"/>
    <cellStyle name="60% — акцент2" xfId="2003"/>
    <cellStyle name="60% - Акцент2 10" xfId="2004"/>
    <cellStyle name="60% — акцент2 10" xfId="2005"/>
    <cellStyle name="60% — акцент2 11" xfId="2006"/>
    <cellStyle name="60% — акцент2 12" xfId="2007"/>
    <cellStyle name="60% — акцент2 13" xfId="2008"/>
    <cellStyle name="60% — акцент2 14" xfId="2009"/>
    <cellStyle name="60% — акцент2 15" xfId="2010"/>
    <cellStyle name="60% — акцент2 16" xfId="2011"/>
    <cellStyle name="60% — акцент2 17" xfId="2012"/>
    <cellStyle name="60% — акцент2 18" xfId="2013"/>
    <cellStyle name="60% — акцент2 19" xfId="2014"/>
    <cellStyle name="60% - Акцент2 2" xfId="2015"/>
    <cellStyle name="60% — акцент2 2" xfId="2016"/>
    <cellStyle name="60% - Акцент2 2 10" xfId="2017"/>
    <cellStyle name="60% - Акцент2 2 2" xfId="2018"/>
    <cellStyle name="60% - Акцент2 2 2 2" xfId="2019"/>
    <cellStyle name="60% - Акцент2 2 3" xfId="2020"/>
    <cellStyle name="60% - Акцент2 2 4" xfId="2021"/>
    <cellStyle name="60% - Акцент2 2 5" xfId="2022"/>
    <cellStyle name="60% - Акцент2 2 6" xfId="2023"/>
    <cellStyle name="60% - Акцент2 2 7" xfId="2024"/>
    <cellStyle name="60% - Акцент2 2 8" xfId="2025"/>
    <cellStyle name="60% - Акцент2 2 9" xfId="2026"/>
    <cellStyle name="60% - Акцент2 2_МФ тепловой баланс 2015 дубль 3" xfId="2027"/>
    <cellStyle name="60% — акцент2 20" xfId="2028"/>
    <cellStyle name="60% — акцент2 21" xfId="2029"/>
    <cellStyle name="60% - Акцент2 3" xfId="2030"/>
    <cellStyle name="60% — акцент2 3" xfId="2031"/>
    <cellStyle name="60% - Акцент2 3 10" xfId="2032"/>
    <cellStyle name="60% - Акцент2 3 11" xfId="2033"/>
    <cellStyle name="60% - Акцент2 3 2" xfId="2034"/>
    <cellStyle name="60% - Акцент2 3 3" xfId="2035"/>
    <cellStyle name="60% - Акцент2 3 4" xfId="2036"/>
    <cellStyle name="60% - Акцент2 3 5" xfId="2037"/>
    <cellStyle name="60% - Акцент2 3 6" xfId="2038"/>
    <cellStyle name="60% - Акцент2 3 7" xfId="2039"/>
    <cellStyle name="60% - Акцент2 3 8" xfId="2040"/>
    <cellStyle name="60% - Акцент2 3 9" xfId="2041"/>
    <cellStyle name="60% - Акцент2 3_МФ тепловой баланс 2015 дубль 3" xfId="2042"/>
    <cellStyle name="60% - Акцент2 4" xfId="2043"/>
    <cellStyle name="60% — акцент2 4" xfId="2044"/>
    <cellStyle name="60% - Акцент2 4 2" xfId="2045"/>
    <cellStyle name="60% - Акцент2 4_МФ тепловой баланс 2015 дубль 3" xfId="2046"/>
    <cellStyle name="60% - Акцент2 5" xfId="2047"/>
    <cellStyle name="60% — акцент2 5" xfId="2048"/>
    <cellStyle name="60% - Акцент2 5 2" xfId="2049"/>
    <cellStyle name="60% - Акцент2 5_МФ тепловой баланс 2015 дубль 3" xfId="2050"/>
    <cellStyle name="60% - Акцент2 6" xfId="2051"/>
    <cellStyle name="60% — акцент2 6" xfId="2052"/>
    <cellStyle name="60% - Акцент2 6 2" xfId="2053"/>
    <cellStyle name="60% - Акцент2 6_МФ тепловой баланс 2015 дубль 3" xfId="2054"/>
    <cellStyle name="60% - Акцент2 7" xfId="2055"/>
    <cellStyle name="60% — акцент2 7" xfId="2056"/>
    <cellStyle name="60% - Акцент2 7 2" xfId="2057"/>
    <cellStyle name="60% - Акцент2 7_МФ тепловой баланс 2015 дубль 3" xfId="2058"/>
    <cellStyle name="60% - Акцент2 8" xfId="2059"/>
    <cellStyle name="60% — акцент2 8" xfId="2060"/>
    <cellStyle name="60% - Акцент2 8 2" xfId="2061"/>
    <cellStyle name="60% - Акцент2 9" xfId="2062"/>
    <cellStyle name="60% — акцент2 9" xfId="2063"/>
    <cellStyle name="60% - Акцент2 9 2" xfId="2064"/>
    <cellStyle name="60% — акцент3" xfId="2065"/>
    <cellStyle name="60% - Акцент3 10" xfId="2066"/>
    <cellStyle name="60% — акцент3 10" xfId="2067"/>
    <cellStyle name="60% — акцент3 11" xfId="2068"/>
    <cellStyle name="60% — акцент3 12" xfId="2069"/>
    <cellStyle name="60% — акцент3 13" xfId="2070"/>
    <cellStyle name="60% — акцент3 14" xfId="2071"/>
    <cellStyle name="60% — акцент3 15" xfId="2072"/>
    <cellStyle name="60% — акцент3 16" xfId="2073"/>
    <cellStyle name="60% — акцент3 17" xfId="2074"/>
    <cellStyle name="60% — акцент3 18" xfId="2075"/>
    <cellStyle name="60% — акцент3 19" xfId="2076"/>
    <cellStyle name="60% - Акцент3 2" xfId="2077"/>
    <cellStyle name="60% — акцент3 2" xfId="2078"/>
    <cellStyle name="60% - Акцент3 2 10" xfId="2079"/>
    <cellStyle name="60% - Акцент3 2 2" xfId="2080"/>
    <cellStyle name="60% - Акцент3 2 2 2" xfId="2081"/>
    <cellStyle name="60% - Акцент3 2 3" xfId="2082"/>
    <cellStyle name="60% - Акцент3 2 4" xfId="2083"/>
    <cellStyle name="60% - Акцент3 2 5" xfId="2084"/>
    <cellStyle name="60% - Акцент3 2 6" xfId="2085"/>
    <cellStyle name="60% - Акцент3 2 7" xfId="2086"/>
    <cellStyle name="60% - Акцент3 2 8" xfId="2087"/>
    <cellStyle name="60% - Акцент3 2 9" xfId="2088"/>
    <cellStyle name="60% - Акцент3 2_МФ тепловой баланс 2015 дубль 3" xfId="2089"/>
    <cellStyle name="60% — акцент3 20" xfId="2090"/>
    <cellStyle name="60% — акцент3 21" xfId="2091"/>
    <cellStyle name="60% - Акцент3 3" xfId="2092"/>
    <cellStyle name="60% — акцент3 3" xfId="2093"/>
    <cellStyle name="60% - Акцент3 3 10" xfId="2094"/>
    <cellStyle name="60% - Акцент3 3 11" xfId="2095"/>
    <cellStyle name="60% - Акцент3 3 2" xfId="2096"/>
    <cellStyle name="60% - Акцент3 3 3" xfId="2097"/>
    <cellStyle name="60% - Акцент3 3 4" xfId="2098"/>
    <cellStyle name="60% - Акцент3 3 5" xfId="2099"/>
    <cellStyle name="60% - Акцент3 3 6" xfId="2100"/>
    <cellStyle name="60% - Акцент3 3 7" xfId="2101"/>
    <cellStyle name="60% - Акцент3 3 8" xfId="2102"/>
    <cellStyle name="60% - Акцент3 3 9" xfId="2103"/>
    <cellStyle name="60% - Акцент3 3_МФ тепловой баланс 2015 дубль 3" xfId="2104"/>
    <cellStyle name="60% - Акцент3 4" xfId="2105"/>
    <cellStyle name="60% — акцент3 4" xfId="2106"/>
    <cellStyle name="60% - Акцент3 4 2" xfId="2107"/>
    <cellStyle name="60% - Акцент3 4_МФ тепловой баланс 2015 дубль 3" xfId="2108"/>
    <cellStyle name="60% - Акцент3 5" xfId="2109"/>
    <cellStyle name="60% — акцент3 5" xfId="2110"/>
    <cellStyle name="60% - Акцент3 5 2" xfId="2111"/>
    <cellStyle name="60% - Акцент3 5_МФ тепловой баланс 2015 дубль 3" xfId="2112"/>
    <cellStyle name="60% - Акцент3 6" xfId="2113"/>
    <cellStyle name="60% — акцент3 6" xfId="2114"/>
    <cellStyle name="60% - Акцент3 6 2" xfId="2115"/>
    <cellStyle name="60% - Акцент3 6_МФ тепловой баланс 2015 дубль 3" xfId="2116"/>
    <cellStyle name="60% - Акцент3 7" xfId="2117"/>
    <cellStyle name="60% — акцент3 7" xfId="2118"/>
    <cellStyle name="60% - Акцент3 7 2" xfId="2119"/>
    <cellStyle name="60% - Акцент3 7_МФ тепловой баланс 2015 дубль 3" xfId="2120"/>
    <cellStyle name="60% - Акцент3 8" xfId="2121"/>
    <cellStyle name="60% — акцент3 8" xfId="2122"/>
    <cellStyle name="60% - Акцент3 8 2" xfId="2123"/>
    <cellStyle name="60% - Акцент3 9" xfId="2124"/>
    <cellStyle name="60% — акцент3 9" xfId="2125"/>
    <cellStyle name="60% - Акцент3 9 2" xfId="2126"/>
    <cellStyle name="60% — акцент4" xfId="2127"/>
    <cellStyle name="60% - Акцент4 10" xfId="2128"/>
    <cellStyle name="60% — акцент4 10" xfId="2129"/>
    <cellStyle name="60% — акцент4 11" xfId="2130"/>
    <cellStyle name="60% — акцент4 12" xfId="2131"/>
    <cellStyle name="60% — акцент4 13" xfId="2132"/>
    <cellStyle name="60% — акцент4 14" xfId="2133"/>
    <cellStyle name="60% — акцент4 15" xfId="2134"/>
    <cellStyle name="60% — акцент4 16" xfId="2135"/>
    <cellStyle name="60% — акцент4 17" xfId="2136"/>
    <cellStyle name="60% — акцент4 18" xfId="2137"/>
    <cellStyle name="60% — акцент4 19" xfId="2138"/>
    <cellStyle name="60% - Акцент4 2" xfId="2139"/>
    <cellStyle name="60% — акцент4 2" xfId="2140"/>
    <cellStyle name="60% - Акцент4 2 10" xfId="2141"/>
    <cellStyle name="60% - Акцент4 2 2" xfId="2142"/>
    <cellStyle name="60% - Акцент4 2 2 2" xfId="2143"/>
    <cellStyle name="60% - Акцент4 2 3" xfId="2144"/>
    <cellStyle name="60% - Акцент4 2 4" xfId="2145"/>
    <cellStyle name="60% - Акцент4 2 5" xfId="2146"/>
    <cellStyle name="60% - Акцент4 2 6" xfId="2147"/>
    <cellStyle name="60% - Акцент4 2 7" xfId="2148"/>
    <cellStyle name="60% - Акцент4 2 8" xfId="2149"/>
    <cellStyle name="60% - Акцент4 2 9" xfId="2150"/>
    <cellStyle name="60% - Акцент4 2_МФ тепловой баланс 2015 дубль 3" xfId="2151"/>
    <cellStyle name="60% — акцент4 20" xfId="2152"/>
    <cellStyle name="60% — акцент4 21" xfId="2153"/>
    <cellStyle name="60% - Акцент4 3" xfId="2154"/>
    <cellStyle name="60% — акцент4 3" xfId="2155"/>
    <cellStyle name="60% - Акцент4 3 10" xfId="2156"/>
    <cellStyle name="60% - Акцент4 3 11" xfId="2157"/>
    <cellStyle name="60% - Акцент4 3 2" xfId="2158"/>
    <cellStyle name="60% - Акцент4 3 3" xfId="2159"/>
    <cellStyle name="60% - Акцент4 3 4" xfId="2160"/>
    <cellStyle name="60% - Акцент4 3 5" xfId="2161"/>
    <cellStyle name="60% - Акцент4 3 6" xfId="2162"/>
    <cellStyle name="60% - Акцент4 3 7" xfId="2163"/>
    <cellStyle name="60% - Акцент4 3 8" xfId="2164"/>
    <cellStyle name="60% - Акцент4 3 9" xfId="2165"/>
    <cellStyle name="60% - Акцент4 3_МФ тепловой баланс 2015 дубль 3" xfId="2166"/>
    <cellStyle name="60% - Акцент4 4" xfId="2167"/>
    <cellStyle name="60% — акцент4 4" xfId="2168"/>
    <cellStyle name="60% - Акцент4 4 2" xfId="2169"/>
    <cellStyle name="60% - Акцент4 4_МФ тепловой баланс 2015 дубль 3" xfId="2170"/>
    <cellStyle name="60% - Акцент4 5" xfId="2171"/>
    <cellStyle name="60% — акцент4 5" xfId="2172"/>
    <cellStyle name="60% - Акцент4 5 2" xfId="2173"/>
    <cellStyle name="60% - Акцент4 5_МФ тепловой баланс 2015 дубль 3" xfId="2174"/>
    <cellStyle name="60% - Акцент4 6" xfId="2175"/>
    <cellStyle name="60% — акцент4 6" xfId="2176"/>
    <cellStyle name="60% - Акцент4 6 2" xfId="2177"/>
    <cellStyle name="60% - Акцент4 6_МФ тепловой баланс 2015 дубль 3" xfId="2178"/>
    <cellStyle name="60% - Акцент4 7" xfId="2179"/>
    <cellStyle name="60% — акцент4 7" xfId="2180"/>
    <cellStyle name="60% - Акцент4 7 2" xfId="2181"/>
    <cellStyle name="60% - Акцент4 7_МФ тепловой баланс 2015 дубль 3" xfId="2182"/>
    <cellStyle name="60% - Акцент4 8" xfId="2183"/>
    <cellStyle name="60% — акцент4 8" xfId="2184"/>
    <cellStyle name="60% - Акцент4 8 2" xfId="2185"/>
    <cellStyle name="60% - Акцент4 9" xfId="2186"/>
    <cellStyle name="60% — акцент4 9" xfId="2187"/>
    <cellStyle name="60% - Акцент4 9 2" xfId="2188"/>
    <cellStyle name="60% — акцент5" xfId="2189"/>
    <cellStyle name="60% - Акцент5 10" xfId="2190"/>
    <cellStyle name="60% — акцент5 10" xfId="2191"/>
    <cellStyle name="60% — акцент5 11" xfId="2192"/>
    <cellStyle name="60% — акцент5 12" xfId="2193"/>
    <cellStyle name="60% — акцент5 13" xfId="2194"/>
    <cellStyle name="60% — акцент5 14" xfId="2195"/>
    <cellStyle name="60% — акцент5 15" xfId="2196"/>
    <cellStyle name="60% — акцент5 16" xfId="2197"/>
    <cellStyle name="60% — акцент5 17" xfId="2198"/>
    <cellStyle name="60% — акцент5 18" xfId="2199"/>
    <cellStyle name="60% — акцент5 19" xfId="2200"/>
    <cellStyle name="60% - Акцент5 2" xfId="2201"/>
    <cellStyle name="60% — акцент5 2" xfId="2202"/>
    <cellStyle name="60% - Акцент5 2 10" xfId="2203"/>
    <cellStyle name="60% - Акцент5 2 2" xfId="2204"/>
    <cellStyle name="60% - Акцент5 2 2 2" xfId="2205"/>
    <cellStyle name="60% - Акцент5 2 3" xfId="2206"/>
    <cellStyle name="60% - Акцент5 2 4" xfId="2207"/>
    <cellStyle name="60% - Акцент5 2 5" xfId="2208"/>
    <cellStyle name="60% - Акцент5 2 6" xfId="2209"/>
    <cellStyle name="60% - Акцент5 2 7" xfId="2210"/>
    <cellStyle name="60% - Акцент5 2 8" xfId="2211"/>
    <cellStyle name="60% - Акцент5 2 9" xfId="2212"/>
    <cellStyle name="60% - Акцент5 2_МФ тепловой баланс 2015 дубль 3" xfId="2213"/>
    <cellStyle name="60% — акцент5 20" xfId="2214"/>
    <cellStyle name="60% — акцент5 21" xfId="2215"/>
    <cellStyle name="60% - Акцент5 3" xfId="2216"/>
    <cellStyle name="60% — акцент5 3" xfId="2217"/>
    <cellStyle name="60% - Акцент5 3 10" xfId="2218"/>
    <cellStyle name="60% - Акцент5 3 11" xfId="2219"/>
    <cellStyle name="60% - Акцент5 3 2" xfId="2220"/>
    <cellStyle name="60% - Акцент5 3 3" xfId="2221"/>
    <cellStyle name="60% - Акцент5 3 4" xfId="2222"/>
    <cellStyle name="60% - Акцент5 3 5" xfId="2223"/>
    <cellStyle name="60% - Акцент5 3 6" xfId="2224"/>
    <cellStyle name="60% - Акцент5 3 7" xfId="2225"/>
    <cellStyle name="60% - Акцент5 3 8" xfId="2226"/>
    <cellStyle name="60% - Акцент5 3 9" xfId="2227"/>
    <cellStyle name="60% - Акцент5 3_МФ тепловой баланс 2015 дубль 3" xfId="2228"/>
    <cellStyle name="60% - Акцент5 4" xfId="2229"/>
    <cellStyle name="60% — акцент5 4" xfId="2230"/>
    <cellStyle name="60% - Акцент5 4 2" xfId="2231"/>
    <cellStyle name="60% - Акцент5 4_МФ тепловой баланс 2015 дубль 3" xfId="2232"/>
    <cellStyle name="60% - Акцент5 5" xfId="2233"/>
    <cellStyle name="60% — акцент5 5" xfId="2234"/>
    <cellStyle name="60% - Акцент5 5 2" xfId="2235"/>
    <cellStyle name="60% - Акцент5 5_МФ тепловой баланс 2015 дубль 3" xfId="2236"/>
    <cellStyle name="60% - Акцент5 6" xfId="2237"/>
    <cellStyle name="60% — акцент5 6" xfId="2238"/>
    <cellStyle name="60% - Акцент5 6 2" xfId="2239"/>
    <cellStyle name="60% - Акцент5 6_МФ тепловой баланс 2015 дубль 3" xfId="2240"/>
    <cellStyle name="60% - Акцент5 7" xfId="2241"/>
    <cellStyle name="60% — акцент5 7" xfId="2242"/>
    <cellStyle name="60% - Акцент5 7 2" xfId="2243"/>
    <cellStyle name="60% - Акцент5 7_МФ тепловой баланс 2015 дубль 3" xfId="2244"/>
    <cellStyle name="60% - Акцент5 8" xfId="2245"/>
    <cellStyle name="60% — акцент5 8" xfId="2246"/>
    <cellStyle name="60% - Акцент5 8 2" xfId="2247"/>
    <cellStyle name="60% - Акцент5 9" xfId="2248"/>
    <cellStyle name="60% — акцент5 9" xfId="2249"/>
    <cellStyle name="60% - Акцент5 9 2" xfId="2250"/>
    <cellStyle name="60% — акцент6" xfId="2251"/>
    <cellStyle name="60% - Акцент6 10" xfId="2252"/>
    <cellStyle name="60% — акцент6 10" xfId="2253"/>
    <cellStyle name="60% — акцент6 11" xfId="2254"/>
    <cellStyle name="60% — акцент6 12" xfId="2255"/>
    <cellStyle name="60% — акцент6 13" xfId="2256"/>
    <cellStyle name="60% — акцент6 14" xfId="2257"/>
    <cellStyle name="60% — акцент6 15" xfId="2258"/>
    <cellStyle name="60% — акцент6 16" xfId="2259"/>
    <cellStyle name="60% — акцент6 17" xfId="2260"/>
    <cellStyle name="60% — акцент6 18" xfId="2261"/>
    <cellStyle name="60% — акцент6 19" xfId="2262"/>
    <cellStyle name="60% - Акцент6 2" xfId="2263"/>
    <cellStyle name="60% — акцент6 2" xfId="2264"/>
    <cellStyle name="60% - Акцент6 2 10" xfId="2265"/>
    <cellStyle name="60% - Акцент6 2 2" xfId="2266"/>
    <cellStyle name="60% - Акцент6 2 2 2" xfId="2267"/>
    <cellStyle name="60% - Акцент6 2 3" xfId="2268"/>
    <cellStyle name="60% - Акцент6 2 4" xfId="2269"/>
    <cellStyle name="60% - Акцент6 2 5" xfId="2270"/>
    <cellStyle name="60% - Акцент6 2 6" xfId="2271"/>
    <cellStyle name="60% - Акцент6 2 7" xfId="2272"/>
    <cellStyle name="60% - Акцент6 2 8" xfId="2273"/>
    <cellStyle name="60% - Акцент6 2 9" xfId="2274"/>
    <cellStyle name="60% - Акцент6 2_МФ тепловой баланс 2015 дубль 3" xfId="2275"/>
    <cellStyle name="60% — акцент6 20" xfId="2276"/>
    <cellStyle name="60% — акцент6 21" xfId="2277"/>
    <cellStyle name="60% - Акцент6 3" xfId="2278"/>
    <cellStyle name="60% — акцент6 3" xfId="2279"/>
    <cellStyle name="60% - Акцент6 3 10" xfId="2280"/>
    <cellStyle name="60% - Акцент6 3 11" xfId="2281"/>
    <cellStyle name="60% - Акцент6 3 2" xfId="2282"/>
    <cellStyle name="60% - Акцент6 3 3" xfId="2283"/>
    <cellStyle name="60% - Акцент6 3 4" xfId="2284"/>
    <cellStyle name="60% - Акцент6 3 5" xfId="2285"/>
    <cellStyle name="60% - Акцент6 3 6" xfId="2286"/>
    <cellStyle name="60% - Акцент6 3 7" xfId="2287"/>
    <cellStyle name="60% - Акцент6 3 8" xfId="2288"/>
    <cellStyle name="60% - Акцент6 3 9" xfId="2289"/>
    <cellStyle name="60% - Акцент6 3_МФ тепловой баланс 2015 дубль 3" xfId="2290"/>
    <cellStyle name="60% - Акцент6 4" xfId="2291"/>
    <cellStyle name="60% — акцент6 4" xfId="2292"/>
    <cellStyle name="60% - Акцент6 4 2" xfId="2293"/>
    <cellStyle name="60% - Акцент6 4_МФ тепловой баланс 2015 дубль 3" xfId="2294"/>
    <cellStyle name="60% - Акцент6 5" xfId="2295"/>
    <cellStyle name="60% — акцент6 5" xfId="2296"/>
    <cellStyle name="60% - Акцент6 5 2" xfId="2297"/>
    <cellStyle name="60% - Акцент6 5_МФ тепловой баланс 2015 дубль 3" xfId="2298"/>
    <cellStyle name="60% - Акцент6 6" xfId="2299"/>
    <cellStyle name="60% — акцент6 6" xfId="2300"/>
    <cellStyle name="60% - Акцент6 6 2" xfId="2301"/>
    <cellStyle name="60% - Акцент6 6_МФ тепловой баланс 2015 дубль 3" xfId="2302"/>
    <cellStyle name="60% - Акцент6 7" xfId="2303"/>
    <cellStyle name="60% — акцент6 7" xfId="2304"/>
    <cellStyle name="60% - Акцент6 7 2" xfId="2305"/>
    <cellStyle name="60% - Акцент6 7_МФ тепловой баланс 2015 дубль 3" xfId="2306"/>
    <cellStyle name="60% - Акцент6 8" xfId="2307"/>
    <cellStyle name="60% — акцент6 8" xfId="2308"/>
    <cellStyle name="60% - Акцент6 8 2" xfId="2309"/>
    <cellStyle name="60% - Акцент6 9" xfId="2310"/>
    <cellStyle name="60% — акцент6 9" xfId="2311"/>
    <cellStyle name="60% - Акцент6 9 2" xfId="2312"/>
    <cellStyle name="Accent1" xfId="2313"/>
    <cellStyle name="Accent2" xfId="2314"/>
    <cellStyle name="Accent3" xfId="2315"/>
    <cellStyle name="Accent4" xfId="2316"/>
    <cellStyle name="Accent5" xfId="2317"/>
    <cellStyle name="Accent6" xfId="2318"/>
    <cellStyle name="Ăčďĺđńńűëęŕ" xfId="2319"/>
    <cellStyle name="Action" xfId="2320"/>
    <cellStyle name="AFE" xfId="2321"/>
    <cellStyle name="Áĺççŕůčňíűé" xfId="2322"/>
    <cellStyle name="Äĺíĺćíűé [0]_(ňŕá 3č)" xfId="2323"/>
    <cellStyle name="Äĺíĺćíűé_(ňŕá 3č)" xfId="2324"/>
    <cellStyle name="Bad" xfId="2325"/>
    <cellStyle name="Blue" xfId="2326"/>
    <cellStyle name="Body_$Dollars" xfId="2327"/>
    <cellStyle name="Calculation" xfId="2328"/>
    <cellStyle name="Cells" xfId="2329"/>
    <cellStyle name="Cells 2" xfId="2330"/>
    <cellStyle name="Cells 2 2" xfId="2331"/>
    <cellStyle name="Cells 3" xfId="2332"/>
    <cellStyle name="Check Cell" xfId="2333"/>
    <cellStyle name="Chek" xfId="2334"/>
    <cellStyle name="Comma [0]_0_Cash" xfId="2335"/>
    <cellStyle name="Comma 0" xfId="2336"/>
    <cellStyle name="Comma 0*" xfId="2337"/>
    <cellStyle name="Comma 2" xfId="2338"/>
    <cellStyle name="Comma 3*" xfId="2339"/>
    <cellStyle name="Comma_0_Cash" xfId="2340"/>
    <cellStyle name="Comma0" xfId="2341"/>
    <cellStyle name="Çŕůčňíűé" xfId="2342"/>
    <cellStyle name="Currency [0]" xfId="2343"/>
    <cellStyle name="Currency [0] 2" xfId="2344"/>
    <cellStyle name="Currency [0] 2 2" xfId="2345"/>
    <cellStyle name="Currency [0] 2 3" xfId="2346"/>
    <cellStyle name="Currency [0] 2 4" xfId="2347"/>
    <cellStyle name="Currency [0] 2 5" xfId="2348"/>
    <cellStyle name="Currency [0] 2 6" xfId="2349"/>
    <cellStyle name="Currency [0] 2 7" xfId="2350"/>
    <cellStyle name="Currency [0] 2 8" xfId="2351"/>
    <cellStyle name="Currency [0] 2 9" xfId="2352"/>
    <cellStyle name="Currency [0] 3" xfId="2353"/>
    <cellStyle name="Currency [0] 3 2" xfId="2354"/>
    <cellStyle name="Currency [0] 3 3" xfId="2355"/>
    <cellStyle name="Currency [0] 3 4" xfId="2356"/>
    <cellStyle name="Currency [0] 3 5" xfId="2357"/>
    <cellStyle name="Currency [0] 3 6" xfId="2358"/>
    <cellStyle name="Currency [0] 3 7" xfId="2359"/>
    <cellStyle name="Currency [0] 3 8" xfId="2360"/>
    <cellStyle name="Currency [0] 3 9" xfId="2361"/>
    <cellStyle name="Currency [0] 4" xfId="2362"/>
    <cellStyle name="Currency [0] 4 2" xfId="2363"/>
    <cellStyle name="Currency [0] 4 3" xfId="2364"/>
    <cellStyle name="Currency [0] 4 4" xfId="2365"/>
    <cellStyle name="Currency [0] 4 5" xfId="2366"/>
    <cellStyle name="Currency [0] 4 6" xfId="2367"/>
    <cellStyle name="Currency [0] 4 7" xfId="2368"/>
    <cellStyle name="Currency [0] 4 8" xfId="2369"/>
    <cellStyle name="Currency [0] 4 9" xfId="2370"/>
    <cellStyle name="Currency [0] 5" xfId="2371"/>
    <cellStyle name="Currency [0] 5 2" xfId="2372"/>
    <cellStyle name="Currency [0] 5 3" xfId="2373"/>
    <cellStyle name="Currency [0] 5 4" xfId="2374"/>
    <cellStyle name="Currency [0] 5 5" xfId="2375"/>
    <cellStyle name="Currency [0] 5 6" xfId="2376"/>
    <cellStyle name="Currency [0] 5 7" xfId="2377"/>
    <cellStyle name="Currency [0] 5 8" xfId="2378"/>
    <cellStyle name="Currency [0] 5 9" xfId="2379"/>
    <cellStyle name="Currency [0] 6" xfId="2380"/>
    <cellStyle name="Currency [0] 6 2" xfId="2381"/>
    <cellStyle name="Currency [0] 6 3" xfId="2382"/>
    <cellStyle name="Currency [0] 7" xfId="2383"/>
    <cellStyle name="Currency [0] 7 2" xfId="2384"/>
    <cellStyle name="Currency [0] 7 3" xfId="2385"/>
    <cellStyle name="Currency [0] 8" xfId="2386"/>
    <cellStyle name="Currency [0] 8 2" xfId="2387"/>
    <cellStyle name="Currency [0] 8 3" xfId="2388"/>
    <cellStyle name="Currency [0]_Приложения ЛФ корр" xfId="2389"/>
    <cellStyle name="Currency 0" xfId="2390"/>
    <cellStyle name="Currency 2" xfId="2391"/>
    <cellStyle name="Currency_0_Cash" xfId="2392"/>
    <cellStyle name="Currency0" xfId="2393"/>
    <cellStyle name="currency1" xfId="2394"/>
    <cellStyle name="Currency2" xfId="2395"/>
    <cellStyle name="currency3" xfId="2396"/>
    <cellStyle name="currency4" xfId="2397"/>
    <cellStyle name="Date" xfId="2398"/>
    <cellStyle name="Date Aligned" xfId="2399"/>
    <cellStyle name="Dates" xfId="2400"/>
    <cellStyle name="DblClick" xfId="2401"/>
    <cellStyle name="DblClick 2" xfId="2402"/>
    <cellStyle name="Dezimal [0]_NEGS" xfId="2403"/>
    <cellStyle name="Dezimal_NEGS" xfId="2404"/>
    <cellStyle name="Dotted Line" xfId="2405"/>
    <cellStyle name="E&amp;Y House" xfId="2406"/>
    <cellStyle name="E-mail" xfId="2407"/>
    <cellStyle name="E-mail 2" xfId="2408"/>
    <cellStyle name="E-mail_46EP.2011(v2.0)" xfId="2409"/>
    <cellStyle name="Euro" xfId="2410"/>
    <cellStyle name="Euro 2" xfId="2411"/>
    <cellStyle name="Euro 3" xfId="2412"/>
    <cellStyle name="Euro 4" xfId="2413"/>
    <cellStyle name="ew" xfId="2414"/>
    <cellStyle name="Excel Built-in Normal" xfId="2415"/>
    <cellStyle name="Excel Built-in Normal 1" xfId="2416"/>
    <cellStyle name="Excel Built-in Normal 2" xfId="2417"/>
    <cellStyle name="Explanatory Text" xfId="2418"/>
    <cellStyle name="F2" xfId="2419"/>
    <cellStyle name="F3" xfId="2420"/>
    <cellStyle name="F4" xfId="2421"/>
    <cellStyle name="F5" xfId="2422"/>
    <cellStyle name="F6" xfId="2423"/>
    <cellStyle name="F7" xfId="2424"/>
    <cellStyle name="F8" xfId="2425"/>
    <cellStyle name="Fixed" xfId="2426"/>
    <cellStyle name="fo]_x000d__x000a_UserName=Murat Zelef_x000d__x000a_UserCompany=Bumerang_x000d__x000a__x000d__x000a_[File Paths]_x000d__x000a_WorkingDirectory=C:\EQUIS\DLWIN_x000d__x000a_DownLoader=C" xfId="2427"/>
    <cellStyle name="Followed Hyperlink" xfId="2428"/>
    <cellStyle name="Footnote" xfId="2429"/>
    <cellStyle name="Formuls" xfId="2430"/>
    <cellStyle name="Formuls 2" xfId="2431"/>
    <cellStyle name="Good" xfId="2432"/>
    <cellStyle name="hard no" xfId="2433"/>
    <cellStyle name="Hard Percent" xfId="2434"/>
    <cellStyle name="hardno" xfId="2435"/>
    <cellStyle name="Head 1" xfId="2436"/>
    <cellStyle name="Header" xfId="2437"/>
    <cellStyle name="Header 3" xfId="2438"/>
    <cellStyle name="Header 3 2" xfId="2439"/>
    <cellStyle name="header1" xfId="2440"/>
    <cellStyle name="header2" xfId="2441"/>
    <cellStyle name="Heading" xfId="2442"/>
    <cellStyle name="Heading 1" xfId="2443"/>
    <cellStyle name="Heading 1 2" xfId="2444"/>
    <cellStyle name="Heading 2" xfId="2445"/>
    <cellStyle name="Heading 2 2" xfId="2446"/>
    <cellStyle name="Heading 3" xfId="2447"/>
    <cellStyle name="Heading 4" xfId="2448"/>
    <cellStyle name="Heading_GP.ITOG.4.78(v1.0) - для разделения" xfId="2449"/>
    <cellStyle name="Heading2" xfId="2450"/>
    <cellStyle name="Heading2 2" xfId="2451"/>
    <cellStyle name="Heading2_46EP.2011(v2.0)" xfId="2452"/>
    <cellStyle name="Headline I" xfId="2453"/>
    <cellStyle name="Headline II" xfId="2454"/>
    <cellStyle name="Headline III" xfId="2455"/>
    <cellStyle name="Hyperlink" xfId="2456"/>
    <cellStyle name="Iau?iue_130 nnd. are." xfId="2457"/>
    <cellStyle name="Îáű÷íűé__FES" xfId="2458"/>
    <cellStyle name="Îáû÷íûé_cogs" xfId="2459"/>
    <cellStyle name="Îňęđűâŕâřŕ˙ń˙ ăčďĺđńńűëęŕ" xfId="2460"/>
    <cellStyle name="Info" xfId="2461"/>
    <cellStyle name="Input" xfId="2462"/>
    <cellStyle name="InputCurrency" xfId="2463"/>
    <cellStyle name="InputCurrency2" xfId="2464"/>
    <cellStyle name="InputMultiple1" xfId="2465"/>
    <cellStyle name="InputPercent1" xfId="2466"/>
    <cellStyle name="Inputs" xfId="2467"/>
    <cellStyle name="Inputs (const)" xfId="2468"/>
    <cellStyle name="Inputs (const) 2" xfId="2469"/>
    <cellStyle name="Inputs (const)_46EP.2011(v2.0)" xfId="2470"/>
    <cellStyle name="Inputs 2" xfId="2471"/>
    <cellStyle name="Inputs Co" xfId="2472"/>
    <cellStyle name="Inputs_46EE.2011(v1.0)" xfId="2473"/>
    <cellStyle name="Linked Cell" xfId="2474"/>
    <cellStyle name="Millares [0]_RESULTS" xfId="2475"/>
    <cellStyle name="Millares_RESULTS" xfId="2476"/>
    <cellStyle name="Milliers [0]_Fonctions Macros XL4" xfId="2477"/>
    <cellStyle name="Milliers_Fonctions Macros XL4" xfId="2478"/>
    <cellStyle name="mnb" xfId="2479"/>
    <cellStyle name="Moneda [0]_RESULTS" xfId="2480"/>
    <cellStyle name="Moneda_RESULTS" xfId="2481"/>
    <cellStyle name="Monétaire [0]_RESULTS" xfId="2482"/>
    <cellStyle name="Monétaire_RESULTS" xfId="2483"/>
    <cellStyle name="Multiple" xfId="2484"/>
    <cellStyle name="Multiple1" xfId="2485"/>
    <cellStyle name="MultipleBelow" xfId="2486"/>
    <cellStyle name="namber" xfId="2487"/>
    <cellStyle name="Neutral" xfId="2488"/>
    <cellStyle name="Norma11l" xfId="2489"/>
    <cellStyle name="normal" xfId="2490"/>
    <cellStyle name="Normal - Style1" xfId="2491"/>
    <cellStyle name="normal 10" xfId="2492"/>
    <cellStyle name="Normal 2" xfId="2493"/>
    <cellStyle name="Normal 2 2" xfId="2494"/>
    <cellStyle name="Normal 2 3" xfId="2495"/>
    <cellStyle name="normal 3" xfId="2496"/>
    <cellStyle name="normal 4" xfId="2497"/>
    <cellStyle name="normal 5" xfId="2498"/>
    <cellStyle name="normal 6" xfId="2499"/>
    <cellStyle name="normal 7" xfId="2500"/>
    <cellStyle name="normal 8" xfId="2501"/>
    <cellStyle name="normal 9" xfId="2502"/>
    <cellStyle name="Normal." xfId="2503"/>
    <cellStyle name="Normal_06_9m" xfId="2504"/>
    <cellStyle name="Normal1" xfId="2505"/>
    <cellStyle name="Normal2" xfId="2506"/>
    <cellStyle name="NormalGB" xfId="2507"/>
    <cellStyle name="Normalny_24. 02. 97." xfId="2508"/>
    <cellStyle name="normбlnм_laroux" xfId="2509"/>
    <cellStyle name="Note" xfId="2510"/>
    <cellStyle name="Note 2" xfId="2511"/>
    <cellStyle name="Note 3" xfId="2512"/>
    <cellStyle name="number" xfId="2513"/>
    <cellStyle name="Ôčíŕíńîâűé [0]_(ňŕá 3č)" xfId="2514"/>
    <cellStyle name="Ôčíŕíńîâűé_(ňŕá 3č)" xfId="2515"/>
    <cellStyle name="Option" xfId="2516"/>
    <cellStyle name="Òûñÿ÷è [0]_cogs" xfId="2517"/>
    <cellStyle name="Òûñÿ÷è_cogs" xfId="2518"/>
    <cellStyle name="Output" xfId="2519"/>
    <cellStyle name="Page Number" xfId="2520"/>
    <cellStyle name="pb_page_heading_LS" xfId="2521"/>
    <cellStyle name="Percent_RS_Lianozovo-Samara_9m01" xfId="2522"/>
    <cellStyle name="Percent1" xfId="2523"/>
    <cellStyle name="Piug" xfId="2524"/>
    <cellStyle name="Plug" xfId="2525"/>
    <cellStyle name="Price_Body" xfId="2526"/>
    <cellStyle name="prochrek" xfId="2527"/>
    <cellStyle name="Protected" xfId="2528"/>
    <cellStyle name="Salomon Logo" xfId="2529"/>
    <cellStyle name="SAPBEXaggData" xfId="2530"/>
    <cellStyle name="SAPBEXaggDataEmph" xfId="2531"/>
    <cellStyle name="SAPBEXaggItem" xfId="2532"/>
    <cellStyle name="SAPBEXaggItemX" xfId="2533"/>
    <cellStyle name="SAPBEXchaText" xfId="2534"/>
    <cellStyle name="SAPBEXexcBad7" xfId="2535"/>
    <cellStyle name="SAPBEXexcBad8" xfId="2536"/>
    <cellStyle name="SAPBEXexcBad9" xfId="2537"/>
    <cellStyle name="SAPBEXexcCritical4" xfId="2538"/>
    <cellStyle name="SAPBEXexcCritical5" xfId="2539"/>
    <cellStyle name="SAPBEXexcCritical6" xfId="2540"/>
    <cellStyle name="SAPBEXexcGood1" xfId="2541"/>
    <cellStyle name="SAPBEXexcGood2" xfId="2542"/>
    <cellStyle name="SAPBEXexcGood3" xfId="2543"/>
    <cellStyle name="SAPBEXfilterDrill" xfId="2544"/>
    <cellStyle name="SAPBEXfilterItem" xfId="2545"/>
    <cellStyle name="SAPBEXfilterText" xfId="2546"/>
    <cellStyle name="SAPBEXformats" xfId="2547"/>
    <cellStyle name="SAPBEXheaderItem" xfId="2548"/>
    <cellStyle name="SAPBEXheaderText" xfId="2549"/>
    <cellStyle name="SAPBEXHLevel0" xfId="2550"/>
    <cellStyle name="SAPBEXHLevel0X" xfId="2551"/>
    <cellStyle name="SAPBEXHLevel1" xfId="2552"/>
    <cellStyle name="SAPBEXHLevel1X" xfId="2553"/>
    <cellStyle name="SAPBEXHLevel2" xfId="2554"/>
    <cellStyle name="SAPBEXHLevel2X" xfId="2555"/>
    <cellStyle name="SAPBEXHLevel3" xfId="2556"/>
    <cellStyle name="SAPBEXHLevel3X" xfId="2557"/>
    <cellStyle name="SAPBEXinputData" xfId="2558"/>
    <cellStyle name="SAPBEXresData" xfId="2559"/>
    <cellStyle name="SAPBEXresDataEmph" xfId="2560"/>
    <cellStyle name="SAPBEXresItem" xfId="2561"/>
    <cellStyle name="SAPBEXresItemX" xfId="2562"/>
    <cellStyle name="SAPBEXstdData" xfId="2563"/>
    <cellStyle name="SAPBEXstdDataEmph" xfId="2564"/>
    <cellStyle name="SAPBEXstdItem" xfId="2565"/>
    <cellStyle name="SAPBEXstdItemX" xfId="2566"/>
    <cellStyle name="SAPBEXtitle" xfId="2567"/>
    <cellStyle name="SAPBEXundefined" xfId="2568"/>
    <cellStyle name="st1" xfId="2569"/>
    <cellStyle name="stand_bord" xfId="2570"/>
    <cellStyle name="Standard_NEGS" xfId="2571"/>
    <cellStyle name="Style 1" xfId="2572"/>
    <cellStyle name="styleColumnTitles" xfId="2573"/>
    <cellStyle name="styleDateRange" xfId="2574"/>
    <cellStyle name="styleHidden" xfId="2575"/>
    <cellStyle name="styleNormal" xfId="2576"/>
    <cellStyle name="styleSeriesAttributes" xfId="2577"/>
    <cellStyle name="styleSeriesData" xfId="2578"/>
    <cellStyle name="styleSeriesDataForecast" xfId="2579"/>
    <cellStyle name="styleSeriesDataForecastNA" xfId="2580"/>
    <cellStyle name="styleSeriesDataNA" xfId="2581"/>
    <cellStyle name="Table Head" xfId="2582"/>
    <cellStyle name="Table Head Aligned" xfId="2583"/>
    <cellStyle name="Table Head Blue" xfId="2584"/>
    <cellStyle name="Table Head Green" xfId="2585"/>
    <cellStyle name="Table Head_Val_Sum_Graph" xfId="2586"/>
    <cellStyle name="Table Heading" xfId="2587"/>
    <cellStyle name="Table Heading 2" xfId="2588"/>
    <cellStyle name="Table Heading_46EP.2011(v2.0)" xfId="2589"/>
    <cellStyle name="Table Text" xfId="2590"/>
    <cellStyle name="Table Title" xfId="2591"/>
    <cellStyle name="Table Units" xfId="2592"/>
    <cellStyle name="Table_Header" xfId="2593"/>
    <cellStyle name="TableStyleLight1" xfId="2594"/>
    <cellStyle name="TableStyleLight1 2" xfId="2595"/>
    <cellStyle name="Text" xfId="2596"/>
    <cellStyle name="Text 1" xfId="2597"/>
    <cellStyle name="Text Head" xfId="2598"/>
    <cellStyle name="Text Head 1" xfId="2599"/>
    <cellStyle name="Title" xfId="2600"/>
    <cellStyle name="Title 2" xfId="2601"/>
    <cellStyle name="Title 4" xfId="2602"/>
    <cellStyle name="Total" xfId="2603"/>
    <cellStyle name="Total 2" xfId="2604"/>
    <cellStyle name="TotalCurrency" xfId="2605"/>
    <cellStyle name="Underline_Single" xfId="2606"/>
    <cellStyle name="Unit" xfId="2607"/>
    <cellStyle name="Warning Text" xfId="2608"/>
    <cellStyle name="year" xfId="2609"/>
    <cellStyle name="Акцент1 10" xfId="2610"/>
    <cellStyle name="Акцент1 2" xfId="2611"/>
    <cellStyle name="Акцент1 2 10" xfId="2612"/>
    <cellStyle name="Акцент1 2 2" xfId="2613"/>
    <cellStyle name="Акцент1 2 2 2" xfId="2614"/>
    <cellStyle name="Акцент1 2 3" xfId="2615"/>
    <cellStyle name="Акцент1 2 4" xfId="2616"/>
    <cellStyle name="Акцент1 2 5" xfId="2617"/>
    <cellStyle name="Акцент1 2 6" xfId="2618"/>
    <cellStyle name="Акцент1 2 7" xfId="2619"/>
    <cellStyle name="Акцент1 2 8" xfId="2620"/>
    <cellStyle name="Акцент1 2 9" xfId="2621"/>
    <cellStyle name="Акцент1 2_МФ тепловой баланс 2015 дубль 3" xfId="2622"/>
    <cellStyle name="Акцент1 3" xfId="2623"/>
    <cellStyle name="Акцент1 3 10" xfId="2624"/>
    <cellStyle name="Акцент1 3 11" xfId="2625"/>
    <cellStyle name="Акцент1 3 2" xfId="2626"/>
    <cellStyle name="Акцент1 3 3" xfId="2627"/>
    <cellStyle name="Акцент1 3 4" xfId="2628"/>
    <cellStyle name="Акцент1 3 5" xfId="2629"/>
    <cellStyle name="Акцент1 3 6" xfId="2630"/>
    <cellStyle name="Акцент1 3 7" xfId="2631"/>
    <cellStyle name="Акцент1 3 8" xfId="2632"/>
    <cellStyle name="Акцент1 3 9" xfId="2633"/>
    <cellStyle name="Акцент1 3_МФ тепловой баланс 2015 дубль 3" xfId="2634"/>
    <cellStyle name="Акцент1 4" xfId="2635"/>
    <cellStyle name="Акцент1 4 2" xfId="2636"/>
    <cellStyle name="Акцент1 4_МФ тепловой баланс 2015 дубль 3" xfId="2637"/>
    <cellStyle name="Акцент1 5" xfId="2638"/>
    <cellStyle name="Акцент1 5 2" xfId="2639"/>
    <cellStyle name="Акцент1 5_МФ тепловой баланс 2015 дубль 3" xfId="2640"/>
    <cellStyle name="Акцент1 6" xfId="2641"/>
    <cellStyle name="Акцент1 6 2" xfId="2642"/>
    <cellStyle name="Акцент1 6_МФ тепловой баланс 2015 дубль 3" xfId="2643"/>
    <cellStyle name="Акцент1 7" xfId="2644"/>
    <cellStyle name="Акцент1 7 2" xfId="2645"/>
    <cellStyle name="Акцент1 7_МФ тепловой баланс 2015 дубль 3" xfId="2646"/>
    <cellStyle name="Акцент1 8" xfId="2647"/>
    <cellStyle name="Акцент1 8 2" xfId="2648"/>
    <cellStyle name="Акцент1 9" xfId="2649"/>
    <cellStyle name="Акцент1 9 2" xfId="2650"/>
    <cellStyle name="Акцент2 10" xfId="2651"/>
    <cellStyle name="Акцент2 2" xfId="2652"/>
    <cellStyle name="Акцент2 2 10" xfId="2653"/>
    <cellStyle name="Акцент2 2 2" xfId="2654"/>
    <cellStyle name="Акцент2 2 2 2" xfId="2655"/>
    <cellStyle name="Акцент2 2 3" xfId="2656"/>
    <cellStyle name="Акцент2 2 4" xfId="2657"/>
    <cellStyle name="Акцент2 2 5" xfId="2658"/>
    <cellStyle name="Акцент2 2 6" xfId="2659"/>
    <cellStyle name="Акцент2 2 7" xfId="2660"/>
    <cellStyle name="Акцент2 2 8" xfId="2661"/>
    <cellStyle name="Акцент2 2 9" xfId="2662"/>
    <cellStyle name="Акцент2 2_МФ тепловой баланс 2015 дубль 3" xfId="2663"/>
    <cellStyle name="Акцент2 3" xfId="2664"/>
    <cellStyle name="Акцент2 3 10" xfId="2665"/>
    <cellStyle name="Акцент2 3 11" xfId="2666"/>
    <cellStyle name="Акцент2 3 2" xfId="2667"/>
    <cellStyle name="Акцент2 3 3" xfId="2668"/>
    <cellStyle name="Акцент2 3 4" xfId="2669"/>
    <cellStyle name="Акцент2 3 5" xfId="2670"/>
    <cellStyle name="Акцент2 3 6" xfId="2671"/>
    <cellStyle name="Акцент2 3 7" xfId="2672"/>
    <cellStyle name="Акцент2 3 8" xfId="2673"/>
    <cellStyle name="Акцент2 3 9" xfId="2674"/>
    <cellStyle name="Акцент2 3_МФ тепловой баланс 2015 дубль 3" xfId="2675"/>
    <cellStyle name="Акцент2 4" xfId="2676"/>
    <cellStyle name="Акцент2 4 2" xfId="2677"/>
    <cellStyle name="Акцент2 4_МФ тепловой баланс 2015 дубль 3" xfId="2678"/>
    <cellStyle name="Акцент2 5" xfId="2679"/>
    <cellStyle name="Акцент2 5 2" xfId="2680"/>
    <cellStyle name="Акцент2 5_МФ тепловой баланс 2015 дубль 3" xfId="2681"/>
    <cellStyle name="Акцент2 6" xfId="2682"/>
    <cellStyle name="Акцент2 6 2" xfId="2683"/>
    <cellStyle name="Акцент2 6_МФ тепловой баланс 2015 дубль 3" xfId="2684"/>
    <cellStyle name="Акцент2 7" xfId="2685"/>
    <cellStyle name="Акцент2 7 2" xfId="2686"/>
    <cellStyle name="Акцент2 7_МФ тепловой баланс 2015 дубль 3" xfId="2687"/>
    <cellStyle name="Акцент2 8" xfId="2688"/>
    <cellStyle name="Акцент2 8 2" xfId="2689"/>
    <cellStyle name="Акцент2 9" xfId="2690"/>
    <cellStyle name="Акцент2 9 2" xfId="2691"/>
    <cellStyle name="Акцент3 10" xfId="2692"/>
    <cellStyle name="Акцент3 2" xfId="2693"/>
    <cellStyle name="Акцент3 2 10" xfId="2694"/>
    <cellStyle name="Акцент3 2 2" xfId="2695"/>
    <cellStyle name="Акцент3 2 2 2" xfId="2696"/>
    <cellStyle name="Акцент3 2 3" xfId="2697"/>
    <cellStyle name="Акцент3 2 4" xfId="2698"/>
    <cellStyle name="Акцент3 2 5" xfId="2699"/>
    <cellStyle name="Акцент3 2 6" xfId="2700"/>
    <cellStyle name="Акцент3 2 7" xfId="2701"/>
    <cellStyle name="Акцент3 2 8" xfId="2702"/>
    <cellStyle name="Акцент3 2 9" xfId="2703"/>
    <cellStyle name="Акцент3 2_МФ тепловой баланс 2015 дубль 3" xfId="2704"/>
    <cellStyle name="Акцент3 3" xfId="2705"/>
    <cellStyle name="Акцент3 3 10" xfId="2706"/>
    <cellStyle name="Акцент3 3 11" xfId="2707"/>
    <cellStyle name="Акцент3 3 2" xfId="2708"/>
    <cellStyle name="Акцент3 3 3" xfId="2709"/>
    <cellStyle name="Акцент3 3 4" xfId="2710"/>
    <cellStyle name="Акцент3 3 5" xfId="2711"/>
    <cellStyle name="Акцент3 3 6" xfId="2712"/>
    <cellStyle name="Акцент3 3 7" xfId="2713"/>
    <cellStyle name="Акцент3 3 8" xfId="2714"/>
    <cellStyle name="Акцент3 3 9" xfId="2715"/>
    <cellStyle name="Акцент3 3_МФ тепловой баланс 2015 дубль 3" xfId="2716"/>
    <cellStyle name="Акцент3 4" xfId="2717"/>
    <cellStyle name="Акцент3 4 2" xfId="2718"/>
    <cellStyle name="Акцент3 4_МФ тепловой баланс 2015 дубль 3" xfId="2719"/>
    <cellStyle name="Акцент3 5" xfId="2720"/>
    <cellStyle name="Акцент3 5 2" xfId="2721"/>
    <cellStyle name="Акцент3 5_МФ тепловой баланс 2015 дубль 3" xfId="2722"/>
    <cellStyle name="Акцент3 6" xfId="2723"/>
    <cellStyle name="Акцент3 6 2" xfId="2724"/>
    <cellStyle name="Акцент3 6_МФ тепловой баланс 2015 дубль 3" xfId="2725"/>
    <cellStyle name="Акцент3 7" xfId="2726"/>
    <cellStyle name="Акцент3 7 2" xfId="2727"/>
    <cellStyle name="Акцент3 7_МФ тепловой баланс 2015 дубль 3" xfId="2728"/>
    <cellStyle name="Акцент3 8" xfId="2729"/>
    <cellStyle name="Акцент3 8 2" xfId="2730"/>
    <cellStyle name="Акцент3 9" xfId="2731"/>
    <cellStyle name="Акцент3 9 2" xfId="2732"/>
    <cellStyle name="Акцент4 10" xfId="2733"/>
    <cellStyle name="Акцент4 2" xfId="2734"/>
    <cellStyle name="Акцент4 2 10" xfId="2735"/>
    <cellStyle name="Акцент4 2 2" xfId="2736"/>
    <cellStyle name="Акцент4 2 2 2" xfId="2737"/>
    <cellStyle name="Акцент4 2 3" xfId="2738"/>
    <cellStyle name="Акцент4 2 4" xfId="2739"/>
    <cellStyle name="Акцент4 2 5" xfId="2740"/>
    <cellStyle name="Акцент4 2 6" xfId="2741"/>
    <cellStyle name="Акцент4 2 7" xfId="2742"/>
    <cellStyle name="Акцент4 2 8" xfId="2743"/>
    <cellStyle name="Акцент4 2 9" xfId="2744"/>
    <cellStyle name="Акцент4 2_МФ тепловой баланс 2015 дубль 3" xfId="2745"/>
    <cellStyle name="Акцент4 3" xfId="2746"/>
    <cellStyle name="Акцент4 3 10" xfId="2747"/>
    <cellStyle name="Акцент4 3 11" xfId="2748"/>
    <cellStyle name="Акцент4 3 2" xfId="2749"/>
    <cellStyle name="Акцент4 3 3" xfId="2750"/>
    <cellStyle name="Акцент4 3 4" xfId="2751"/>
    <cellStyle name="Акцент4 3 5" xfId="2752"/>
    <cellStyle name="Акцент4 3 6" xfId="2753"/>
    <cellStyle name="Акцент4 3 7" xfId="2754"/>
    <cellStyle name="Акцент4 3 8" xfId="2755"/>
    <cellStyle name="Акцент4 3 9" xfId="2756"/>
    <cellStyle name="Акцент4 3_МФ тепловой баланс 2015 дубль 3" xfId="2757"/>
    <cellStyle name="Акцент4 4" xfId="2758"/>
    <cellStyle name="Акцент4 4 2" xfId="2759"/>
    <cellStyle name="Акцент4 4_МФ тепловой баланс 2015 дубль 3" xfId="2760"/>
    <cellStyle name="Акцент4 5" xfId="2761"/>
    <cellStyle name="Акцент4 5 2" xfId="2762"/>
    <cellStyle name="Акцент4 5_МФ тепловой баланс 2015 дубль 3" xfId="2763"/>
    <cellStyle name="Акцент4 6" xfId="2764"/>
    <cellStyle name="Акцент4 6 2" xfId="2765"/>
    <cellStyle name="Акцент4 6_МФ тепловой баланс 2015 дубль 3" xfId="2766"/>
    <cellStyle name="Акцент4 7" xfId="2767"/>
    <cellStyle name="Акцент4 7 2" xfId="2768"/>
    <cellStyle name="Акцент4 7_МФ тепловой баланс 2015 дубль 3" xfId="2769"/>
    <cellStyle name="Акцент4 8" xfId="2770"/>
    <cellStyle name="Акцент4 8 2" xfId="2771"/>
    <cellStyle name="Акцент4 9" xfId="2772"/>
    <cellStyle name="Акцент4 9 2" xfId="2773"/>
    <cellStyle name="Акцент5 10" xfId="2774"/>
    <cellStyle name="Акцент5 2" xfId="2775"/>
    <cellStyle name="Акцент5 2 10" xfId="2776"/>
    <cellStyle name="Акцент5 2 2" xfId="2777"/>
    <cellStyle name="Акцент5 2 2 2" xfId="2778"/>
    <cellStyle name="Акцент5 2 3" xfId="2779"/>
    <cellStyle name="Акцент5 2 4" xfId="2780"/>
    <cellStyle name="Акцент5 2 5" xfId="2781"/>
    <cellStyle name="Акцент5 2 6" xfId="2782"/>
    <cellStyle name="Акцент5 2 7" xfId="2783"/>
    <cellStyle name="Акцент5 2 8" xfId="2784"/>
    <cellStyle name="Акцент5 2 9" xfId="2785"/>
    <cellStyle name="Акцент5 2_МФ тепловой баланс 2015 дубль 3" xfId="2786"/>
    <cellStyle name="Акцент5 3" xfId="2787"/>
    <cellStyle name="Акцент5 3 10" xfId="2788"/>
    <cellStyle name="Акцент5 3 11" xfId="2789"/>
    <cellStyle name="Акцент5 3 2" xfId="2790"/>
    <cellStyle name="Акцент5 3 3" xfId="2791"/>
    <cellStyle name="Акцент5 3 4" xfId="2792"/>
    <cellStyle name="Акцент5 3 5" xfId="2793"/>
    <cellStyle name="Акцент5 3 6" xfId="2794"/>
    <cellStyle name="Акцент5 3 7" xfId="2795"/>
    <cellStyle name="Акцент5 3 8" xfId="2796"/>
    <cellStyle name="Акцент5 3 9" xfId="2797"/>
    <cellStyle name="Акцент5 3_МФ тепловой баланс 2015 дубль 3" xfId="2798"/>
    <cellStyle name="Акцент5 4" xfId="2799"/>
    <cellStyle name="Акцент5 4 2" xfId="2800"/>
    <cellStyle name="Акцент5 4_МФ тепловой баланс 2015 дубль 3" xfId="2801"/>
    <cellStyle name="Акцент5 5" xfId="2802"/>
    <cellStyle name="Акцент5 5 2" xfId="2803"/>
    <cellStyle name="Акцент5 5_МФ тепловой баланс 2015 дубль 3" xfId="2804"/>
    <cellStyle name="Акцент5 6" xfId="2805"/>
    <cellStyle name="Акцент5 6 2" xfId="2806"/>
    <cellStyle name="Акцент5 6_МФ тепловой баланс 2015 дубль 3" xfId="2807"/>
    <cellStyle name="Акцент5 7" xfId="2808"/>
    <cellStyle name="Акцент5 7 2" xfId="2809"/>
    <cellStyle name="Акцент5 7_МФ тепловой баланс 2015 дубль 3" xfId="2810"/>
    <cellStyle name="Акцент5 8" xfId="2811"/>
    <cellStyle name="Акцент5 8 2" xfId="2812"/>
    <cellStyle name="Акцент5 9" xfId="2813"/>
    <cellStyle name="Акцент5 9 2" xfId="2814"/>
    <cellStyle name="Акцент6 10" xfId="2815"/>
    <cellStyle name="Акцент6 2" xfId="2816"/>
    <cellStyle name="Акцент6 2 10" xfId="2817"/>
    <cellStyle name="Акцент6 2 2" xfId="2818"/>
    <cellStyle name="Акцент6 2 2 2" xfId="2819"/>
    <cellStyle name="Акцент6 2 3" xfId="2820"/>
    <cellStyle name="Акцент6 2 4" xfId="2821"/>
    <cellStyle name="Акцент6 2 5" xfId="2822"/>
    <cellStyle name="Акцент6 2 6" xfId="2823"/>
    <cellStyle name="Акцент6 2 7" xfId="2824"/>
    <cellStyle name="Акцент6 2 8" xfId="2825"/>
    <cellStyle name="Акцент6 2 9" xfId="2826"/>
    <cellStyle name="Акцент6 2_МФ тепловой баланс 2015 дубль 3" xfId="2827"/>
    <cellStyle name="Акцент6 3" xfId="2828"/>
    <cellStyle name="Акцент6 3 10" xfId="2829"/>
    <cellStyle name="Акцент6 3 11" xfId="2830"/>
    <cellStyle name="Акцент6 3 2" xfId="2831"/>
    <cellStyle name="Акцент6 3 3" xfId="2832"/>
    <cellStyle name="Акцент6 3 4" xfId="2833"/>
    <cellStyle name="Акцент6 3 5" xfId="2834"/>
    <cellStyle name="Акцент6 3 6" xfId="2835"/>
    <cellStyle name="Акцент6 3 7" xfId="2836"/>
    <cellStyle name="Акцент6 3 8" xfId="2837"/>
    <cellStyle name="Акцент6 3 9" xfId="2838"/>
    <cellStyle name="Акцент6 3_МФ тепловой баланс 2015 дубль 3" xfId="2839"/>
    <cellStyle name="Акцент6 4" xfId="2840"/>
    <cellStyle name="Акцент6 4 2" xfId="2841"/>
    <cellStyle name="Акцент6 4_МФ тепловой баланс 2015 дубль 3" xfId="2842"/>
    <cellStyle name="Акцент6 5" xfId="2843"/>
    <cellStyle name="Акцент6 5 2" xfId="2844"/>
    <cellStyle name="Акцент6 5_МФ тепловой баланс 2015 дубль 3" xfId="2845"/>
    <cellStyle name="Акцент6 6" xfId="2846"/>
    <cellStyle name="Акцент6 6 2" xfId="2847"/>
    <cellStyle name="Акцент6 6_МФ тепловой баланс 2015 дубль 3" xfId="2848"/>
    <cellStyle name="Акцент6 7" xfId="2849"/>
    <cellStyle name="Акцент6 7 2" xfId="2850"/>
    <cellStyle name="Акцент6 7_МФ тепловой баланс 2015 дубль 3" xfId="2851"/>
    <cellStyle name="Акцент6 8" xfId="2852"/>
    <cellStyle name="Акцент6 8 2" xfId="2853"/>
    <cellStyle name="Акцент6 9" xfId="2854"/>
    <cellStyle name="Акцент6 9 2" xfId="2855"/>
    <cellStyle name="Беззащитный" xfId="2856"/>
    <cellStyle name="Ввод  10" xfId="2857"/>
    <cellStyle name="Ввод  10 2" xfId="2858"/>
    <cellStyle name="Ввод  11" xfId="2859"/>
    <cellStyle name="Ввод  12" xfId="2860"/>
    <cellStyle name="Ввод  13" xfId="2861"/>
    <cellStyle name="Ввод  14" xfId="2862"/>
    <cellStyle name="Ввод  15" xfId="2863"/>
    <cellStyle name="Ввод  16" xfId="2864"/>
    <cellStyle name="Ввод  17" xfId="2865"/>
    <cellStyle name="Ввод  2" xfId="2866"/>
    <cellStyle name="Ввод  2 10" xfId="2867"/>
    <cellStyle name="Ввод  2 2" xfId="2868"/>
    <cellStyle name="Ввод  2 2 2" xfId="2869"/>
    <cellStyle name="Ввод  2 3" xfId="2870"/>
    <cellStyle name="Ввод  2 4" xfId="2871"/>
    <cellStyle name="Ввод  2 5" xfId="2872"/>
    <cellStyle name="Ввод  2 6" xfId="2873"/>
    <cellStyle name="Ввод  2 7" xfId="2874"/>
    <cellStyle name="Ввод  2 8" xfId="2875"/>
    <cellStyle name="Ввод  2 9" xfId="2876"/>
    <cellStyle name="Ввод  2_46EE.2011(v1.0)" xfId="2877"/>
    <cellStyle name="Ввод  3" xfId="2878"/>
    <cellStyle name="Ввод  3 10" xfId="2879"/>
    <cellStyle name="Ввод  3 11" xfId="2880"/>
    <cellStyle name="Ввод  3 2" xfId="2881"/>
    <cellStyle name="Ввод  3 3" xfId="2882"/>
    <cellStyle name="Ввод  3 3 2" xfId="2883"/>
    <cellStyle name="Ввод  3 4" xfId="2884"/>
    <cellStyle name="Ввод  3 5" xfId="2885"/>
    <cellStyle name="Ввод  3 6" xfId="2886"/>
    <cellStyle name="Ввод  3 7" xfId="2887"/>
    <cellStyle name="Ввод  3 8" xfId="2888"/>
    <cellStyle name="Ввод  3 9" xfId="2889"/>
    <cellStyle name="Ввод  3_46EE.2011(v1.0)" xfId="2890"/>
    <cellStyle name="Ввод  4" xfId="2891"/>
    <cellStyle name="Ввод  4 2" xfId="2892"/>
    <cellStyle name="Ввод  4 3" xfId="2893"/>
    <cellStyle name="Ввод  4_46EE.2011(v1.0)" xfId="2894"/>
    <cellStyle name="Ввод  5" xfId="2895"/>
    <cellStyle name="Ввод  5 2" xfId="2896"/>
    <cellStyle name="Ввод  5 3" xfId="2897"/>
    <cellStyle name="Ввод  5_46EE.2011(v1.0)" xfId="2898"/>
    <cellStyle name="Ввод  6" xfId="2899"/>
    <cellStyle name="Ввод  6 2" xfId="2900"/>
    <cellStyle name="Ввод  6 3" xfId="2901"/>
    <cellStyle name="Ввод  6_46EE.2011(v1.0)" xfId="2902"/>
    <cellStyle name="Ввод  7" xfId="2903"/>
    <cellStyle name="Ввод  7 2" xfId="2904"/>
    <cellStyle name="Ввод  7 3" xfId="2905"/>
    <cellStyle name="Ввод  7_46EE.2011(v1.0)" xfId="2906"/>
    <cellStyle name="Ввод  8" xfId="2907"/>
    <cellStyle name="Ввод  8 2" xfId="2908"/>
    <cellStyle name="Ввод  8 3" xfId="2909"/>
    <cellStyle name="Ввод  8_46EE.2011(v1.0)" xfId="2910"/>
    <cellStyle name="Ввод  9" xfId="2911"/>
    <cellStyle name="Ввод  9 2" xfId="2912"/>
    <cellStyle name="Ввод  9 3" xfId="2913"/>
    <cellStyle name="Ввод  9_46EE.2011(v1.0)" xfId="2914"/>
    <cellStyle name="Верт. заголовок" xfId="2915"/>
    <cellStyle name="Вес_продукта" xfId="2916"/>
    <cellStyle name="Вывод 10" xfId="2917"/>
    <cellStyle name="Вывод 2" xfId="2918"/>
    <cellStyle name="Вывод 2 10" xfId="2919"/>
    <cellStyle name="Вывод 2 2" xfId="2920"/>
    <cellStyle name="Вывод 2 2 2" xfId="2921"/>
    <cellStyle name="Вывод 2 3" xfId="2922"/>
    <cellStyle name="Вывод 2 4" xfId="2923"/>
    <cellStyle name="Вывод 2 5" xfId="2924"/>
    <cellStyle name="Вывод 2 6" xfId="2925"/>
    <cellStyle name="Вывод 2 7" xfId="2926"/>
    <cellStyle name="Вывод 2 8" xfId="2927"/>
    <cellStyle name="Вывод 2 9" xfId="2928"/>
    <cellStyle name="Вывод 2_46EE.2011(v1.0)" xfId="2929"/>
    <cellStyle name="Вывод 3" xfId="2930"/>
    <cellStyle name="Вывод 3 10" xfId="2931"/>
    <cellStyle name="Вывод 3 11" xfId="2932"/>
    <cellStyle name="Вывод 3 2" xfId="2933"/>
    <cellStyle name="Вывод 3 3" xfId="2934"/>
    <cellStyle name="Вывод 3 4" xfId="2935"/>
    <cellStyle name="Вывод 3 5" xfId="2936"/>
    <cellStyle name="Вывод 3 6" xfId="2937"/>
    <cellStyle name="Вывод 3 7" xfId="2938"/>
    <cellStyle name="Вывод 3 8" xfId="2939"/>
    <cellStyle name="Вывод 3 9" xfId="2940"/>
    <cellStyle name="Вывод 3_46EE.2011(v1.0)" xfId="2941"/>
    <cellStyle name="Вывод 4" xfId="2942"/>
    <cellStyle name="Вывод 4 2" xfId="2943"/>
    <cellStyle name="Вывод 4_46EE.2011(v1.0)" xfId="2944"/>
    <cellStyle name="Вывод 5" xfId="2945"/>
    <cellStyle name="Вывод 5 2" xfId="2946"/>
    <cellStyle name="Вывод 5_46EE.2011(v1.0)" xfId="2947"/>
    <cellStyle name="Вывод 6" xfId="2948"/>
    <cellStyle name="Вывод 6 2" xfId="2949"/>
    <cellStyle name="Вывод 6_46EE.2011(v1.0)" xfId="2950"/>
    <cellStyle name="Вывод 7" xfId="2951"/>
    <cellStyle name="Вывод 7 2" xfId="2952"/>
    <cellStyle name="Вывод 7_46EE.2011(v1.0)" xfId="2953"/>
    <cellStyle name="Вывод 8" xfId="2954"/>
    <cellStyle name="Вывод 8 2" xfId="2955"/>
    <cellStyle name="Вывод 8_46EE.2011(v1.0)" xfId="2956"/>
    <cellStyle name="Вывод 9" xfId="2957"/>
    <cellStyle name="Вывод 9 2" xfId="2958"/>
    <cellStyle name="Вывод 9_46EE.2011(v1.0)" xfId="2959"/>
    <cellStyle name="Вычисление 10" xfId="2960"/>
    <cellStyle name="Вычисление 2" xfId="2961"/>
    <cellStyle name="Вычисление 2 10" xfId="2962"/>
    <cellStyle name="Вычисление 2 2" xfId="2963"/>
    <cellStyle name="Вычисление 2 2 2" xfId="2964"/>
    <cellStyle name="Вычисление 2 3" xfId="2965"/>
    <cellStyle name="Вычисление 2 4" xfId="2966"/>
    <cellStyle name="Вычисление 2 5" xfId="2967"/>
    <cellStyle name="Вычисление 2 6" xfId="2968"/>
    <cellStyle name="Вычисление 2 7" xfId="2969"/>
    <cellStyle name="Вычисление 2 8" xfId="2970"/>
    <cellStyle name="Вычисление 2 9" xfId="2971"/>
    <cellStyle name="Вычисление 2_46EE.2011(v1.0)" xfId="2972"/>
    <cellStyle name="Вычисление 3" xfId="2973"/>
    <cellStyle name="Вычисление 3 10" xfId="2974"/>
    <cellStyle name="Вычисление 3 11" xfId="2975"/>
    <cellStyle name="Вычисление 3 2" xfId="2976"/>
    <cellStyle name="Вычисление 3 3" xfId="2977"/>
    <cellStyle name="Вычисление 3 4" xfId="2978"/>
    <cellStyle name="Вычисление 3 5" xfId="2979"/>
    <cellStyle name="Вычисление 3 6" xfId="2980"/>
    <cellStyle name="Вычисление 3 7" xfId="2981"/>
    <cellStyle name="Вычисление 3 8" xfId="2982"/>
    <cellStyle name="Вычисление 3 9" xfId="2983"/>
    <cellStyle name="Вычисление 3_46EE.2011(v1.0)" xfId="2984"/>
    <cellStyle name="Вычисление 4" xfId="2985"/>
    <cellStyle name="Вычисление 4 2" xfId="2986"/>
    <cellStyle name="Вычисление 4_46EE.2011(v1.0)" xfId="2987"/>
    <cellStyle name="Вычисление 5" xfId="2988"/>
    <cellStyle name="Вычисление 5 2" xfId="2989"/>
    <cellStyle name="Вычисление 5_46EE.2011(v1.0)" xfId="2990"/>
    <cellStyle name="Вычисление 6" xfId="2991"/>
    <cellStyle name="Вычисление 6 2" xfId="2992"/>
    <cellStyle name="Вычисление 6_46EE.2011(v1.0)" xfId="2993"/>
    <cellStyle name="Вычисление 7" xfId="2994"/>
    <cellStyle name="Вычисление 7 2" xfId="2995"/>
    <cellStyle name="Вычисление 7_46EE.2011(v1.0)" xfId="2996"/>
    <cellStyle name="Вычисление 8" xfId="2997"/>
    <cellStyle name="Вычисление 8 2" xfId="2998"/>
    <cellStyle name="Вычисление 8_46EE.2011(v1.0)" xfId="2999"/>
    <cellStyle name="Вычисление 9" xfId="3000"/>
    <cellStyle name="Вычисление 9 2" xfId="3001"/>
    <cellStyle name="Вычисление 9_46EE.2011(v1.0)" xfId="3002"/>
    <cellStyle name="Гиперссылка 2" xfId="3003"/>
    <cellStyle name="Гиперссылка 2 10" xfId="3004"/>
    <cellStyle name="Гиперссылка 2 11" xfId="3005"/>
    <cellStyle name="Гиперссылка 2 12" xfId="3006"/>
    <cellStyle name="Гиперссылка 2 13" xfId="3007"/>
    <cellStyle name="Гиперссылка 2 14" xfId="3008"/>
    <cellStyle name="Гиперссылка 2 15" xfId="3009"/>
    <cellStyle name="Гиперссылка 2 16" xfId="3010"/>
    <cellStyle name="Гиперссылка 2 17" xfId="3011"/>
    <cellStyle name="Гиперссылка 2 2" xfId="3012"/>
    <cellStyle name="Гиперссылка 2 2 10" xfId="3013"/>
    <cellStyle name="Гиперссылка 2 2 11" xfId="3014"/>
    <cellStyle name="Гиперссылка 2 2 12" xfId="3015"/>
    <cellStyle name="Гиперссылка 2 2 13" xfId="3016"/>
    <cellStyle name="Гиперссылка 2 2 14" xfId="3017"/>
    <cellStyle name="Гиперссылка 2 2 15" xfId="3018"/>
    <cellStyle name="Гиперссылка 2 2 16" xfId="3019"/>
    <cellStyle name="Гиперссылка 2 2 17" xfId="3020"/>
    <cellStyle name="Гиперссылка 2 2 2" xfId="3021"/>
    <cellStyle name="Гиперссылка 2 2 2 2" xfId="3022"/>
    <cellStyle name="Гиперссылка 2 2 2 3" xfId="3023"/>
    <cellStyle name="Гиперссылка 2 2 3" xfId="3024"/>
    <cellStyle name="Гиперссылка 2 2 4" xfId="3025"/>
    <cellStyle name="Гиперссылка 2 2 5" xfId="3026"/>
    <cellStyle name="Гиперссылка 2 2 6" xfId="3027"/>
    <cellStyle name="Гиперссылка 2 2 7" xfId="3028"/>
    <cellStyle name="Гиперссылка 2 2 8" xfId="3029"/>
    <cellStyle name="Гиперссылка 2 2 9" xfId="3030"/>
    <cellStyle name="Гиперссылка 2 3" xfId="3031"/>
    <cellStyle name="Гиперссылка 2 4" xfId="3032"/>
    <cellStyle name="Гиперссылка 2 5" xfId="3033"/>
    <cellStyle name="Гиперссылка 2 6" xfId="3034"/>
    <cellStyle name="Гиперссылка 2 7" xfId="3035"/>
    <cellStyle name="Гиперссылка 2 8" xfId="3036"/>
    <cellStyle name="Гиперссылка 2 9" xfId="3037"/>
    <cellStyle name="Гиперссылка 3" xfId="3038"/>
    <cellStyle name="Гиперссылка 3 2" xfId="3039"/>
    <cellStyle name="Гиперссылка 4" xfId="3040"/>
    <cellStyle name="Гиперссылка 4 2" xfId="3041"/>
    <cellStyle name="Группа" xfId="3042"/>
    <cellStyle name="Группа 0" xfId="3043"/>
    <cellStyle name="Группа 1" xfId="3044"/>
    <cellStyle name="Группа 2" xfId="3045"/>
    <cellStyle name="Группа 3" xfId="3046"/>
    <cellStyle name="Группа 4" xfId="3047"/>
    <cellStyle name="Группа 5" xfId="3048"/>
    <cellStyle name="Группа 6" xfId="3049"/>
    <cellStyle name="Группа 7" xfId="3050"/>
    <cellStyle name="Группа 8" xfId="3051"/>
    <cellStyle name="Группа_4DNS.UPDATE.EXAMPLE" xfId="3052"/>
    <cellStyle name="ДАТА" xfId="3053"/>
    <cellStyle name="ДАТА 2" xfId="3054"/>
    <cellStyle name="ДАТА 3" xfId="3055"/>
    <cellStyle name="ДАТА 4" xfId="3056"/>
    <cellStyle name="ДАТА 5" xfId="3057"/>
    <cellStyle name="ДАТА 6" xfId="3058"/>
    <cellStyle name="ДАТА 7" xfId="3059"/>
    <cellStyle name="ДАТА 8" xfId="3060"/>
    <cellStyle name="ДАТА 9" xfId="3061"/>
    <cellStyle name="ДАТА_1" xfId="3062"/>
    <cellStyle name="Денежный 2" xfId="3063"/>
    <cellStyle name="Денежный 2 2" xfId="3064"/>
    <cellStyle name="Денежный 2 2 2" xfId="3065"/>
    <cellStyle name="Денежный 2_INDEX.STATION.2012(v1.0)_" xfId="3066"/>
    <cellStyle name="Є_x0004_ЄЄЄЄ_x0004_ЄЄ_x0004_" xfId="3067"/>
    <cellStyle name="Є_x0004_ЄЄЄЄ_x0004_ЄЄ_x0004_ 2" xfId="3068"/>
    <cellStyle name="Заголовок" xfId="3069"/>
    <cellStyle name="Заголовок 1 10" xfId="3070"/>
    <cellStyle name="Заголовок 1 2" xfId="3071"/>
    <cellStyle name="Заголовок 1 2 10" xfId="3072"/>
    <cellStyle name="Заголовок 1 2 2" xfId="3073"/>
    <cellStyle name="Заголовок 1 2 2 2" xfId="3074"/>
    <cellStyle name="Заголовок 1 2 3" xfId="3075"/>
    <cellStyle name="Заголовок 1 2 4" xfId="3076"/>
    <cellStyle name="Заголовок 1 2 5" xfId="3077"/>
    <cellStyle name="Заголовок 1 2 6" xfId="3078"/>
    <cellStyle name="Заголовок 1 2 7" xfId="3079"/>
    <cellStyle name="Заголовок 1 2 8" xfId="3080"/>
    <cellStyle name="Заголовок 1 2 9" xfId="3081"/>
    <cellStyle name="Заголовок 1 2_46EE.2011(v1.0)" xfId="3082"/>
    <cellStyle name="Заголовок 1 3" xfId="3083"/>
    <cellStyle name="Заголовок 1 3 10" xfId="3084"/>
    <cellStyle name="Заголовок 1 3 11" xfId="3085"/>
    <cellStyle name="Заголовок 1 3 2" xfId="3086"/>
    <cellStyle name="Заголовок 1 3 3" xfId="3087"/>
    <cellStyle name="Заголовок 1 3 4" xfId="3088"/>
    <cellStyle name="Заголовок 1 3 5" xfId="3089"/>
    <cellStyle name="Заголовок 1 3 6" xfId="3090"/>
    <cellStyle name="Заголовок 1 3 7" xfId="3091"/>
    <cellStyle name="Заголовок 1 3 8" xfId="3092"/>
    <cellStyle name="Заголовок 1 3 9" xfId="3093"/>
    <cellStyle name="Заголовок 1 3_46EE.2011(v1.0)" xfId="3094"/>
    <cellStyle name="Заголовок 1 4" xfId="3095"/>
    <cellStyle name="Заголовок 1 4 2" xfId="3096"/>
    <cellStyle name="Заголовок 1 4_46EE.2011(v1.0)" xfId="3097"/>
    <cellStyle name="Заголовок 1 5" xfId="3098"/>
    <cellStyle name="Заголовок 1 5 2" xfId="3099"/>
    <cellStyle name="Заголовок 1 5_46EE.2011(v1.0)" xfId="3100"/>
    <cellStyle name="Заголовок 1 6" xfId="3101"/>
    <cellStyle name="Заголовок 1 6 2" xfId="3102"/>
    <cellStyle name="Заголовок 1 6_46EE.2011(v1.0)" xfId="3103"/>
    <cellStyle name="Заголовок 1 7" xfId="3104"/>
    <cellStyle name="Заголовок 1 7 2" xfId="3105"/>
    <cellStyle name="Заголовок 1 7_46EE.2011(v1.0)" xfId="3106"/>
    <cellStyle name="Заголовок 1 8" xfId="3107"/>
    <cellStyle name="Заголовок 1 8 2" xfId="3108"/>
    <cellStyle name="Заголовок 1 8_46EE.2011(v1.0)" xfId="3109"/>
    <cellStyle name="Заголовок 1 9" xfId="3110"/>
    <cellStyle name="Заголовок 1 9 2" xfId="3111"/>
    <cellStyle name="Заголовок 1 9_46EE.2011(v1.0)" xfId="3112"/>
    <cellStyle name="Заголовок 2 10" xfId="3113"/>
    <cellStyle name="Заголовок 2 11" xfId="3114"/>
    <cellStyle name="Заголовок 2 2" xfId="3115"/>
    <cellStyle name="Заголовок 2 2 10" xfId="3116"/>
    <cellStyle name="Заголовок 2 2 2" xfId="3117"/>
    <cellStyle name="Заголовок 2 2 2 2" xfId="3118"/>
    <cellStyle name="Заголовок 2 2 3" xfId="3119"/>
    <cellStyle name="Заголовок 2 2 4" xfId="3120"/>
    <cellStyle name="Заголовок 2 2 5" xfId="3121"/>
    <cellStyle name="Заголовок 2 2 6" xfId="3122"/>
    <cellStyle name="Заголовок 2 2 7" xfId="3123"/>
    <cellStyle name="Заголовок 2 2 8" xfId="3124"/>
    <cellStyle name="Заголовок 2 2 9" xfId="3125"/>
    <cellStyle name="Заголовок 2 2_46EE.2011(v1.0)" xfId="3126"/>
    <cellStyle name="Заголовок 2 3" xfId="3127"/>
    <cellStyle name="Заголовок 2 3 10" xfId="3128"/>
    <cellStyle name="Заголовок 2 3 11" xfId="3129"/>
    <cellStyle name="Заголовок 2 3 2" xfId="3130"/>
    <cellStyle name="Заголовок 2 3 3" xfId="3131"/>
    <cellStyle name="Заголовок 2 3 4" xfId="3132"/>
    <cellStyle name="Заголовок 2 3 5" xfId="3133"/>
    <cellStyle name="Заголовок 2 3 6" xfId="3134"/>
    <cellStyle name="Заголовок 2 3 7" xfId="3135"/>
    <cellStyle name="Заголовок 2 3 8" xfId="3136"/>
    <cellStyle name="Заголовок 2 3 9" xfId="3137"/>
    <cellStyle name="Заголовок 2 3_46EE.2011(v1.0)" xfId="3138"/>
    <cellStyle name="Заголовок 2 4" xfId="3139"/>
    <cellStyle name="Заголовок 2 4 2" xfId="3140"/>
    <cellStyle name="Заголовок 2 4_46EE.2011(v1.0)" xfId="3141"/>
    <cellStyle name="Заголовок 2 5" xfId="3142"/>
    <cellStyle name="Заголовок 2 5 2" xfId="3143"/>
    <cellStyle name="Заголовок 2 5_46EE.2011(v1.0)" xfId="3144"/>
    <cellStyle name="Заголовок 2 6" xfId="3145"/>
    <cellStyle name="Заголовок 2 6 2" xfId="3146"/>
    <cellStyle name="Заголовок 2 6_46EE.2011(v1.0)" xfId="3147"/>
    <cellStyle name="Заголовок 2 7" xfId="3148"/>
    <cellStyle name="Заголовок 2 7 2" xfId="3149"/>
    <cellStyle name="Заголовок 2 7_46EE.2011(v1.0)" xfId="3150"/>
    <cellStyle name="Заголовок 2 8" xfId="3151"/>
    <cellStyle name="Заголовок 2 8 2" xfId="3152"/>
    <cellStyle name="Заголовок 2 8_46EE.2011(v1.0)" xfId="3153"/>
    <cellStyle name="Заголовок 2 9" xfId="3154"/>
    <cellStyle name="Заголовок 2 9 2" xfId="3155"/>
    <cellStyle name="Заголовок 2 9_46EE.2011(v1.0)" xfId="3156"/>
    <cellStyle name="Заголовок 3 10" xfId="3157"/>
    <cellStyle name="Заголовок 3 11" xfId="3158"/>
    <cellStyle name="Заголовок 3 2" xfId="3159"/>
    <cellStyle name="Заголовок 3 2 10" xfId="3160"/>
    <cellStyle name="Заголовок 3 2 2" xfId="3161"/>
    <cellStyle name="Заголовок 3 2 2 2" xfId="3162"/>
    <cellStyle name="Заголовок 3 2 3" xfId="3163"/>
    <cellStyle name="Заголовок 3 2 4" xfId="3164"/>
    <cellStyle name="Заголовок 3 2 5" xfId="3165"/>
    <cellStyle name="Заголовок 3 2 6" xfId="3166"/>
    <cellStyle name="Заголовок 3 2 7" xfId="3167"/>
    <cellStyle name="Заголовок 3 2 8" xfId="3168"/>
    <cellStyle name="Заголовок 3 2 9" xfId="3169"/>
    <cellStyle name="Заголовок 3 2_46EE.2011(v1.0)" xfId="3170"/>
    <cellStyle name="Заголовок 3 3" xfId="3171"/>
    <cellStyle name="Заголовок 3 3 10" xfId="3172"/>
    <cellStyle name="Заголовок 3 3 11" xfId="3173"/>
    <cellStyle name="Заголовок 3 3 2" xfId="3174"/>
    <cellStyle name="Заголовок 3 3 3" xfId="3175"/>
    <cellStyle name="Заголовок 3 3 4" xfId="3176"/>
    <cellStyle name="Заголовок 3 3 5" xfId="3177"/>
    <cellStyle name="Заголовок 3 3 6" xfId="3178"/>
    <cellStyle name="Заголовок 3 3 7" xfId="3179"/>
    <cellStyle name="Заголовок 3 3 8" xfId="3180"/>
    <cellStyle name="Заголовок 3 3 9" xfId="3181"/>
    <cellStyle name="Заголовок 3 3_46EE.2011(v1.0)" xfId="3182"/>
    <cellStyle name="Заголовок 3 4" xfId="3183"/>
    <cellStyle name="Заголовок 3 4 2" xfId="3184"/>
    <cellStyle name="Заголовок 3 4_46EE.2011(v1.0)" xfId="3185"/>
    <cellStyle name="Заголовок 3 5" xfId="3186"/>
    <cellStyle name="Заголовок 3 5 2" xfId="3187"/>
    <cellStyle name="Заголовок 3 5_46EE.2011(v1.0)" xfId="3188"/>
    <cellStyle name="Заголовок 3 6" xfId="3189"/>
    <cellStyle name="Заголовок 3 6 2" xfId="3190"/>
    <cellStyle name="Заголовок 3 6_46EE.2011(v1.0)" xfId="3191"/>
    <cellStyle name="Заголовок 3 7" xfId="3192"/>
    <cellStyle name="Заголовок 3 7 2" xfId="3193"/>
    <cellStyle name="Заголовок 3 7_46EE.2011(v1.0)" xfId="3194"/>
    <cellStyle name="Заголовок 3 8" xfId="3195"/>
    <cellStyle name="Заголовок 3 8 2" xfId="3196"/>
    <cellStyle name="Заголовок 3 8_46EE.2011(v1.0)" xfId="3197"/>
    <cellStyle name="Заголовок 3 9" xfId="3198"/>
    <cellStyle name="Заголовок 3 9 2" xfId="3199"/>
    <cellStyle name="Заголовок 3 9_46EE.2011(v1.0)" xfId="3200"/>
    <cellStyle name="Заголовок 4 10" xfId="3201"/>
    <cellStyle name="Заголовок 4 2" xfId="3202"/>
    <cellStyle name="Заголовок 4 2 10" xfId="3203"/>
    <cellStyle name="Заголовок 4 2 2" xfId="3204"/>
    <cellStyle name="Заголовок 4 2 2 2" xfId="3205"/>
    <cellStyle name="Заголовок 4 2 3" xfId="3206"/>
    <cellStyle name="Заголовок 4 2 4" xfId="3207"/>
    <cellStyle name="Заголовок 4 2 5" xfId="3208"/>
    <cellStyle name="Заголовок 4 2 6" xfId="3209"/>
    <cellStyle name="Заголовок 4 2 7" xfId="3210"/>
    <cellStyle name="Заголовок 4 2 8" xfId="3211"/>
    <cellStyle name="Заголовок 4 2 9" xfId="3212"/>
    <cellStyle name="Заголовок 4 2_МФ тепловой баланс 2015 дубль 3" xfId="3213"/>
    <cellStyle name="Заголовок 4 3" xfId="3214"/>
    <cellStyle name="Заголовок 4 3 10" xfId="3215"/>
    <cellStyle name="Заголовок 4 3 11" xfId="3216"/>
    <cellStyle name="Заголовок 4 3 2" xfId="3217"/>
    <cellStyle name="Заголовок 4 3 3" xfId="3218"/>
    <cellStyle name="Заголовок 4 3 4" xfId="3219"/>
    <cellStyle name="Заголовок 4 3 5" xfId="3220"/>
    <cellStyle name="Заголовок 4 3 6" xfId="3221"/>
    <cellStyle name="Заголовок 4 3 7" xfId="3222"/>
    <cellStyle name="Заголовок 4 3 8" xfId="3223"/>
    <cellStyle name="Заголовок 4 3 9" xfId="3224"/>
    <cellStyle name="Заголовок 4 3_МФ тепловой баланс 2015 дубль 3" xfId="3225"/>
    <cellStyle name="Заголовок 4 4" xfId="3226"/>
    <cellStyle name="Заголовок 4 4 2" xfId="3227"/>
    <cellStyle name="Заголовок 4 4_МФ тепловой баланс 2015 дубль 3" xfId="3228"/>
    <cellStyle name="Заголовок 4 5" xfId="3229"/>
    <cellStyle name="Заголовок 4 5 2" xfId="3230"/>
    <cellStyle name="Заголовок 4 5_МФ тепловой баланс 2015 дубль 3" xfId="3231"/>
    <cellStyle name="Заголовок 4 6" xfId="3232"/>
    <cellStyle name="Заголовок 4 6 2" xfId="3233"/>
    <cellStyle name="Заголовок 4 6_МФ тепловой баланс 2015 дубль 3" xfId="3234"/>
    <cellStyle name="Заголовок 4 7" xfId="3235"/>
    <cellStyle name="Заголовок 4 7 2" xfId="3236"/>
    <cellStyle name="Заголовок 4 7_МФ тепловой баланс 2015 дубль 3" xfId="3237"/>
    <cellStyle name="Заголовок 4 8" xfId="3238"/>
    <cellStyle name="Заголовок 4 8 2" xfId="3239"/>
    <cellStyle name="Заголовок 4 9" xfId="3240"/>
    <cellStyle name="Заголовок 4 9 2" xfId="3241"/>
    <cellStyle name="Заголовок 5" xfId="3242"/>
    <cellStyle name="Заголовок 6" xfId="3243"/>
    <cellStyle name="ЗАГОЛОВОК1" xfId="3244"/>
    <cellStyle name="ЗАГОЛОВОК2" xfId="3245"/>
    <cellStyle name="ЗаголовокСтолбца" xfId="3246"/>
    <cellStyle name="Защитный" xfId="3247"/>
    <cellStyle name="Значение" xfId="3248"/>
    <cellStyle name="Зоголовок" xfId="3249"/>
    <cellStyle name="Итог 10" xfId="3250"/>
    <cellStyle name="Итог 2" xfId="3251"/>
    <cellStyle name="Итог 2 10" xfId="3252"/>
    <cellStyle name="Итог 2 2" xfId="3253"/>
    <cellStyle name="Итог 2 2 2" xfId="3254"/>
    <cellStyle name="Итог 2 3" xfId="3255"/>
    <cellStyle name="Итог 2 4" xfId="3256"/>
    <cellStyle name="Итог 2 5" xfId="3257"/>
    <cellStyle name="Итог 2 6" xfId="3258"/>
    <cellStyle name="Итог 2 7" xfId="3259"/>
    <cellStyle name="Итог 2 8" xfId="3260"/>
    <cellStyle name="Итог 2 9" xfId="3261"/>
    <cellStyle name="Итог 2_46EE.2011(v1.0)" xfId="3262"/>
    <cellStyle name="Итог 3" xfId="3263"/>
    <cellStyle name="Итог 3 10" xfId="3264"/>
    <cellStyle name="Итог 3 11" xfId="3265"/>
    <cellStyle name="Итог 3 2" xfId="3266"/>
    <cellStyle name="Итог 3 3" xfId="3267"/>
    <cellStyle name="Итог 3 4" xfId="3268"/>
    <cellStyle name="Итог 3 5" xfId="3269"/>
    <cellStyle name="Итог 3 6" xfId="3270"/>
    <cellStyle name="Итог 3 7" xfId="3271"/>
    <cellStyle name="Итог 3 8" xfId="3272"/>
    <cellStyle name="Итог 3 9" xfId="3273"/>
    <cellStyle name="Итог 3_46EE.2011(v1.0)" xfId="3274"/>
    <cellStyle name="Итог 4" xfId="3275"/>
    <cellStyle name="Итог 4 2" xfId="3276"/>
    <cellStyle name="Итог 4_46EE.2011(v1.0)" xfId="3277"/>
    <cellStyle name="Итог 5" xfId="3278"/>
    <cellStyle name="Итог 5 2" xfId="3279"/>
    <cellStyle name="Итог 5_46EE.2011(v1.0)" xfId="3280"/>
    <cellStyle name="Итог 6" xfId="3281"/>
    <cellStyle name="Итог 6 2" xfId="3282"/>
    <cellStyle name="Итог 6_46EE.2011(v1.0)" xfId="3283"/>
    <cellStyle name="Итог 7" xfId="3284"/>
    <cellStyle name="Итог 7 2" xfId="3285"/>
    <cellStyle name="Итог 7_46EE.2011(v1.0)" xfId="3286"/>
    <cellStyle name="Итог 8" xfId="3287"/>
    <cellStyle name="Итог 8 2" xfId="3288"/>
    <cellStyle name="Итог 8_46EE.2011(v1.0)" xfId="3289"/>
    <cellStyle name="Итог 9" xfId="3290"/>
    <cellStyle name="Итог 9 2" xfId="3291"/>
    <cellStyle name="Итог 9_46EE.2011(v1.0)" xfId="3292"/>
    <cellStyle name="Итого" xfId="3293"/>
    <cellStyle name="ИТОГОВЫЙ" xfId="3294"/>
    <cellStyle name="ИТОГОВЫЙ 2" xfId="3295"/>
    <cellStyle name="ИТОГОВЫЙ 3" xfId="3296"/>
    <cellStyle name="ИТОГОВЫЙ 4" xfId="3297"/>
    <cellStyle name="ИТОГОВЫЙ 5" xfId="3298"/>
    <cellStyle name="ИТОГОВЫЙ 6" xfId="3299"/>
    <cellStyle name="ИТОГОВЫЙ 7" xfId="3300"/>
    <cellStyle name="ИТОГОВЫЙ 8" xfId="3301"/>
    <cellStyle name="ИТОГОВЫЙ 9" xfId="3302"/>
    <cellStyle name="ИТОГОВЫЙ_1" xfId="3303"/>
    <cellStyle name="Контрольная ячейка 10" xfId="3304"/>
    <cellStyle name="Контрольная ячейка 2" xfId="3305"/>
    <cellStyle name="Контрольная ячейка 2 10" xfId="3306"/>
    <cellStyle name="Контрольная ячейка 2 2" xfId="3307"/>
    <cellStyle name="Контрольная ячейка 2 2 2" xfId="3308"/>
    <cellStyle name="Контрольная ячейка 2 3" xfId="3309"/>
    <cellStyle name="Контрольная ячейка 2 4" xfId="3310"/>
    <cellStyle name="Контрольная ячейка 2 5" xfId="3311"/>
    <cellStyle name="Контрольная ячейка 2 6" xfId="3312"/>
    <cellStyle name="Контрольная ячейка 2 7" xfId="3313"/>
    <cellStyle name="Контрольная ячейка 2 8" xfId="3314"/>
    <cellStyle name="Контрольная ячейка 2 9" xfId="3315"/>
    <cellStyle name="Контрольная ячейка 2_46EE.2011(v1.0)" xfId="3316"/>
    <cellStyle name="Контрольная ячейка 3" xfId="3317"/>
    <cellStyle name="Контрольная ячейка 3 10" xfId="3318"/>
    <cellStyle name="Контрольная ячейка 3 11" xfId="3319"/>
    <cellStyle name="Контрольная ячейка 3 2" xfId="3320"/>
    <cellStyle name="Контрольная ячейка 3 3" xfId="3321"/>
    <cellStyle name="Контрольная ячейка 3 4" xfId="3322"/>
    <cellStyle name="Контрольная ячейка 3 5" xfId="3323"/>
    <cellStyle name="Контрольная ячейка 3 6" xfId="3324"/>
    <cellStyle name="Контрольная ячейка 3 7" xfId="3325"/>
    <cellStyle name="Контрольная ячейка 3 8" xfId="3326"/>
    <cellStyle name="Контрольная ячейка 3 9" xfId="3327"/>
    <cellStyle name="Контрольная ячейка 3_46EE.2011(v1.0)" xfId="3328"/>
    <cellStyle name="Контрольная ячейка 4" xfId="3329"/>
    <cellStyle name="Контрольная ячейка 4 2" xfId="3330"/>
    <cellStyle name="Контрольная ячейка 4_46EE.2011(v1.0)" xfId="3331"/>
    <cellStyle name="Контрольная ячейка 5" xfId="3332"/>
    <cellStyle name="Контрольная ячейка 5 2" xfId="3333"/>
    <cellStyle name="Контрольная ячейка 5_46EE.2011(v1.0)" xfId="3334"/>
    <cellStyle name="Контрольная ячейка 6" xfId="3335"/>
    <cellStyle name="Контрольная ячейка 6 2" xfId="3336"/>
    <cellStyle name="Контрольная ячейка 6_46EE.2011(v1.0)" xfId="3337"/>
    <cellStyle name="Контрольная ячейка 7" xfId="3338"/>
    <cellStyle name="Контрольная ячейка 7 2" xfId="3339"/>
    <cellStyle name="Контрольная ячейка 7_46EE.2011(v1.0)" xfId="3340"/>
    <cellStyle name="Контрольная ячейка 8" xfId="3341"/>
    <cellStyle name="Контрольная ячейка 8 2" xfId="3342"/>
    <cellStyle name="Контрольная ячейка 8_46EE.2011(v1.0)" xfId="3343"/>
    <cellStyle name="Контрольная ячейка 9" xfId="3344"/>
    <cellStyle name="Контрольная ячейка 9 2" xfId="3345"/>
    <cellStyle name="Контрольная ячейка 9_46EE.2011(v1.0)" xfId="3346"/>
    <cellStyle name="Миша (бланки отчетности)" xfId="3347"/>
    <cellStyle name="Мои наименования показателей" xfId="3348"/>
    <cellStyle name="Мои наименования показателей 2" xfId="3349"/>
    <cellStyle name="Мои наименования показателей 2 2" xfId="3350"/>
    <cellStyle name="Мои наименования показателей 2 3" xfId="3351"/>
    <cellStyle name="Мои наименования показателей 2 4" xfId="3352"/>
    <cellStyle name="Мои наименования показателей 2 5" xfId="3353"/>
    <cellStyle name="Мои наименования показателей 2 6" xfId="3354"/>
    <cellStyle name="Мои наименования показателей 2 7" xfId="3355"/>
    <cellStyle name="Мои наименования показателей 2 8" xfId="3356"/>
    <cellStyle name="Мои наименования показателей 2 9" xfId="3357"/>
    <cellStyle name="Мои наименования показателей 2_1" xfId="3358"/>
    <cellStyle name="Мои наименования показателей 3" xfId="3359"/>
    <cellStyle name="Мои наименования показателей 3 2" xfId="3360"/>
    <cellStyle name="Мои наименования показателей 3 3" xfId="3361"/>
    <cellStyle name="Мои наименования показателей 3 4" xfId="3362"/>
    <cellStyle name="Мои наименования показателей 3 5" xfId="3363"/>
    <cellStyle name="Мои наименования показателей 3 6" xfId="3364"/>
    <cellStyle name="Мои наименования показателей 3 7" xfId="3365"/>
    <cellStyle name="Мои наименования показателей 3 8" xfId="3366"/>
    <cellStyle name="Мои наименования показателей 3 9" xfId="3367"/>
    <cellStyle name="Мои наименования показателей 3_1" xfId="3368"/>
    <cellStyle name="Мои наименования показателей 4" xfId="3369"/>
    <cellStyle name="Мои наименования показателей 4 2" xfId="3370"/>
    <cellStyle name="Мои наименования показателей 4 3" xfId="3371"/>
    <cellStyle name="Мои наименования показателей 4 4" xfId="3372"/>
    <cellStyle name="Мои наименования показателей 4 5" xfId="3373"/>
    <cellStyle name="Мои наименования показателей 4 6" xfId="3374"/>
    <cellStyle name="Мои наименования показателей 4 7" xfId="3375"/>
    <cellStyle name="Мои наименования показателей 4 8" xfId="3376"/>
    <cellStyle name="Мои наименования показателей 4 9" xfId="3377"/>
    <cellStyle name="Мои наименования показателей 4_1" xfId="3378"/>
    <cellStyle name="Мои наименования показателей 5" xfId="3379"/>
    <cellStyle name="Мои наименования показателей 5 2" xfId="3380"/>
    <cellStyle name="Мои наименования показателей 5 3" xfId="3381"/>
    <cellStyle name="Мои наименования показателей 5 4" xfId="3382"/>
    <cellStyle name="Мои наименования показателей 5 5" xfId="3383"/>
    <cellStyle name="Мои наименования показателей 5 6" xfId="3384"/>
    <cellStyle name="Мои наименования показателей 5 7" xfId="3385"/>
    <cellStyle name="Мои наименования показателей 5 8" xfId="3386"/>
    <cellStyle name="Мои наименования показателей 5 9" xfId="3387"/>
    <cellStyle name="Мои наименования показателей 5_1" xfId="3388"/>
    <cellStyle name="Мои наименования показателей 6" xfId="3389"/>
    <cellStyle name="Мои наименования показателей 6 2" xfId="3390"/>
    <cellStyle name="Мои наименования показателей 6 3" xfId="3391"/>
    <cellStyle name="Мои наименования показателей 6_46EE.2011(v1.0)" xfId="3392"/>
    <cellStyle name="Мои наименования показателей 7" xfId="3393"/>
    <cellStyle name="Мои наименования показателей 7 2" xfId="3394"/>
    <cellStyle name="Мои наименования показателей 7 3" xfId="3395"/>
    <cellStyle name="Мои наименования показателей 7_46EE.2011(v1.0)" xfId="3396"/>
    <cellStyle name="Мои наименования показателей 8" xfId="3397"/>
    <cellStyle name="Мои наименования показателей 8 2" xfId="3398"/>
    <cellStyle name="Мои наименования показателей 8 3" xfId="3399"/>
    <cellStyle name="Мои наименования показателей 8_46EE.2011(v1.0)" xfId="3400"/>
    <cellStyle name="Мои наименования показателей_46EE.2011" xfId="3401"/>
    <cellStyle name="Мой заголовок" xfId="3402"/>
    <cellStyle name="Мой заголовок листа" xfId="3403"/>
    <cellStyle name="Мой заголовок листа 2" xfId="3404"/>
    <cellStyle name="Мой заголовок_Новая инструкция1_фст" xfId="3405"/>
    <cellStyle name="назв фил" xfId="3406"/>
    <cellStyle name="Название 10" xfId="3407"/>
    <cellStyle name="Название 2" xfId="3408"/>
    <cellStyle name="Название 2 10" xfId="3409"/>
    <cellStyle name="Название 2 2" xfId="3410"/>
    <cellStyle name="Название 2 3" xfId="3411"/>
    <cellStyle name="Название 2 4" xfId="3412"/>
    <cellStyle name="Название 2 5" xfId="3413"/>
    <cellStyle name="Название 2 6" xfId="3414"/>
    <cellStyle name="Название 2 7" xfId="3415"/>
    <cellStyle name="Название 2 8" xfId="3416"/>
    <cellStyle name="Название 2 9" xfId="3417"/>
    <cellStyle name="Название 3" xfId="3418"/>
    <cellStyle name="Название 3 10" xfId="3419"/>
    <cellStyle name="Название 3 2" xfId="3420"/>
    <cellStyle name="Название 3 3" xfId="3421"/>
    <cellStyle name="Название 3 4" xfId="3422"/>
    <cellStyle name="Название 3 5" xfId="3423"/>
    <cellStyle name="Название 3 6" xfId="3424"/>
    <cellStyle name="Название 3 7" xfId="3425"/>
    <cellStyle name="Название 3 8" xfId="3426"/>
    <cellStyle name="Название 3 9" xfId="3427"/>
    <cellStyle name="Название 4" xfId="3428"/>
    <cellStyle name="Название 4 2" xfId="3429"/>
    <cellStyle name="Название 5" xfId="3430"/>
    <cellStyle name="Название 5 2" xfId="3431"/>
    <cellStyle name="Название 6" xfId="3432"/>
    <cellStyle name="Название 6 2" xfId="3433"/>
    <cellStyle name="Название 7" xfId="3434"/>
    <cellStyle name="Название 7 2" xfId="3435"/>
    <cellStyle name="Название 8" xfId="3436"/>
    <cellStyle name="Название 8 2" xfId="3437"/>
    <cellStyle name="Название 9" xfId="3438"/>
    <cellStyle name="Название 9 2" xfId="3439"/>
    <cellStyle name="Невидимый" xfId="3440"/>
    <cellStyle name="Нейтральный 10" xfId="3441"/>
    <cellStyle name="Нейтральный 2" xfId="3442"/>
    <cellStyle name="Нейтральный 2 10" xfId="3443"/>
    <cellStyle name="Нейтральный 2 2" xfId="3444"/>
    <cellStyle name="Нейтральный 2 2 2" xfId="3445"/>
    <cellStyle name="Нейтральный 2 3" xfId="3446"/>
    <cellStyle name="Нейтральный 2 4" xfId="3447"/>
    <cellStyle name="Нейтральный 2 5" xfId="3448"/>
    <cellStyle name="Нейтральный 2 6" xfId="3449"/>
    <cellStyle name="Нейтральный 2 7" xfId="3450"/>
    <cellStyle name="Нейтральный 2 8" xfId="3451"/>
    <cellStyle name="Нейтральный 2 9" xfId="3452"/>
    <cellStyle name="Нейтральный 2_МФ тепловой баланс 2015 дубль 3" xfId="3453"/>
    <cellStyle name="Нейтральный 3" xfId="3454"/>
    <cellStyle name="Нейтральный 3 10" xfId="3455"/>
    <cellStyle name="Нейтральный 3 11" xfId="3456"/>
    <cellStyle name="Нейтральный 3 2" xfId="3457"/>
    <cellStyle name="Нейтральный 3 3" xfId="3458"/>
    <cellStyle name="Нейтральный 3 4" xfId="3459"/>
    <cellStyle name="Нейтральный 3 5" xfId="3460"/>
    <cellStyle name="Нейтральный 3 6" xfId="3461"/>
    <cellStyle name="Нейтральный 3 7" xfId="3462"/>
    <cellStyle name="Нейтральный 3 8" xfId="3463"/>
    <cellStyle name="Нейтральный 3 9" xfId="3464"/>
    <cellStyle name="Нейтральный 3_МФ тепловой баланс 2015 дубль 3" xfId="3465"/>
    <cellStyle name="Нейтральный 4" xfId="3466"/>
    <cellStyle name="Нейтральный 4 2" xfId="3467"/>
    <cellStyle name="Нейтральный 4_МФ тепловой баланс 2015 дубль 3" xfId="3468"/>
    <cellStyle name="Нейтральный 5" xfId="3469"/>
    <cellStyle name="Нейтральный 5 2" xfId="3470"/>
    <cellStyle name="Нейтральный 5_МФ тепловой баланс 2015 дубль 3" xfId="3471"/>
    <cellStyle name="Нейтральный 6" xfId="3472"/>
    <cellStyle name="Нейтральный 6 2" xfId="3473"/>
    <cellStyle name="Нейтральный 6_МФ тепловой баланс 2015 дубль 3" xfId="3474"/>
    <cellStyle name="Нейтральный 7" xfId="3475"/>
    <cellStyle name="Нейтральный 7 2" xfId="3476"/>
    <cellStyle name="Нейтральный 7_МФ тепловой баланс 2015 дубль 3" xfId="3477"/>
    <cellStyle name="Нейтральный 8" xfId="3478"/>
    <cellStyle name="Нейтральный 8 2" xfId="3479"/>
    <cellStyle name="Нейтральный 9" xfId="3480"/>
    <cellStyle name="Нейтральный 9 2" xfId="3481"/>
    <cellStyle name="Низ1" xfId="3482"/>
    <cellStyle name="Низ2" xfId="3483"/>
    <cellStyle name="Обычный" xfId="0" builtinId="0"/>
    <cellStyle name="Обычный 10" xfId="2"/>
    <cellStyle name="Обычный 10 2" xfId="3484"/>
    <cellStyle name="Обычный 10 2 2" xfId="3485"/>
    <cellStyle name="Обычный 10 2 2 2" xfId="3486"/>
    <cellStyle name="Обычный 10 2 3" xfId="3487"/>
    <cellStyle name="Обычный 10 2 4" xfId="3488"/>
    <cellStyle name="Обычный 10 2 4 2" xfId="4"/>
    <cellStyle name="Обычный 10 2 5" xfId="3489"/>
    <cellStyle name="Обычный 10 3" xfId="3490"/>
    <cellStyle name="Обычный 10 3 2" xfId="3491"/>
    <cellStyle name="Обычный 10 4" xfId="3492"/>
    <cellStyle name="Обычный 10 5" xfId="3493"/>
    <cellStyle name="Обычный 10 6" xfId="3494"/>
    <cellStyle name="Обычный 10 6 2" xfId="3495"/>
    <cellStyle name="Обычный 10 7" xfId="3496"/>
    <cellStyle name="Обычный 11" xfId="3497"/>
    <cellStyle name="Обычный 11 2" xfId="3498"/>
    <cellStyle name="Обычный 11 3" xfId="3499"/>
    <cellStyle name="Обычный 11 4" xfId="3500"/>
    <cellStyle name="Обычный 11 4 2" xfId="3501"/>
    <cellStyle name="Обычный 11 5" xfId="3502"/>
    <cellStyle name="Обычный 11 5 2" xfId="3503"/>
    <cellStyle name="Обычный 11 6" xfId="3504"/>
    <cellStyle name="Обычный 11 7" xfId="3505"/>
    <cellStyle name="Обычный 11 8" xfId="3506"/>
    <cellStyle name="Обычный 11_46EE.2011(v1.2)" xfId="3507"/>
    <cellStyle name="Обычный 12" xfId="3508"/>
    <cellStyle name="Обычный 12 2" xfId="3509"/>
    <cellStyle name="Обычный 12 2 2" xfId="3510"/>
    <cellStyle name="Обычный 12 2 2 2" xfId="3511"/>
    <cellStyle name="Обычный 12 2 3" xfId="3512"/>
    <cellStyle name="Обычный 12 3" xfId="3513"/>
    <cellStyle name="Обычный 12 3 2" xfId="3514"/>
    <cellStyle name="Обычный 12 3 2 2" xfId="3515"/>
    <cellStyle name="Обычный 12 4" xfId="3516"/>
    <cellStyle name="Обычный 12 5" xfId="3517"/>
    <cellStyle name="Обычный 12 5 2" xfId="3518"/>
    <cellStyle name="Обычный 12 5 2 2" xfId="3519"/>
    <cellStyle name="Обычный 12 5 3" xfId="3520"/>
    <cellStyle name="Обычный 12 6" xfId="3521"/>
    <cellStyle name="Обычный 13" xfId="3522"/>
    <cellStyle name="Обычный 13 2" xfId="3523"/>
    <cellStyle name="Обычный 14" xfId="3524"/>
    <cellStyle name="Обычный 14 2" xfId="3525"/>
    <cellStyle name="Обычный 15" xfId="3526"/>
    <cellStyle name="Обычный 15 2" xfId="3527"/>
    <cellStyle name="Обычный 15 2 2" xfId="3528"/>
    <cellStyle name="Обычный 15 3" xfId="3529"/>
    <cellStyle name="Обычный 16" xfId="3530"/>
    <cellStyle name="Обычный 16 2" xfId="3531"/>
    <cellStyle name="Обычный 16 3" xfId="3532"/>
    <cellStyle name="Обычный 17" xfId="3533"/>
    <cellStyle name="Обычный 17 2" xfId="3534"/>
    <cellStyle name="Обычный 17 3" xfId="3535"/>
    <cellStyle name="Обычный 18" xfId="3536"/>
    <cellStyle name="Обычный 18 2" xfId="3537"/>
    <cellStyle name="Обычный 19" xfId="4507"/>
    <cellStyle name="Обычный 19 2" xfId="3538"/>
    <cellStyle name="Обычный 2" xfId="3"/>
    <cellStyle name="Обычный 2 10" xfId="3539"/>
    <cellStyle name="Обычный 2 10 2" xfId="3540"/>
    <cellStyle name="Обычный 2 10 3" xfId="3541"/>
    <cellStyle name="Обычный 2 11" xfId="3542"/>
    <cellStyle name="Обычный 2 11 2" xfId="3543"/>
    <cellStyle name="Обычный 2 12" xfId="3544"/>
    <cellStyle name="Обычный 2 12 2" xfId="3545"/>
    <cellStyle name="Обычный 2 13" xfId="3546"/>
    <cellStyle name="Обычный 2 13 2" xfId="3547"/>
    <cellStyle name="Обычный 2 14" xfId="3548"/>
    <cellStyle name="Обычный 2 15" xfId="3549"/>
    <cellStyle name="Обычный 2 16" xfId="3550"/>
    <cellStyle name="Обычный 2 17" xfId="4517"/>
    <cellStyle name="Обычный 2 2" xfId="3551"/>
    <cellStyle name="Обычный 2 2 2" xfId="3552"/>
    <cellStyle name="Обычный 2 2 2 2" xfId="3553"/>
    <cellStyle name="Обычный 2 2 3" xfId="3554"/>
    <cellStyle name="Обычный 2 2 4" xfId="3555"/>
    <cellStyle name="Обычный 2 2 4 2" xfId="3556"/>
    <cellStyle name="Обычный 2 2 5" xfId="3557"/>
    <cellStyle name="Обычный 2 2 6" xfId="3558"/>
    <cellStyle name="Обычный 2 2 7" xfId="3559"/>
    <cellStyle name="Обычный 2 2 8" xfId="3560"/>
    <cellStyle name="Обычный 2 2_2014 АрхТепло Производственная" xfId="3561"/>
    <cellStyle name="Обычный 2 3" xfId="3562"/>
    <cellStyle name="Обычный 2 3 2" xfId="3563"/>
    <cellStyle name="Обычный 2 3 3" xfId="3564"/>
    <cellStyle name="Обычный 2 3 3 2" xfId="3565"/>
    <cellStyle name="Обычный 2 3 4" xfId="3566"/>
    <cellStyle name="Обычный 2 3 5" xfId="3567"/>
    <cellStyle name="Обычный 2 3 5 2" xfId="3568"/>
    <cellStyle name="Обычный 2 3 6" xfId="3569"/>
    <cellStyle name="Обычный 2 3_46EE.2011(v1.0)" xfId="3570"/>
    <cellStyle name="Обычный 2 4" xfId="3571"/>
    <cellStyle name="Обычный 2 4 2" xfId="3572"/>
    <cellStyle name="Обычный 2 4 2 2" xfId="3573"/>
    <cellStyle name="Обычный 2 4 2 2 2" xfId="3574"/>
    <cellStyle name="Обычный 2 4 3" xfId="3575"/>
    <cellStyle name="Обычный 2 4 3 2" xfId="3576"/>
    <cellStyle name="Обычный 2 4 4" xfId="3577"/>
    <cellStyle name="Обычный 2 4_46EE.2011(v1.0)" xfId="3578"/>
    <cellStyle name="Обычный 2 5" xfId="3579"/>
    <cellStyle name="Обычный 2 5 2" xfId="3580"/>
    <cellStyle name="Обычный 2 5 2 2" xfId="3581"/>
    <cellStyle name="Обычный 2 5 3" xfId="3582"/>
    <cellStyle name="Обычный 2 5 3 2" xfId="3583"/>
    <cellStyle name="Обычный 2 5 4" xfId="3584"/>
    <cellStyle name="Обычный 2 5 5" xfId="3585"/>
    <cellStyle name="Обычный 2 5_46EE.2011(v1.0)" xfId="3586"/>
    <cellStyle name="Обычный 2 6" xfId="3587"/>
    <cellStyle name="Обычный 2 6 2" xfId="3588"/>
    <cellStyle name="Обычный 2 6 2 2" xfId="3589"/>
    <cellStyle name="Обычный 2 6 2 2 2" xfId="3590"/>
    <cellStyle name="Обычный 2 6 3" xfId="3591"/>
    <cellStyle name="Обычный 2 6 3 2" xfId="3592"/>
    <cellStyle name="Обычный 2 6_46EE.2011(v1.0)" xfId="3593"/>
    <cellStyle name="Обычный 2 7" xfId="3594"/>
    <cellStyle name="Обычный 2 7 2" xfId="3595"/>
    <cellStyle name="Обычный 2 7 2 2" xfId="3596"/>
    <cellStyle name="Обычный 2 7 3" xfId="3597"/>
    <cellStyle name="Обычный 2 8" xfId="3598"/>
    <cellStyle name="Обычный 2 8 2" xfId="3599"/>
    <cellStyle name="Обычный 2 9" xfId="3600"/>
    <cellStyle name="Обычный 2 9 2" xfId="3601"/>
    <cellStyle name="Обычный 2___Тариф ТЭ 2012 Мезенский филиал 26.04.11" xfId="3602"/>
    <cellStyle name="Обычный 20" xfId="3603"/>
    <cellStyle name="Обычный 20 2" xfId="3604"/>
    <cellStyle name="Обычный 20 3" xfId="3605"/>
    <cellStyle name="Обычный 21" xfId="3606"/>
    <cellStyle name="Обычный 21 2" xfId="3607"/>
    <cellStyle name="Обычный 21 3" xfId="3608"/>
    <cellStyle name="Обычный 22" xfId="3609"/>
    <cellStyle name="Обычный 22 2" xfId="3610"/>
    <cellStyle name="Обычный 22 3" xfId="3611"/>
    <cellStyle name="Обычный 23" xfId="3612"/>
    <cellStyle name="Обычный 23 2" xfId="3613"/>
    <cellStyle name="Обычный 24" xfId="3614"/>
    <cellStyle name="Обычный 24 2" xfId="3615"/>
    <cellStyle name="Обычный 25" xfId="4509"/>
    <cellStyle name="Обычный 25 2" xfId="4520"/>
    <cellStyle name="Обычный 26" xfId="4514"/>
    <cellStyle name="Обычный 26 2" xfId="4519"/>
    <cellStyle name="Обычный 27" xfId="3616"/>
    <cellStyle name="Обычный 28" xfId="4515"/>
    <cellStyle name="Обычный 29" xfId="4516"/>
    <cellStyle name="Обычный 29 2" xfId="4518"/>
    <cellStyle name="Обычный 3" xfId="3617"/>
    <cellStyle name="Обычный 3 2" xfId="3618"/>
    <cellStyle name="Обычный 3 2 2" xfId="3619"/>
    <cellStyle name="Обычный 3 2 3" xfId="3620"/>
    <cellStyle name="Обычный 3 2 4" xfId="3621"/>
    <cellStyle name="Обычный 3 3" xfId="3622"/>
    <cellStyle name="Обычный 3 3 2" xfId="3623"/>
    <cellStyle name="Обычный 3 3 2 2" xfId="3624"/>
    <cellStyle name="Обычный 3 3 2 3" xfId="3625"/>
    <cellStyle name="Обычный 3 3 3" xfId="3626"/>
    <cellStyle name="Обычный 3 3 4" xfId="3627"/>
    <cellStyle name="Обычный 3 4" xfId="3628"/>
    <cellStyle name="Обычный 3 4 2" xfId="3629"/>
    <cellStyle name="Обычный 3 4 3" xfId="3630"/>
    <cellStyle name="Обычный 3 5" xfId="3631"/>
    <cellStyle name="Обычный 3 5 2" xfId="3632"/>
    <cellStyle name="Обычный 3 6" xfId="3633"/>
    <cellStyle name="Обычный 3 6 2" xfId="3634"/>
    <cellStyle name="Обычный 3 6 2 2" xfId="3635"/>
    <cellStyle name="Обычный 3 7" xfId="3636"/>
    <cellStyle name="Обычный 3 8" xfId="3637"/>
    <cellStyle name="Обычный 3 9" xfId="3638"/>
    <cellStyle name="Обычный 3___Тариф ТЭ 2012 Мезенский филиал 26.04.11" xfId="3639"/>
    <cellStyle name="Обычный 4" xfId="3640"/>
    <cellStyle name="Обычный 4 10" xfId="3641"/>
    <cellStyle name="Обычный 4 11" xfId="3642"/>
    <cellStyle name="Обычный 4 11 2" xfId="3643"/>
    <cellStyle name="Обычный 4 2" xfId="3644"/>
    <cellStyle name="Обычный 4 2 2" xfId="3645"/>
    <cellStyle name="Обычный 4 2 2 2" xfId="3646"/>
    <cellStyle name="Обычный 4 2 2 2 2" xfId="3647"/>
    <cellStyle name="Обычный 4 2 2 3" xfId="3648"/>
    <cellStyle name="Обычный 4 2 2 3 2" xfId="3649"/>
    <cellStyle name="Обычный 4 2 3" xfId="3650"/>
    <cellStyle name="Обычный 4 2 3 2" xfId="3651"/>
    <cellStyle name="Обычный 4 2 4" xfId="3652"/>
    <cellStyle name="Обычный 4 2_46EP.2012(v0.1)" xfId="3653"/>
    <cellStyle name="Обычный 4 3" xfId="3654"/>
    <cellStyle name="Обычный 4 3 2" xfId="3655"/>
    <cellStyle name="Обычный 4 4" xfId="3656"/>
    <cellStyle name="Обычный 4 4 2" xfId="3657"/>
    <cellStyle name="Обычный 4 5" xfId="3658"/>
    <cellStyle name="Обычный 4 5 2" xfId="3659"/>
    <cellStyle name="Обычный 4 6" xfId="3660"/>
    <cellStyle name="Обычный 4 6 10" xfId="3661"/>
    <cellStyle name="Обычный 4 6 10 2" xfId="3662"/>
    <cellStyle name="Обычный 4 6 11" xfId="3663"/>
    <cellStyle name="Обычный 4 6 11 2" xfId="3664"/>
    <cellStyle name="Обычный 4 6 12" xfId="3665"/>
    <cellStyle name="Обычный 4 6 12 2" xfId="3666"/>
    <cellStyle name="Обычный 4 6 13" xfId="3667"/>
    <cellStyle name="Обычный 4 6 2" xfId="3668"/>
    <cellStyle name="Обычный 4 6 2 2" xfId="3669"/>
    <cellStyle name="Обычный 4 6 2 2 2" xfId="3670"/>
    <cellStyle name="Обычный 4 6 2 3" xfId="3671"/>
    <cellStyle name="Обычный 4 6 3" xfId="3672"/>
    <cellStyle name="Обычный 4 6 3 2" xfId="3673"/>
    <cellStyle name="Обычный 4 6 3 2 2" xfId="3674"/>
    <cellStyle name="Обычный 4 6 3 3" xfId="3675"/>
    <cellStyle name="Обычный 4 6 4" xfId="3676"/>
    <cellStyle name="Обычный 4 6 4 2" xfId="3677"/>
    <cellStyle name="Обычный 4 6 4 2 2" xfId="3678"/>
    <cellStyle name="Обычный 4 6 4 3" xfId="3679"/>
    <cellStyle name="Обычный 4 6 5" xfId="3680"/>
    <cellStyle name="Обычный 4 6 5 2" xfId="3681"/>
    <cellStyle name="Обычный 4 6 5 2 2" xfId="3682"/>
    <cellStyle name="Обычный 4 6 5 3" xfId="3683"/>
    <cellStyle name="Обычный 4 6 6" xfId="3684"/>
    <cellStyle name="Обычный 4 6 6 2" xfId="3685"/>
    <cellStyle name="Обычный 4 6 6 2 2" xfId="3686"/>
    <cellStyle name="Обычный 4 6 6 3" xfId="3687"/>
    <cellStyle name="Обычный 4 6 7" xfId="3688"/>
    <cellStyle name="Обычный 4 6 7 2" xfId="3689"/>
    <cellStyle name="Обычный 4 6 7 2 2" xfId="3690"/>
    <cellStyle name="Обычный 4 6 7 3" xfId="3691"/>
    <cellStyle name="Обычный 4 6 8" xfId="3692"/>
    <cellStyle name="Обычный 4 6 8 2" xfId="3693"/>
    <cellStyle name="Обычный 4 6 8 2 2" xfId="3694"/>
    <cellStyle name="Обычный 4 6 8 3" xfId="3695"/>
    <cellStyle name="Обычный 4 6 9" xfId="3696"/>
    <cellStyle name="Обычный 4 6 9 2" xfId="3697"/>
    <cellStyle name="Обычный 4 6 9 2 2" xfId="3698"/>
    <cellStyle name="Обычный 4 6 9 3" xfId="3699"/>
    <cellStyle name="Обычный 4 7" xfId="3700"/>
    <cellStyle name="Обычный 4 7 10" xfId="3701"/>
    <cellStyle name="Обычный 4 7 10 2" xfId="3702"/>
    <cellStyle name="Обычный 4 7 11" xfId="3703"/>
    <cellStyle name="Обычный 4 7 11 2" xfId="3704"/>
    <cellStyle name="Обычный 4 7 12" xfId="3705"/>
    <cellStyle name="Обычный 4 7 2" xfId="3706"/>
    <cellStyle name="Обычный 4 7 2 2" xfId="3707"/>
    <cellStyle name="Обычный 4 7 2 2 2" xfId="3708"/>
    <cellStyle name="Обычный 4 7 2 3" xfId="3709"/>
    <cellStyle name="Обычный 4 7 3" xfId="3710"/>
    <cellStyle name="Обычный 4 7 3 2" xfId="3711"/>
    <cellStyle name="Обычный 4 7 3 2 2" xfId="3712"/>
    <cellStyle name="Обычный 4 7 3 3" xfId="3713"/>
    <cellStyle name="Обычный 4 7 4" xfId="3714"/>
    <cellStyle name="Обычный 4 7 4 2" xfId="3715"/>
    <cellStyle name="Обычный 4 7 4 2 2" xfId="3716"/>
    <cellStyle name="Обычный 4 7 4 3" xfId="3717"/>
    <cellStyle name="Обычный 4 7 5" xfId="3718"/>
    <cellStyle name="Обычный 4 7 5 2" xfId="3719"/>
    <cellStyle name="Обычный 4 7 5 2 2" xfId="3720"/>
    <cellStyle name="Обычный 4 7 5 3" xfId="3721"/>
    <cellStyle name="Обычный 4 7 6" xfId="3722"/>
    <cellStyle name="Обычный 4 7 6 2" xfId="3723"/>
    <cellStyle name="Обычный 4 7 6 2 2" xfId="3724"/>
    <cellStyle name="Обычный 4 7 6 3" xfId="3725"/>
    <cellStyle name="Обычный 4 7 7" xfId="3726"/>
    <cellStyle name="Обычный 4 7 7 2" xfId="3727"/>
    <cellStyle name="Обычный 4 7 7 2 2" xfId="3728"/>
    <cellStyle name="Обычный 4 7 7 3" xfId="3729"/>
    <cellStyle name="Обычный 4 7 8" xfId="3730"/>
    <cellStyle name="Обычный 4 7 8 2" xfId="3731"/>
    <cellStyle name="Обычный 4 7 8 2 2" xfId="3732"/>
    <cellStyle name="Обычный 4 7 8 3" xfId="3733"/>
    <cellStyle name="Обычный 4 7 9" xfId="3734"/>
    <cellStyle name="Обычный 4 7 9 2" xfId="3735"/>
    <cellStyle name="Обычный 4 7 9 2 2" xfId="3736"/>
    <cellStyle name="Обычный 4 7 9 3" xfId="3737"/>
    <cellStyle name="Обычный 4 8" xfId="3738"/>
    <cellStyle name="Обычный 4 8 10" xfId="3739"/>
    <cellStyle name="Обычный 4 8 10 2" xfId="3740"/>
    <cellStyle name="Обычный 4 8 11" xfId="3741"/>
    <cellStyle name="Обычный 4 8 11 2" xfId="3742"/>
    <cellStyle name="Обычный 4 8 12" xfId="3743"/>
    <cellStyle name="Обычный 4 8 2" xfId="3744"/>
    <cellStyle name="Обычный 4 8 2 2" xfId="3745"/>
    <cellStyle name="Обычный 4 8 2 2 2" xfId="3746"/>
    <cellStyle name="Обычный 4 8 2 3" xfId="3747"/>
    <cellStyle name="Обычный 4 8 3" xfId="3748"/>
    <cellStyle name="Обычный 4 8 3 2" xfId="3749"/>
    <cellStyle name="Обычный 4 8 3 2 2" xfId="3750"/>
    <cellStyle name="Обычный 4 8 3 3" xfId="3751"/>
    <cellStyle name="Обычный 4 8 4" xfId="3752"/>
    <cellStyle name="Обычный 4 8 4 2" xfId="3753"/>
    <cellStyle name="Обычный 4 8 4 2 2" xfId="3754"/>
    <cellStyle name="Обычный 4 8 4 3" xfId="3755"/>
    <cellStyle name="Обычный 4 8 5" xfId="3756"/>
    <cellStyle name="Обычный 4 8 5 2" xfId="3757"/>
    <cellStyle name="Обычный 4 8 5 2 2" xfId="3758"/>
    <cellStyle name="Обычный 4 8 5 3" xfId="3759"/>
    <cellStyle name="Обычный 4 8 6" xfId="3760"/>
    <cellStyle name="Обычный 4 8 6 2" xfId="3761"/>
    <cellStyle name="Обычный 4 8 6 2 2" xfId="3762"/>
    <cellStyle name="Обычный 4 8 6 3" xfId="3763"/>
    <cellStyle name="Обычный 4 8 7" xfId="3764"/>
    <cellStyle name="Обычный 4 8 7 2" xfId="3765"/>
    <cellStyle name="Обычный 4 8 7 2 2" xfId="3766"/>
    <cellStyle name="Обычный 4 8 7 3" xfId="3767"/>
    <cellStyle name="Обычный 4 8 8" xfId="3768"/>
    <cellStyle name="Обычный 4 8 8 2" xfId="3769"/>
    <cellStyle name="Обычный 4 8 8 2 2" xfId="3770"/>
    <cellStyle name="Обычный 4 8 8 3" xfId="3771"/>
    <cellStyle name="Обычный 4 8 9" xfId="3772"/>
    <cellStyle name="Обычный 4 8 9 2" xfId="3773"/>
    <cellStyle name="Обычный 4 8 9 2 2" xfId="3774"/>
    <cellStyle name="Обычный 4 8 9 3" xfId="3775"/>
    <cellStyle name="Обычный 4 9" xfId="3776"/>
    <cellStyle name="Обычный 4 9 10" xfId="3777"/>
    <cellStyle name="Обычный 4 9 10 2" xfId="3778"/>
    <cellStyle name="Обычный 4 9 11" xfId="3779"/>
    <cellStyle name="Обычный 4 9 11 2" xfId="3780"/>
    <cellStyle name="Обычный 4 9 12" xfId="3781"/>
    <cellStyle name="Обычный 4 9 2" xfId="3782"/>
    <cellStyle name="Обычный 4 9 2 2" xfId="3783"/>
    <cellStyle name="Обычный 4 9 2 2 2" xfId="3784"/>
    <cellStyle name="Обычный 4 9 2 3" xfId="3785"/>
    <cellStyle name="Обычный 4 9 3" xfId="3786"/>
    <cellStyle name="Обычный 4 9 3 2" xfId="3787"/>
    <cellStyle name="Обычный 4 9 3 2 2" xfId="3788"/>
    <cellStyle name="Обычный 4 9 3 3" xfId="3789"/>
    <cellStyle name="Обычный 4 9 4" xfId="3790"/>
    <cellStyle name="Обычный 4 9 4 2" xfId="3791"/>
    <cellStyle name="Обычный 4 9 4 2 2" xfId="3792"/>
    <cellStyle name="Обычный 4 9 4 3" xfId="3793"/>
    <cellStyle name="Обычный 4 9 5" xfId="3794"/>
    <cellStyle name="Обычный 4 9 5 2" xfId="3795"/>
    <cellStyle name="Обычный 4 9 5 2 2" xfId="3796"/>
    <cellStyle name="Обычный 4 9 5 3" xfId="3797"/>
    <cellStyle name="Обычный 4 9 6" xfId="3798"/>
    <cellStyle name="Обычный 4 9 6 2" xfId="3799"/>
    <cellStyle name="Обычный 4 9 6 2 2" xfId="3800"/>
    <cellStyle name="Обычный 4 9 6 3" xfId="3801"/>
    <cellStyle name="Обычный 4 9 7" xfId="3802"/>
    <cellStyle name="Обычный 4 9 7 2" xfId="3803"/>
    <cellStyle name="Обычный 4 9 7 2 2" xfId="3804"/>
    <cellStyle name="Обычный 4 9 7 3" xfId="3805"/>
    <cellStyle name="Обычный 4 9 8" xfId="3806"/>
    <cellStyle name="Обычный 4 9 8 2" xfId="3807"/>
    <cellStyle name="Обычный 4 9 8 2 2" xfId="3808"/>
    <cellStyle name="Обычный 4 9 8 3" xfId="3809"/>
    <cellStyle name="Обычный 4 9 9" xfId="3810"/>
    <cellStyle name="Обычный 4 9 9 2" xfId="3811"/>
    <cellStyle name="Обычный 4 9 9 2 2" xfId="3812"/>
    <cellStyle name="Обычный 4 9 9 3" xfId="3813"/>
    <cellStyle name="Обычный 4_2014 АрхТепло Производственная" xfId="3814"/>
    <cellStyle name="Обычный 5" xfId="3815"/>
    <cellStyle name="Обычный 5 2" xfId="3816"/>
    <cellStyle name="Обычный 5 2 2" xfId="3817"/>
    <cellStyle name="Обычный 5 2 3" xfId="3818"/>
    <cellStyle name="Обычный 5 2 4" xfId="3819"/>
    <cellStyle name="Обычный 5 3" xfId="3820"/>
    <cellStyle name="Обычный 5 4" xfId="3821"/>
    <cellStyle name="Обычный 5 5" xfId="3822"/>
    <cellStyle name="Обычный 5 5 2" xfId="3823"/>
    <cellStyle name="Обычный 5 6" xfId="3824"/>
    <cellStyle name="Обычный 5 6 2" xfId="3825"/>
    <cellStyle name="Обычный 5 7" xfId="3826"/>
    <cellStyle name="Обычный 5 8" xfId="3827"/>
    <cellStyle name="Обычный 5 8 2" xfId="3828"/>
    <cellStyle name="Обычный 5_Мероприятия для тарифной каипании" xfId="3829"/>
    <cellStyle name="Обычный 6" xfId="3830"/>
    <cellStyle name="Обычный 6 2" xfId="3831"/>
    <cellStyle name="Обычный 6 2 2" xfId="3832"/>
    <cellStyle name="Обычный 6 2 3" xfId="3833"/>
    <cellStyle name="Обычный 6 3" xfId="3834"/>
    <cellStyle name="Обычный 6 3 2" xfId="3835"/>
    <cellStyle name="Обычный 6 4" xfId="3836"/>
    <cellStyle name="Обычный 6 4 2" xfId="3837"/>
    <cellStyle name="Обычный 6 5" xfId="3838"/>
    <cellStyle name="Обычный 6 5 2" xfId="3839"/>
    <cellStyle name="Обычный 6 6" xfId="3840"/>
    <cellStyle name="Обычный 6 6 2" xfId="3841"/>
    <cellStyle name="Обычный 6 7" xfId="3842"/>
    <cellStyle name="Обычный 6_Перерасчет тепловой энергии ООО Березниковское ТСП  на 2013" xfId="3843"/>
    <cellStyle name="Обычный 7" xfId="3844"/>
    <cellStyle name="Обычный 7 10" xfId="3845"/>
    <cellStyle name="Обычный 7 10 2" xfId="3846"/>
    <cellStyle name="Обычный 7 11" xfId="3847"/>
    <cellStyle name="Обычный 7 11 2" xfId="3848"/>
    <cellStyle name="Обычный 7 12" xfId="3849"/>
    <cellStyle name="Обычный 7 2" xfId="3850"/>
    <cellStyle name="Обычный 7 2 2" xfId="3851"/>
    <cellStyle name="Обычный 7 2 2 2" xfId="3852"/>
    <cellStyle name="Обычный 7 2 3" xfId="3853"/>
    <cellStyle name="Обычный 7 2 3 2" xfId="3854"/>
    <cellStyle name="Обычный 7 2 4" xfId="3855"/>
    <cellStyle name="Обычный 7 3" xfId="3856"/>
    <cellStyle name="Обычный 7 3 2" xfId="3857"/>
    <cellStyle name="Обычный 7 3 3" xfId="3858"/>
    <cellStyle name="Обычный 7 3 4" xfId="3859"/>
    <cellStyle name="Обычный 7 3 4 2" xfId="3860"/>
    <cellStyle name="Обычный 7 3 5" xfId="3861"/>
    <cellStyle name="Обычный 7 4" xfId="3862"/>
    <cellStyle name="Обычный 7 4 2" xfId="3863"/>
    <cellStyle name="Обычный 7 4 2 2" xfId="3864"/>
    <cellStyle name="Обычный 7 4 3" xfId="3865"/>
    <cellStyle name="Обычный 7 5" xfId="3866"/>
    <cellStyle name="Обычный 7 5 2" xfId="3867"/>
    <cellStyle name="Обычный 7 5 2 2" xfId="3868"/>
    <cellStyle name="Обычный 7 5 3" xfId="3869"/>
    <cellStyle name="Обычный 7 6" xfId="3870"/>
    <cellStyle name="Обычный 7 6 2" xfId="3871"/>
    <cellStyle name="Обычный 7 6 2 2" xfId="3872"/>
    <cellStyle name="Обычный 7 6 3" xfId="3873"/>
    <cellStyle name="Обычный 7 7" xfId="3874"/>
    <cellStyle name="Обычный 7 7 2" xfId="3875"/>
    <cellStyle name="Обычный 7 7 2 2" xfId="3876"/>
    <cellStyle name="Обычный 7 7 3" xfId="3877"/>
    <cellStyle name="Обычный 7 8" xfId="3878"/>
    <cellStyle name="Обычный 7 8 2" xfId="3879"/>
    <cellStyle name="Обычный 7 8 2 2" xfId="3880"/>
    <cellStyle name="Обычный 7 8 3" xfId="3881"/>
    <cellStyle name="Обычный 7 9" xfId="3882"/>
    <cellStyle name="Обычный 7 9 2" xfId="3883"/>
    <cellStyle name="Обычный 7 9 2 2" xfId="3884"/>
    <cellStyle name="Обычный 7 9 3" xfId="3885"/>
    <cellStyle name="Обычный 8" xfId="3886"/>
    <cellStyle name="Обычный 8 10" xfId="3887"/>
    <cellStyle name="Обычный 8 2" xfId="3888"/>
    <cellStyle name="Обычный 8 2 2" xfId="3889"/>
    <cellStyle name="Обычный 8 2 3" xfId="3890"/>
    <cellStyle name="Обычный 8 2 3 2" xfId="3891"/>
    <cellStyle name="Обычный 8 2 4" xfId="3892"/>
    <cellStyle name="Обычный 8 3" xfId="3893"/>
    <cellStyle name="Обычный 8 3 2" xfId="3894"/>
    <cellStyle name="Обычный 8 3 3" xfId="3895"/>
    <cellStyle name="Обычный 8 3 3 2" xfId="3896"/>
    <cellStyle name="Обычный 8 3 4" xfId="3897"/>
    <cellStyle name="Обычный 8 4" xfId="3898"/>
    <cellStyle name="Обычный 8 4 2" xfId="3899"/>
    <cellStyle name="Обычный 8 4 2 2" xfId="3900"/>
    <cellStyle name="Обычный 8 4 3" xfId="3901"/>
    <cellStyle name="Обычный 8 5" xfId="3902"/>
    <cellStyle name="Обычный 8 5 2" xfId="3903"/>
    <cellStyle name="Обычный 8 5 2 2" xfId="3904"/>
    <cellStyle name="Обычный 8 5 3" xfId="3905"/>
    <cellStyle name="Обычный 8 6" xfId="3906"/>
    <cellStyle name="Обычный 8 6 2" xfId="3907"/>
    <cellStyle name="Обычный 8 6 2 2" xfId="3908"/>
    <cellStyle name="Обычный 8 6 3" xfId="3909"/>
    <cellStyle name="Обычный 8 7" xfId="3910"/>
    <cellStyle name="Обычный 8 7 2" xfId="3911"/>
    <cellStyle name="Обычный 8 8" xfId="3912"/>
    <cellStyle name="Обычный 8 9" xfId="3913"/>
    <cellStyle name="Обычный 8 9 2" xfId="3914"/>
    <cellStyle name="Обычный 9" xfId="3915"/>
    <cellStyle name="Обычный 9 2" xfId="3916"/>
    <cellStyle name="Обычный 9 2 2" xfId="3917"/>
    <cellStyle name="Обычный 9 2 3" xfId="3918"/>
    <cellStyle name="Обычный 9 3" xfId="3919"/>
    <cellStyle name="Обычный 9 4" xfId="3920"/>
    <cellStyle name="Обычный 9 4 2" xfId="3921"/>
    <cellStyle name="Обычный 9 5" xfId="3922"/>
    <cellStyle name="Обычный 9 5 2" xfId="3923"/>
    <cellStyle name="Обычный 9 6" xfId="3924"/>
    <cellStyle name="Обычный 9 7" xfId="3925"/>
    <cellStyle name="Обычный 9 7 2" xfId="3926"/>
    <cellStyle name="Обычный 9 8" xfId="3927"/>
    <cellStyle name="Ошибка" xfId="3928"/>
    <cellStyle name="Плохой 10" xfId="3929"/>
    <cellStyle name="Плохой 2" xfId="3930"/>
    <cellStyle name="Плохой 2 10" xfId="3931"/>
    <cellStyle name="Плохой 2 2" xfId="3932"/>
    <cellStyle name="Плохой 2 2 2" xfId="3933"/>
    <cellStyle name="Плохой 2 3" xfId="3934"/>
    <cellStyle name="Плохой 2 4" xfId="3935"/>
    <cellStyle name="Плохой 2 5" xfId="3936"/>
    <cellStyle name="Плохой 2 6" xfId="3937"/>
    <cellStyle name="Плохой 2 7" xfId="3938"/>
    <cellStyle name="Плохой 2 8" xfId="3939"/>
    <cellStyle name="Плохой 2 9" xfId="3940"/>
    <cellStyle name="Плохой 2_МФ тепловой баланс 2015 дубль 3" xfId="3941"/>
    <cellStyle name="Плохой 3" xfId="3942"/>
    <cellStyle name="Плохой 3 10" xfId="3943"/>
    <cellStyle name="Плохой 3 11" xfId="3944"/>
    <cellStyle name="Плохой 3 2" xfId="3945"/>
    <cellStyle name="Плохой 3 3" xfId="3946"/>
    <cellStyle name="Плохой 3 4" xfId="3947"/>
    <cellStyle name="Плохой 3 5" xfId="3948"/>
    <cellStyle name="Плохой 3 6" xfId="3949"/>
    <cellStyle name="Плохой 3 7" xfId="3950"/>
    <cellStyle name="Плохой 3 8" xfId="3951"/>
    <cellStyle name="Плохой 3 9" xfId="3952"/>
    <cellStyle name="Плохой 3_МФ тепловой баланс 2015 дубль 3" xfId="3953"/>
    <cellStyle name="Плохой 4" xfId="3954"/>
    <cellStyle name="Плохой 4 2" xfId="3955"/>
    <cellStyle name="Плохой 4_МФ тепловой баланс 2015 дубль 3" xfId="3956"/>
    <cellStyle name="Плохой 5" xfId="3957"/>
    <cellStyle name="Плохой 5 2" xfId="3958"/>
    <cellStyle name="Плохой 5_МФ тепловой баланс 2015 дубль 3" xfId="3959"/>
    <cellStyle name="Плохой 6" xfId="3960"/>
    <cellStyle name="Плохой 6 2" xfId="3961"/>
    <cellStyle name="Плохой 6_МФ тепловой баланс 2015 дубль 3" xfId="3962"/>
    <cellStyle name="Плохой 7" xfId="3963"/>
    <cellStyle name="Плохой 7 2" xfId="3964"/>
    <cellStyle name="Плохой 7_МФ тепловой баланс 2015 дубль 3" xfId="3965"/>
    <cellStyle name="Плохой 8" xfId="3966"/>
    <cellStyle name="Плохой 8 2" xfId="3967"/>
    <cellStyle name="Плохой 9" xfId="3968"/>
    <cellStyle name="Плохой 9 2" xfId="3969"/>
    <cellStyle name="По центру с переносом" xfId="3970"/>
    <cellStyle name="По ширине с переносом" xfId="3971"/>
    <cellStyle name="Подгруппа" xfId="3972"/>
    <cellStyle name="Поле ввода" xfId="3973"/>
    <cellStyle name="Пояснение 10" xfId="3974"/>
    <cellStyle name="Пояснение 2" xfId="3975"/>
    <cellStyle name="Пояснение 2 10" xfId="3976"/>
    <cellStyle name="Пояснение 2 2" xfId="3977"/>
    <cellStyle name="Пояснение 2 2 2" xfId="3978"/>
    <cellStyle name="Пояснение 2 3" xfId="3979"/>
    <cellStyle name="Пояснение 2 4" xfId="3980"/>
    <cellStyle name="Пояснение 2 5" xfId="3981"/>
    <cellStyle name="Пояснение 2 6" xfId="3982"/>
    <cellStyle name="Пояснение 2 7" xfId="3983"/>
    <cellStyle name="Пояснение 2 8" xfId="3984"/>
    <cellStyle name="Пояснение 2 9" xfId="3985"/>
    <cellStyle name="Пояснение 2_МФ тепловой баланс 2015 дубль 3" xfId="3986"/>
    <cellStyle name="Пояснение 3" xfId="3987"/>
    <cellStyle name="Пояснение 3 10" xfId="3988"/>
    <cellStyle name="Пояснение 3 11" xfId="3989"/>
    <cellStyle name="Пояснение 3 2" xfId="3990"/>
    <cellStyle name="Пояснение 3 3" xfId="3991"/>
    <cellStyle name="Пояснение 3 4" xfId="3992"/>
    <cellStyle name="Пояснение 3 5" xfId="3993"/>
    <cellStyle name="Пояснение 3 6" xfId="3994"/>
    <cellStyle name="Пояснение 3 7" xfId="3995"/>
    <cellStyle name="Пояснение 3 8" xfId="3996"/>
    <cellStyle name="Пояснение 3 9" xfId="3997"/>
    <cellStyle name="Пояснение 3_МФ тепловой баланс 2015 дубль 3" xfId="3998"/>
    <cellStyle name="Пояснение 4" xfId="3999"/>
    <cellStyle name="Пояснение 4 2" xfId="4000"/>
    <cellStyle name="Пояснение 4_МФ тепловой баланс 2015 дубль 3" xfId="4001"/>
    <cellStyle name="Пояснение 5" xfId="4002"/>
    <cellStyle name="Пояснение 5 2" xfId="4003"/>
    <cellStyle name="Пояснение 5_МФ тепловой баланс 2015 дубль 3" xfId="4004"/>
    <cellStyle name="Пояснение 6" xfId="4005"/>
    <cellStyle name="Пояснение 6 2" xfId="4006"/>
    <cellStyle name="Пояснение 6_МФ тепловой баланс 2015 дубль 3" xfId="4007"/>
    <cellStyle name="Пояснение 7" xfId="4008"/>
    <cellStyle name="Пояснение 7 2" xfId="4009"/>
    <cellStyle name="Пояснение 7_МФ тепловой баланс 2015 дубль 3" xfId="4010"/>
    <cellStyle name="Пояснение 8" xfId="4011"/>
    <cellStyle name="Пояснение 8 2" xfId="4012"/>
    <cellStyle name="Пояснение 9" xfId="4013"/>
    <cellStyle name="Пояснение 9 2" xfId="4014"/>
    <cellStyle name="Примечание 10" xfId="4015"/>
    <cellStyle name="Примечание 10 2" xfId="4016"/>
    <cellStyle name="Примечание 10 3" xfId="4017"/>
    <cellStyle name="Примечание 10_46EE.2011(v1.0)" xfId="4018"/>
    <cellStyle name="Примечание 11" xfId="4019"/>
    <cellStyle name="Примечание 11 2" xfId="4020"/>
    <cellStyle name="Примечание 11 3" xfId="4021"/>
    <cellStyle name="Примечание 11_46EE.2011(v1.0)" xfId="4022"/>
    <cellStyle name="Примечание 12" xfId="4023"/>
    <cellStyle name="Примечание 12 2" xfId="4024"/>
    <cellStyle name="Примечание 12 3" xfId="4025"/>
    <cellStyle name="Примечание 12_46EE.2011(v1.0)" xfId="4026"/>
    <cellStyle name="Примечание 13" xfId="4027"/>
    <cellStyle name="Примечание 14" xfId="4028"/>
    <cellStyle name="Примечание 14 2" xfId="4029"/>
    <cellStyle name="Примечание 15" xfId="4030"/>
    <cellStyle name="Примечание 15 2" xfId="4031"/>
    <cellStyle name="Примечание 16" xfId="4032"/>
    <cellStyle name="Примечание 17" xfId="4033"/>
    <cellStyle name="Примечание 18" xfId="4034"/>
    <cellStyle name="Примечание 19" xfId="4035"/>
    <cellStyle name="Примечание 2" xfId="4036"/>
    <cellStyle name="Примечание 2 10" xfId="4037"/>
    <cellStyle name="Примечание 2 10 2" xfId="4038"/>
    <cellStyle name="Примечание 2 10 2 2" xfId="4039"/>
    <cellStyle name="Примечание 2 10 3" xfId="4040"/>
    <cellStyle name="Примечание 2 11" xfId="4041"/>
    <cellStyle name="Примечание 2 12" xfId="4042"/>
    <cellStyle name="Примечание 2 12 2" xfId="4043"/>
    <cellStyle name="Примечание 2 13" xfId="4044"/>
    <cellStyle name="Примечание 2 2" xfId="4045"/>
    <cellStyle name="Примечание 2 2 2" xfId="4046"/>
    <cellStyle name="Примечание 2 2 3" xfId="4047"/>
    <cellStyle name="Примечание 2 2 4" xfId="4048"/>
    <cellStyle name="Примечание 2 2 4 2" xfId="4049"/>
    <cellStyle name="Примечание 2 2 5" xfId="4050"/>
    <cellStyle name="Примечание 2 3" xfId="4051"/>
    <cellStyle name="Примечание 2 3 2" xfId="4052"/>
    <cellStyle name="Примечание 2 3 3" xfId="4053"/>
    <cellStyle name="Примечание 2 3 3 2" xfId="4054"/>
    <cellStyle name="Примечание 2 3 4" xfId="4055"/>
    <cellStyle name="Примечание 2 4" xfId="4056"/>
    <cellStyle name="Примечание 2 4 2" xfId="4057"/>
    <cellStyle name="Примечание 2 4 3" xfId="4058"/>
    <cellStyle name="Примечание 2 4 3 2" xfId="4059"/>
    <cellStyle name="Примечание 2 4 4" xfId="4060"/>
    <cellStyle name="Примечание 2 5" xfId="4061"/>
    <cellStyle name="Примечание 2 5 2" xfId="4062"/>
    <cellStyle name="Примечание 2 5 3" xfId="4063"/>
    <cellStyle name="Примечание 2 5 3 2" xfId="4064"/>
    <cellStyle name="Примечание 2 5 4" xfId="4065"/>
    <cellStyle name="Примечание 2 6" xfId="4066"/>
    <cellStyle name="Примечание 2 6 2" xfId="4067"/>
    <cellStyle name="Примечание 2 6 3" xfId="4068"/>
    <cellStyle name="Примечание 2 6 3 2" xfId="4069"/>
    <cellStyle name="Примечание 2 6 4" xfId="4070"/>
    <cellStyle name="Примечание 2 7" xfId="4071"/>
    <cellStyle name="Примечание 2 7 2" xfId="4072"/>
    <cellStyle name="Примечание 2 7 3" xfId="4073"/>
    <cellStyle name="Примечание 2 7 3 2" xfId="4074"/>
    <cellStyle name="Примечание 2 7 4" xfId="4075"/>
    <cellStyle name="Примечание 2 8" xfId="4076"/>
    <cellStyle name="Примечание 2 8 2" xfId="4077"/>
    <cellStyle name="Примечание 2 8 3" xfId="4078"/>
    <cellStyle name="Примечание 2 8 3 2" xfId="4079"/>
    <cellStyle name="Примечание 2 8 4" xfId="4080"/>
    <cellStyle name="Примечание 2 9" xfId="4081"/>
    <cellStyle name="Примечание 2 9 2" xfId="4082"/>
    <cellStyle name="Примечание 2 9 3" xfId="4083"/>
    <cellStyle name="Примечание 2 9 3 2" xfId="4084"/>
    <cellStyle name="Примечание 2 9 4" xfId="4085"/>
    <cellStyle name="Примечание 2_46EE.2011(v1.0)" xfId="4086"/>
    <cellStyle name="Примечание 20" xfId="4087"/>
    <cellStyle name="Примечание 21" xfId="4088"/>
    <cellStyle name="Примечание 22" xfId="4089"/>
    <cellStyle name="Примечание 23" xfId="4090"/>
    <cellStyle name="Примечание 24" xfId="4091"/>
    <cellStyle name="Примечание 25" xfId="4092"/>
    <cellStyle name="Примечание 26" xfId="4093"/>
    <cellStyle name="Примечание 27" xfId="4094"/>
    <cellStyle name="Примечание 28" xfId="4095"/>
    <cellStyle name="Примечание 29" xfId="4096"/>
    <cellStyle name="Примечание 3" xfId="4097"/>
    <cellStyle name="Примечание 3 10" xfId="4098"/>
    <cellStyle name="Примечание 3 10 2" xfId="4099"/>
    <cellStyle name="Примечание 3 10 2 2" xfId="4100"/>
    <cellStyle name="Примечание 3 10 3" xfId="4101"/>
    <cellStyle name="Примечание 3 11" xfId="4102"/>
    <cellStyle name="Примечание 3 12" xfId="4103"/>
    <cellStyle name="Примечание 3 12 2" xfId="4104"/>
    <cellStyle name="Примечание 3 13" xfId="4105"/>
    <cellStyle name="Примечание 3 2" xfId="4106"/>
    <cellStyle name="Примечание 3 2 2" xfId="4107"/>
    <cellStyle name="Примечание 3 2 3" xfId="4108"/>
    <cellStyle name="Примечание 3 2 3 2" xfId="4109"/>
    <cellStyle name="Примечание 3 2 4" xfId="4110"/>
    <cellStyle name="Примечание 3 3" xfId="4111"/>
    <cellStyle name="Примечание 3 3 2" xfId="4112"/>
    <cellStyle name="Примечание 3 3 3" xfId="4113"/>
    <cellStyle name="Примечание 3 3 3 2" xfId="4114"/>
    <cellStyle name="Примечание 3 3 4" xfId="4115"/>
    <cellStyle name="Примечание 3 4" xfId="4116"/>
    <cellStyle name="Примечание 3 4 2" xfId="4117"/>
    <cellStyle name="Примечание 3 4 3" xfId="4118"/>
    <cellStyle name="Примечание 3 4 3 2" xfId="4119"/>
    <cellStyle name="Примечание 3 4 4" xfId="4120"/>
    <cellStyle name="Примечание 3 5" xfId="4121"/>
    <cellStyle name="Примечание 3 5 2" xfId="4122"/>
    <cellStyle name="Примечание 3 5 3" xfId="4123"/>
    <cellStyle name="Примечание 3 5 3 2" xfId="4124"/>
    <cellStyle name="Примечание 3 5 4" xfId="4125"/>
    <cellStyle name="Примечание 3 6" xfId="4126"/>
    <cellStyle name="Примечание 3 6 2" xfId="4127"/>
    <cellStyle name="Примечание 3 6 3" xfId="4128"/>
    <cellStyle name="Примечание 3 6 3 2" xfId="4129"/>
    <cellStyle name="Примечание 3 6 4" xfId="4130"/>
    <cellStyle name="Примечание 3 7" xfId="4131"/>
    <cellStyle name="Примечание 3 7 2" xfId="4132"/>
    <cellStyle name="Примечание 3 7 3" xfId="4133"/>
    <cellStyle name="Примечание 3 7 3 2" xfId="4134"/>
    <cellStyle name="Примечание 3 7 4" xfId="4135"/>
    <cellStyle name="Примечание 3 8" xfId="4136"/>
    <cellStyle name="Примечание 3 8 2" xfId="4137"/>
    <cellStyle name="Примечание 3 8 3" xfId="4138"/>
    <cellStyle name="Примечание 3 8 3 2" xfId="4139"/>
    <cellStyle name="Примечание 3 8 4" xfId="4140"/>
    <cellStyle name="Примечание 3 9" xfId="4141"/>
    <cellStyle name="Примечание 3 9 2" xfId="4142"/>
    <cellStyle name="Примечание 3 9 3" xfId="4143"/>
    <cellStyle name="Примечание 3 9 3 2" xfId="4144"/>
    <cellStyle name="Примечание 3 9 4" xfId="4145"/>
    <cellStyle name="Примечание 3_46EE.2011(v1.0)" xfId="4146"/>
    <cellStyle name="Примечание 30" xfId="4147"/>
    <cellStyle name="Примечание 31" xfId="4148"/>
    <cellStyle name="Примечание 32" xfId="4149"/>
    <cellStyle name="Примечание 33" xfId="4150"/>
    <cellStyle name="Примечание 34" xfId="4508"/>
    <cellStyle name="Примечание 35" xfId="4512"/>
    <cellStyle name="Примечание 36" xfId="4511"/>
    <cellStyle name="Примечание 37" xfId="4513"/>
    <cellStyle name="Примечание 38" xfId="4510"/>
    <cellStyle name="Примечание 4" xfId="4151"/>
    <cellStyle name="Примечание 4 2" xfId="4152"/>
    <cellStyle name="Примечание 4 3" xfId="4153"/>
    <cellStyle name="Примечание 4 4" xfId="4154"/>
    <cellStyle name="Примечание 4 5" xfId="4155"/>
    <cellStyle name="Примечание 4 6" xfId="4156"/>
    <cellStyle name="Примечание 4 7" xfId="4157"/>
    <cellStyle name="Примечание 4 8" xfId="4158"/>
    <cellStyle name="Примечание 4 9" xfId="4159"/>
    <cellStyle name="Примечание 4_46EE.2011(v1.0)" xfId="4160"/>
    <cellStyle name="Примечание 5" xfId="4161"/>
    <cellStyle name="Примечание 5 2" xfId="4162"/>
    <cellStyle name="Примечание 5 3" xfId="4163"/>
    <cellStyle name="Примечание 5 4" xfId="4164"/>
    <cellStyle name="Примечание 5 5" xfId="4165"/>
    <cellStyle name="Примечание 5 6" xfId="4166"/>
    <cellStyle name="Примечание 5 7" xfId="4167"/>
    <cellStyle name="Примечание 5 8" xfId="4168"/>
    <cellStyle name="Примечание 5 9" xfId="4169"/>
    <cellStyle name="Примечание 5_46EE.2011(v1.0)" xfId="4170"/>
    <cellStyle name="Примечание 6" xfId="4171"/>
    <cellStyle name="Примечание 6 2" xfId="4172"/>
    <cellStyle name="Примечание 6_46EE.2011(v1.0)" xfId="4173"/>
    <cellStyle name="Примечание 7" xfId="4174"/>
    <cellStyle name="Примечание 7 2" xfId="4175"/>
    <cellStyle name="Примечание 7_46EE.2011(v1.0)" xfId="4176"/>
    <cellStyle name="Примечание 8" xfId="4177"/>
    <cellStyle name="Примечание 8 2" xfId="4178"/>
    <cellStyle name="Примечание 8_46EE.2011(v1.0)" xfId="4179"/>
    <cellStyle name="Примечание 9" xfId="4180"/>
    <cellStyle name="Примечание 9 2" xfId="4181"/>
    <cellStyle name="Примечание 9_46EE.2011(v1.0)" xfId="4182"/>
    <cellStyle name="Продукт" xfId="4183"/>
    <cellStyle name="Процентный 10" xfId="4184"/>
    <cellStyle name="Процентный 10 2" xfId="4185"/>
    <cellStyle name="Процентный 11" xfId="4186"/>
    <cellStyle name="Процентный 11 2" xfId="4187"/>
    <cellStyle name="Процентный 12" xfId="4188"/>
    <cellStyle name="Процентный 13" xfId="4189"/>
    <cellStyle name="Процентный 14" xfId="4190"/>
    <cellStyle name="Процентный 15" xfId="4191"/>
    <cellStyle name="Процентный 2" xfId="4192"/>
    <cellStyle name="Процентный 2 2" xfId="4193"/>
    <cellStyle name="Процентный 2 2 2" xfId="4194"/>
    <cellStyle name="Процентный 2 2 2 2" xfId="4195"/>
    <cellStyle name="Процентный 2 2 3" xfId="4196"/>
    <cellStyle name="Процентный 2 2 4" xfId="4197"/>
    <cellStyle name="Процентный 2 2 5" xfId="4198"/>
    <cellStyle name="Процентный 2 3" xfId="4199"/>
    <cellStyle name="Процентный 2 3 2" xfId="4200"/>
    <cellStyle name="Процентный 2 4" xfId="4201"/>
    <cellStyle name="Процентный 2 4 2" xfId="4202"/>
    <cellStyle name="Процентный 2 5" xfId="4203"/>
    <cellStyle name="Процентный 2 6" xfId="4204"/>
    <cellStyle name="Процентный 2_2014 АрхТепло Производственная" xfId="4205"/>
    <cellStyle name="Процентный 3" xfId="4206"/>
    <cellStyle name="Процентный 3 2" xfId="4207"/>
    <cellStyle name="Процентный 3 2 2" xfId="4208"/>
    <cellStyle name="Процентный 3 2 3" xfId="4209"/>
    <cellStyle name="Процентный 3 3" xfId="4210"/>
    <cellStyle name="Процентный 3 4" xfId="4211"/>
    <cellStyle name="Процентный 3 5" xfId="4212"/>
    <cellStyle name="Процентный 3 6" xfId="4213"/>
    <cellStyle name="Процентный 3_Приложения ЛФ корр" xfId="4214"/>
    <cellStyle name="Процентный 4" xfId="4215"/>
    <cellStyle name="Процентный 4 2" xfId="4216"/>
    <cellStyle name="Процентный 4 2 2" xfId="4217"/>
    <cellStyle name="Процентный 4 2 2 2" xfId="4218"/>
    <cellStyle name="Процентный 4 2 3" xfId="4219"/>
    <cellStyle name="Процентный 4 2 4" xfId="4220"/>
    <cellStyle name="Процентный 4 2_Приложения ЛФ корр" xfId="4221"/>
    <cellStyle name="Процентный 4 3" xfId="4222"/>
    <cellStyle name="Процентный 4 3 2" xfId="4223"/>
    <cellStyle name="Процентный 4 3 3" xfId="4224"/>
    <cellStyle name="Процентный 4 3 4" xfId="4225"/>
    <cellStyle name="Процентный 4 4" xfId="4226"/>
    <cellStyle name="Процентный 4 4 2" xfId="4227"/>
    <cellStyle name="Процентный 4 4 2 2" xfId="4228"/>
    <cellStyle name="Процентный 4 5" xfId="4229"/>
    <cellStyle name="Процентный 4 5 2" xfId="4230"/>
    <cellStyle name="Процентный 4_Приложения ЛФ корр" xfId="4231"/>
    <cellStyle name="Процентный 5" xfId="4232"/>
    <cellStyle name="Процентный 5 2" xfId="4233"/>
    <cellStyle name="Процентный 5 2 2" xfId="4234"/>
    <cellStyle name="Процентный 5 2 3" xfId="4235"/>
    <cellStyle name="Процентный 5 3" xfId="4236"/>
    <cellStyle name="Процентный 5 4" xfId="4237"/>
    <cellStyle name="Процентный 5 5" xfId="4238"/>
    <cellStyle name="Процентный 5 6" xfId="4239"/>
    <cellStyle name="Процентный 6" xfId="4240"/>
    <cellStyle name="Процентный 6 2" xfId="4241"/>
    <cellStyle name="Процентный 6 3" xfId="4242"/>
    <cellStyle name="Процентный 6 3 2" xfId="4243"/>
    <cellStyle name="Процентный 6_Приложения ЛФ корр" xfId="4244"/>
    <cellStyle name="Процентный 7" xfId="4245"/>
    <cellStyle name="Процентный 7 2" xfId="4246"/>
    <cellStyle name="Процентный 7 3" xfId="4247"/>
    <cellStyle name="Процентный 8" xfId="4248"/>
    <cellStyle name="Процентный 8 2" xfId="4249"/>
    <cellStyle name="Процентный 8 2 2" xfId="4250"/>
    <cellStyle name="Процентный 8 3" xfId="4251"/>
    <cellStyle name="Процентный 9" xfId="4252"/>
    <cellStyle name="Процентный 9 2" xfId="4253"/>
    <cellStyle name="Процентный 9 3" xfId="4254"/>
    <cellStyle name="Разница" xfId="4255"/>
    <cellStyle name="Рамки" xfId="4256"/>
    <cellStyle name="Сводная таблица" xfId="4257"/>
    <cellStyle name="Связанная ячейка 10" xfId="4258"/>
    <cellStyle name="Связанная ячейка 2" xfId="4259"/>
    <cellStyle name="Связанная ячейка 2 10" xfId="4260"/>
    <cellStyle name="Связанная ячейка 2 2" xfId="4261"/>
    <cellStyle name="Связанная ячейка 2 2 2" xfId="4262"/>
    <cellStyle name="Связанная ячейка 2 3" xfId="4263"/>
    <cellStyle name="Связанная ячейка 2 4" xfId="4264"/>
    <cellStyle name="Связанная ячейка 2 5" xfId="4265"/>
    <cellStyle name="Связанная ячейка 2 6" xfId="4266"/>
    <cellStyle name="Связанная ячейка 2 7" xfId="4267"/>
    <cellStyle name="Связанная ячейка 2 8" xfId="4268"/>
    <cellStyle name="Связанная ячейка 2 9" xfId="4269"/>
    <cellStyle name="Связанная ячейка 2_46EE.2011(v1.0)" xfId="4270"/>
    <cellStyle name="Связанная ячейка 3" xfId="4271"/>
    <cellStyle name="Связанная ячейка 3 10" xfId="4272"/>
    <cellStyle name="Связанная ячейка 3 11" xfId="4273"/>
    <cellStyle name="Связанная ячейка 3 2" xfId="4274"/>
    <cellStyle name="Связанная ячейка 3 3" xfId="4275"/>
    <cellStyle name="Связанная ячейка 3 4" xfId="4276"/>
    <cellStyle name="Связанная ячейка 3 5" xfId="4277"/>
    <cellStyle name="Связанная ячейка 3 6" xfId="4278"/>
    <cellStyle name="Связанная ячейка 3 7" xfId="4279"/>
    <cellStyle name="Связанная ячейка 3 8" xfId="4280"/>
    <cellStyle name="Связанная ячейка 3 9" xfId="4281"/>
    <cellStyle name="Связанная ячейка 3_46EE.2011(v1.0)" xfId="4282"/>
    <cellStyle name="Связанная ячейка 4" xfId="4283"/>
    <cellStyle name="Связанная ячейка 4 2" xfId="4284"/>
    <cellStyle name="Связанная ячейка 4_46EE.2011(v1.0)" xfId="4285"/>
    <cellStyle name="Связанная ячейка 5" xfId="4286"/>
    <cellStyle name="Связанная ячейка 5 2" xfId="4287"/>
    <cellStyle name="Связанная ячейка 5_46EE.2011(v1.0)" xfId="4288"/>
    <cellStyle name="Связанная ячейка 6" xfId="4289"/>
    <cellStyle name="Связанная ячейка 6 2" xfId="4290"/>
    <cellStyle name="Связанная ячейка 6_46EE.2011(v1.0)" xfId="4291"/>
    <cellStyle name="Связанная ячейка 7" xfId="4292"/>
    <cellStyle name="Связанная ячейка 7 2" xfId="4293"/>
    <cellStyle name="Связанная ячейка 7_46EE.2011(v1.0)" xfId="4294"/>
    <cellStyle name="Связанная ячейка 8" xfId="4295"/>
    <cellStyle name="Связанная ячейка 8 2" xfId="4296"/>
    <cellStyle name="Связанная ячейка 8_46EE.2011(v1.0)" xfId="4297"/>
    <cellStyle name="Связанная ячейка 9" xfId="4298"/>
    <cellStyle name="Связанная ячейка 9 2" xfId="4299"/>
    <cellStyle name="Связанная ячейка 9_46EE.2011(v1.0)" xfId="4300"/>
    <cellStyle name="Стиль 1" xfId="4301"/>
    <cellStyle name="Стиль 1 2" xfId="4302"/>
    <cellStyle name="Стиль 1 2 2" xfId="4303"/>
    <cellStyle name="Стиль 1 2 3" xfId="4304"/>
    <cellStyle name="Стиль 1 2_46EP.2011(v2.0)" xfId="4305"/>
    <cellStyle name="Стиль 1 3" xfId="4306"/>
    <cellStyle name="Стиль 1_конченый" xfId="4307"/>
    <cellStyle name="Субсчет" xfId="4308"/>
    <cellStyle name="Счет" xfId="4309"/>
    <cellStyle name="ТЕКСТ" xfId="4310"/>
    <cellStyle name="ТЕКСТ 2" xfId="4311"/>
    <cellStyle name="ТЕКСТ 3" xfId="4312"/>
    <cellStyle name="ТЕКСТ 4" xfId="4313"/>
    <cellStyle name="ТЕКСТ 5" xfId="4314"/>
    <cellStyle name="ТЕКСТ 6" xfId="4315"/>
    <cellStyle name="ТЕКСТ 7" xfId="4316"/>
    <cellStyle name="ТЕКСТ 8" xfId="4317"/>
    <cellStyle name="ТЕКСТ 9" xfId="4318"/>
    <cellStyle name="Текст предупреждения 10" xfId="4319"/>
    <cellStyle name="Текст предупреждения 2" xfId="4320"/>
    <cellStyle name="Текст предупреждения 2 10" xfId="4321"/>
    <cellStyle name="Текст предупреждения 2 2" xfId="4322"/>
    <cellStyle name="Текст предупреждения 2 2 2" xfId="4323"/>
    <cellStyle name="Текст предупреждения 2 3" xfId="4324"/>
    <cellStyle name="Текст предупреждения 2 4" xfId="4325"/>
    <cellStyle name="Текст предупреждения 2 5" xfId="4326"/>
    <cellStyle name="Текст предупреждения 2 6" xfId="4327"/>
    <cellStyle name="Текст предупреждения 2 7" xfId="4328"/>
    <cellStyle name="Текст предупреждения 2 8" xfId="4329"/>
    <cellStyle name="Текст предупреждения 2 9" xfId="4330"/>
    <cellStyle name="Текст предупреждения 2_МФ тепловой баланс 2015 дубль 4 31.03.2014" xfId="4331"/>
    <cellStyle name="Текст предупреждения 3" xfId="4332"/>
    <cellStyle name="Текст предупреждения 3 10" xfId="4333"/>
    <cellStyle name="Текст предупреждения 3 11" xfId="4334"/>
    <cellStyle name="Текст предупреждения 3 2" xfId="4335"/>
    <cellStyle name="Текст предупреждения 3 3" xfId="4336"/>
    <cellStyle name="Текст предупреждения 3 4" xfId="4337"/>
    <cellStyle name="Текст предупреждения 3 5" xfId="4338"/>
    <cellStyle name="Текст предупреждения 3 6" xfId="4339"/>
    <cellStyle name="Текст предупреждения 3 7" xfId="4340"/>
    <cellStyle name="Текст предупреждения 3 8" xfId="4341"/>
    <cellStyle name="Текст предупреждения 3 9" xfId="4342"/>
    <cellStyle name="Текст предупреждения 3_МФ тепловой баланс 2015 дубль 4 31.03.2014" xfId="4343"/>
    <cellStyle name="Текст предупреждения 4" xfId="4344"/>
    <cellStyle name="Текст предупреждения 4 2" xfId="4345"/>
    <cellStyle name="Текст предупреждения 4_МФ тепловой баланс 2015 дубль 4 31.03.2014" xfId="4346"/>
    <cellStyle name="Текст предупреждения 5" xfId="4347"/>
    <cellStyle name="Текст предупреждения 5 2" xfId="4348"/>
    <cellStyle name="Текст предупреждения 5_МФ тепловой баланс 2015 дубль 4 31.03.2014" xfId="4349"/>
    <cellStyle name="Текст предупреждения 6" xfId="4350"/>
    <cellStyle name="Текст предупреждения 6 2" xfId="4351"/>
    <cellStyle name="Текст предупреждения 6_МФ тепловой баланс 2015 дубль 4 31.03.2014" xfId="4352"/>
    <cellStyle name="Текст предупреждения 7" xfId="4353"/>
    <cellStyle name="Текст предупреждения 7 2" xfId="4354"/>
    <cellStyle name="Текст предупреждения 7_МФ тепловой баланс 2015 дубль 4 31.03.2014" xfId="4355"/>
    <cellStyle name="Текст предупреждения 8" xfId="4356"/>
    <cellStyle name="Текст предупреждения 8 2" xfId="4357"/>
    <cellStyle name="Текст предупреждения 9" xfId="4358"/>
    <cellStyle name="Текст предупреждения 9 2" xfId="4359"/>
    <cellStyle name="Текстовый" xfId="4360"/>
    <cellStyle name="Текстовый 2" xfId="4361"/>
    <cellStyle name="Текстовый 3" xfId="4362"/>
    <cellStyle name="Текстовый 4" xfId="4363"/>
    <cellStyle name="Текстовый 5" xfId="4364"/>
    <cellStyle name="Текстовый 6" xfId="4365"/>
    <cellStyle name="Текстовый 7" xfId="4366"/>
    <cellStyle name="Текстовый 8" xfId="4367"/>
    <cellStyle name="Текстовый 9" xfId="4368"/>
    <cellStyle name="Текстовый_1" xfId="4369"/>
    <cellStyle name="Тысячи [0]_1 кв.95 и 96 года .в ц.соп." xfId="4370"/>
    <cellStyle name="Тысячи [а]" xfId="4371"/>
    <cellStyle name="Тысячи![0]_Цены 95г._Расчет ТП на февраль_Расчет ТП на февраль посл.._Расчет ТП на май" xfId="4372"/>
    <cellStyle name="Тысячи_1 кв.95 и 96 года .в ц.соп." xfId="4373"/>
    <cellStyle name="ФИКСИРОВАННЫЙ" xfId="4374"/>
    <cellStyle name="ФИКСИРОВАННЫЙ 2" xfId="4375"/>
    <cellStyle name="ФИКСИРОВАННЫЙ 3" xfId="4376"/>
    <cellStyle name="ФИКСИРОВАННЫЙ 4" xfId="4377"/>
    <cellStyle name="ФИКСИРОВАННЫЙ 5" xfId="4378"/>
    <cellStyle name="ФИКСИРОВАННЫЙ 6" xfId="4379"/>
    <cellStyle name="ФИКСИРОВАННЫЙ 7" xfId="4380"/>
    <cellStyle name="ФИКСИРОВАННЫЙ 8" xfId="4381"/>
    <cellStyle name="ФИКСИРОВАННЫЙ 9" xfId="4382"/>
    <cellStyle name="ФИКСИРОВАННЫЙ_1" xfId="4383"/>
    <cellStyle name="Финансовый" xfId="1" builtinId="3"/>
    <cellStyle name="Финансовый [0] 2" xfId="4384"/>
    <cellStyle name="Финансовый 10" xfId="4385"/>
    <cellStyle name="Финансовый 10 2" xfId="4386"/>
    <cellStyle name="Финансовый 11" xfId="4387"/>
    <cellStyle name="Финансовый 12" xfId="4388"/>
    <cellStyle name="Финансовый 13" xfId="4389"/>
    <cellStyle name="Финансовый 14" xfId="4390"/>
    <cellStyle name="Финансовый 15" xfId="4391"/>
    <cellStyle name="Финансовый 16" xfId="4392"/>
    <cellStyle name="Финансовый 17" xfId="4393"/>
    <cellStyle name="Финансовый 17 2" xfId="4394"/>
    <cellStyle name="Финансовый 2" xfId="5"/>
    <cellStyle name="Финансовый 2 10" xfId="4395"/>
    <cellStyle name="Финансовый 2 2" xfId="4396"/>
    <cellStyle name="Финансовый 2 2 2" xfId="4397"/>
    <cellStyle name="Финансовый 2 2 2 2" xfId="4398"/>
    <cellStyle name="Финансовый 2 2 3" xfId="4399"/>
    <cellStyle name="Финансовый 2 2 4" xfId="4400"/>
    <cellStyle name="Финансовый 2 2_INDEX.STATION.2012(v1.0)_" xfId="4401"/>
    <cellStyle name="Финансовый 2 3" xfId="4402"/>
    <cellStyle name="Финансовый 2 3 2" xfId="4403"/>
    <cellStyle name="Финансовый 2 4" xfId="4404"/>
    <cellStyle name="Финансовый 2 5" xfId="4405"/>
    <cellStyle name="Финансовый 2 6" xfId="4406"/>
    <cellStyle name="Финансовый 2 7" xfId="4407"/>
    <cellStyle name="Финансовый 2 8" xfId="4408"/>
    <cellStyle name="Финансовый 2 9" xfId="4409"/>
    <cellStyle name="Финансовый 2_46EE.2011(v1.0)" xfId="4410"/>
    <cellStyle name="Финансовый 3" xfId="4411"/>
    <cellStyle name="Финансовый 3 2" xfId="4412"/>
    <cellStyle name="Финансовый 3 2 2" xfId="4413"/>
    <cellStyle name="Финансовый 3 2 3" xfId="4414"/>
    <cellStyle name="Финансовый 3 3" xfId="4415"/>
    <cellStyle name="Финансовый 3 4" xfId="4416"/>
    <cellStyle name="Финансовый 3 5" xfId="4417"/>
    <cellStyle name="Финансовый 3 6" xfId="4418"/>
    <cellStyle name="Финансовый 3_INDEX.STATION.2012(v1.0)_" xfId="4419"/>
    <cellStyle name="Финансовый 4" xfId="4420"/>
    <cellStyle name="Финансовый 4 2" xfId="4421"/>
    <cellStyle name="Финансовый 4 2 2" xfId="4422"/>
    <cellStyle name="Финансовый 4 2 3" xfId="4423"/>
    <cellStyle name="Финансовый 5" xfId="6"/>
    <cellStyle name="Финансовый 5 2" xfId="4424"/>
    <cellStyle name="Финансовый 5 3" xfId="4425"/>
    <cellStyle name="Финансовый 5 4" xfId="7"/>
    <cellStyle name="Финансовый 6" xfId="4426"/>
    <cellStyle name="Финансовый 7" xfId="4427"/>
    <cellStyle name="Финансовый 8" xfId="4428"/>
    <cellStyle name="Финансовый 9" xfId="4429"/>
    <cellStyle name="Финансовый0[0]_FU_bal" xfId="4430"/>
    <cellStyle name="Формула" xfId="4431"/>
    <cellStyle name="Формула 10" xfId="4432"/>
    <cellStyle name="Формула 11" xfId="4433"/>
    <cellStyle name="Формула 12" xfId="4434"/>
    <cellStyle name="Формула 13" xfId="4435"/>
    <cellStyle name="Формула 14" xfId="4436"/>
    <cellStyle name="Формула 15" xfId="4437"/>
    <cellStyle name="Формула 16" xfId="4438"/>
    <cellStyle name="Формула 17" xfId="4439"/>
    <cellStyle name="Формула 18" xfId="4440"/>
    <cellStyle name="Формула 2" xfId="4441"/>
    <cellStyle name="Формула 2 2" xfId="4442"/>
    <cellStyle name="Формула 3" xfId="4443"/>
    <cellStyle name="Формула 4" xfId="4444"/>
    <cellStyle name="Формула 5" xfId="4445"/>
    <cellStyle name="Формула 6" xfId="4446"/>
    <cellStyle name="Формула 7" xfId="4447"/>
    <cellStyle name="Формула 8" xfId="4448"/>
    <cellStyle name="Формула 9" xfId="4449"/>
    <cellStyle name="Формула_A РТ 2009 Рязаньэнерго" xfId="4450"/>
    <cellStyle name="ФормулаВБ" xfId="4451"/>
    <cellStyle name="ФормулаВБ 2" xfId="4452"/>
    <cellStyle name="ФормулаНаКонтроль" xfId="4453"/>
    <cellStyle name="ФормулаНаКонтроль 2" xfId="4454"/>
    <cellStyle name="Хороший 10" xfId="4455"/>
    <cellStyle name="Хороший 2" xfId="4456"/>
    <cellStyle name="Хороший 2 10" xfId="4457"/>
    <cellStyle name="Хороший 2 2" xfId="4458"/>
    <cellStyle name="Хороший 2 2 2" xfId="4459"/>
    <cellStyle name="Хороший 2 3" xfId="4460"/>
    <cellStyle name="Хороший 2 4" xfId="4461"/>
    <cellStyle name="Хороший 2 5" xfId="4462"/>
    <cellStyle name="Хороший 2 6" xfId="4463"/>
    <cellStyle name="Хороший 2 7" xfId="4464"/>
    <cellStyle name="Хороший 2 8" xfId="4465"/>
    <cellStyle name="Хороший 2 9" xfId="4466"/>
    <cellStyle name="Хороший 2_МФ тепловой баланс 2015 дубль 4 31.03.2014" xfId="4467"/>
    <cellStyle name="Хороший 3" xfId="4468"/>
    <cellStyle name="Хороший 3 10" xfId="4469"/>
    <cellStyle name="Хороший 3 11" xfId="4470"/>
    <cellStyle name="Хороший 3 2" xfId="4471"/>
    <cellStyle name="Хороший 3 3" xfId="4472"/>
    <cellStyle name="Хороший 3 4" xfId="4473"/>
    <cellStyle name="Хороший 3 5" xfId="4474"/>
    <cellStyle name="Хороший 3 6" xfId="4475"/>
    <cellStyle name="Хороший 3 7" xfId="4476"/>
    <cellStyle name="Хороший 3 8" xfId="4477"/>
    <cellStyle name="Хороший 3 9" xfId="4478"/>
    <cellStyle name="Хороший 3_МФ тепловой баланс 2015 дубль 4 31.03.2014" xfId="4479"/>
    <cellStyle name="Хороший 4" xfId="4480"/>
    <cellStyle name="Хороший 4 2" xfId="4481"/>
    <cellStyle name="Хороший 4_МФ тепловой баланс 2015 дубль 4 31.03.2014" xfId="4482"/>
    <cellStyle name="Хороший 5" xfId="4483"/>
    <cellStyle name="Хороший 5 2" xfId="4484"/>
    <cellStyle name="Хороший 5_МФ тепловой баланс 2015 дубль 4 31.03.2014" xfId="4485"/>
    <cellStyle name="Хороший 6" xfId="4486"/>
    <cellStyle name="Хороший 6 2" xfId="4487"/>
    <cellStyle name="Хороший 6_МФ тепловой баланс 2015 дубль 4 31.03.2014" xfId="4488"/>
    <cellStyle name="Хороший 7" xfId="4489"/>
    <cellStyle name="Хороший 7 2" xfId="4490"/>
    <cellStyle name="Хороший 7_МФ тепловой баланс 2015 дубль 4 31.03.2014" xfId="4491"/>
    <cellStyle name="Хороший 8" xfId="4492"/>
    <cellStyle name="Хороший 8 2" xfId="4493"/>
    <cellStyle name="Хороший 9" xfId="4494"/>
    <cellStyle name="Хороший 9 2" xfId="4495"/>
    <cellStyle name="Цена_продукта" xfId="4496"/>
    <cellStyle name="Цифры по центру с десятыми" xfId="4497"/>
    <cellStyle name="число" xfId="4498"/>
    <cellStyle name="Џђћ–…ќ’ќ›‰" xfId="4499"/>
    <cellStyle name="Шапка" xfId="4500"/>
    <cellStyle name="Шапка таблицы" xfId="4501"/>
    <cellStyle name="Шапка_4DNS.UPDATE.EXAMPLE" xfId="4502"/>
    <cellStyle name="ШАУ" xfId="4503"/>
    <cellStyle name="標準_PL-CF sheet" xfId="4504"/>
    <cellStyle name="㼿" xfId="4505"/>
    <cellStyle name="䁺_x0001_" xfId="4506"/>
  </cellStyles>
  <dxfs count="0"/>
  <tableStyles count="0" defaultTableStyle="TableStyleMedium9" defaultPivotStyle="PivotStyleLight16"/>
  <colors>
    <mruColors>
      <color rgb="FFCCFFCC"/>
      <color rgb="FFFFCCFF"/>
      <color rgb="FFFFFFCC"/>
      <color rgb="FFFFCC66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B200"/>
  <sheetViews>
    <sheetView tabSelected="1" view="pageBreakPreview" topLeftCell="C1" zoomScale="70" zoomScaleNormal="80" zoomScaleSheetLayoutView="70" workbookViewId="0">
      <selection activeCell="F1" sqref="F1"/>
    </sheetView>
  </sheetViews>
  <sheetFormatPr defaultRowHeight="15"/>
  <cols>
    <col min="1" max="1" width="24.7109375" style="8" customWidth="1"/>
    <col min="2" max="2" width="51" style="9" customWidth="1"/>
    <col min="3" max="3" width="39.85546875" style="7" customWidth="1"/>
    <col min="4" max="12" width="22.7109375" style="7" customWidth="1"/>
    <col min="13" max="15" width="24.7109375" style="7" customWidth="1"/>
    <col min="16" max="17" width="27.5703125" style="7" customWidth="1"/>
    <col min="18" max="18" width="25.5703125" style="7" customWidth="1"/>
    <col min="19" max="19" width="24" style="7" customWidth="1"/>
    <col min="20" max="20" width="27.5703125" style="7" customWidth="1"/>
    <col min="21" max="246" width="9.140625" style="7"/>
    <col min="247" max="247" width="13.28515625" style="7" customWidth="1"/>
    <col min="248" max="248" width="34.7109375" style="7" customWidth="1"/>
    <col min="249" max="249" width="26.85546875" style="7" customWidth="1"/>
    <col min="250" max="258" width="15.140625" style="7" customWidth="1"/>
    <col min="259" max="259" width="14" style="7" customWidth="1"/>
    <col min="260" max="260" width="13.42578125" style="7" customWidth="1"/>
    <col min="261" max="262" width="15" style="7" customWidth="1"/>
    <col min="263" max="263" width="16.5703125" style="7" customWidth="1"/>
    <col min="264" max="267" width="18.7109375" style="7" customWidth="1"/>
    <col min="268" max="502" width="9.140625" style="7"/>
    <col min="503" max="503" width="13.28515625" style="7" customWidth="1"/>
    <col min="504" max="504" width="34.7109375" style="7" customWidth="1"/>
    <col min="505" max="505" width="26.85546875" style="7" customWidth="1"/>
    <col min="506" max="514" width="15.140625" style="7" customWidth="1"/>
    <col min="515" max="515" width="14" style="7" customWidth="1"/>
    <col min="516" max="516" width="13.42578125" style="7" customWidth="1"/>
    <col min="517" max="518" width="15" style="7" customWidth="1"/>
    <col min="519" max="519" width="16.5703125" style="7" customWidth="1"/>
    <col min="520" max="523" width="18.7109375" style="7" customWidth="1"/>
    <col min="524" max="758" width="9.140625" style="7"/>
    <col min="759" max="759" width="13.28515625" style="7" customWidth="1"/>
    <col min="760" max="760" width="34.7109375" style="7" customWidth="1"/>
    <col min="761" max="761" width="26.85546875" style="7" customWidth="1"/>
    <col min="762" max="770" width="15.140625" style="7" customWidth="1"/>
    <col min="771" max="771" width="14" style="7" customWidth="1"/>
    <col min="772" max="772" width="13.42578125" style="7" customWidth="1"/>
    <col min="773" max="774" width="15" style="7" customWidth="1"/>
    <col min="775" max="775" width="16.5703125" style="7" customWidth="1"/>
    <col min="776" max="779" width="18.7109375" style="7" customWidth="1"/>
    <col min="780" max="1014" width="9.140625" style="7"/>
    <col min="1015" max="1015" width="13.28515625" style="7" customWidth="1"/>
    <col min="1016" max="1016" width="34.7109375" style="7" customWidth="1"/>
    <col min="1017" max="1017" width="26.85546875" style="7" customWidth="1"/>
    <col min="1018" max="1026" width="15.140625" style="7" customWidth="1"/>
    <col min="1027" max="1027" width="14" style="7" customWidth="1"/>
    <col min="1028" max="1028" width="13.42578125" style="7" customWidth="1"/>
    <col min="1029" max="1030" width="15" style="7" customWidth="1"/>
    <col min="1031" max="1031" width="16.5703125" style="7" customWidth="1"/>
    <col min="1032" max="1035" width="18.7109375" style="7" customWidth="1"/>
    <col min="1036" max="1270" width="9.140625" style="7"/>
    <col min="1271" max="1271" width="13.28515625" style="7" customWidth="1"/>
    <col min="1272" max="1272" width="34.7109375" style="7" customWidth="1"/>
    <col min="1273" max="1273" width="26.85546875" style="7" customWidth="1"/>
    <col min="1274" max="1282" width="15.140625" style="7" customWidth="1"/>
    <col min="1283" max="1283" width="14" style="7" customWidth="1"/>
    <col min="1284" max="1284" width="13.42578125" style="7" customWidth="1"/>
    <col min="1285" max="1286" width="15" style="7" customWidth="1"/>
    <col min="1287" max="1287" width="16.5703125" style="7" customWidth="1"/>
    <col min="1288" max="1291" width="18.7109375" style="7" customWidth="1"/>
    <col min="1292" max="1526" width="9.140625" style="7"/>
    <col min="1527" max="1527" width="13.28515625" style="7" customWidth="1"/>
    <col min="1528" max="1528" width="34.7109375" style="7" customWidth="1"/>
    <col min="1529" max="1529" width="26.85546875" style="7" customWidth="1"/>
    <col min="1530" max="1538" width="15.140625" style="7" customWidth="1"/>
    <col min="1539" max="1539" width="14" style="7" customWidth="1"/>
    <col min="1540" max="1540" width="13.42578125" style="7" customWidth="1"/>
    <col min="1541" max="1542" width="15" style="7" customWidth="1"/>
    <col min="1543" max="1543" width="16.5703125" style="7" customWidth="1"/>
    <col min="1544" max="1547" width="18.7109375" style="7" customWidth="1"/>
    <col min="1548" max="1782" width="9.140625" style="7"/>
    <col min="1783" max="1783" width="13.28515625" style="7" customWidth="1"/>
    <col min="1784" max="1784" width="34.7109375" style="7" customWidth="1"/>
    <col min="1785" max="1785" width="26.85546875" style="7" customWidth="1"/>
    <col min="1786" max="1794" width="15.140625" style="7" customWidth="1"/>
    <col min="1795" max="1795" width="14" style="7" customWidth="1"/>
    <col min="1796" max="1796" width="13.42578125" style="7" customWidth="1"/>
    <col min="1797" max="1798" width="15" style="7" customWidth="1"/>
    <col min="1799" max="1799" width="16.5703125" style="7" customWidth="1"/>
    <col min="1800" max="1803" width="18.7109375" style="7" customWidth="1"/>
    <col min="1804" max="2038" width="9.140625" style="7"/>
    <col min="2039" max="2039" width="13.28515625" style="7" customWidth="1"/>
    <col min="2040" max="2040" width="34.7109375" style="7" customWidth="1"/>
    <col min="2041" max="2041" width="26.85546875" style="7" customWidth="1"/>
    <col min="2042" max="2050" width="15.140625" style="7" customWidth="1"/>
    <col min="2051" max="2051" width="14" style="7" customWidth="1"/>
    <col min="2052" max="2052" width="13.42578125" style="7" customWidth="1"/>
    <col min="2053" max="2054" width="15" style="7" customWidth="1"/>
    <col min="2055" max="2055" width="16.5703125" style="7" customWidth="1"/>
    <col min="2056" max="2059" width="18.7109375" style="7" customWidth="1"/>
    <col min="2060" max="2294" width="9.140625" style="7"/>
    <col min="2295" max="2295" width="13.28515625" style="7" customWidth="1"/>
    <col min="2296" max="2296" width="34.7109375" style="7" customWidth="1"/>
    <col min="2297" max="2297" width="26.85546875" style="7" customWidth="1"/>
    <col min="2298" max="2306" width="15.140625" style="7" customWidth="1"/>
    <col min="2307" max="2307" width="14" style="7" customWidth="1"/>
    <col min="2308" max="2308" width="13.42578125" style="7" customWidth="1"/>
    <col min="2309" max="2310" width="15" style="7" customWidth="1"/>
    <col min="2311" max="2311" width="16.5703125" style="7" customWidth="1"/>
    <col min="2312" max="2315" width="18.7109375" style="7" customWidth="1"/>
    <col min="2316" max="2550" width="9.140625" style="7"/>
    <col min="2551" max="2551" width="13.28515625" style="7" customWidth="1"/>
    <col min="2552" max="2552" width="34.7109375" style="7" customWidth="1"/>
    <col min="2553" max="2553" width="26.85546875" style="7" customWidth="1"/>
    <col min="2554" max="2562" width="15.140625" style="7" customWidth="1"/>
    <col min="2563" max="2563" width="14" style="7" customWidth="1"/>
    <col min="2564" max="2564" width="13.42578125" style="7" customWidth="1"/>
    <col min="2565" max="2566" width="15" style="7" customWidth="1"/>
    <col min="2567" max="2567" width="16.5703125" style="7" customWidth="1"/>
    <col min="2568" max="2571" width="18.7109375" style="7" customWidth="1"/>
    <col min="2572" max="2806" width="9.140625" style="7"/>
    <col min="2807" max="2807" width="13.28515625" style="7" customWidth="1"/>
    <col min="2808" max="2808" width="34.7109375" style="7" customWidth="1"/>
    <col min="2809" max="2809" width="26.85546875" style="7" customWidth="1"/>
    <col min="2810" max="2818" width="15.140625" style="7" customWidth="1"/>
    <col min="2819" max="2819" width="14" style="7" customWidth="1"/>
    <col min="2820" max="2820" width="13.42578125" style="7" customWidth="1"/>
    <col min="2821" max="2822" width="15" style="7" customWidth="1"/>
    <col min="2823" max="2823" width="16.5703125" style="7" customWidth="1"/>
    <col min="2824" max="2827" width="18.7109375" style="7" customWidth="1"/>
    <col min="2828" max="3062" width="9.140625" style="7"/>
    <col min="3063" max="3063" width="13.28515625" style="7" customWidth="1"/>
    <col min="3064" max="3064" width="34.7109375" style="7" customWidth="1"/>
    <col min="3065" max="3065" width="26.85546875" style="7" customWidth="1"/>
    <col min="3066" max="3074" width="15.140625" style="7" customWidth="1"/>
    <col min="3075" max="3075" width="14" style="7" customWidth="1"/>
    <col min="3076" max="3076" width="13.42578125" style="7" customWidth="1"/>
    <col min="3077" max="3078" width="15" style="7" customWidth="1"/>
    <col min="3079" max="3079" width="16.5703125" style="7" customWidth="1"/>
    <col min="3080" max="3083" width="18.7109375" style="7" customWidth="1"/>
    <col min="3084" max="3318" width="9.140625" style="7"/>
    <col min="3319" max="3319" width="13.28515625" style="7" customWidth="1"/>
    <col min="3320" max="3320" width="34.7109375" style="7" customWidth="1"/>
    <col min="3321" max="3321" width="26.85546875" style="7" customWidth="1"/>
    <col min="3322" max="3330" width="15.140625" style="7" customWidth="1"/>
    <col min="3331" max="3331" width="14" style="7" customWidth="1"/>
    <col min="3332" max="3332" width="13.42578125" style="7" customWidth="1"/>
    <col min="3333" max="3334" width="15" style="7" customWidth="1"/>
    <col min="3335" max="3335" width="16.5703125" style="7" customWidth="1"/>
    <col min="3336" max="3339" width="18.7109375" style="7" customWidth="1"/>
    <col min="3340" max="3574" width="9.140625" style="7"/>
    <col min="3575" max="3575" width="13.28515625" style="7" customWidth="1"/>
    <col min="3576" max="3576" width="34.7109375" style="7" customWidth="1"/>
    <col min="3577" max="3577" width="26.85546875" style="7" customWidth="1"/>
    <col min="3578" max="3586" width="15.140625" style="7" customWidth="1"/>
    <col min="3587" max="3587" width="14" style="7" customWidth="1"/>
    <col min="3588" max="3588" width="13.42578125" style="7" customWidth="1"/>
    <col min="3589" max="3590" width="15" style="7" customWidth="1"/>
    <col min="3591" max="3591" width="16.5703125" style="7" customWidth="1"/>
    <col min="3592" max="3595" width="18.7109375" style="7" customWidth="1"/>
    <col min="3596" max="3830" width="9.140625" style="7"/>
    <col min="3831" max="3831" width="13.28515625" style="7" customWidth="1"/>
    <col min="3832" max="3832" width="34.7109375" style="7" customWidth="1"/>
    <col min="3833" max="3833" width="26.85546875" style="7" customWidth="1"/>
    <col min="3834" max="3842" width="15.140625" style="7" customWidth="1"/>
    <col min="3843" max="3843" width="14" style="7" customWidth="1"/>
    <col min="3844" max="3844" width="13.42578125" style="7" customWidth="1"/>
    <col min="3845" max="3846" width="15" style="7" customWidth="1"/>
    <col min="3847" max="3847" width="16.5703125" style="7" customWidth="1"/>
    <col min="3848" max="3851" width="18.7109375" style="7" customWidth="1"/>
    <col min="3852" max="4086" width="9.140625" style="7"/>
    <col min="4087" max="4087" width="13.28515625" style="7" customWidth="1"/>
    <col min="4088" max="4088" width="34.7109375" style="7" customWidth="1"/>
    <col min="4089" max="4089" width="26.85546875" style="7" customWidth="1"/>
    <col min="4090" max="4098" width="15.140625" style="7" customWidth="1"/>
    <col min="4099" max="4099" width="14" style="7" customWidth="1"/>
    <col min="4100" max="4100" width="13.42578125" style="7" customWidth="1"/>
    <col min="4101" max="4102" width="15" style="7" customWidth="1"/>
    <col min="4103" max="4103" width="16.5703125" style="7" customWidth="1"/>
    <col min="4104" max="4107" width="18.7109375" style="7" customWidth="1"/>
    <col min="4108" max="4342" width="9.140625" style="7"/>
    <col min="4343" max="4343" width="13.28515625" style="7" customWidth="1"/>
    <col min="4344" max="4344" width="34.7109375" style="7" customWidth="1"/>
    <col min="4345" max="4345" width="26.85546875" style="7" customWidth="1"/>
    <col min="4346" max="4354" width="15.140625" style="7" customWidth="1"/>
    <col min="4355" max="4355" width="14" style="7" customWidth="1"/>
    <col min="4356" max="4356" width="13.42578125" style="7" customWidth="1"/>
    <col min="4357" max="4358" width="15" style="7" customWidth="1"/>
    <col min="4359" max="4359" width="16.5703125" style="7" customWidth="1"/>
    <col min="4360" max="4363" width="18.7109375" style="7" customWidth="1"/>
    <col min="4364" max="4598" width="9.140625" style="7"/>
    <col min="4599" max="4599" width="13.28515625" style="7" customWidth="1"/>
    <col min="4600" max="4600" width="34.7109375" style="7" customWidth="1"/>
    <col min="4601" max="4601" width="26.85546875" style="7" customWidth="1"/>
    <col min="4602" max="4610" width="15.140625" style="7" customWidth="1"/>
    <col min="4611" max="4611" width="14" style="7" customWidth="1"/>
    <col min="4612" max="4612" width="13.42578125" style="7" customWidth="1"/>
    <col min="4613" max="4614" width="15" style="7" customWidth="1"/>
    <col min="4615" max="4615" width="16.5703125" style="7" customWidth="1"/>
    <col min="4616" max="4619" width="18.7109375" style="7" customWidth="1"/>
    <col min="4620" max="4854" width="9.140625" style="7"/>
    <col min="4855" max="4855" width="13.28515625" style="7" customWidth="1"/>
    <col min="4856" max="4856" width="34.7109375" style="7" customWidth="1"/>
    <col min="4857" max="4857" width="26.85546875" style="7" customWidth="1"/>
    <col min="4858" max="4866" width="15.140625" style="7" customWidth="1"/>
    <col min="4867" max="4867" width="14" style="7" customWidth="1"/>
    <col min="4868" max="4868" width="13.42578125" style="7" customWidth="1"/>
    <col min="4869" max="4870" width="15" style="7" customWidth="1"/>
    <col min="4871" max="4871" width="16.5703125" style="7" customWidth="1"/>
    <col min="4872" max="4875" width="18.7109375" style="7" customWidth="1"/>
    <col min="4876" max="5110" width="9.140625" style="7"/>
    <col min="5111" max="5111" width="13.28515625" style="7" customWidth="1"/>
    <col min="5112" max="5112" width="34.7109375" style="7" customWidth="1"/>
    <col min="5113" max="5113" width="26.85546875" style="7" customWidth="1"/>
    <col min="5114" max="5122" width="15.140625" style="7" customWidth="1"/>
    <col min="5123" max="5123" width="14" style="7" customWidth="1"/>
    <col min="5124" max="5124" width="13.42578125" style="7" customWidth="1"/>
    <col min="5125" max="5126" width="15" style="7" customWidth="1"/>
    <col min="5127" max="5127" width="16.5703125" style="7" customWidth="1"/>
    <col min="5128" max="5131" width="18.7109375" style="7" customWidth="1"/>
    <col min="5132" max="5366" width="9.140625" style="7"/>
    <col min="5367" max="5367" width="13.28515625" style="7" customWidth="1"/>
    <col min="5368" max="5368" width="34.7109375" style="7" customWidth="1"/>
    <col min="5369" max="5369" width="26.85546875" style="7" customWidth="1"/>
    <col min="5370" max="5378" width="15.140625" style="7" customWidth="1"/>
    <col min="5379" max="5379" width="14" style="7" customWidth="1"/>
    <col min="5380" max="5380" width="13.42578125" style="7" customWidth="1"/>
    <col min="5381" max="5382" width="15" style="7" customWidth="1"/>
    <col min="5383" max="5383" width="16.5703125" style="7" customWidth="1"/>
    <col min="5384" max="5387" width="18.7109375" style="7" customWidth="1"/>
    <col min="5388" max="5622" width="9.140625" style="7"/>
    <col min="5623" max="5623" width="13.28515625" style="7" customWidth="1"/>
    <col min="5624" max="5624" width="34.7109375" style="7" customWidth="1"/>
    <col min="5625" max="5625" width="26.85546875" style="7" customWidth="1"/>
    <col min="5626" max="5634" width="15.140625" style="7" customWidth="1"/>
    <col min="5635" max="5635" width="14" style="7" customWidth="1"/>
    <col min="5636" max="5636" width="13.42578125" style="7" customWidth="1"/>
    <col min="5637" max="5638" width="15" style="7" customWidth="1"/>
    <col min="5639" max="5639" width="16.5703125" style="7" customWidth="1"/>
    <col min="5640" max="5643" width="18.7109375" style="7" customWidth="1"/>
    <col min="5644" max="5878" width="9.140625" style="7"/>
    <col min="5879" max="5879" width="13.28515625" style="7" customWidth="1"/>
    <col min="5880" max="5880" width="34.7109375" style="7" customWidth="1"/>
    <col min="5881" max="5881" width="26.85546875" style="7" customWidth="1"/>
    <col min="5882" max="5890" width="15.140625" style="7" customWidth="1"/>
    <col min="5891" max="5891" width="14" style="7" customWidth="1"/>
    <col min="5892" max="5892" width="13.42578125" style="7" customWidth="1"/>
    <col min="5893" max="5894" width="15" style="7" customWidth="1"/>
    <col min="5895" max="5895" width="16.5703125" style="7" customWidth="1"/>
    <col min="5896" max="5899" width="18.7109375" style="7" customWidth="1"/>
    <col min="5900" max="6134" width="9.140625" style="7"/>
    <col min="6135" max="6135" width="13.28515625" style="7" customWidth="1"/>
    <col min="6136" max="6136" width="34.7109375" style="7" customWidth="1"/>
    <col min="6137" max="6137" width="26.85546875" style="7" customWidth="1"/>
    <col min="6138" max="6146" width="15.140625" style="7" customWidth="1"/>
    <col min="6147" max="6147" width="14" style="7" customWidth="1"/>
    <col min="6148" max="6148" width="13.42578125" style="7" customWidth="1"/>
    <col min="6149" max="6150" width="15" style="7" customWidth="1"/>
    <col min="6151" max="6151" width="16.5703125" style="7" customWidth="1"/>
    <col min="6152" max="6155" width="18.7109375" style="7" customWidth="1"/>
    <col min="6156" max="6390" width="9.140625" style="7"/>
    <col min="6391" max="6391" width="13.28515625" style="7" customWidth="1"/>
    <col min="6392" max="6392" width="34.7109375" style="7" customWidth="1"/>
    <col min="6393" max="6393" width="26.85546875" style="7" customWidth="1"/>
    <col min="6394" max="6402" width="15.140625" style="7" customWidth="1"/>
    <col min="6403" max="6403" width="14" style="7" customWidth="1"/>
    <col min="6404" max="6404" width="13.42578125" style="7" customWidth="1"/>
    <col min="6405" max="6406" width="15" style="7" customWidth="1"/>
    <col min="6407" max="6407" width="16.5703125" style="7" customWidth="1"/>
    <col min="6408" max="6411" width="18.7109375" style="7" customWidth="1"/>
    <col min="6412" max="6646" width="9.140625" style="7"/>
    <col min="6647" max="6647" width="13.28515625" style="7" customWidth="1"/>
    <col min="6648" max="6648" width="34.7109375" style="7" customWidth="1"/>
    <col min="6649" max="6649" width="26.85546875" style="7" customWidth="1"/>
    <col min="6650" max="6658" width="15.140625" style="7" customWidth="1"/>
    <col min="6659" max="6659" width="14" style="7" customWidth="1"/>
    <col min="6660" max="6660" width="13.42578125" style="7" customWidth="1"/>
    <col min="6661" max="6662" width="15" style="7" customWidth="1"/>
    <col min="6663" max="6663" width="16.5703125" style="7" customWidth="1"/>
    <col min="6664" max="6667" width="18.7109375" style="7" customWidth="1"/>
    <col min="6668" max="6902" width="9.140625" style="7"/>
    <col min="6903" max="6903" width="13.28515625" style="7" customWidth="1"/>
    <col min="6904" max="6904" width="34.7109375" style="7" customWidth="1"/>
    <col min="6905" max="6905" width="26.85546875" style="7" customWidth="1"/>
    <col min="6906" max="6914" width="15.140625" style="7" customWidth="1"/>
    <col min="6915" max="6915" width="14" style="7" customWidth="1"/>
    <col min="6916" max="6916" width="13.42578125" style="7" customWidth="1"/>
    <col min="6917" max="6918" width="15" style="7" customWidth="1"/>
    <col min="6919" max="6919" width="16.5703125" style="7" customWidth="1"/>
    <col min="6920" max="6923" width="18.7109375" style="7" customWidth="1"/>
    <col min="6924" max="7158" width="9.140625" style="7"/>
    <col min="7159" max="7159" width="13.28515625" style="7" customWidth="1"/>
    <col min="7160" max="7160" width="34.7109375" style="7" customWidth="1"/>
    <col min="7161" max="7161" width="26.85546875" style="7" customWidth="1"/>
    <col min="7162" max="7170" width="15.140625" style="7" customWidth="1"/>
    <col min="7171" max="7171" width="14" style="7" customWidth="1"/>
    <col min="7172" max="7172" width="13.42578125" style="7" customWidth="1"/>
    <col min="7173" max="7174" width="15" style="7" customWidth="1"/>
    <col min="7175" max="7175" width="16.5703125" style="7" customWidth="1"/>
    <col min="7176" max="7179" width="18.7109375" style="7" customWidth="1"/>
    <col min="7180" max="7414" width="9.140625" style="7"/>
    <col min="7415" max="7415" width="13.28515625" style="7" customWidth="1"/>
    <col min="7416" max="7416" width="34.7109375" style="7" customWidth="1"/>
    <col min="7417" max="7417" width="26.85546875" style="7" customWidth="1"/>
    <col min="7418" max="7426" width="15.140625" style="7" customWidth="1"/>
    <col min="7427" max="7427" width="14" style="7" customWidth="1"/>
    <col min="7428" max="7428" width="13.42578125" style="7" customWidth="1"/>
    <col min="7429" max="7430" width="15" style="7" customWidth="1"/>
    <col min="7431" max="7431" width="16.5703125" style="7" customWidth="1"/>
    <col min="7432" max="7435" width="18.7109375" style="7" customWidth="1"/>
    <col min="7436" max="7670" width="9.140625" style="7"/>
    <col min="7671" max="7671" width="13.28515625" style="7" customWidth="1"/>
    <col min="7672" max="7672" width="34.7109375" style="7" customWidth="1"/>
    <col min="7673" max="7673" width="26.85546875" style="7" customWidth="1"/>
    <col min="7674" max="7682" width="15.140625" style="7" customWidth="1"/>
    <col min="7683" max="7683" width="14" style="7" customWidth="1"/>
    <col min="7684" max="7684" width="13.42578125" style="7" customWidth="1"/>
    <col min="7685" max="7686" width="15" style="7" customWidth="1"/>
    <col min="7687" max="7687" width="16.5703125" style="7" customWidth="1"/>
    <col min="7688" max="7691" width="18.7109375" style="7" customWidth="1"/>
    <col min="7692" max="7926" width="9.140625" style="7"/>
    <col min="7927" max="7927" width="13.28515625" style="7" customWidth="1"/>
    <col min="7928" max="7928" width="34.7109375" style="7" customWidth="1"/>
    <col min="7929" max="7929" width="26.85546875" style="7" customWidth="1"/>
    <col min="7930" max="7938" width="15.140625" style="7" customWidth="1"/>
    <col min="7939" max="7939" width="14" style="7" customWidth="1"/>
    <col min="7940" max="7940" width="13.42578125" style="7" customWidth="1"/>
    <col min="7941" max="7942" width="15" style="7" customWidth="1"/>
    <col min="7943" max="7943" width="16.5703125" style="7" customWidth="1"/>
    <col min="7944" max="7947" width="18.7109375" style="7" customWidth="1"/>
    <col min="7948" max="8182" width="9.140625" style="7"/>
    <col min="8183" max="8183" width="13.28515625" style="7" customWidth="1"/>
    <col min="8184" max="8184" width="34.7109375" style="7" customWidth="1"/>
    <col min="8185" max="8185" width="26.85546875" style="7" customWidth="1"/>
    <col min="8186" max="8194" width="15.140625" style="7" customWidth="1"/>
    <col min="8195" max="8195" width="14" style="7" customWidth="1"/>
    <col min="8196" max="8196" width="13.42578125" style="7" customWidth="1"/>
    <col min="8197" max="8198" width="15" style="7" customWidth="1"/>
    <col min="8199" max="8199" width="16.5703125" style="7" customWidth="1"/>
    <col min="8200" max="8203" width="18.7109375" style="7" customWidth="1"/>
    <col min="8204" max="8438" width="9.140625" style="7"/>
    <col min="8439" max="8439" width="13.28515625" style="7" customWidth="1"/>
    <col min="8440" max="8440" width="34.7109375" style="7" customWidth="1"/>
    <col min="8441" max="8441" width="26.85546875" style="7" customWidth="1"/>
    <col min="8442" max="8450" width="15.140625" style="7" customWidth="1"/>
    <col min="8451" max="8451" width="14" style="7" customWidth="1"/>
    <col min="8452" max="8452" width="13.42578125" style="7" customWidth="1"/>
    <col min="8453" max="8454" width="15" style="7" customWidth="1"/>
    <col min="8455" max="8455" width="16.5703125" style="7" customWidth="1"/>
    <col min="8456" max="8459" width="18.7109375" style="7" customWidth="1"/>
    <col min="8460" max="8694" width="9.140625" style="7"/>
    <col min="8695" max="8695" width="13.28515625" style="7" customWidth="1"/>
    <col min="8696" max="8696" width="34.7109375" style="7" customWidth="1"/>
    <col min="8697" max="8697" width="26.85546875" style="7" customWidth="1"/>
    <col min="8698" max="8706" width="15.140625" style="7" customWidth="1"/>
    <col min="8707" max="8707" width="14" style="7" customWidth="1"/>
    <col min="8708" max="8708" width="13.42578125" style="7" customWidth="1"/>
    <col min="8709" max="8710" width="15" style="7" customWidth="1"/>
    <col min="8711" max="8711" width="16.5703125" style="7" customWidth="1"/>
    <col min="8712" max="8715" width="18.7109375" style="7" customWidth="1"/>
    <col min="8716" max="8950" width="9.140625" style="7"/>
    <col min="8951" max="8951" width="13.28515625" style="7" customWidth="1"/>
    <col min="8952" max="8952" width="34.7109375" style="7" customWidth="1"/>
    <col min="8953" max="8953" width="26.85546875" style="7" customWidth="1"/>
    <col min="8954" max="8962" width="15.140625" style="7" customWidth="1"/>
    <col min="8963" max="8963" width="14" style="7" customWidth="1"/>
    <col min="8964" max="8964" width="13.42578125" style="7" customWidth="1"/>
    <col min="8965" max="8966" width="15" style="7" customWidth="1"/>
    <col min="8967" max="8967" width="16.5703125" style="7" customWidth="1"/>
    <col min="8968" max="8971" width="18.7109375" style="7" customWidth="1"/>
    <col min="8972" max="9206" width="9.140625" style="7"/>
    <col min="9207" max="9207" width="13.28515625" style="7" customWidth="1"/>
    <col min="9208" max="9208" width="34.7109375" style="7" customWidth="1"/>
    <col min="9209" max="9209" width="26.85546875" style="7" customWidth="1"/>
    <col min="9210" max="9218" width="15.140625" style="7" customWidth="1"/>
    <col min="9219" max="9219" width="14" style="7" customWidth="1"/>
    <col min="9220" max="9220" width="13.42578125" style="7" customWidth="1"/>
    <col min="9221" max="9222" width="15" style="7" customWidth="1"/>
    <col min="9223" max="9223" width="16.5703125" style="7" customWidth="1"/>
    <col min="9224" max="9227" width="18.7109375" style="7" customWidth="1"/>
    <col min="9228" max="9462" width="9.140625" style="7"/>
    <col min="9463" max="9463" width="13.28515625" style="7" customWidth="1"/>
    <col min="9464" max="9464" width="34.7109375" style="7" customWidth="1"/>
    <col min="9465" max="9465" width="26.85546875" style="7" customWidth="1"/>
    <col min="9466" max="9474" width="15.140625" style="7" customWidth="1"/>
    <col min="9475" max="9475" width="14" style="7" customWidth="1"/>
    <col min="9476" max="9476" width="13.42578125" style="7" customWidth="1"/>
    <col min="9477" max="9478" width="15" style="7" customWidth="1"/>
    <col min="9479" max="9479" width="16.5703125" style="7" customWidth="1"/>
    <col min="9480" max="9483" width="18.7109375" style="7" customWidth="1"/>
    <col min="9484" max="9718" width="9.140625" style="7"/>
    <col min="9719" max="9719" width="13.28515625" style="7" customWidth="1"/>
    <col min="9720" max="9720" width="34.7109375" style="7" customWidth="1"/>
    <col min="9721" max="9721" width="26.85546875" style="7" customWidth="1"/>
    <col min="9722" max="9730" width="15.140625" style="7" customWidth="1"/>
    <col min="9731" max="9731" width="14" style="7" customWidth="1"/>
    <col min="9732" max="9732" width="13.42578125" style="7" customWidth="1"/>
    <col min="9733" max="9734" width="15" style="7" customWidth="1"/>
    <col min="9735" max="9735" width="16.5703125" style="7" customWidth="1"/>
    <col min="9736" max="9739" width="18.7109375" style="7" customWidth="1"/>
    <col min="9740" max="9974" width="9.140625" style="7"/>
    <col min="9975" max="9975" width="13.28515625" style="7" customWidth="1"/>
    <col min="9976" max="9976" width="34.7109375" style="7" customWidth="1"/>
    <col min="9977" max="9977" width="26.85546875" style="7" customWidth="1"/>
    <col min="9978" max="9986" width="15.140625" style="7" customWidth="1"/>
    <col min="9987" max="9987" width="14" style="7" customWidth="1"/>
    <col min="9988" max="9988" width="13.42578125" style="7" customWidth="1"/>
    <col min="9989" max="9990" width="15" style="7" customWidth="1"/>
    <col min="9991" max="9991" width="16.5703125" style="7" customWidth="1"/>
    <col min="9992" max="9995" width="18.7109375" style="7" customWidth="1"/>
    <col min="9996" max="10230" width="9.140625" style="7"/>
    <col min="10231" max="10231" width="13.28515625" style="7" customWidth="1"/>
    <col min="10232" max="10232" width="34.7109375" style="7" customWidth="1"/>
    <col min="10233" max="10233" width="26.85546875" style="7" customWidth="1"/>
    <col min="10234" max="10242" width="15.140625" style="7" customWidth="1"/>
    <col min="10243" max="10243" width="14" style="7" customWidth="1"/>
    <col min="10244" max="10244" width="13.42578125" style="7" customWidth="1"/>
    <col min="10245" max="10246" width="15" style="7" customWidth="1"/>
    <col min="10247" max="10247" width="16.5703125" style="7" customWidth="1"/>
    <col min="10248" max="10251" width="18.7109375" style="7" customWidth="1"/>
    <col min="10252" max="10486" width="9.140625" style="7"/>
    <col min="10487" max="10487" width="13.28515625" style="7" customWidth="1"/>
    <col min="10488" max="10488" width="34.7109375" style="7" customWidth="1"/>
    <col min="10489" max="10489" width="26.85546875" style="7" customWidth="1"/>
    <col min="10490" max="10498" width="15.140625" style="7" customWidth="1"/>
    <col min="10499" max="10499" width="14" style="7" customWidth="1"/>
    <col min="10500" max="10500" width="13.42578125" style="7" customWidth="1"/>
    <col min="10501" max="10502" width="15" style="7" customWidth="1"/>
    <col min="10503" max="10503" width="16.5703125" style="7" customWidth="1"/>
    <col min="10504" max="10507" width="18.7109375" style="7" customWidth="1"/>
    <col min="10508" max="10742" width="9.140625" style="7"/>
    <col min="10743" max="10743" width="13.28515625" style="7" customWidth="1"/>
    <col min="10744" max="10744" width="34.7109375" style="7" customWidth="1"/>
    <col min="10745" max="10745" width="26.85546875" style="7" customWidth="1"/>
    <col min="10746" max="10754" width="15.140625" style="7" customWidth="1"/>
    <col min="10755" max="10755" width="14" style="7" customWidth="1"/>
    <col min="10756" max="10756" width="13.42578125" style="7" customWidth="1"/>
    <col min="10757" max="10758" width="15" style="7" customWidth="1"/>
    <col min="10759" max="10759" width="16.5703125" style="7" customWidth="1"/>
    <col min="10760" max="10763" width="18.7109375" style="7" customWidth="1"/>
    <col min="10764" max="10998" width="9.140625" style="7"/>
    <col min="10999" max="10999" width="13.28515625" style="7" customWidth="1"/>
    <col min="11000" max="11000" width="34.7109375" style="7" customWidth="1"/>
    <col min="11001" max="11001" width="26.85546875" style="7" customWidth="1"/>
    <col min="11002" max="11010" width="15.140625" style="7" customWidth="1"/>
    <col min="11011" max="11011" width="14" style="7" customWidth="1"/>
    <col min="11012" max="11012" width="13.42578125" style="7" customWidth="1"/>
    <col min="11013" max="11014" width="15" style="7" customWidth="1"/>
    <col min="11015" max="11015" width="16.5703125" style="7" customWidth="1"/>
    <col min="11016" max="11019" width="18.7109375" style="7" customWidth="1"/>
    <col min="11020" max="11254" width="9.140625" style="7"/>
    <col min="11255" max="11255" width="13.28515625" style="7" customWidth="1"/>
    <col min="11256" max="11256" width="34.7109375" style="7" customWidth="1"/>
    <col min="11257" max="11257" width="26.85546875" style="7" customWidth="1"/>
    <col min="11258" max="11266" width="15.140625" style="7" customWidth="1"/>
    <col min="11267" max="11267" width="14" style="7" customWidth="1"/>
    <col min="11268" max="11268" width="13.42578125" style="7" customWidth="1"/>
    <col min="11269" max="11270" width="15" style="7" customWidth="1"/>
    <col min="11271" max="11271" width="16.5703125" style="7" customWidth="1"/>
    <col min="11272" max="11275" width="18.7109375" style="7" customWidth="1"/>
    <col min="11276" max="11510" width="9.140625" style="7"/>
    <col min="11511" max="11511" width="13.28515625" style="7" customWidth="1"/>
    <col min="11512" max="11512" width="34.7109375" style="7" customWidth="1"/>
    <col min="11513" max="11513" width="26.85546875" style="7" customWidth="1"/>
    <col min="11514" max="11522" width="15.140625" style="7" customWidth="1"/>
    <col min="11523" max="11523" width="14" style="7" customWidth="1"/>
    <col min="11524" max="11524" width="13.42578125" style="7" customWidth="1"/>
    <col min="11525" max="11526" width="15" style="7" customWidth="1"/>
    <col min="11527" max="11527" width="16.5703125" style="7" customWidth="1"/>
    <col min="11528" max="11531" width="18.7109375" style="7" customWidth="1"/>
    <col min="11532" max="11766" width="9.140625" style="7"/>
    <col min="11767" max="11767" width="13.28515625" style="7" customWidth="1"/>
    <col min="11768" max="11768" width="34.7109375" style="7" customWidth="1"/>
    <col min="11769" max="11769" width="26.85546875" style="7" customWidth="1"/>
    <col min="11770" max="11778" width="15.140625" style="7" customWidth="1"/>
    <col min="11779" max="11779" width="14" style="7" customWidth="1"/>
    <col min="11780" max="11780" width="13.42578125" style="7" customWidth="1"/>
    <col min="11781" max="11782" width="15" style="7" customWidth="1"/>
    <col min="11783" max="11783" width="16.5703125" style="7" customWidth="1"/>
    <col min="11784" max="11787" width="18.7109375" style="7" customWidth="1"/>
    <col min="11788" max="12022" width="9.140625" style="7"/>
    <col min="12023" max="12023" width="13.28515625" style="7" customWidth="1"/>
    <col min="12024" max="12024" width="34.7109375" style="7" customWidth="1"/>
    <col min="12025" max="12025" width="26.85546875" style="7" customWidth="1"/>
    <col min="12026" max="12034" width="15.140625" style="7" customWidth="1"/>
    <col min="12035" max="12035" width="14" style="7" customWidth="1"/>
    <col min="12036" max="12036" width="13.42578125" style="7" customWidth="1"/>
    <col min="12037" max="12038" width="15" style="7" customWidth="1"/>
    <col min="12039" max="12039" width="16.5703125" style="7" customWidth="1"/>
    <col min="12040" max="12043" width="18.7109375" style="7" customWidth="1"/>
    <col min="12044" max="12278" width="9.140625" style="7"/>
    <col min="12279" max="12279" width="13.28515625" style="7" customWidth="1"/>
    <col min="12280" max="12280" width="34.7109375" style="7" customWidth="1"/>
    <col min="12281" max="12281" width="26.85546875" style="7" customWidth="1"/>
    <col min="12282" max="12290" width="15.140625" style="7" customWidth="1"/>
    <col min="12291" max="12291" width="14" style="7" customWidth="1"/>
    <col min="12292" max="12292" width="13.42578125" style="7" customWidth="1"/>
    <col min="12293" max="12294" width="15" style="7" customWidth="1"/>
    <col min="12295" max="12295" width="16.5703125" style="7" customWidth="1"/>
    <col min="12296" max="12299" width="18.7109375" style="7" customWidth="1"/>
    <col min="12300" max="12534" width="9.140625" style="7"/>
    <col min="12535" max="12535" width="13.28515625" style="7" customWidth="1"/>
    <col min="12536" max="12536" width="34.7109375" style="7" customWidth="1"/>
    <col min="12537" max="12537" width="26.85546875" style="7" customWidth="1"/>
    <col min="12538" max="12546" width="15.140625" style="7" customWidth="1"/>
    <col min="12547" max="12547" width="14" style="7" customWidth="1"/>
    <col min="12548" max="12548" width="13.42578125" style="7" customWidth="1"/>
    <col min="12549" max="12550" width="15" style="7" customWidth="1"/>
    <col min="12551" max="12551" width="16.5703125" style="7" customWidth="1"/>
    <col min="12552" max="12555" width="18.7109375" style="7" customWidth="1"/>
    <col min="12556" max="12790" width="9.140625" style="7"/>
    <col min="12791" max="12791" width="13.28515625" style="7" customWidth="1"/>
    <col min="12792" max="12792" width="34.7109375" style="7" customWidth="1"/>
    <col min="12793" max="12793" width="26.85546875" style="7" customWidth="1"/>
    <col min="12794" max="12802" width="15.140625" style="7" customWidth="1"/>
    <col min="12803" max="12803" width="14" style="7" customWidth="1"/>
    <col min="12804" max="12804" width="13.42578125" style="7" customWidth="1"/>
    <col min="12805" max="12806" width="15" style="7" customWidth="1"/>
    <col min="12807" max="12807" width="16.5703125" style="7" customWidth="1"/>
    <col min="12808" max="12811" width="18.7109375" style="7" customWidth="1"/>
    <col min="12812" max="13046" width="9.140625" style="7"/>
    <col min="13047" max="13047" width="13.28515625" style="7" customWidth="1"/>
    <col min="13048" max="13048" width="34.7109375" style="7" customWidth="1"/>
    <col min="13049" max="13049" width="26.85546875" style="7" customWidth="1"/>
    <col min="13050" max="13058" width="15.140625" style="7" customWidth="1"/>
    <col min="13059" max="13059" width="14" style="7" customWidth="1"/>
    <col min="13060" max="13060" width="13.42578125" style="7" customWidth="1"/>
    <col min="13061" max="13062" width="15" style="7" customWidth="1"/>
    <col min="13063" max="13063" width="16.5703125" style="7" customWidth="1"/>
    <col min="13064" max="13067" width="18.7109375" style="7" customWidth="1"/>
    <col min="13068" max="13302" width="9.140625" style="7"/>
    <col min="13303" max="13303" width="13.28515625" style="7" customWidth="1"/>
    <col min="13304" max="13304" width="34.7109375" style="7" customWidth="1"/>
    <col min="13305" max="13305" width="26.85546875" style="7" customWidth="1"/>
    <col min="13306" max="13314" width="15.140625" style="7" customWidth="1"/>
    <col min="13315" max="13315" width="14" style="7" customWidth="1"/>
    <col min="13316" max="13316" width="13.42578125" style="7" customWidth="1"/>
    <col min="13317" max="13318" width="15" style="7" customWidth="1"/>
    <col min="13319" max="13319" width="16.5703125" style="7" customWidth="1"/>
    <col min="13320" max="13323" width="18.7109375" style="7" customWidth="1"/>
    <col min="13324" max="13558" width="9.140625" style="7"/>
    <col min="13559" max="13559" width="13.28515625" style="7" customWidth="1"/>
    <col min="13560" max="13560" width="34.7109375" style="7" customWidth="1"/>
    <col min="13561" max="13561" width="26.85546875" style="7" customWidth="1"/>
    <col min="13562" max="13570" width="15.140625" style="7" customWidth="1"/>
    <col min="13571" max="13571" width="14" style="7" customWidth="1"/>
    <col min="13572" max="13572" width="13.42578125" style="7" customWidth="1"/>
    <col min="13573" max="13574" width="15" style="7" customWidth="1"/>
    <col min="13575" max="13575" width="16.5703125" style="7" customWidth="1"/>
    <col min="13576" max="13579" width="18.7109375" style="7" customWidth="1"/>
    <col min="13580" max="13814" width="9.140625" style="7"/>
    <col min="13815" max="13815" width="13.28515625" style="7" customWidth="1"/>
    <col min="13816" max="13816" width="34.7109375" style="7" customWidth="1"/>
    <col min="13817" max="13817" width="26.85546875" style="7" customWidth="1"/>
    <col min="13818" max="13826" width="15.140625" style="7" customWidth="1"/>
    <col min="13827" max="13827" width="14" style="7" customWidth="1"/>
    <col min="13828" max="13828" width="13.42578125" style="7" customWidth="1"/>
    <col min="13829" max="13830" width="15" style="7" customWidth="1"/>
    <col min="13831" max="13831" width="16.5703125" style="7" customWidth="1"/>
    <col min="13832" max="13835" width="18.7109375" style="7" customWidth="1"/>
    <col min="13836" max="14070" width="9.140625" style="7"/>
    <col min="14071" max="14071" width="13.28515625" style="7" customWidth="1"/>
    <col min="14072" max="14072" width="34.7109375" style="7" customWidth="1"/>
    <col min="14073" max="14073" width="26.85546875" style="7" customWidth="1"/>
    <col min="14074" max="14082" width="15.140625" style="7" customWidth="1"/>
    <col min="14083" max="14083" width="14" style="7" customWidth="1"/>
    <col min="14084" max="14084" width="13.42578125" style="7" customWidth="1"/>
    <col min="14085" max="14086" width="15" style="7" customWidth="1"/>
    <col min="14087" max="14087" width="16.5703125" style="7" customWidth="1"/>
    <col min="14088" max="14091" width="18.7109375" style="7" customWidth="1"/>
    <col min="14092" max="14326" width="9.140625" style="7"/>
    <col min="14327" max="14327" width="13.28515625" style="7" customWidth="1"/>
    <col min="14328" max="14328" width="34.7109375" style="7" customWidth="1"/>
    <col min="14329" max="14329" width="26.85546875" style="7" customWidth="1"/>
    <col min="14330" max="14338" width="15.140625" style="7" customWidth="1"/>
    <col min="14339" max="14339" width="14" style="7" customWidth="1"/>
    <col min="14340" max="14340" width="13.42578125" style="7" customWidth="1"/>
    <col min="14341" max="14342" width="15" style="7" customWidth="1"/>
    <col min="14343" max="14343" width="16.5703125" style="7" customWidth="1"/>
    <col min="14344" max="14347" width="18.7109375" style="7" customWidth="1"/>
    <col min="14348" max="14582" width="9.140625" style="7"/>
    <col min="14583" max="14583" width="13.28515625" style="7" customWidth="1"/>
    <col min="14584" max="14584" width="34.7109375" style="7" customWidth="1"/>
    <col min="14585" max="14585" width="26.85546875" style="7" customWidth="1"/>
    <col min="14586" max="14594" width="15.140625" style="7" customWidth="1"/>
    <col min="14595" max="14595" width="14" style="7" customWidth="1"/>
    <col min="14596" max="14596" width="13.42578125" style="7" customWidth="1"/>
    <col min="14597" max="14598" width="15" style="7" customWidth="1"/>
    <col min="14599" max="14599" width="16.5703125" style="7" customWidth="1"/>
    <col min="14600" max="14603" width="18.7109375" style="7" customWidth="1"/>
    <col min="14604" max="14838" width="9.140625" style="7"/>
    <col min="14839" max="14839" width="13.28515625" style="7" customWidth="1"/>
    <col min="14840" max="14840" width="34.7109375" style="7" customWidth="1"/>
    <col min="14841" max="14841" width="26.85546875" style="7" customWidth="1"/>
    <col min="14842" max="14850" width="15.140625" style="7" customWidth="1"/>
    <col min="14851" max="14851" width="14" style="7" customWidth="1"/>
    <col min="14852" max="14852" width="13.42578125" style="7" customWidth="1"/>
    <col min="14853" max="14854" width="15" style="7" customWidth="1"/>
    <col min="14855" max="14855" width="16.5703125" style="7" customWidth="1"/>
    <col min="14856" max="14859" width="18.7109375" style="7" customWidth="1"/>
    <col min="14860" max="15094" width="9.140625" style="7"/>
    <col min="15095" max="15095" width="13.28515625" style="7" customWidth="1"/>
    <col min="15096" max="15096" width="34.7109375" style="7" customWidth="1"/>
    <col min="15097" max="15097" width="26.85546875" style="7" customWidth="1"/>
    <col min="15098" max="15106" width="15.140625" style="7" customWidth="1"/>
    <col min="15107" max="15107" width="14" style="7" customWidth="1"/>
    <col min="15108" max="15108" width="13.42578125" style="7" customWidth="1"/>
    <col min="15109" max="15110" width="15" style="7" customWidth="1"/>
    <col min="15111" max="15111" width="16.5703125" style="7" customWidth="1"/>
    <col min="15112" max="15115" width="18.7109375" style="7" customWidth="1"/>
    <col min="15116" max="15350" width="9.140625" style="7"/>
    <col min="15351" max="15351" width="13.28515625" style="7" customWidth="1"/>
    <col min="15352" max="15352" width="34.7109375" style="7" customWidth="1"/>
    <col min="15353" max="15353" width="26.85546875" style="7" customWidth="1"/>
    <col min="15354" max="15362" width="15.140625" style="7" customWidth="1"/>
    <col min="15363" max="15363" width="14" style="7" customWidth="1"/>
    <col min="15364" max="15364" width="13.42578125" style="7" customWidth="1"/>
    <col min="15365" max="15366" width="15" style="7" customWidth="1"/>
    <col min="15367" max="15367" width="16.5703125" style="7" customWidth="1"/>
    <col min="15368" max="15371" width="18.7109375" style="7" customWidth="1"/>
    <col min="15372" max="15606" width="9.140625" style="7"/>
    <col min="15607" max="15607" width="13.28515625" style="7" customWidth="1"/>
    <col min="15608" max="15608" width="34.7109375" style="7" customWidth="1"/>
    <col min="15609" max="15609" width="26.85546875" style="7" customWidth="1"/>
    <col min="15610" max="15618" width="15.140625" style="7" customWidth="1"/>
    <col min="15619" max="15619" width="14" style="7" customWidth="1"/>
    <col min="15620" max="15620" width="13.42578125" style="7" customWidth="1"/>
    <col min="15621" max="15622" width="15" style="7" customWidth="1"/>
    <col min="15623" max="15623" width="16.5703125" style="7" customWidth="1"/>
    <col min="15624" max="15627" width="18.7109375" style="7" customWidth="1"/>
    <col min="15628" max="15862" width="9.140625" style="7"/>
    <col min="15863" max="15863" width="13.28515625" style="7" customWidth="1"/>
    <col min="15864" max="15864" width="34.7109375" style="7" customWidth="1"/>
    <col min="15865" max="15865" width="26.85546875" style="7" customWidth="1"/>
    <col min="15866" max="15874" width="15.140625" style="7" customWidth="1"/>
    <col min="15875" max="15875" width="14" style="7" customWidth="1"/>
    <col min="15876" max="15876" width="13.42578125" style="7" customWidth="1"/>
    <col min="15877" max="15878" width="15" style="7" customWidth="1"/>
    <col min="15879" max="15879" width="16.5703125" style="7" customWidth="1"/>
    <col min="15880" max="15883" width="18.7109375" style="7" customWidth="1"/>
    <col min="15884" max="16118" width="9.140625" style="7"/>
    <col min="16119" max="16119" width="13.28515625" style="7" customWidth="1"/>
    <col min="16120" max="16120" width="34.7109375" style="7" customWidth="1"/>
    <col min="16121" max="16121" width="26.85546875" style="7" customWidth="1"/>
    <col min="16122" max="16130" width="15.140625" style="7" customWidth="1"/>
    <col min="16131" max="16131" width="14" style="7" customWidth="1"/>
    <col min="16132" max="16132" width="13.42578125" style="7" customWidth="1"/>
    <col min="16133" max="16134" width="15" style="7" customWidth="1"/>
    <col min="16135" max="16135" width="16.5703125" style="7" customWidth="1"/>
    <col min="16136" max="16139" width="18.7109375" style="7" customWidth="1"/>
    <col min="16140" max="16384" width="9.140625" style="7"/>
  </cols>
  <sheetData>
    <row r="1" spans="1:184">
      <c r="K1" s="60" t="s">
        <v>371</v>
      </c>
    </row>
    <row r="2" spans="1:184">
      <c r="K2" s="61" t="s">
        <v>369</v>
      </c>
    </row>
    <row r="3" spans="1:184" s="1" customFormat="1" ht="93" customHeight="1">
      <c r="B3" s="16"/>
      <c r="C3" s="16"/>
      <c r="D3" s="62" t="s">
        <v>370</v>
      </c>
      <c r="E3" s="62"/>
      <c r="F3" s="62"/>
      <c r="G3" s="62"/>
      <c r="H3" s="62"/>
      <c r="I3" s="62"/>
      <c r="J3" s="62"/>
      <c r="K3" s="62"/>
      <c r="L3" s="62"/>
      <c r="M3" s="16"/>
      <c r="N3" s="16"/>
      <c r="O3" s="16"/>
      <c r="P3" s="16"/>
      <c r="Q3" s="16"/>
      <c r="R3" s="16"/>
      <c r="S3" s="16"/>
      <c r="T3" s="16"/>
    </row>
    <row r="4" spans="1:184" s="1" customFormat="1" ht="10.5">
      <c r="A4" s="2"/>
      <c r="B4" s="3"/>
    </row>
    <row r="5" spans="1:184" s="4" customFormat="1" ht="76.5" customHeight="1">
      <c r="A5" s="64" t="s">
        <v>0</v>
      </c>
      <c r="B5" s="65" t="s">
        <v>52</v>
      </c>
      <c r="C5" s="65" t="s">
        <v>53</v>
      </c>
      <c r="D5" s="65" t="s">
        <v>324</v>
      </c>
      <c r="E5" s="65"/>
      <c r="F5" s="65"/>
      <c r="G5" s="65"/>
      <c r="H5" s="65"/>
      <c r="I5" s="66" t="s">
        <v>341</v>
      </c>
      <c r="J5" s="66"/>
      <c r="K5" s="66" t="s">
        <v>54</v>
      </c>
      <c r="L5" s="66"/>
      <c r="M5" s="65" t="s">
        <v>55</v>
      </c>
      <c r="N5" s="65"/>
      <c r="O5" s="65"/>
      <c r="P5" s="65"/>
      <c r="Q5" s="65"/>
      <c r="R5" s="67" t="s">
        <v>56</v>
      </c>
      <c r="S5" s="65" t="s">
        <v>57</v>
      </c>
      <c r="T5" s="65" t="s">
        <v>342</v>
      </c>
    </row>
    <row r="6" spans="1:184" s="4" customFormat="1" ht="57.75" customHeight="1">
      <c r="A6" s="64"/>
      <c r="B6" s="65"/>
      <c r="C6" s="65"/>
      <c r="D6" s="17" t="s">
        <v>62</v>
      </c>
      <c r="E6" s="17" t="s">
        <v>63</v>
      </c>
      <c r="F6" s="17" t="s">
        <v>58</v>
      </c>
      <c r="G6" s="17" t="s">
        <v>64</v>
      </c>
      <c r="H6" s="17" t="s">
        <v>59</v>
      </c>
      <c r="I6" s="59" t="s">
        <v>60</v>
      </c>
      <c r="J6" s="59" t="s">
        <v>61</v>
      </c>
      <c r="K6" s="59" t="s">
        <v>60</v>
      </c>
      <c r="L6" s="59" t="s">
        <v>61</v>
      </c>
      <c r="M6" s="17" t="s">
        <v>62</v>
      </c>
      <c r="N6" s="17" t="s">
        <v>63</v>
      </c>
      <c r="O6" s="17" t="s">
        <v>58</v>
      </c>
      <c r="P6" s="17" t="s">
        <v>64</v>
      </c>
      <c r="Q6" s="17" t="s">
        <v>65</v>
      </c>
      <c r="R6" s="68"/>
      <c r="S6" s="65"/>
      <c r="T6" s="65"/>
    </row>
    <row r="7" spans="1:184" s="4" customFormat="1" ht="16.5">
      <c r="A7" s="18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0"/>
      <c r="T7" s="20"/>
    </row>
    <row r="8" spans="1:184" s="4" customFormat="1" ht="16.5">
      <c r="A8" s="63" t="s">
        <v>66</v>
      </c>
      <c r="B8" s="63"/>
      <c r="C8" s="63"/>
      <c r="D8" s="22"/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184" s="6" customFormat="1" ht="16.5">
      <c r="A9" s="23" t="s">
        <v>325</v>
      </c>
      <c r="B9" s="24" t="s">
        <v>326</v>
      </c>
      <c r="C9" s="24" t="s">
        <v>68</v>
      </c>
      <c r="D9" s="25">
        <v>157.869</v>
      </c>
      <c r="E9" s="25">
        <f>234.172-D9</f>
        <v>76.302999999999997</v>
      </c>
      <c r="F9" s="26">
        <v>27.265999999999998</v>
      </c>
      <c r="G9" s="26">
        <v>163.59299999999999</v>
      </c>
      <c r="H9" s="27">
        <f>SUM(D9:G9)</f>
        <v>425.03099999999995</v>
      </c>
      <c r="I9" s="26">
        <v>3782.29</v>
      </c>
      <c r="J9" s="26">
        <v>3782.29</v>
      </c>
      <c r="K9" s="26">
        <v>1122.8800000000001</v>
      </c>
      <c r="L9" s="26">
        <v>1167.8</v>
      </c>
      <c r="M9" s="28">
        <f>D9*(I9-K9)</f>
        <v>419838.39728999999</v>
      </c>
      <c r="N9" s="29">
        <f>E9*(I9-K9)</f>
        <v>202920.96122999999</v>
      </c>
      <c r="O9" s="29">
        <f t="shared" ref="O9:O76" si="0">F9*(J9-L9)</f>
        <v>71286.684339999993</v>
      </c>
      <c r="P9" s="29">
        <f t="shared" ref="P9:P76" si="1">G9*(J9-L9)</f>
        <v>427712.26256999996</v>
      </c>
      <c r="Q9" s="29">
        <f>SUM(M9:P9)</f>
        <v>1121758.3054299999</v>
      </c>
      <c r="R9" s="26"/>
      <c r="S9" s="26"/>
      <c r="T9" s="26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</row>
    <row r="10" spans="1:184" ht="16.5">
      <c r="A10" s="23" t="s">
        <v>321</v>
      </c>
      <c r="B10" s="24" t="s">
        <v>73</v>
      </c>
      <c r="C10" s="24" t="s">
        <v>74</v>
      </c>
      <c r="D10" s="25">
        <v>180.07599999999999</v>
      </c>
      <c r="E10" s="25">
        <f>264.987-D10</f>
        <v>84.91100000000003</v>
      </c>
      <c r="F10" s="26">
        <v>37.229999999999997</v>
      </c>
      <c r="G10" s="26">
        <v>164.25</v>
      </c>
      <c r="H10" s="27">
        <f t="shared" ref="H10:H76" si="2">SUM(D10:G10)</f>
        <v>466.46700000000004</v>
      </c>
      <c r="I10" s="26">
        <v>3419.32</v>
      </c>
      <c r="J10" s="26">
        <v>3535.86</v>
      </c>
      <c r="K10" s="26">
        <v>1235.18</v>
      </c>
      <c r="L10" s="26">
        <v>1284.5899999999999</v>
      </c>
      <c r="M10" s="28">
        <f t="shared" ref="M10:M77" si="3">D10*(I10-K10)</f>
        <v>393311.19464000006</v>
      </c>
      <c r="N10" s="29">
        <f t="shared" ref="N10:N73" si="4">E10*(I10-K10)</f>
        <v>185457.51154000009</v>
      </c>
      <c r="O10" s="29">
        <f t="shared" si="0"/>
        <v>83814.782100000011</v>
      </c>
      <c r="P10" s="29">
        <f t="shared" si="1"/>
        <v>369771.09750000009</v>
      </c>
      <c r="Q10" s="29">
        <f t="shared" ref="Q10:Q73" si="5">SUM(M10:P10)</f>
        <v>1032354.5857800003</v>
      </c>
      <c r="R10" s="26"/>
      <c r="S10" s="26"/>
      <c r="T10" s="26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</row>
    <row r="11" spans="1:184" ht="16.5">
      <c r="A11" s="23" t="s">
        <v>322</v>
      </c>
      <c r="B11" s="24" t="s">
        <v>71</v>
      </c>
      <c r="C11" s="24" t="s">
        <v>72</v>
      </c>
      <c r="D11" s="25">
        <v>419.7</v>
      </c>
      <c r="E11" s="25">
        <f>622.555-D11</f>
        <v>202.85499999999996</v>
      </c>
      <c r="F11" s="26">
        <v>90.66</v>
      </c>
      <c r="G11" s="26">
        <v>419.7</v>
      </c>
      <c r="H11" s="27">
        <f t="shared" si="2"/>
        <v>1132.915</v>
      </c>
      <c r="I11" s="26">
        <v>3103.06</v>
      </c>
      <c r="J11" s="26">
        <v>3103.06</v>
      </c>
      <c r="K11" s="26">
        <v>1312.35</v>
      </c>
      <c r="L11" s="26">
        <v>1364.84</v>
      </c>
      <c r="M11" s="28">
        <f t="shared" si="3"/>
        <v>751560.98699999996</v>
      </c>
      <c r="N11" s="29">
        <f t="shared" si="4"/>
        <v>363254.47704999993</v>
      </c>
      <c r="O11" s="29">
        <f t="shared" si="0"/>
        <v>157587.0252</v>
      </c>
      <c r="P11" s="29">
        <f t="shared" si="1"/>
        <v>729530.93400000001</v>
      </c>
      <c r="Q11" s="29">
        <f t="shared" si="5"/>
        <v>2001933.42325</v>
      </c>
      <c r="R11" s="26"/>
      <c r="S11" s="26"/>
      <c r="T11" s="26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</row>
    <row r="12" spans="1:184" ht="16.5">
      <c r="A12" s="23" t="s">
        <v>2</v>
      </c>
      <c r="B12" s="24" t="s">
        <v>75</v>
      </c>
      <c r="C12" s="24" t="s">
        <v>74</v>
      </c>
      <c r="D12" s="25">
        <v>3044.9839999999999</v>
      </c>
      <c r="E12" s="25">
        <f>4421.044-D12</f>
        <v>1376.06</v>
      </c>
      <c r="F12" s="26">
        <v>311.608</v>
      </c>
      <c r="G12" s="26">
        <v>2107.9319999999998</v>
      </c>
      <c r="H12" s="27">
        <f t="shared" si="2"/>
        <v>6840.5839999999998</v>
      </c>
      <c r="I12" s="26">
        <v>3019.88</v>
      </c>
      <c r="J12" s="26">
        <v>3019.88</v>
      </c>
      <c r="K12" s="26">
        <v>1521.46</v>
      </c>
      <c r="L12" s="26">
        <v>1551.89</v>
      </c>
      <c r="M12" s="28">
        <f t="shared" si="3"/>
        <v>4562664.9252800001</v>
      </c>
      <c r="N12" s="29">
        <f t="shared" si="4"/>
        <v>2061915.8252000001</v>
      </c>
      <c r="O12" s="29">
        <f t="shared" si="0"/>
        <v>457437.42791999999</v>
      </c>
      <c r="P12" s="29">
        <f t="shared" si="1"/>
        <v>3094423.0966799995</v>
      </c>
      <c r="Q12" s="29">
        <f t="shared" si="5"/>
        <v>10176441.275079999</v>
      </c>
      <c r="R12" s="26"/>
      <c r="S12" s="26"/>
      <c r="T12" s="26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</row>
    <row r="13" spans="1:184" ht="16.5">
      <c r="A13" s="23" t="s">
        <v>323</v>
      </c>
      <c r="B13" s="24" t="s">
        <v>69</v>
      </c>
      <c r="C13" s="24" t="s">
        <v>70</v>
      </c>
      <c r="D13" s="25">
        <v>1712.37</v>
      </c>
      <c r="E13" s="25">
        <f>2818.55-D13</f>
        <v>1106.1800000000003</v>
      </c>
      <c r="F13" s="26">
        <v>247.57</v>
      </c>
      <c r="G13" s="26">
        <v>1484.49</v>
      </c>
      <c r="H13" s="27">
        <f t="shared" si="2"/>
        <v>4550.6100000000006</v>
      </c>
      <c r="I13" s="26">
        <v>3615.11</v>
      </c>
      <c r="J13" s="26">
        <v>3615.11</v>
      </c>
      <c r="K13" s="26">
        <v>1312.35</v>
      </c>
      <c r="L13" s="26">
        <v>1364.84</v>
      </c>
      <c r="M13" s="28">
        <f t="shared" si="3"/>
        <v>3943177.1412</v>
      </c>
      <c r="N13" s="29">
        <f t="shared" si="4"/>
        <v>2547267.0568000008</v>
      </c>
      <c r="O13" s="29">
        <f t="shared" si="0"/>
        <v>557099.34390000009</v>
      </c>
      <c r="P13" s="29">
        <f t="shared" si="1"/>
        <v>3340503.3123000008</v>
      </c>
      <c r="Q13" s="29">
        <f t="shared" si="5"/>
        <v>10388046.854200002</v>
      </c>
      <c r="R13" s="26"/>
      <c r="S13" s="26"/>
      <c r="T13" s="26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</row>
    <row r="14" spans="1:184" ht="17.25">
      <c r="A14" s="63" t="s">
        <v>76</v>
      </c>
      <c r="B14" s="63"/>
      <c r="C14" s="63"/>
      <c r="D14" s="22"/>
      <c r="E14" s="22"/>
      <c r="F14" s="20"/>
      <c r="G14" s="20"/>
      <c r="H14" s="27"/>
      <c r="I14" s="20"/>
      <c r="J14" s="20"/>
      <c r="K14" s="20"/>
      <c r="L14" s="20"/>
      <c r="M14" s="28">
        <f t="shared" si="3"/>
        <v>0</v>
      </c>
      <c r="N14" s="29">
        <f t="shared" si="4"/>
        <v>0</v>
      </c>
      <c r="O14" s="29">
        <f t="shared" si="0"/>
        <v>0</v>
      </c>
      <c r="P14" s="29">
        <f t="shared" si="1"/>
        <v>0</v>
      </c>
      <c r="Q14" s="29">
        <f t="shared" si="5"/>
        <v>0</v>
      </c>
      <c r="R14" s="30"/>
      <c r="S14" s="30"/>
      <c r="T14" s="30"/>
    </row>
    <row r="15" spans="1:184" ht="16.5">
      <c r="A15" s="23" t="s">
        <v>12</v>
      </c>
      <c r="B15" s="24" t="s">
        <v>81</v>
      </c>
      <c r="C15" s="24" t="s">
        <v>82</v>
      </c>
      <c r="D15" s="25">
        <v>94.2</v>
      </c>
      <c r="E15" s="25">
        <f>150.72-D15</f>
        <v>56.519999999999996</v>
      </c>
      <c r="F15" s="26">
        <v>6.27</v>
      </c>
      <c r="G15" s="26">
        <v>94.2</v>
      </c>
      <c r="H15" s="27">
        <f t="shared" si="2"/>
        <v>251.19</v>
      </c>
      <c r="I15" s="26">
        <v>5095.43</v>
      </c>
      <c r="J15" s="26">
        <v>5712.22</v>
      </c>
      <c r="K15" s="26">
        <v>1805.65</v>
      </c>
      <c r="L15" s="26">
        <v>1913.99</v>
      </c>
      <c r="M15" s="28">
        <f t="shared" si="3"/>
        <v>309897.27600000001</v>
      </c>
      <c r="N15" s="29">
        <f t="shared" si="4"/>
        <v>185938.36559999999</v>
      </c>
      <c r="O15" s="29">
        <f t="shared" si="0"/>
        <v>23814.902100000003</v>
      </c>
      <c r="P15" s="29">
        <f t="shared" si="1"/>
        <v>357793.26600000006</v>
      </c>
      <c r="Q15" s="29">
        <f t="shared" si="5"/>
        <v>877443.8097000001</v>
      </c>
      <c r="R15" s="26"/>
      <c r="S15" s="26"/>
      <c r="T15" s="26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</row>
    <row r="16" spans="1:184" ht="33">
      <c r="A16" s="23" t="s">
        <v>320</v>
      </c>
      <c r="B16" s="24" t="s">
        <v>83</v>
      </c>
      <c r="C16" s="24" t="s">
        <v>364</v>
      </c>
      <c r="D16" s="25">
        <v>112.92</v>
      </c>
      <c r="E16" s="25">
        <f>168.64-D16</f>
        <v>55.719999999999985</v>
      </c>
      <c r="F16" s="26">
        <v>13.766999999999999</v>
      </c>
      <c r="G16" s="26">
        <v>82.600999999999999</v>
      </c>
      <c r="H16" s="27">
        <f t="shared" si="2"/>
        <v>265.00799999999998</v>
      </c>
      <c r="I16" s="26">
        <v>3030.39</v>
      </c>
      <c r="J16" s="26">
        <v>3030.39</v>
      </c>
      <c r="K16" s="26">
        <v>1105.8399999999999</v>
      </c>
      <c r="L16" s="26">
        <v>1150.08</v>
      </c>
      <c r="M16" s="28">
        <f t="shared" si="3"/>
        <v>217320.18599999999</v>
      </c>
      <c r="N16" s="29">
        <f t="shared" si="4"/>
        <v>107235.92599999996</v>
      </c>
      <c r="O16" s="29">
        <f t="shared" si="0"/>
        <v>25886.227769999998</v>
      </c>
      <c r="P16" s="29">
        <f t="shared" si="1"/>
        <v>155315.48631000001</v>
      </c>
      <c r="Q16" s="29">
        <f t="shared" si="5"/>
        <v>505757.82607999997</v>
      </c>
      <c r="R16" s="26"/>
      <c r="S16" s="26"/>
      <c r="T16" s="26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</row>
    <row r="17" spans="1:184" ht="33">
      <c r="A17" s="23" t="s">
        <v>320</v>
      </c>
      <c r="B17" s="24" t="s">
        <v>83</v>
      </c>
      <c r="C17" s="24" t="s">
        <v>365</v>
      </c>
      <c r="D17" s="25">
        <v>160.21</v>
      </c>
      <c r="E17" s="25">
        <f>238.15-D17</f>
        <v>77.94</v>
      </c>
      <c r="F17" s="26">
        <v>26</v>
      </c>
      <c r="G17" s="26">
        <v>158</v>
      </c>
      <c r="H17" s="27">
        <f t="shared" si="2"/>
        <v>422.15</v>
      </c>
      <c r="I17" s="26">
        <v>4650.63</v>
      </c>
      <c r="J17" s="26">
        <v>5127.78</v>
      </c>
      <c r="K17" s="26">
        <v>1333.37</v>
      </c>
      <c r="L17" s="26">
        <v>1386.7</v>
      </c>
      <c r="M17" s="28">
        <f t="shared" si="3"/>
        <v>531458.22460000007</v>
      </c>
      <c r="N17" s="29">
        <f t="shared" si="4"/>
        <v>258547.2444</v>
      </c>
      <c r="O17" s="29">
        <f t="shared" si="0"/>
        <v>97268.08</v>
      </c>
      <c r="P17" s="29">
        <f t="shared" si="1"/>
        <v>591090.64</v>
      </c>
      <c r="Q17" s="29">
        <f t="shared" si="5"/>
        <v>1478364.189</v>
      </c>
      <c r="R17" s="26"/>
      <c r="S17" s="26"/>
      <c r="T17" s="26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</row>
    <row r="18" spans="1:184" ht="16.5">
      <c r="A18" s="23" t="s">
        <v>18</v>
      </c>
      <c r="B18" s="24" t="s">
        <v>86</v>
      </c>
      <c r="C18" s="24" t="s">
        <v>87</v>
      </c>
      <c r="D18" s="25">
        <v>411.36</v>
      </c>
      <c r="E18" s="25">
        <f>617.04-D18</f>
        <v>205.67999999999995</v>
      </c>
      <c r="F18" s="26">
        <v>64.415999999999997</v>
      </c>
      <c r="G18" s="26">
        <v>386.49200000000002</v>
      </c>
      <c r="H18" s="27">
        <f t="shared" si="2"/>
        <v>1067.9479999999999</v>
      </c>
      <c r="I18" s="26">
        <v>2526.71</v>
      </c>
      <c r="J18" s="26">
        <v>2788.02</v>
      </c>
      <c r="K18" s="26">
        <v>1687.92</v>
      </c>
      <c r="L18" s="26">
        <v>1755.44</v>
      </c>
      <c r="M18" s="28">
        <f t="shared" si="3"/>
        <v>345044.6544</v>
      </c>
      <c r="N18" s="29">
        <f t="shared" si="4"/>
        <v>172522.32719999994</v>
      </c>
      <c r="O18" s="29">
        <f t="shared" si="0"/>
        <v>66514.673279999988</v>
      </c>
      <c r="P18" s="29">
        <f t="shared" si="1"/>
        <v>399083.90935999999</v>
      </c>
      <c r="Q18" s="29">
        <f t="shared" si="5"/>
        <v>983165.56423999998</v>
      </c>
      <c r="R18" s="26"/>
      <c r="S18" s="26"/>
      <c r="T18" s="26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</row>
    <row r="19" spans="1:184" ht="16.5">
      <c r="A19" s="23" t="s">
        <v>13</v>
      </c>
      <c r="B19" s="24" t="s">
        <v>77</v>
      </c>
      <c r="C19" s="24" t="s">
        <v>362</v>
      </c>
      <c r="D19" s="25">
        <v>40.53</v>
      </c>
      <c r="E19" s="25">
        <f>60.35-D19</f>
        <v>19.82</v>
      </c>
      <c r="F19" s="26">
        <v>6.18</v>
      </c>
      <c r="G19" s="26">
        <v>37.049999999999997</v>
      </c>
      <c r="H19" s="27">
        <f t="shared" si="2"/>
        <v>103.58</v>
      </c>
      <c r="I19" s="26">
        <v>9275.1299999999992</v>
      </c>
      <c r="J19" s="26">
        <v>12467.61</v>
      </c>
      <c r="K19" s="26">
        <v>1525</v>
      </c>
      <c r="L19" s="26">
        <v>1586</v>
      </c>
      <c r="M19" s="28">
        <f t="shared" si="3"/>
        <v>314112.76889999997</v>
      </c>
      <c r="N19" s="29">
        <f t="shared" si="4"/>
        <v>153607.5766</v>
      </c>
      <c r="O19" s="29">
        <f t="shared" si="0"/>
        <v>67248.349799999996</v>
      </c>
      <c r="P19" s="29">
        <f t="shared" si="1"/>
        <v>403163.65049999999</v>
      </c>
      <c r="Q19" s="29">
        <f t="shared" si="5"/>
        <v>938132.34579999989</v>
      </c>
      <c r="R19" s="26"/>
      <c r="S19" s="26"/>
      <c r="T19" s="26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</row>
    <row r="20" spans="1:184" ht="33">
      <c r="A20" s="23" t="s">
        <v>13</v>
      </c>
      <c r="B20" s="24" t="s">
        <v>77</v>
      </c>
      <c r="C20" s="24" t="s">
        <v>363</v>
      </c>
      <c r="D20" s="25">
        <v>532.13199999999995</v>
      </c>
      <c r="E20" s="25">
        <f>750.064-D20</f>
        <v>217.93200000000002</v>
      </c>
      <c r="F20" s="26">
        <v>71.03</v>
      </c>
      <c r="G20" s="26">
        <v>426.09</v>
      </c>
      <c r="H20" s="27">
        <f t="shared" si="2"/>
        <v>1247.184</v>
      </c>
      <c r="I20" s="26">
        <v>2242.2800000000002</v>
      </c>
      <c r="J20" s="26">
        <v>2242.2800000000002</v>
      </c>
      <c r="K20" s="26">
        <v>1756.87</v>
      </c>
      <c r="L20" s="26">
        <v>1827.15</v>
      </c>
      <c r="M20" s="28">
        <f t="shared" si="3"/>
        <v>258302.19412000015</v>
      </c>
      <c r="N20" s="29">
        <f t="shared" si="4"/>
        <v>105786.37212000007</v>
      </c>
      <c r="O20" s="29">
        <f t="shared" si="0"/>
        <v>29486.683900000007</v>
      </c>
      <c r="P20" s="29">
        <f t="shared" si="1"/>
        <v>176882.74170000004</v>
      </c>
      <c r="Q20" s="29">
        <f t="shared" si="5"/>
        <v>570457.99184000026</v>
      </c>
      <c r="R20" s="26"/>
      <c r="S20" s="26"/>
      <c r="T20" s="26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</row>
    <row r="21" spans="1:184" ht="16.5">
      <c r="A21" s="23" t="s">
        <v>2</v>
      </c>
      <c r="B21" s="24" t="s">
        <v>75</v>
      </c>
      <c r="C21" s="24" t="s">
        <v>78</v>
      </c>
      <c r="D21" s="25">
        <v>5160.7849999999999</v>
      </c>
      <c r="E21" s="25">
        <f>7067.368-D21</f>
        <v>1906.5830000000005</v>
      </c>
      <c r="F21" s="26">
        <v>478.02</v>
      </c>
      <c r="G21" s="26">
        <v>4435.3540000000003</v>
      </c>
      <c r="H21" s="27">
        <f t="shared" si="2"/>
        <v>11980.742000000002</v>
      </c>
      <c r="I21" s="26">
        <v>2915.3</v>
      </c>
      <c r="J21" s="26">
        <v>3017.33</v>
      </c>
      <c r="K21" s="26">
        <v>1517.51</v>
      </c>
      <c r="L21" s="26">
        <v>1578.21</v>
      </c>
      <c r="M21" s="28">
        <f t="shared" si="3"/>
        <v>7213693.6651500007</v>
      </c>
      <c r="N21" s="29">
        <f t="shared" si="4"/>
        <v>2665002.6515700012</v>
      </c>
      <c r="O21" s="29">
        <f t="shared" si="0"/>
        <v>687928.1423999999</v>
      </c>
      <c r="P21" s="29">
        <f t="shared" si="1"/>
        <v>6383006.64848</v>
      </c>
      <c r="Q21" s="29">
        <f t="shared" si="5"/>
        <v>16949631.107600003</v>
      </c>
      <c r="R21" s="26"/>
      <c r="S21" s="26"/>
      <c r="T21" s="26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</row>
    <row r="22" spans="1:184" ht="16.5">
      <c r="A22" s="23" t="s">
        <v>29</v>
      </c>
      <c r="B22" s="24" t="s">
        <v>79</v>
      </c>
      <c r="C22" s="24" t="s">
        <v>80</v>
      </c>
      <c r="D22" s="25">
        <v>567.81500000000005</v>
      </c>
      <c r="E22" s="25">
        <f>850.332-D22</f>
        <v>282.51699999999994</v>
      </c>
      <c r="F22" s="26">
        <v>94.1</v>
      </c>
      <c r="G22" s="26">
        <v>543.42999999999995</v>
      </c>
      <c r="H22" s="27">
        <f t="shared" si="2"/>
        <v>1487.8620000000001</v>
      </c>
      <c r="I22" s="26">
        <v>2741.66</v>
      </c>
      <c r="J22" s="26">
        <v>2741.66</v>
      </c>
      <c r="K22" s="26">
        <v>1462.76</v>
      </c>
      <c r="L22" s="26">
        <v>1550.53</v>
      </c>
      <c r="M22" s="28">
        <f t="shared" si="3"/>
        <v>726178.60349999997</v>
      </c>
      <c r="N22" s="29">
        <f t="shared" si="4"/>
        <v>361310.99129999988</v>
      </c>
      <c r="O22" s="29">
        <f t="shared" si="0"/>
        <v>112085.33299999998</v>
      </c>
      <c r="P22" s="29">
        <f t="shared" si="1"/>
        <v>647295.77589999989</v>
      </c>
      <c r="Q22" s="29">
        <f t="shared" si="5"/>
        <v>1846870.7036999995</v>
      </c>
      <c r="R22" s="26"/>
      <c r="S22" s="26"/>
      <c r="T22" s="26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</row>
    <row r="23" spans="1:184" ht="16.5">
      <c r="A23" s="23" t="s">
        <v>7</v>
      </c>
      <c r="B23" s="24" t="s">
        <v>84</v>
      </c>
      <c r="C23" s="24" t="s">
        <v>85</v>
      </c>
      <c r="D23" s="25">
        <v>197.4</v>
      </c>
      <c r="E23" s="25">
        <f>444.15-D23</f>
        <v>246.74999999999997</v>
      </c>
      <c r="F23" s="26">
        <v>57.622</v>
      </c>
      <c r="G23" s="26">
        <v>301.52800000000002</v>
      </c>
      <c r="H23" s="27">
        <f t="shared" si="2"/>
        <v>803.3</v>
      </c>
      <c r="I23" s="31">
        <v>2735.36</v>
      </c>
      <c r="J23" s="31">
        <v>2735.36</v>
      </c>
      <c r="K23" s="31">
        <v>1704.96</v>
      </c>
      <c r="L23" s="31">
        <v>1773.16</v>
      </c>
      <c r="M23" s="28">
        <f t="shared" si="3"/>
        <v>203400.96000000002</v>
      </c>
      <c r="N23" s="29">
        <f t="shared" si="4"/>
        <v>254251.19999999998</v>
      </c>
      <c r="O23" s="29">
        <f t="shared" si="0"/>
        <v>55443.888400000003</v>
      </c>
      <c r="P23" s="29">
        <f t="shared" si="1"/>
        <v>290130.24160000001</v>
      </c>
      <c r="Q23" s="29">
        <f t="shared" si="5"/>
        <v>803226.29</v>
      </c>
      <c r="R23" s="26"/>
      <c r="S23" s="26"/>
      <c r="T23" s="26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</row>
    <row r="24" spans="1:184" ht="17.25">
      <c r="A24" s="63" t="s">
        <v>88</v>
      </c>
      <c r="B24" s="63"/>
      <c r="C24" s="63"/>
      <c r="D24" s="22"/>
      <c r="E24" s="22"/>
      <c r="F24" s="20"/>
      <c r="G24" s="20"/>
      <c r="H24" s="27">
        <f t="shared" si="2"/>
        <v>0</v>
      </c>
      <c r="I24" s="20"/>
      <c r="J24" s="20"/>
      <c r="K24" s="20"/>
      <c r="L24" s="20"/>
      <c r="M24" s="28">
        <f t="shared" si="3"/>
        <v>0</v>
      </c>
      <c r="N24" s="29">
        <f t="shared" si="4"/>
        <v>0</v>
      </c>
      <c r="O24" s="29">
        <f t="shared" si="0"/>
        <v>0</v>
      </c>
      <c r="P24" s="29">
        <f t="shared" si="1"/>
        <v>0</v>
      </c>
      <c r="Q24" s="29">
        <f t="shared" si="5"/>
        <v>0</v>
      </c>
      <c r="R24" s="30"/>
      <c r="S24" s="30"/>
      <c r="T24" s="30"/>
    </row>
    <row r="25" spans="1:184" ht="16.5">
      <c r="A25" s="23" t="s">
        <v>318</v>
      </c>
      <c r="B25" s="24" t="s">
        <v>91</v>
      </c>
      <c r="C25" s="24" t="s">
        <v>90</v>
      </c>
      <c r="D25" s="25">
        <v>48.66</v>
      </c>
      <c r="E25" s="25">
        <f>71.68-D25</f>
        <v>23.02000000000001</v>
      </c>
      <c r="F25" s="26">
        <v>8.0299999999999994</v>
      </c>
      <c r="G25" s="26">
        <v>48.66</v>
      </c>
      <c r="H25" s="27">
        <f t="shared" si="2"/>
        <v>128.37</v>
      </c>
      <c r="I25" s="26">
        <v>2889.36</v>
      </c>
      <c r="J25" s="26">
        <v>3026.57</v>
      </c>
      <c r="K25" s="26">
        <v>1428.42</v>
      </c>
      <c r="L25" s="26">
        <v>1485.56</v>
      </c>
      <c r="M25" s="28">
        <f t="shared" si="3"/>
        <v>71089.340400000001</v>
      </c>
      <c r="N25" s="29">
        <f t="shared" si="4"/>
        <v>33630.83880000002</v>
      </c>
      <c r="O25" s="29">
        <f t="shared" si="0"/>
        <v>12374.310300000001</v>
      </c>
      <c r="P25" s="29">
        <f t="shared" si="1"/>
        <v>74985.546600000001</v>
      </c>
      <c r="Q25" s="29">
        <f t="shared" si="5"/>
        <v>192080.03610000003</v>
      </c>
      <c r="R25" s="26"/>
      <c r="S25" s="26"/>
      <c r="T25" s="26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</row>
    <row r="26" spans="1:184" ht="16.5">
      <c r="A26" s="23" t="s">
        <v>319</v>
      </c>
      <c r="B26" s="24" t="s">
        <v>67</v>
      </c>
      <c r="C26" s="24" t="s">
        <v>89</v>
      </c>
      <c r="D26" s="25">
        <f>109.748-5.956-6.647-8.866-6.964-8.705-6.964</f>
        <v>65.646000000000001</v>
      </c>
      <c r="E26" s="25">
        <f>181.268-D26-5.956-6.647-8.866-6.964-8.705-6.964</f>
        <v>71.52</v>
      </c>
      <c r="F26" s="26">
        <v>37.481000000000002</v>
      </c>
      <c r="G26" s="26">
        <v>76.400000000000006</v>
      </c>
      <c r="H26" s="27">
        <f t="shared" si="2"/>
        <v>251.047</v>
      </c>
      <c r="I26" s="26">
        <v>3617.99</v>
      </c>
      <c r="J26" s="26">
        <v>3617.99</v>
      </c>
      <c r="K26" s="26">
        <v>1455.89</v>
      </c>
      <c r="L26" s="26">
        <v>1514.13</v>
      </c>
      <c r="M26" s="28">
        <f>(109.748)*(I26-K26)-5.956*(3308.45-1231.47)-(6.647+8.866)*(3389.62-1311.82)-6.964*(3691.38-1373.48)-8.705*(3658.29-1373.48)-6.964*(3658.29-1455.89)</f>
        <v>141314.1062699999</v>
      </c>
      <c r="N26" s="29">
        <f t="shared" si="4"/>
        <v>154633.39199999996</v>
      </c>
      <c r="O26" s="29">
        <f t="shared" si="0"/>
        <v>78854.776659999989</v>
      </c>
      <c r="P26" s="29">
        <f t="shared" si="1"/>
        <v>160734.90399999998</v>
      </c>
      <c r="Q26" s="29">
        <f t="shared" si="5"/>
        <v>535537.17892999982</v>
      </c>
      <c r="R26" s="26"/>
      <c r="S26" s="26"/>
      <c r="T26" s="26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</row>
    <row r="27" spans="1:184" ht="16.5">
      <c r="A27" s="23" t="s">
        <v>319</v>
      </c>
      <c r="B27" s="24" t="s">
        <v>67</v>
      </c>
      <c r="C27" s="24" t="s">
        <v>90</v>
      </c>
      <c r="D27" s="25">
        <f>420.344-0.266-0.354-0.352</f>
        <v>419.37200000000001</v>
      </c>
      <c r="E27" s="25">
        <f>702.692-D27-0.266-0.354-0.352</f>
        <v>282.34800000000001</v>
      </c>
      <c r="F27" s="26">
        <v>291.55</v>
      </c>
      <c r="G27" s="26">
        <v>317.36900000000003</v>
      </c>
      <c r="H27" s="27">
        <f t="shared" si="2"/>
        <v>1310.6390000000001</v>
      </c>
      <c r="I27" s="26">
        <v>3617.99</v>
      </c>
      <c r="J27" s="26">
        <v>3617.99</v>
      </c>
      <c r="K27" s="26">
        <v>1455.89</v>
      </c>
      <c r="L27" s="26">
        <v>1514.13</v>
      </c>
      <c r="M27" s="28">
        <f>(420.344)*(I27-K27)-(0.266+0.354)*(3389.62-1311.825)-0.352*(3691.38-1373.48)</f>
        <v>906721.62869999988</v>
      </c>
      <c r="N27" s="29">
        <f t="shared" si="4"/>
        <v>610464.61079999991</v>
      </c>
      <c r="O27" s="29">
        <f t="shared" si="0"/>
        <v>613380.38299999991</v>
      </c>
      <c r="P27" s="29">
        <f t="shared" si="1"/>
        <v>667699.94433999993</v>
      </c>
      <c r="Q27" s="29">
        <f t="shared" si="5"/>
        <v>2798266.5668399995</v>
      </c>
      <c r="R27" s="26"/>
      <c r="S27" s="26"/>
      <c r="T27" s="26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</row>
    <row r="28" spans="1:184" ht="16.5">
      <c r="A28" s="23" t="s">
        <v>319</v>
      </c>
      <c r="B28" s="24" t="s">
        <v>67</v>
      </c>
      <c r="C28" s="24" t="s">
        <v>97</v>
      </c>
      <c r="D28" s="25">
        <f>525.597</f>
        <v>525.59699999999998</v>
      </c>
      <c r="E28" s="25">
        <f>875.995-D28</f>
        <v>350.39800000000002</v>
      </c>
      <c r="F28" s="26">
        <v>346.79500000000002</v>
      </c>
      <c r="G28" s="26">
        <v>346.79500000000002</v>
      </c>
      <c r="H28" s="27">
        <f t="shared" si="2"/>
        <v>1569.585</v>
      </c>
      <c r="I28" s="26">
        <v>4211.9799999999996</v>
      </c>
      <c r="J28" s="26">
        <v>4215.43</v>
      </c>
      <c r="K28" s="26">
        <v>1614.2</v>
      </c>
      <c r="L28" s="26">
        <v>1678.77</v>
      </c>
      <c r="M28" s="28">
        <f t="shared" si="3"/>
        <v>1365385.3746599997</v>
      </c>
      <c r="N28" s="29">
        <f t="shared" si="4"/>
        <v>910256.91643999994</v>
      </c>
      <c r="O28" s="29">
        <f t="shared" si="0"/>
        <v>879701.00470000017</v>
      </c>
      <c r="P28" s="29">
        <f t="shared" si="1"/>
        <v>879701.00470000017</v>
      </c>
      <c r="Q28" s="29">
        <f t="shared" si="5"/>
        <v>4035044.3004999999</v>
      </c>
      <c r="R28" s="26"/>
      <c r="S28" s="26"/>
      <c r="T28" s="26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</row>
    <row r="29" spans="1:184" ht="16.5">
      <c r="A29" s="23" t="s">
        <v>5</v>
      </c>
      <c r="B29" s="24" t="s">
        <v>95</v>
      </c>
      <c r="C29" s="24" t="s">
        <v>90</v>
      </c>
      <c r="D29" s="25">
        <v>6777.4690000000001</v>
      </c>
      <c r="E29" s="25">
        <f>11278.126-D29</f>
        <v>4500.6570000000002</v>
      </c>
      <c r="F29" s="26">
        <v>1073.31</v>
      </c>
      <c r="G29" s="26">
        <v>6439.89</v>
      </c>
      <c r="H29" s="27">
        <f t="shared" si="2"/>
        <v>18791.326000000001</v>
      </c>
      <c r="I29" s="26">
        <v>2367.6999999999998</v>
      </c>
      <c r="J29" s="26">
        <v>4104.99</v>
      </c>
      <c r="K29" s="26">
        <v>1428.42</v>
      </c>
      <c r="L29" s="26">
        <v>1485.56</v>
      </c>
      <c r="M29" s="28">
        <f t="shared" si="3"/>
        <v>6365941.0823199982</v>
      </c>
      <c r="N29" s="29">
        <f t="shared" si="4"/>
        <v>4227377.1069599986</v>
      </c>
      <c r="O29" s="29">
        <f t="shared" si="0"/>
        <v>2811460.4132999997</v>
      </c>
      <c r="P29" s="29">
        <f t="shared" si="1"/>
        <v>16868841.0627</v>
      </c>
      <c r="Q29" s="29">
        <f t="shared" si="5"/>
        <v>30273619.665279996</v>
      </c>
      <c r="R29" s="26"/>
      <c r="S29" s="26"/>
      <c r="T29" s="2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</row>
    <row r="30" spans="1:184" ht="16.5">
      <c r="A30" s="23" t="s">
        <v>31</v>
      </c>
      <c r="B30" s="24" t="s">
        <v>92</v>
      </c>
      <c r="C30" s="24" t="s">
        <v>93</v>
      </c>
      <c r="D30" s="25">
        <v>2117.2179999999998</v>
      </c>
      <c r="E30" s="25">
        <f>3359.041-D30</f>
        <v>1241.8230000000003</v>
      </c>
      <c r="F30" s="26">
        <v>338.16</v>
      </c>
      <c r="G30" s="26">
        <v>2077.2600000000002</v>
      </c>
      <c r="H30" s="27">
        <f t="shared" si="2"/>
        <v>5774.4610000000002</v>
      </c>
      <c r="I30" s="26">
        <v>3347.75</v>
      </c>
      <c r="J30" s="26">
        <v>3347.75</v>
      </c>
      <c r="K30" s="26">
        <v>1614.19</v>
      </c>
      <c r="L30" s="26">
        <v>1678.76</v>
      </c>
      <c r="M30" s="28">
        <f t="shared" si="3"/>
        <v>3670324.4360799994</v>
      </c>
      <c r="N30" s="29">
        <f t="shared" si="4"/>
        <v>2152774.6798800007</v>
      </c>
      <c r="O30" s="29">
        <f t="shared" si="0"/>
        <v>564385.65840000007</v>
      </c>
      <c r="P30" s="29">
        <f t="shared" si="1"/>
        <v>3466926.1674000002</v>
      </c>
      <c r="Q30" s="29">
        <f t="shared" si="5"/>
        <v>9854410.9417599998</v>
      </c>
      <c r="R30" s="26"/>
      <c r="S30" s="26"/>
      <c r="T30" s="26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</row>
    <row r="31" spans="1:184" ht="16.5">
      <c r="A31" s="23" t="s">
        <v>31</v>
      </c>
      <c r="B31" s="24" t="s">
        <v>92</v>
      </c>
      <c r="C31" s="24" t="s">
        <v>94</v>
      </c>
      <c r="D31" s="25">
        <v>3347.2570000000001</v>
      </c>
      <c r="E31" s="25">
        <f>5483.677-D31</f>
        <v>2136.4199999999996</v>
      </c>
      <c r="F31" s="26">
        <v>1183.19</v>
      </c>
      <c r="G31" s="26">
        <v>3549.58</v>
      </c>
      <c r="H31" s="27">
        <f t="shared" si="2"/>
        <v>10216.447</v>
      </c>
      <c r="I31" s="26">
        <v>2972.79</v>
      </c>
      <c r="J31" s="26">
        <v>2972.79</v>
      </c>
      <c r="K31" s="26">
        <v>1255.54</v>
      </c>
      <c r="L31" s="26">
        <v>1305.76</v>
      </c>
      <c r="M31" s="28">
        <f t="shared" si="3"/>
        <v>5748077.0832500001</v>
      </c>
      <c r="N31" s="29">
        <f t="shared" si="4"/>
        <v>3668767.2449999992</v>
      </c>
      <c r="O31" s="29">
        <f t="shared" si="0"/>
        <v>1972413.2257000001</v>
      </c>
      <c r="P31" s="29">
        <f t="shared" si="1"/>
        <v>5917256.3473999994</v>
      </c>
      <c r="Q31" s="29">
        <f t="shared" si="5"/>
        <v>17306513.901349999</v>
      </c>
      <c r="R31" s="26"/>
      <c r="S31" s="26"/>
      <c r="T31" s="26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</row>
    <row r="32" spans="1:184" ht="17.25">
      <c r="A32" s="63" t="s">
        <v>98</v>
      </c>
      <c r="B32" s="63"/>
      <c r="C32" s="63"/>
      <c r="D32" s="22"/>
      <c r="E32" s="22"/>
      <c r="F32" s="20"/>
      <c r="G32" s="20"/>
      <c r="H32" s="27">
        <f t="shared" si="2"/>
        <v>0</v>
      </c>
      <c r="I32" s="20"/>
      <c r="J32" s="20"/>
      <c r="K32" s="20"/>
      <c r="L32" s="20"/>
      <c r="M32" s="28">
        <f t="shared" si="3"/>
        <v>0</v>
      </c>
      <c r="N32" s="29">
        <f t="shared" si="4"/>
        <v>0</v>
      </c>
      <c r="O32" s="29">
        <f t="shared" si="0"/>
        <v>0</v>
      </c>
      <c r="P32" s="29">
        <f t="shared" si="1"/>
        <v>0</v>
      </c>
      <c r="Q32" s="29">
        <f t="shared" si="5"/>
        <v>0</v>
      </c>
      <c r="R32" s="30"/>
      <c r="S32" s="30"/>
      <c r="T32" s="30"/>
    </row>
    <row r="33" spans="1:184" ht="16.5">
      <c r="A33" s="23" t="s">
        <v>14</v>
      </c>
      <c r="B33" s="24" t="s">
        <v>327</v>
      </c>
      <c r="C33" s="24" t="s">
        <v>103</v>
      </c>
      <c r="D33" s="25">
        <v>5020.0339999999997</v>
      </c>
      <c r="E33" s="25">
        <f>7122.811-D33</f>
        <v>2102.777</v>
      </c>
      <c r="F33" s="26">
        <v>775.09400000000005</v>
      </c>
      <c r="G33" s="26">
        <v>4392.1959999999999</v>
      </c>
      <c r="H33" s="27">
        <f t="shared" si="2"/>
        <v>12290.100999999999</v>
      </c>
      <c r="I33" s="26">
        <v>2609.11</v>
      </c>
      <c r="J33" s="26">
        <v>2821.52</v>
      </c>
      <c r="K33" s="26">
        <v>1396.73</v>
      </c>
      <c r="L33" s="26">
        <v>1452.6</v>
      </c>
      <c r="M33" s="28">
        <f t="shared" si="3"/>
        <v>6086188.8209199999</v>
      </c>
      <c r="N33" s="29">
        <f t="shared" si="4"/>
        <v>2549364.7792600002</v>
      </c>
      <c r="O33" s="29">
        <f t="shared" si="0"/>
        <v>1061041.6784800002</v>
      </c>
      <c r="P33" s="29">
        <f t="shared" si="1"/>
        <v>6012564.9483200004</v>
      </c>
      <c r="Q33" s="29">
        <f t="shared" si="5"/>
        <v>15709160.226980001</v>
      </c>
      <c r="R33" s="26"/>
      <c r="S33" s="26"/>
      <c r="T33" s="26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</row>
    <row r="34" spans="1:184" ht="16.5">
      <c r="A34" s="23" t="s">
        <v>14</v>
      </c>
      <c r="B34" s="24" t="s">
        <v>327</v>
      </c>
      <c r="C34" s="24" t="s">
        <v>87</v>
      </c>
      <c r="D34" s="25">
        <v>188.625</v>
      </c>
      <c r="E34" s="25">
        <f>282.195-D34</f>
        <v>93.57</v>
      </c>
      <c r="F34" s="26">
        <v>31.271000000000001</v>
      </c>
      <c r="G34" s="26">
        <v>177.203</v>
      </c>
      <c r="H34" s="27">
        <f t="shared" si="2"/>
        <v>490.66899999999998</v>
      </c>
      <c r="I34" s="26">
        <v>2609.11</v>
      </c>
      <c r="J34" s="26">
        <v>2821.52</v>
      </c>
      <c r="K34" s="26">
        <v>1396.73</v>
      </c>
      <c r="L34" s="26">
        <v>1452.6</v>
      </c>
      <c r="M34" s="28">
        <f t="shared" si="3"/>
        <v>228685.17750000002</v>
      </c>
      <c r="N34" s="29">
        <f t="shared" si="4"/>
        <v>113442.39660000001</v>
      </c>
      <c r="O34" s="29">
        <f t="shared" si="0"/>
        <v>42807.497320000002</v>
      </c>
      <c r="P34" s="29">
        <f t="shared" si="1"/>
        <v>242576.73076000001</v>
      </c>
      <c r="Q34" s="29">
        <f t="shared" si="5"/>
        <v>627511.80218000012</v>
      </c>
      <c r="R34" s="26"/>
      <c r="S34" s="26"/>
      <c r="T34" s="26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</row>
    <row r="35" spans="1:184" ht="33">
      <c r="A35" s="23" t="s">
        <v>41</v>
      </c>
      <c r="B35" s="24" t="s">
        <v>107</v>
      </c>
      <c r="C35" s="24" t="s">
        <v>87</v>
      </c>
      <c r="D35" s="25">
        <v>249.64500000000001</v>
      </c>
      <c r="E35" s="25">
        <f>416.075-D35</f>
        <v>166.42999999999998</v>
      </c>
      <c r="F35" s="26">
        <v>81.010000000000005</v>
      </c>
      <c r="G35" s="26">
        <v>243.03</v>
      </c>
      <c r="H35" s="27">
        <f t="shared" si="2"/>
        <v>740.11500000000001</v>
      </c>
      <c r="I35" s="26">
        <v>3257.16</v>
      </c>
      <c r="J35" s="26">
        <v>3279.83</v>
      </c>
      <c r="K35" s="26">
        <v>1356.52</v>
      </c>
      <c r="L35" s="26">
        <v>1410.78</v>
      </c>
      <c r="M35" s="28">
        <f t="shared" si="3"/>
        <v>474485.27279999998</v>
      </c>
      <c r="N35" s="29">
        <f t="shared" si="4"/>
        <v>316323.51519999997</v>
      </c>
      <c r="O35" s="29">
        <f t="shared" si="0"/>
        <v>151411.74050000001</v>
      </c>
      <c r="P35" s="29">
        <f t="shared" si="1"/>
        <v>454235.22149999999</v>
      </c>
      <c r="Q35" s="29">
        <f t="shared" si="5"/>
        <v>1396455.75</v>
      </c>
      <c r="R35" s="26"/>
      <c r="S35" s="26"/>
      <c r="T35" s="26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</row>
    <row r="36" spans="1:184" ht="33">
      <c r="A36" s="23" t="s">
        <v>43</v>
      </c>
      <c r="B36" s="24" t="s">
        <v>108</v>
      </c>
      <c r="C36" s="24" t="s">
        <v>109</v>
      </c>
      <c r="D36" s="25">
        <v>139.65</v>
      </c>
      <c r="E36" s="25">
        <f>230.49-D36</f>
        <v>90.84</v>
      </c>
      <c r="F36" s="26">
        <v>28.61</v>
      </c>
      <c r="G36" s="26">
        <v>175.73</v>
      </c>
      <c r="H36" s="27">
        <f t="shared" si="2"/>
        <v>434.83000000000004</v>
      </c>
      <c r="I36" s="26">
        <v>3645.75</v>
      </c>
      <c r="J36" s="26">
        <v>3833.51</v>
      </c>
      <c r="K36" s="26">
        <v>1330.38</v>
      </c>
      <c r="L36" s="26">
        <v>1383.6</v>
      </c>
      <c r="M36" s="28">
        <f t="shared" si="3"/>
        <v>323341.42050000001</v>
      </c>
      <c r="N36" s="29">
        <f t="shared" si="4"/>
        <v>210328.2108</v>
      </c>
      <c r="O36" s="29">
        <f t="shared" si="0"/>
        <v>70091.925100000008</v>
      </c>
      <c r="P36" s="29">
        <f t="shared" si="1"/>
        <v>430522.68430000002</v>
      </c>
      <c r="Q36" s="29">
        <f t="shared" si="5"/>
        <v>1034284.2407</v>
      </c>
      <c r="R36" s="26"/>
      <c r="S36" s="26"/>
      <c r="T36" s="26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</row>
    <row r="37" spans="1:184" ht="33">
      <c r="A37" s="23" t="s">
        <v>42</v>
      </c>
      <c r="B37" s="24" t="s">
        <v>101</v>
      </c>
      <c r="C37" s="24" t="s">
        <v>102</v>
      </c>
      <c r="D37" s="25">
        <v>137.57900000000001</v>
      </c>
      <c r="E37" s="25">
        <f>206.386-D37</f>
        <v>68.806999999999988</v>
      </c>
      <c r="F37" s="26">
        <v>45.624000000000002</v>
      </c>
      <c r="G37" s="26">
        <v>141.636</v>
      </c>
      <c r="H37" s="27">
        <f t="shared" si="2"/>
        <v>393.64599999999996</v>
      </c>
      <c r="I37" s="26">
        <v>2862.21</v>
      </c>
      <c r="J37" s="26">
        <v>2862.21</v>
      </c>
      <c r="K37" s="26">
        <v>1499.62</v>
      </c>
      <c r="L37" s="26">
        <v>1559.6</v>
      </c>
      <c r="M37" s="28">
        <f t="shared" si="3"/>
        <v>187463.76961000002</v>
      </c>
      <c r="N37" s="29">
        <f t="shared" si="4"/>
        <v>93755.730129999996</v>
      </c>
      <c r="O37" s="29">
        <f t="shared" si="0"/>
        <v>59430.278640000011</v>
      </c>
      <c r="P37" s="29">
        <f t="shared" si="1"/>
        <v>184496.46996000002</v>
      </c>
      <c r="Q37" s="29">
        <f t="shared" si="5"/>
        <v>525146.24834000005</v>
      </c>
      <c r="R37" s="26"/>
      <c r="S37" s="26"/>
      <c r="T37" s="26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</row>
    <row r="38" spans="1:184" ht="33">
      <c r="A38" s="23" t="s">
        <v>317</v>
      </c>
      <c r="B38" s="24" t="s">
        <v>99</v>
      </c>
      <c r="C38" s="24" t="s">
        <v>100</v>
      </c>
      <c r="D38" s="25">
        <v>182.09</v>
      </c>
      <c r="E38" s="25">
        <f>263.43-D38</f>
        <v>81.34</v>
      </c>
      <c r="F38" s="26">
        <v>28.88</v>
      </c>
      <c r="G38" s="26">
        <v>173.28</v>
      </c>
      <c r="H38" s="27">
        <f t="shared" si="2"/>
        <v>465.59000000000003</v>
      </c>
      <c r="I38" s="26">
        <v>3183.98</v>
      </c>
      <c r="J38" s="26">
        <v>3304.03</v>
      </c>
      <c r="K38" s="26">
        <v>1303.3699999999999</v>
      </c>
      <c r="L38" s="26">
        <v>1355.5</v>
      </c>
      <c r="M38" s="28">
        <f t="shared" si="3"/>
        <v>342440.27490000002</v>
      </c>
      <c r="N38" s="29">
        <f t="shared" si="4"/>
        <v>152968.81740000003</v>
      </c>
      <c r="O38" s="29">
        <f t="shared" si="0"/>
        <v>56273.546400000007</v>
      </c>
      <c r="P38" s="29">
        <f t="shared" si="1"/>
        <v>337641.27840000001</v>
      </c>
      <c r="Q38" s="29">
        <f t="shared" si="5"/>
        <v>889323.91709999996</v>
      </c>
      <c r="R38" s="26"/>
      <c r="S38" s="26"/>
      <c r="T38" s="26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</row>
    <row r="39" spans="1:184" ht="33">
      <c r="A39" s="23" t="s">
        <v>40</v>
      </c>
      <c r="B39" s="24" t="s">
        <v>105</v>
      </c>
      <c r="C39" s="24" t="s">
        <v>106</v>
      </c>
      <c r="D39" s="25">
        <v>155.55000000000001</v>
      </c>
      <c r="E39" s="25">
        <f>232.62-D39</f>
        <v>77.069999999999993</v>
      </c>
      <c r="F39" s="26">
        <v>25.93</v>
      </c>
      <c r="G39" s="26">
        <v>155.55000000000001</v>
      </c>
      <c r="H39" s="27">
        <f t="shared" si="2"/>
        <v>414.1</v>
      </c>
      <c r="I39" s="26">
        <v>3889.24</v>
      </c>
      <c r="J39" s="26">
        <v>4009.68</v>
      </c>
      <c r="K39" s="26">
        <v>1407.67</v>
      </c>
      <c r="L39" s="26">
        <v>1463.98</v>
      </c>
      <c r="M39" s="28">
        <f t="shared" si="3"/>
        <v>386008.21349999995</v>
      </c>
      <c r="N39" s="29">
        <f t="shared" si="4"/>
        <v>191254.59989999997</v>
      </c>
      <c r="O39" s="29">
        <f t="shared" si="0"/>
        <v>66010.000999999989</v>
      </c>
      <c r="P39" s="29">
        <f t="shared" si="1"/>
        <v>395983.63500000001</v>
      </c>
      <c r="Q39" s="29">
        <f t="shared" si="5"/>
        <v>1039256.4493999998</v>
      </c>
      <c r="R39" s="26"/>
      <c r="S39" s="26"/>
      <c r="T39" s="26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</row>
    <row r="40" spans="1:184" ht="33">
      <c r="A40" s="23" t="s">
        <v>44</v>
      </c>
      <c r="B40" s="24" t="s">
        <v>104</v>
      </c>
      <c r="C40" s="24" t="s">
        <v>102</v>
      </c>
      <c r="D40" s="25">
        <v>126.444</v>
      </c>
      <c r="E40" s="25">
        <f>187.627-D40</f>
        <v>61.183000000000007</v>
      </c>
      <c r="F40" s="26">
        <v>42.29</v>
      </c>
      <c r="G40" s="26">
        <v>124.04</v>
      </c>
      <c r="H40" s="27">
        <f t="shared" si="2"/>
        <v>353.95699999999999</v>
      </c>
      <c r="I40" s="26">
        <v>3835.2</v>
      </c>
      <c r="J40" s="26">
        <v>3954.32</v>
      </c>
      <c r="K40" s="26">
        <v>1478.84</v>
      </c>
      <c r="L40" s="26">
        <v>1537.99</v>
      </c>
      <c r="M40" s="28">
        <f t="shared" si="3"/>
        <v>297947.58383999998</v>
      </c>
      <c r="N40" s="29">
        <f t="shared" si="4"/>
        <v>144169.17387999999</v>
      </c>
      <c r="O40" s="29">
        <f t="shared" si="0"/>
        <v>102186.59569999999</v>
      </c>
      <c r="P40" s="29">
        <f t="shared" si="1"/>
        <v>299721.57319999998</v>
      </c>
      <c r="Q40" s="29">
        <f t="shared" si="5"/>
        <v>844024.92661999993</v>
      </c>
      <c r="R40" s="26"/>
      <c r="S40" s="26"/>
      <c r="T40" s="26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</row>
    <row r="41" spans="1:184" ht="17.25">
      <c r="A41" s="63" t="s">
        <v>110</v>
      </c>
      <c r="B41" s="63"/>
      <c r="C41" s="63"/>
      <c r="D41" s="22"/>
      <c r="E41" s="22"/>
      <c r="F41" s="20"/>
      <c r="G41" s="20"/>
      <c r="H41" s="27">
        <f t="shared" si="2"/>
        <v>0</v>
      </c>
      <c r="I41" s="20"/>
      <c r="J41" s="20"/>
      <c r="K41" s="20"/>
      <c r="L41" s="20"/>
      <c r="M41" s="28">
        <f t="shared" si="3"/>
        <v>0</v>
      </c>
      <c r="N41" s="29">
        <f t="shared" si="4"/>
        <v>0</v>
      </c>
      <c r="O41" s="29">
        <f t="shared" si="0"/>
        <v>0</v>
      </c>
      <c r="P41" s="29">
        <f t="shared" si="1"/>
        <v>0</v>
      </c>
      <c r="Q41" s="29">
        <f t="shared" si="5"/>
        <v>0</v>
      </c>
      <c r="R41" s="30"/>
      <c r="S41" s="30"/>
      <c r="T41" s="30"/>
    </row>
    <row r="42" spans="1:184" ht="17.25">
      <c r="A42" s="32" t="s">
        <v>22</v>
      </c>
      <c r="B42" s="32" t="s">
        <v>121</v>
      </c>
      <c r="C42" s="33" t="s">
        <v>346</v>
      </c>
      <c r="D42" s="34">
        <v>147.23099999999999</v>
      </c>
      <c r="E42" s="34">
        <f>243.811-D42</f>
        <v>96.580000000000013</v>
      </c>
      <c r="F42" s="35">
        <v>45.243000000000002</v>
      </c>
      <c r="G42" s="35">
        <v>142.77699999999999</v>
      </c>
      <c r="H42" s="27">
        <f>SUBTOTAL(9,D42:G42)</f>
        <v>431.83100000000002</v>
      </c>
      <c r="I42" s="35">
        <v>3307.29</v>
      </c>
      <c r="J42" s="35">
        <v>3307.29</v>
      </c>
      <c r="K42" s="35">
        <v>1541.76</v>
      </c>
      <c r="L42" s="35">
        <v>1603.43</v>
      </c>
      <c r="M42" s="28">
        <f>(I42-K42)*D42</f>
        <v>259940.74742999999</v>
      </c>
      <c r="N42" s="29">
        <f t="shared" si="4"/>
        <v>170514.88740000001</v>
      </c>
      <c r="O42" s="29">
        <f>(J42-L42)*F42</f>
        <v>77087.737980000005</v>
      </c>
      <c r="P42" s="29">
        <f>(J42-L42)*G42</f>
        <v>243272.01921999996</v>
      </c>
      <c r="Q42" s="29">
        <f t="shared" si="5"/>
        <v>750815.39202999999</v>
      </c>
      <c r="R42" s="30"/>
      <c r="S42" s="30"/>
      <c r="T42" s="30"/>
    </row>
    <row r="43" spans="1:184" ht="16.5">
      <c r="A43" s="23" t="s">
        <v>314</v>
      </c>
      <c r="B43" s="24" t="s">
        <v>118</v>
      </c>
      <c r="C43" s="24" t="s">
        <v>115</v>
      </c>
      <c r="D43" s="25">
        <v>762.6</v>
      </c>
      <c r="E43" s="25">
        <f>1193.74-D43</f>
        <v>431.14</v>
      </c>
      <c r="F43" s="26">
        <v>245.27</v>
      </c>
      <c r="G43" s="26">
        <v>928.48</v>
      </c>
      <c r="H43" s="27">
        <f t="shared" si="2"/>
        <v>2367.4899999999998</v>
      </c>
      <c r="I43" s="26">
        <v>3202.3</v>
      </c>
      <c r="J43" s="26">
        <v>3702.86</v>
      </c>
      <c r="K43" s="26">
        <v>1399</v>
      </c>
      <c r="L43" s="26">
        <v>1482.94</v>
      </c>
      <c r="M43" s="28">
        <f t="shared" si="3"/>
        <v>1375196.58</v>
      </c>
      <c r="N43" s="29">
        <f t="shared" si="4"/>
        <v>777474.7620000001</v>
      </c>
      <c r="O43" s="29">
        <f t="shared" si="0"/>
        <v>544479.77840000007</v>
      </c>
      <c r="P43" s="29">
        <f t="shared" si="1"/>
        <v>2061151.3216000001</v>
      </c>
      <c r="Q43" s="29">
        <f t="shared" si="5"/>
        <v>4758302.4420000007</v>
      </c>
      <c r="R43" s="26"/>
      <c r="S43" s="26"/>
      <c r="T43" s="26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</row>
    <row r="44" spans="1:184" ht="16.5">
      <c r="A44" s="23" t="s">
        <v>36</v>
      </c>
      <c r="B44" s="24" t="s">
        <v>112</v>
      </c>
      <c r="C44" s="24" t="s">
        <v>113</v>
      </c>
      <c r="D44" s="25">
        <v>3386.902</v>
      </c>
      <c r="E44" s="25">
        <f>5066.528-D44</f>
        <v>1679.6260000000002</v>
      </c>
      <c r="F44" s="26">
        <v>553.53</v>
      </c>
      <c r="G44" s="26">
        <v>3321.15</v>
      </c>
      <c r="H44" s="27">
        <f t="shared" si="2"/>
        <v>8941.2080000000005</v>
      </c>
      <c r="I44" s="26">
        <v>3015.49</v>
      </c>
      <c r="J44" s="26">
        <v>3015.49</v>
      </c>
      <c r="K44" s="26">
        <v>1469.19</v>
      </c>
      <c r="L44" s="26">
        <v>1527.96</v>
      </c>
      <c r="M44" s="28">
        <f t="shared" si="3"/>
        <v>5237166.5625999989</v>
      </c>
      <c r="N44" s="29">
        <f t="shared" si="4"/>
        <v>2597205.6837999998</v>
      </c>
      <c r="O44" s="29">
        <f t="shared" si="0"/>
        <v>823392.48089999985</v>
      </c>
      <c r="P44" s="29">
        <f t="shared" si="1"/>
        <v>4940310.2594999997</v>
      </c>
      <c r="Q44" s="29">
        <f t="shared" si="5"/>
        <v>13598074.9868</v>
      </c>
      <c r="R44" s="26"/>
      <c r="S44" s="26"/>
      <c r="T44" s="26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</row>
    <row r="45" spans="1:184" ht="16.5">
      <c r="A45" s="23" t="s">
        <v>36</v>
      </c>
      <c r="B45" s="24" t="s">
        <v>112</v>
      </c>
      <c r="C45" s="24" t="s">
        <v>117</v>
      </c>
      <c r="D45" s="25">
        <v>48.862000000000002</v>
      </c>
      <c r="E45" s="25">
        <f>73.03-D45</f>
        <v>24.167999999999999</v>
      </c>
      <c r="F45" s="26">
        <v>21.33</v>
      </c>
      <c r="G45" s="26">
        <v>127.95</v>
      </c>
      <c r="H45" s="27">
        <f t="shared" si="2"/>
        <v>222.31</v>
      </c>
      <c r="I45" s="26">
        <v>3231.45</v>
      </c>
      <c r="J45" s="26">
        <v>3293.69</v>
      </c>
      <c r="K45" s="26">
        <v>1452.56</v>
      </c>
      <c r="L45" s="26">
        <v>1510.66</v>
      </c>
      <c r="M45" s="28">
        <f t="shared" si="3"/>
        <v>86920.123179999995</v>
      </c>
      <c r="N45" s="29">
        <f t="shared" si="4"/>
        <v>42992.213519999998</v>
      </c>
      <c r="O45" s="29">
        <f t="shared" si="0"/>
        <v>38032.029899999994</v>
      </c>
      <c r="P45" s="29">
        <f t="shared" si="1"/>
        <v>228138.68849999999</v>
      </c>
      <c r="Q45" s="29">
        <f t="shared" si="5"/>
        <v>396083.0551</v>
      </c>
      <c r="R45" s="26"/>
      <c r="S45" s="26"/>
      <c r="T45" s="26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</row>
    <row r="46" spans="1:184" ht="16.5">
      <c r="A46" s="23" t="s">
        <v>315</v>
      </c>
      <c r="B46" s="24" t="s">
        <v>116</v>
      </c>
      <c r="C46" s="24" t="s">
        <v>115</v>
      </c>
      <c r="D46" s="25">
        <v>10889.25</v>
      </c>
      <c r="E46" s="25">
        <f>16630.23-D46</f>
        <v>5740.98</v>
      </c>
      <c r="F46" s="26">
        <v>1456.24</v>
      </c>
      <c r="G46" s="26">
        <v>9097.52</v>
      </c>
      <c r="H46" s="27">
        <f t="shared" si="2"/>
        <v>27183.99</v>
      </c>
      <c r="I46" s="26">
        <v>3297.49</v>
      </c>
      <c r="J46" s="26">
        <v>3297.49</v>
      </c>
      <c r="K46" s="26">
        <v>1365.07</v>
      </c>
      <c r="L46" s="26">
        <v>1419.67</v>
      </c>
      <c r="M46" s="28">
        <f t="shared" si="3"/>
        <v>21042604.484999999</v>
      </c>
      <c r="N46" s="29">
        <f t="shared" si="4"/>
        <v>11093984.571599998</v>
      </c>
      <c r="O46" s="29">
        <f t="shared" si="0"/>
        <v>2734556.5967999995</v>
      </c>
      <c r="P46" s="29">
        <f t="shared" si="1"/>
        <v>17083505.006399997</v>
      </c>
      <c r="Q46" s="29">
        <f t="shared" si="5"/>
        <v>51954650.659799993</v>
      </c>
      <c r="R46" s="26"/>
      <c r="S46" s="26"/>
      <c r="T46" s="26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</row>
    <row r="47" spans="1:184" ht="16.5">
      <c r="A47" s="23" t="s">
        <v>328</v>
      </c>
      <c r="B47" s="24" t="s">
        <v>329</v>
      </c>
      <c r="C47" s="24" t="s">
        <v>111</v>
      </c>
      <c r="D47" s="25">
        <v>77.61</v>
      </c>
      <c r="E47" s="25">
        <f>117.278-D47</f>
        <v>39.668000000000006</v>
      </c>
      <c r="F47" s="26">
        <v>10.94</v>
      </c>
      <c r="G47" s="26">
        <v>78.680000000000007</v>
      </c>
      <c r="H47" s="27">
        <f t="shared" si="2"/>
        <v>206.89800000000002</v>
      </c>
      <c r="I47" s="26">
        <v>3184.92</v>
      </c>
      <c r="J47" s="26">
        <v>3410.03</v>
      </c>
      <c r="K47" s="26">
        <v>1542.31</v>
      </c>
      <c r="L47" s="26">
        <v>1604</v>
      </c>
      <c r="M47" s="28">
        <f t="shared" si="3"/>
        <v>127482.9621</v>
      </c>
      <c r="N47" s="29">
        <f t="shared" si="4"/>
        <v>65159.053480000017</v>
      </c>
      <c r="O47" s="29">
        <f t="shared" si="0"/>
        <v>19757.968200000003</v>
      </c>
      <c r="P47" s="29">
        <f t="shared" si="1"/>
        <v>142098.44040000002</v>
      </c>
      <c r="Q47" s="29">
        <f t="shared" si="5"/>
        <v>354498.42418000003</v>
      </c>
      <c r="R47" s="26"/>
      <c r="S47" s="26"/>
      <c r="T47" s="26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</row>
    <row r="48" spans="1:184" ht="16.5">
      <c r="A48" s="23" t="s">
        <v>328</v>
      </c>
      <c r="B48" s="24" t="s">
        <v>329</v>
      </c>
      <c r="C48" s="24" t="s">
        <v>119</v>
      </c>
      <c r="D48" s="25">
        <v>34.56</v>
      </c>
      <c r="E48" s="25">
        <f>52.223-D48</f>
        <v>17.662999999999997</v>
      </c>
      <c r="F48" s="26">
        <v>5.94</v>
      </c>
      <c r="G48" s="26">
        <v>33.47</v>
      </c>
      <c r="H48" s="27">
        <f t="shared" si="2"/>
        <v>91.632999999999996</v>
      </c>
      <c r="I48" s="26">
        <v>5063.78</v>
      </c>
      <c r="J48" s="26">
        <v>5063.78</v>
      </c>
      <c r="K48" s="26">
        <v>1469.19</v>
      </c>
      <c r="L48" s="26">
        <v>1527.96</v>
      </c>
      <c r="M48" s="28">
        <f t="shared" si="3"/>
        <v>124229.0304</v>
      </c>
      <c r="N48" s="29">
        <f t="shared" si="4"/>
        <v>63491.24316999998</v>
      </c>
      <c r="O48" s="29">
        <f t="shared" si="0"/>
        <v>21002.770799999998</v>
      </c>
      <c r="P48" s="29">
        <f t="shared" si="1"/>
        <v>118343.89539999998</v>
      </c>
      <c r="Q48" s="29">
        <f t="shared" si="5"/>
        <v>327066.93976999994</v>
      </c>
      <c r="R48" s="26"/>
      <c r="S48" s="26"/>
      <c r="T48" s="26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</row>
    <row r="49" spans="1:184" ht="16.5">
      <c r="A49" s="23" t="s">
        <v>328</v>
      </c>
      <c r="B49" s="24" t="s">
        <v>329</v>
      </c>
      <c r="C49" s="24" t="s">
        <v>120</v>
      </c>
      <c r="D49" s="25">
        <v>71.13</v>
      </c>
      <c r="E49" s="25">
        <f>106.743-D49</f>
        <v>35.613</v>
      </c>
      <c r="F49" s="26">
        <v>12.54</v>
      </c>
      <c r="G49" s="26">
        <v>70.099999999999994</v>
      </c>
      <c r="H49" s="27">
        <f t="shared" si="2"/>
        <v>189.38299999999998</v>
      </c>
      <c r="I49" s="26">
        <v>5063.78</v>
      </c>
      <c r="J49" s="26">
        <v>5063.78</v>
      </c>
      <c r="K49" s="26">
        <v>1469.19</v>
      </c>
      <c r="L49" s="26">
        <v>1527.96</v>
      </c>
      <c r="M49" s="28">
        <f t="shared" si="3"/>
        <v>255683.18669999996</v>
      </c>
      <c r="N49" s="29">
        <f t="shared" si="4"/>
        <v>128014.13366999998</v>
      </c>
      <c r="O49" s="29">
        <f t="shared" si="0"/>
        <v>44339.182799999995</v>
      </c>
      <c r="P49" s="29">
        <f t="shared" si="1"/>
        <v>247860.98199999996</v>
      </c>
      <c r="Q49" s="29">
        <f t="shared" si="5"/>
        <v>675897.48517</v>
      </c>
      <c r="R49" s="26"/>
      <c r="S49" s="26"/>
      <c r="T49" s="26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</row>
    <row r="50" spans="1:184" ht="16.5">
      <c r="A50" s="23" t="s">
        <v>316</v>
      </c>
      <c r="B50" s="24" t="s">
        <v>114</v>
      </c>
      <c r="C50" s="24" t="s">
        <v>115</v>
      </c>
      <c r="D50" s="25">
        <v>225.751</v>
      </c>
      <c r="E50" s="25">
        <f>342.108-D50</f>
        <v>116.357</v>
      </c>
      <c r="F50" s="26">
        <v>30</v>
      </c>
      <c r="G50" s="26">
        <v>184.12</v>
      </c>
      <c r="H50" s="27">
        <f t="shared" si="2"/>
        <v>556.22800000000007</v>
      </c>
      <c r="I50" s="26">
        <v>2632.72</v>
      </c>
      <c r="J50" s="26">
        <v>2651.41</v>
      </c>
      <c r="K50" s="26">
        <v>1966.31</v>
      </c>
      <c r="L50" s="26">
        <v>2044.96</v>
      </c>
      <c r="M50" s="28">
        <f t="shared" si="3"/>
        <v>150442.72390999997</v>
      </c>
      <c r="N50" s="29">
        <f t="shared" si="4"/>
        <v>77541.468369999988</v>
      </c>
      <c r="O50" s="29">
        <f t="shared" si="0"/>
        <v>18193.499999999993</v>
      </c>
      <c r="P50" s="29">
        <f t="shared" si="1"/>
        <v>111659.57399999996</v>
      </c>
      <c r="Q50" s="29">
        <f t="shared" si="5"/>
        <v>357837.26627999992</v>
      </c>
      <c r="R50" s="26"/>
      <c r="S50" s="26"/>
      <c r="T50" s="26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</row>
    <row r="51" spans="1:184" ht="17.25">
      <c r="A51" s="63" t="s">
        <v>124</v>
      </c>
      <c r="B51" s="63"/>
      <c r="C51" s="63"/>
      <c r="D51" s="22"/>
      <c r="E51" s="22"/>
      <c r="F51" s="20"/>
      <c r="G51" s="20"/>
      <c r="H51" s="27">
        <f t="shared" si="2"/>
        <v>0</v>
      </c>
      <c r="I51" s="20"/>
      <c r="J51" s="20"/>
      <c r="K51" s="20"/>
      <c r="L51" s="20"/>
      <c r="M51" s="28">
        <f t="shared" si="3"/>
        <v>0</v>
      </c>
      <c r="N51" s="29">
        <f t="shared" si="4"/>
        <v>0</v>
      </c>
      <c r="O51" s="29">
        <f t="shared" si="0"/>
        <v>0</v>
      </c>
      <c r="P51" s="29">
        <f t="shared" si="1"/>
        <v>0</v>
      </c>
      <c r="Q51" s="29">
        <f t="shared" si="5"/>
        <v>0</v>
      </c>
      <c r="R51" s="30"/>
      <c r="S51" s="30"/>
      <c r="T51" s="30"/>
    </row>
    <row r="52" spans="1:184" ht="16.5">
      <c r="A52" s="23" t="s">
        <v>30</v>
      </c>
      <c r="B52" s="24" t="s">
        <v>129</v>
      </c>
      <c r="C52" s="24" t="s">
        <v>127</v>
      </c>
      <c r="D52" s="25">
        <v>539.83600000000001</v>
      </c>
      <c r="E52" s="25">
        <f>744.701-D52</f>
        <v>204.86500000000001</v>
      </c>
      <c r="F52" s="26">
        <v>56.87</v>
      </c>
      <c r="G52" s="26">
        <v>379.6</v>
      </c>
      <c r="H52" s="27">
        <f t="shared" si="2"/>
        <v>1181.171</v>
      </c>
      <c r="I52" s="26">
        <v>5361.09</v>
      </c>
      <c r="J52" s="26">
        <v>5620.41</v>
      </c>
      <c r="K52" s="26">
        <v>1452.53</v>
      </c>
      <c r="L52" s="26">
        <v>1510.6</v>
      </c>
      <c r="M52" s="28">
        <f t="shared" si="3"/>
        <v>2109981.3961600005</v>
      </c>
      <c r="N52" s="29">
        <f t="shared" si="4"/>
        <v>800727.14440000011</v>
      </c>
      <c r="O52" s="29">
        <f t="shared" si="0"/>
        <v>233724.89469999995</v>
      </c>
      <c r="P52" s="29">
        <f t="shared" si="1"/>
        <v>1560083.8759999999</v>
      </c>
      <c r="Q52" s="29">
        <f t="shared" si="5"/>
        <v>4704517.3112600008</v>
      </c>
      <c r="R52" s="26"/>
      <c r="S52" s="26"/>
      <c r="T52" s="26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</row>
    <row r="53" spans="1:184" ht="16.5">
      <c r="A53" s="23" t="s">
        <v>2</v>
      </c>
      <c r="B53" s="24" t="s">
        <v>75</v>
      </c>
      <c r="C53" s="24" t="s">
        <v>355</v>
      </c>
      <c r="D53" s="25">
        <v>574.89300000000003</v>
      </c>
      <c r="E53" s="25">
        <f>766.524-D53</f>
        <v>191.63099999999997</v>
      </c>
      <c r="F53" s="26">
        <v>150.14699999999999</v>
      </c>
      <c r="G53" s="26">
        <v>526.99199999999996</v>
      </c>
      <c r="H53" s="27">
        <f t="shared" si="2"/>
        <v>1443.663</v>
      </c>
      <c r="I53" s="26">
        <v>2645.59</v>
      </c>
      <c r="J53" s="26">
        <v>2645.59</v>
      </c>
      <c r="K53" s="26">
        <v>1395</v>
      </c>
      <c r="L53" s="26">
        <v>1450.8</v>
      </c>
      <c r="M53" s="28">
        <f t="shared" si="3"/>
        <v>718955.43687000009</v>
      </c>
      <c r="N53" s="29">
        <f t="shared" si="4"/>
        <v>239651.81229</v>
      </c>
      <c r="O53" s="29">
        <f t="shared" si="0"/>
        <v>179394.13413000002</v>
      </c>
      <c r="P53" s="29">
        <f t="shared" si="1"/>
        <v>629644.77168000001</v>
      </c>
      <c r="Q53" s="29">
        <f t="shared" si="5"/>
        <v>1767646.1549700003</v>
      </c>
      <c r="R53" s="26"/>
      <c r="S53" s="26"/>
      <c r="T53" s="26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</row>
    <row r="54" spans="1:184" ht="16.5">
      <c r="A54" s="23" t="s">
        <v>2</v>
      </c>
      <c r="B54" s="24" t="s">
        <v>75</v>
      </c>
      <c r="C54" s="24" t="s">
        <v>356</v>
      </c>
      <c r="D54" s="25">
        <v>711.60599999999999</v>
      </c>
      <c r="E54" s="25">
        <f>948.808-D54</f>
        <v>237.202</v>
      </c>
      <c r="F54" s="26">
        <v>185.40899999999999</v>
      </c>
      <c r="G54" s="26">
        <v>632.12</v>
      </c>
      <c r="H54" s="27">
        <f t="shared" si="2"/>
        <v>1766.337</v>
      </c>
      <c r="I54" s="26">
        <v>2645.59</v>
      </c>
      <c r="J54" s="26">
        <v>2645.59</v>
      </c>
      <c r="K54" s="26">
        <v>1291.9000000000001</v>
      </c>
      <c r="L54" s="26">
        <v>1343.58</v>
      </c>
      <c r="M54" s="28">
        <f t="shared" si="3"/>
        <v>963293.92614</v>
      </c>
      <c r="N54" s="29">
        <f t="shared" si="4"/>
        <v>321097.97538000002</v>
      </c>
      <c r="O54" s="29">
        <f t="shared" si="0"/>
        <v>241404.37209000002</v>
      </c>
      <c r="P54" s="29">
        <f t="shared" si="1"/>
        <v>823026.56120000011</v>
      </c>
      <c r="Q54" s="29">
        <f t="shared" si="5"/>
        <v>2348822.8348099999</v>
      </c>
      <c r="R54" s="26"/>
      <c r="S54" s="26"/>
      <c r="T54" s="26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</row>
    <row r="55" spans="1:184" ht="16.5">
      <c r="A55" s="23" t="s">
        <v>2</v>
      </c>
      <c r="B55" s="24" t="s">
        <v>75</v>
      </c>
      <c r="C55" s="24" t="s">
        <v>128</v>
      </c>
      <c r="D55" s="25">
        <v>4759.9880000000003</v>
      </c>
      <c r="E55" s="25">
        <f>6408.324-D55</f>
        <v>1648.3359999999993</v>
      </c>
      <c r="F55" s="26">
        <v>947.49599999999998</v>
      </c>
      <c r="G55" s="26">
        <v>4295.3149999999996</v>
      </c>
      <c r="H55" s="27">
        <f t="shared" si="2"/>
        <v>11651.134999999998</v>
      </c>
      <c r="I55" s="26">
        <v>2074.84</v>
      </c>
      <c r="J55" s="26">
        <v>2074.84</v>
      </c>
      <c r="K55" s="26">
        <v>1424.24</v>
      </c>
      <c r="L55" s="26">
        <v>1481.2</v>
      </c>
      <c r="M55" s="28">
        <f t="shared" si="3"/>
        <v>3096848.1928000008</v>
      </c>
      <c r="N55" s="29">
        <f t="shared" si="4"/>
        <v>1072407.4015999998</v>
      </c>
      <c r="O55" s="29">
        <f t="shared" si="0"/>
        <v>562471.52544000011</v>
      </c>
      <c r="P55" s="29">
        <f t="shared" si="1"/>
        <v>2549870.7966</v>
      </c>
      <c r="Q55" s="29">
        <f t="shared" si="5"/>
        <v>7281597.9164400008</v>
      </c>
      <c r="R55" s="26"/>
      <c r="S55" s="26"/>
      <c r="T55" s="26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</row>
    <row r="56" spans="1:184" ht="33">
      <c r="A56" s="23" t="s">
        <v>2</v>
      </c>
      <c r="B56" s="24" t="s">
        <v>75</v>
      </c>
      <c r="C56" s="24" t="s">
        <v>357</v>
      </c>
      <c r="D56" s="25">
        <v>4802.9120000000003</v>
      </c>
      <c r="E56" s="25">
        <f>6874.341-D56</f>
        <v>2071.4290000000001</v>
      </c>
      <c r="F56" s="26">
        <v>779.89499999999998</v>
      </c>
      <c r="G56" s="26">
        <v>3999.7489999999998</v>
      </c>
      <c r="H56" s="27">
        <f t="shared" si="2"/>
        <v>11653.985000000001</v>
      </c>
      <c r="I56" s="26">
        <v>3958.81</v>
      </c>
      <c r="J56" s="26">
        <v>4405.3999999999996</v>
      </c>
      <c r="K56" s="26">
        <v>1401.71</v>
      </c>
      <c r="L56" s="26">
        <v>1457.78</v>
      </c>
      <c r="M56" s="28">
        <f t="shared" si="3"/>
        <v>12281526.2752</v>
      </c>
      <c r="N56" s="29">
        <f t="shared" si="4"/>
        <v>5296851.0959000001</v>
      </c>
      <c r="O56" s="29">
        <f t="shared" si="0"/>
        <v>2298834.0998999998</v>
      </c>
      <c r="P56" s="29">
        <f t="shared" si="1"/>
        <v>11789740.147379998</v>
      </c>
      <c r="Q56" s="29">
        <f t="shared" si="5"/>
        <v>31666951.618379999</v>
      </c>
      <c r="R56" s="26"/>
      <c r="S56" s="26"/>
      <c r="T56" s="26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</row>
    <row r="57" spans="1:184" ht="33">
      <c r="A57" s="23" t="s">
        <v>2</v>
      </c>
      <c r="B57" s="24" t="s">
        <v>75</v>
      </c>
      <c r="C57" s="24" t="s">
        <v>359</v>
      </c>
      <c r="D57" s="25">
        <v>920.678</v>
      </c>
      <c r="E57" s="25">
        <f>1310.799-D57</f>
        <v>390.12099999999998</v>
      </c>
      <c r="F57" s="26">
        <v>137.417</v>
      </c>
      <c r="G57" s="26">
        <v>704.75099999999998</v>
      </c>
      <c r="H57" s="27">
        <f t="shared" si="2"/>
        <v>2152.9669999999996</v>
      </c>
      <c r="I57" s="26">
        <v>3958.81</v>
      </c>
      <c r="J57" s="26">
        <v>4405.3999999999996</v>
      </c>
      <c r="K57" s="26">
        <v>2021.03</v>
      </c>
      <c r="L57" s="26">
        <v>2101.87</v>
      </c>
      <c r="M57" s="28">
        <f t="shared" si="3"/>
        <v>1784071.41484</v>
      </c>
      <c r="N57" s="29">
        <f t="shared" si="4"/>
        <v>755968.67137999996</v>
      </c>
      <c r="O57" s="29">
        <f t="shared" si="0"/>
        <v>316544.18200999999</v>
      </c>
      <c r="P57" s="29">
        <f t="shared" si="1"/>
        <v>1623415.0710299998</v>
      </c>
      <c r="Q57" s="29">
        <f t="shared" si="5"/>
        <v>4479999.3392599998</v>
      </c>
      <c r="R57" s="26"/>
      <c r="S57" s="26"/>
      <c r="T57" s="26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</row>
    <row r="58" spans="1:184" ht="33">
      <c r="A58" s="23" t="s">
        <v>2</v>
      </c>
      <c r="B58" s="24" t="s">
        <v>75</v>
      </c>
      <c r="C58" s="24" t="s">
        <v>358</v>
      </c>
      <c r="D58" s="25">
        <v>458.47699999999998</v>
      </c>
      <c r="E58" s="25">
        <f>626.965-D58</f>
        <v>168.48800000000006</v>
      </c>
      <c r="F58" s="26">
        <v>86.552999999999997</v>
      </c>
      <c r="G58" s="26">
        <v>443.89299999999997</v>
      </c>
      <c r="H58" s="27">
        <f t="shared" si="2"/>
        <v>1157.4110000000001</v>
      </c>
      <c r="I58" s="26">
        <v>3958.81</v>
      </c>
      <c r="J58" s="26">
        <v>4405.3999999999996</v>
      </c>
      <c r="K58" s="26">
        <v>1316.53</v>
      </c>
      <c r="L58" s="26">
        <v>1369.19</v>
      </c>
      <c r="M58" s="28">
        <f t="shared" si="3"/>
        <v>1211424.6075599999</v>
      </c>
      <c r="N58" s="29">
        <f t="shared" si="4"/>
        <v>445192.47264000011</v>
      </c>
      <c r="O58" s="29">
        <f t="shared" si="0"/>
        <v>262793.08412999997</v>
      </c>
      <c r="P58" s="29">
        <f t="shared" si="1"/>
        <v>1347752.3655299998</v>
      </c>
      <c r="Q58" s="29">
        <f t="shared" si="5"/>
        <v>3267162.5298600001</v>
      </c>
      <c r="R58" s="26"/>
      <c r="S58" s="26"/>
      <c r="T58" s="26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</row>
    <row r="59" spans="1:184" ht="16.5">
      <c r="A59" s="23" t="s">
        <v>27</v>
      </c>
      <c r="B59" s="24" t="s">
        <v>125</v>
      </c>
      <c r="C59" s="24" t="s">
        <v>126</v>
      </c>
      <c r="D59" s="25">
        <v>206.79900000000001</v>
      </c>
      <c r="E59" s="25">
        <f>311.31-D59</f>
        <v>104.511</v>
      </c>
      <c r="F59" s="26">
        <v>13.51</v>
      </c>
      <c r="G59" s="26">
        <v>206.8</v>
      </c>
      <c r="H59" s="27">
        <f t="shared" si="2"/>
        <v>531.62</v>
      </c>
      <c r="I59" s="26">
        <v>4440.04</v>
      </c>
      <c r="J59" s="26">
        <v>4841.49</v>
      </c>
      <c r="K59" s="26">
        <v>1437.56</v>
      </c>
      <c r="L59" s="26">
        <v>1495.06</v>
      </c>
      <c r="M59" s="28">
        <f t="shared" si="3"/>
        <v>620909.86152000003</v>
      </c>
      <c r="N59" s="29">
        <f t="shared" si="4"/>
        <v>313792.18728000001</v>
      </c>
      <c r="O59" s="29">
        <f t="shared" si="0"/>
        <v>45210.2693</v>
      </c>
      <c r="P59" s="29">
        <f t="shared" si="1"/>
        <v>692041.72400000005</v>
      </c>
      <c r="Q59" s="29">
        <f t="shared" si="5"/>
        <v>1671954.0421000002</v>
      </c>
      <c r="R59" s="26"/>
      <c r="S59" s="26"/>
      <c r="T59" s="26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</row>
    <row r="60" spans="1:184" s="15" customFormat="1" ht="16.5">
      <c r="A60" s="69" t="s">
        <v>122</v>
      </c>
      <c r="B60" s="69"/>
      <c r="C60" s="69"/>
      <c r="D60" s="36"/>
      <c r="E60" s="37"/>
      <c r="F60" s="38"/>
      <c r="G60" s="38"/>
      <c r="H60" s="38"/>
      <c r="I60" s="38"/>
      <c r="J60" s="38"/>
      <c r="K60" s="38"/>
      <c r="L60" s="38"/>
      <c r="M60" s="39"/>
      <c r="N60" s="29">
        <f t="shared" si="4"/>
        <v>0</v>
      </c>
      <c r="O60" s="39"/>
      <c r="P60" s="39"/>
      <c r="Q60" s="29">
        <f t="shared" si="5"/>
        <v>0</v>
      </c>
      <c r="R60" s="29">
        <f t="shared" ref="R60:R61" si="6">F60*(M60-O60)</f>
        <v>0</v>
      </c>
      <c r="S60" s="29"/>
      <c r="T60" s="29"/>
    </row>
    <row r="61" spans="1:184" s="12" customFormat="1" ht="16.5">
      <c r="A61" s="40" t="s">
        <v>22</v>
      </c>
      <c r="B61" s="41" t="s">
        <v>123</v>
      </c>
      <c r="C61" s="41"/>
      <c r="D61" s="42">
        <v>2840.2849999999999</v>
      </c>
      <c r="E61" s="43">
        <f>4092.064-D61</f>
        <v>1251.779</v>
      </c>
      <c r="F61" s="44">
        <v>447.52699999999999</v>
      </c>
      <c r="G61" s="44">
        <v>1726.963</v>
      </c>
      <c r="H61" s="44">
        <f>SUBTOTAL(9,D61:G61)</f>
        <v>6266.5539999999992</v>
      </c>
      <c r="I61" s="38">
        <v>1738.77</v>
      </c>
      <c r="J61" s="38">
        <v>1738.77</v>
      </c>
      <c r="K61" s="38">
        <v>1527.2</v>
      </c>
      <c r="L61" s="38">
        <v>1618.84</v>
      </c>
      <c r="M61" s="44">
        <f>(I61-K61)*D61</f>
        <v>600919.09744999977</v>
      </c>
      <c r="N61" s="29">
        <f t="shared" si="4"/>
        <v>264838.88302999991</v>
      </c>
      <c r="O61" s="44">
        <f>(J61-L61)*F61</f>
        <v>53671.91311000003</v>
      </c>
      <c r="P61" s="44">
        <f>(J61-L61)*G61</f>
        <v>207114.67259000012</v>
      </c>
      <c r="Q61" s="29">
        <f t="shared" si="5"/>
        <v>1126544.5661799998</v>
      </c>
      <c r="R61" s="29">
        <f t="shared" si="6"/>
        <v>244907890.66612703</v>
      </c>
      <c r="S61" s="29"/>
      <c r="T61" s="29"/>
    </row>
    <row r="62" spans="1:184" ht="17.25">
      <c r="A62" s="63" t="s">
        <v>130</v>
      </c>
      <c r="B62" s="63"/>
      <c r="C62" s="63"/>
      <c r="D62" s="22"/>
      <c r="E62" s="22"/>
      <c r="F62" s="20"/>
      <c r="G62" s="20"/>
      <c r="H62" s="27">
        <f t="shared" si="2"/>
        <v>0</v>
      </c>
      <c r="I62" s="20"/>
      <c r="J62" s="20"/>
      <c r="K62" s="20"/>
      <c r="L62" s="20"/>
      <c r="M62" s="28">
        <f t="shared" si="3"/>
        <v>0</v>
      </c>
      <c r="N62" s="29">
        <f t="shared" si="4"/>
        <v>0</v>
      </c>
      <c r="O62" s="29">
        <f t="shared" si="0"/>
        <v>0</v>
      </c>
      <c r="P62" s="29">
        <f t="shared" si="1"/>
        <v>0</v>
      </c>
      <c r="Q62" s="29">
        <f t="shared" si="5"/>
        <v>0</v>
      </c>
      <c r="R62" s="30"/>
      <c r="S62" s="30"/>
      <c r="T62" s="30"/>
    </row>
    <row r="63" spans="1:184" ht="16.5">
      <c r="A63" s="23" t="s">
        <v>47</v>
      </c>
      <c r="B63" s="24" t="s">
        <v>131</v>
      </c>
      <c r="C63" s="24" t="s">
        <v>132</v>
      </c>
      <c r="D63" s="25">
        <v>302.37</v>
      </c>
      <c r="E63" s="25">
        <f>438.115-D63</f>
        <v>135.745</v>
      </c>
      <c r="F63" s="26">
        <v>60</v>
      </c>
      <c r="G63" s="26">
        <v>311.02999999999997</v>
      </c>
      <c r="H63" s="27">
        <f t="shared" si="2"/>
        <v>809.14499999999998</v>
      </c>
      <c r="I63" s="26">
        <v>4294.62</v>
      </c>
      <c r="J63" s="26">
        <v>4470.7</v>
      </c>
      <c r="K63" s="26">
        <v>1573.17</v>
      </c>
      <c r="L63" s="26">
        <v>1636.1</v>
      </c>
      <c r="M63" s="28">
        <f t="shared" si="3"/>
        <v>822884.83649999998</v>
      </c>
      <c r="N63" s="29">
        <f t="shared" si="4"/>
        <v>369423.23024999996</v>
      </c>
      <c r="O63" s="29">
        <f t="shared" si="0"/>
        <v>170076</v>
      </c>
      <c r="P63" s="29">
        <f t="shared" si="1"/>
        <v>881645.63799999992</v>
      </c>
      <c r="Q63" s="29">
        <f t="shared" si="5"/>
        <v>2244029.70475</v>
      </c>
      <c r="R63" s="26"/>
      <c r="S63" s="26"/>
      <c r="T63" s="26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</row>
    <row r="64" spans="1:184" ht="16.5">
      <c r="A64" s="23" t="s">
        <v>330</v>
      </c>
      <c r="B64" s="24" t="s">
        <v>331</v>
      </c>
      <c r="C64" s="24" t="s">
        <v>133</v>
      </c>
      <c r="D64" s="25">
        <v>3330.34</v>
      </c>
      <c r="E64" s="25">
        <f>4790.409-D64</f>
        <v>1460.0689999999995</v>
      </c>
      <c r="F64" s="26">
        <v>805</v>
      </c>
      <c r="G64" s="26">
        <v>2455.67</v>
      </c>
      <c r="H64" s="27">
        <f t="shared" si="2"/>
        <v>8051.0789999999997</v>
      </c>
      <c r="I64" s="26">
        <v>4227.41</v>
      </c>
      <c r="J64" s="26">
        <v>4510.51</v>
      </c>
      <c r="K64" s="26">
        <v>1529.81</v>
      </c>
      <c r="L64" s="26">
        <v>1591.01</v>
      </c>
      <c r="M64" s="28">
        <f t="shared" si="3"/>
        <v>8983925.1840000004</v>
      </c>
      <c r="N64" s="29">
        <f t="shared" si="4"/>
        <v>3938682.1343999985</v>
      </c>
      <c r="O64" s="29">
        <f t="shared" si="0"/>
        <v>2350197.5</v>
      </c>
      <c r="P64" s="29">
        <f t="shared" si="1"/>
        <v>7169328.5650000004</v>
      </c>
      <c r="Q64" s="29">
        <f t="shared" si="5"/>
        <v>22442133.383400001</v>
      </c>
      <c r="R64" s="26"/>
      <c r="S64" s="26"/>
      <c r="T64" s="26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</row>
    <row r="65" spans="1:184" ht="17.25">
      <c r="A65" s="63" t="s">
        <v>134</v>
      </c>
      <c r="B65" s="63"/>
      <c r="C65" s="63"/>
      <c r="D65" s="22"/>
      <c r="E65" s="22"/>
      <c r="F65" s="20"/>
      <c r="G65" s="20"/>
      <c r="H65" s="27">
        <f t="shared" si="2"/>
        <v>0</v>
      </c>
      <c r="I65" s="20"/>
      <c r="J65" s="20"/>
      <c r="K65" s="20"/>
      <c r="L65" s="20"/>
      <c r="M65" s="28">
        <f t="shared" si="3"/>
        <v>0</v>
      </c>
      <c r="N65" s="29">
        <f t="shared" si="4"/>
        <v>0</v>
      </c>
      <c r="O65" s="29">
        <f t="shared" si="0"/>
        <v>0</v>
      </c>
      <c r="P65" s="29">
        <f t="shared" si="1"/>
        <v>0</v>
      </c>
      <c r="Q65" s="29">
        <f t="shared" si="5"/>
        <v>0</v>
      </c>
      <c r="R65" s="30"/>
      <c r="S65" s="30"/>
      <c r="T65" s="30"/>
    </row>
    <row r="66" spans="1:184" ht="16.5">
      <c r="A66" s="23" t="s">
        <v>313</v>
      </c>
      <c r="B66" s="24" t="s">
        <v>135</v>
      </c>
      <c r="C66" s="24" t="s">
        <v>136</v>
      </c>
      <c r="D66" s="25">
        <v>976.01400000000001</v>
      </c>
      <c r="E66" s="25">
        <f>1522.005-D66</f>
        <v>545.9910000000001</v>
      </c>
      <c r="F66" s="26">
        <v>459.7</v>
      </c>
      <c r="G66" s="26">
        <v>654.46299999999997</v>
      </c>
      <c r="H66" s="27">
        <f t="shared" si="2"/>
        <v>2636.1680000000001</v>
      </c>
      <c r="I66" s="26">
        <v>2253.14</v>
      </c>
      <c r="J66" s="26">
        <v>2270.94</v>
      </c>
      <c r="K66" s="26">
        <v>1536</v>
      </c>
      <c r="L66" s="26">
        <v>1597.44</v>
      </c>
      <c r="M66" s="28">
        <f t="shared" si="3"/>
        <v>699938.67995999986</v>
      </c>
      <c r="N66" s="29">
        <f t="shared" si="4"/>
        <v>391551.98573999997</v>
      </c>
      <c r="O66" s="29">
        <f t="shared" si="0"/>
        <v>309607.95</v>
      </c>
      <c r="P66" s="29">
        <f t="shared" si="1"/>
        <v>440780.83049999998</v>
      </c>
      <c r="Q66" s="29">
        <f t="shared" si="5"/>
        <v>1841879.4461999997</v>
      </c>
      <c r="R66" s="26"/>
      <c r="S66" s="26"/>
      <c r="T66" s="26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</row>
    <row r="67" spans="1:184" ht="16.5">
      <c r="A67" s="23" t="s">
        <v>312</v>
      </c>
      <c r="B67" s="24" t="s">
        <v>139</v>
      </c>
      <c r="C67" s="24" t="s">
        <v>140</v>
      </c>
      <c r="D67" s="25">
        <v>2681.8690000000001</v>
      </c>
      <c r="E67" s="25">
        <f>3876.244-D67</f>
        <v>1194.375</v>
      </c>
      <c r="F67" s="26">
        <v>468</v>
      </c>
      <c r="G67" s="26">
        <v>2079.13</v>
      </c>
      <c r="H67" s="27">
        <f t="shared" si="2"/>
        <v>6423.3740000000007</v>
      </c>
      <c r="I67" s="26">
        <v>3501.42</v>
      </c>
      <c r="J67" s="26">
        <v>3878.76</v>
      </c>
      <c r="K67" s="26">
        <v>1325.1</v>
      </c>
      <c r="L67" s="26">
        <v>1378.1</v>
      </c>
      <c r="M67" s="28">
        <f t="shared" si="3"/>
        <v>5836605.1420800006</v>
      </c>
      <c r="N67" s="29">
        <f t="shared" si="4"/>
        <v>2599342.2000000002</v>
      </c>
      <c r="O67" s="29">
        <f t="shared" si="0"/>
        <v>1170308.8800000001</v>
      </c>
      <c r="P67" s="29">
        <f t="shared" si="1"/>
        <v>5199197.2258000011</v>
      </c>
      <c r="Q67" s="29">
        <f t="shared" si="5"/>
        <v>14805453.447880004</v>
      </c>
      <c r="R67" s="26"/>
      <c r="S67" s="26"/>
      <c r="T67" s="26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</row>
    <row r="68" spans="1:184" ht="16.5">
      <c r="A68" s="23" t="s">
        <v>39</v>
      </c>
      <c r="B68" s="24" t="s">
        <v>137</v>
      </c>
      <c r="C68" s="24" t="s">
        <v>138</v>
      </c>
      <c r="D68" s="25">
        <v>493.52499999999998</v>
      </c>
      <c r="E68" s="25">
        <f>703.045-D68</f>
        <v>209.51999999999998</v>
      </c>
      <c r="F68" s="26">
        <v>68.83</v>
      </c>
      <c r="G68" s="26">
        <v>412.99200000000002</v>
      </c>
      <c r="H68" s="27">
        <f t="shared" si="2"/>
        <v>1184.867</v>
      </c>
      <c r="I68" s="26">
        <v>2500.8000000000002</v>
      </c>
      <c r="J68" s="26">
        <v>2500.8000000000002</v>
      </c>
      <c r="K68" s="26">
        <v>1575.27</v>
      </c>
      <c r="L68" s="26">
        <v>1638.28</v>
      </c>
      <c r="M68" s="28">
        <f t="shared" si="3"/>
        <v>456772.19325000007</v>
      </c>
      <c r="N68" s="29">
        <f t="shared" si="4"/>
        <v>193917.04560000001</v>
      </c>
      <c r="O68" s="29">
        <f t="shared" si="0"/>
        <v>59367.251600000011</v>
      </c>
      <c r="P68" s="29">
        <f t="shared" si="1"/>
        <v>356213.85984000011</v>
      </c>
      <c r="Q68" s="29">
        <f t="shared" si="5"/>
        <v>1066270.3502900002</v>
      </c>
      <c r="R68" s="26"/>
      <c r="S68" s="26"/>
      <c r="T68" s="26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</row>
    <row r="69" spans="1:184" ht="16.5">
      <c r="A69" s="23" t="s">
        <v>16</v>
      </c>
      <c r="B69" s="24" t="s">
        <v>141</v>
      </c>
      <c r="C69" s="24" t="s">
        <v>140</v>
      </c>
      <c r="D69" s="25">
        <v>44.133000000000003</v>
      </c>
      <c r="E69" s="25">
        <f>65.962-D69</f>
        <v>21.829000000000001</v>
      </c>
      <c r="F69" s="26">
        <v>8.6300000000000008</v>
      </c>
      <c r="G69" s="26">
        <v>43.94</v>
      </c>
      <c r="H69" s="27">
        <f t="shared" si="2"/>
        <v>118.532</v>
      </c>
      <c r="I69" s="45">
        <v>3911.74</v>
      </c>
      <c r="J69" s="45">
        <v>4070.65</v>
      </c>
      <c r="K69" s="45">
        <v>1314.99</v>
      </c>
      <c r="L69" s="45">
        <v>1367.59</v>
      </c>
      <c r="M69" s="28">
        <f t="shared" si="3"/>
        <v>114602.36775</v>
      </c>
      <c r="N69" s="29">
        <f t="shared" si="4"/>
        <v>56684.455750000001</v>
      </c>
      <c r="O69" s="29">
        <f t="shared" si="0"/>
        <v>23327.407800000004</v>
      </c>
      <c r="P69" s="29">
        <f t="shared" si="1"/>
        <v>118772.45640000001</v>
      </c>
      <c r="Q69" s="29">
        <f t="shared" si="5"/>
        <v>313386.68770000001</v>
      </c>
      <c r="R69" s="26"/>
      <c r="S69" s="26"/>
      <c r="T69" s="26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</row>
    <row r="70" spans="1:184" s="11" customFormat="1" ht="16.5">
      <c r="A70" s="40" t="s">
        <v>311</v>
      </c>
      <c r="B70" s="41" t="s">
        <v>142</v>
      </c>
      <c r="C70" s="41" t="s">
        <v>136</v>
      </c>
      <c r="D70" s="37">
        <v>3588.8330000000001</v>
      </c>
      <c r="E70" s="37">
        <f>5503.217-D70</f>
        <v>1914.3839999999996</v>
      </c>
      <c r="F70" s="38">
        <v>405.42</v>
      </c>
      <c r="G70" s="38">
        <v>3400</v>
      </c>
      <c r="H70" s="27">
        <f t="shared" si="2"/>
        <v>9308.6369999999988</v>
      </c>
      <c r="I70" s="45">
        <v>973.97</v>
      </c>
      <c r="J70" s="45">
        <v>1259.68</v>
      </c>
      <c r="K70" s="45">
        <v>639.34</v>
      </c>
      <c r="L70" s="45">
        <v>677.7</v>
      </c>
      <c r="M70" s="28">
        <f t="shared" si="3"/>
        <v>1200931.1867899999</v>
      </c>
      <c r="N70" s="29">
        <f t="shared" si="4"/>
        <v>640610.31791999983</v>
      </c>
      <c r="O70" s="29">
        <f t="shared" si="0"/>
        <v>235946.3316</v>
      </c>
      <c r="P70" s="29">
        <f t="shared" si="1"/>
        <v>1978732</v>
      </c>
      <c r="Q70" s="29">
        <f t="shared" si="5"/>
        <v>4056219.8363099997</v>
      </c>
      <c r="R70" s="46"/>
      <c r="S70" s="46"/>
      <c r="T70" s="46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</row>
    <row r="71" spans="1:184" ht="17.25">
      <c r="A71" s="63" t="s">
        <v>143</v>
      </c>
      <c r="B71" s="63"/>
      <c r="C71" s="63"/>
      <c r="D71" s="22"/>
      <c r="E71" s="22"/>
      <c r="F71" s="20"/>
      <c r="G71" s="20"/>
      <c r="H71" s="27">
        <f t="shared" si="2"/>
        <v>0</v>
      </c>
      <c r="I71" s="20"/>
      <c r="J71" s="20"/>
      <c r="K71" s="20"/>
      <c r="L71" s="20"/>
      <c r="M71" s="28">
        <f t="shared" si="3"/>
        <v>0</v>
      </c>
      <c r="N71" s="29">
        <f t="shared" si="4"/>
        <v>0</v>
      </c>
      <c r="O71" s="29">
        <f t="shared" si="0"/>
        <v>0</v>
      </c>
      <c r="P71" s="29">
        <f t="shared" si="1"/>
        <v>0</v>
      </c>
      <c r="Q71" s="29">
        <f t="shared" si="5"/>
        <v>0</v>
      </c>
      <c r="R71" s="30"/>
      <c r="S71" s="30"/>
      <c r="T71" s="30"/>
    </row>
    <row r="72" spans="1:184" ht="16.5">
      <c r="A72" s="23" t="s">
        <v>2</v>
      </c>
      <c r="B72" s="24" t="s">
        <v>75</v>
      </c>
      <c r="C72" s="24" t="s">
        <v>343</v>
      </c>
      <c r="D72" s="25">
        <v>4600.9170000000004</v>
      </c>
      <c r="E72" s="25">
        <f>6796.981-D72</f>
        <v>2196.0639999999994</v>
      </c>
      <c r="F72" s="26">
        <v>587.51499999999999</v>
      </c>
      <c r="G72" s="26">
        <v>4324.09</v>
      </c>
      <c r="H72" s="27">
        <f t="shared" si="2"/>
        <v>11708.585999999999</v>
      </c>
      <c r="I72" s="26">
        <v>4485.03</v>
      </c>
      <c r="J72" s="26">
        <v>5472.89</v>
      </c>
      <c r="K72" s="26">
        <v>1421.84</v>
      </c>
      <c r="L72" s="26">
        <v>1507.15</v>
      </c>
      <c r="M72" s="28">
        <f t="shared" si="3"/>
        <v>14093482.94523</v>
      </c>
      <c r="N72" s="29">
        <f t="shared" si="4"/>
        <v>6726961.2841599975</v>
      </c>
      <c r="O72" s="29">
        <f t="shared" si="0"/>
        <v>2329931.7360999999</v>
      </c>
      <c r="P72" s="29">
        <f t="shared" si="1"/>
        <v>17148216.676600002</v>
      </c>
      <c r="Q72" s="29">
        <f t="shared" si="5"/>
        <v>40298592.642089993</v>
      </c>
      <c r="R72" s="26"/>
      <c r="S72" s="26"/>
      <c r="T72" s="26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</row>
    <row r="73" spans="1:184" ht="17.25">
      <c r="A73" s="63" t="s">
        <v>144</v>
      </c>
      <c r="B73" s="63"/>
      <c r="C73" s="63"/>
      <c r="D73" s="22"/>
      <c r="E73" s="22"/>
      <c r="F73" s="20"/>
      <c r="G73" s="20"/>
      <c r="H73" s="27">
        <f t="shared" si="2"/>
        <v>0</v>
      </c>
      <c r="I73" s="20"/>
      <c r="J73" s="20"/>
      <c r="K73" s="20"/>
      <c r="L73" s="20"/>
      <c r="M73" s="28">
        <f t="shared" si="3"/>
        <v>0</v>
      </c>
      <c r="N73" s="29">
        <f t="shared" si="4"/>
        <v>0</v>
      </c>
      <c r="O73" s="29">
        <f t="shared" si="0"/>
        <v>0</v>
      </c>
      <c r="P73" s="29">
        <f t="shared" si="1"/>
        <v>0</v>
      </c>
      <c r="Q73" s="29">
        <f t="shared" si="5"/>
        <v>0</v>
      </c>
      <c r="R73" s="30"/>
      <c r="S73" s="30"/>
      <c r="T73" s="30"/>
    </row>
    <row r="74" spans="1:184" ht="16.5">
      <c r="A74" s="23" t="s">
        <v>2</v>
      </c>
      <c r="B74" s="24" t="s">
        <v>75</v>
      </c>
      <c r="C74" s="24" t="s">
        <v>344</v>
      </c>
      <c r="D74" s="25">
        <v>3562.4659999999999</v>
      </c>
      <c r="E74" s="25">
        <f>5573.874-D74</f>
        <v>2011.4079999999999</v>
      </c>
      <c r="F74" s="26">
        <v>518.96299999999997</v>
      </c>
      <c r="G74" s="26">
        <v>3510.61</v>
      </c>
      <c r="H74" s="27">
        <f t="shared" si="2"/>
        <v>9603.4470000000001</v>
      </c>
      <c r="I74" s="26">
        <v>4867.4399999999996</v>
      </c>
      <c r="J74" s="26">
        <v>4997.8500000000004</v>
      </c>
      <c r="K74" s="26">
        <v>1227.27</v>
      </c>
      <c r="L74" s="26">
        <v>1276.3599999999999</v>
      </c>
      <c r="M74" s="28">
        <f t="shared" si="3"/>
        <v>12967981.859219998</v>
      </c>
      <c r="N74" s="29">
        <f t="shared" ref="N74:O137" si="7">E74*(I74-K74)</f>
        <v>7321867.0593599984</v>
      </c>
      <c r="O74" s="29">
        <f t="shared" si="0"/>
        <v>1931315.6148700002</v>
      </c>
      <c r="P74" s="29">
        <f t="shared" si="1"/>
        <v>13064700.008900004</v>
      </c>
      <c r="Q74" s="29">
        <f t="shared" ref="Q74:Q137" si="8">SUM(M74:P74)</f>
        <v>35285864.542350002</v>
      </c>
      <c r="R74" s="26"/>
      <c r="S74" s="26"/>
      <c r="T74" s="26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</row>
    <row r="75" spans="1:184" ht="17.25">
      <c r="A75" s="63" t="s">
        <v>119</v>
      </c>
      <c r="B75" s="63"/>
      <c r="C75" s="63"/>
      <c r="D75" s="22"/>
      <c r="E75" s="22"/>
      <c r="F75" s="20"/>
      <c r="G75" s="20"/>
      <c r="H75" s="27">
        <f t="shared" si="2"/>
        <v>0</v>
      </c>
      <c r="I75" s="20"/>
      <c r="J75" s="20"/>
      <c r="K75" s="20"/>
      <c r="L75" s="20"/>
      <c r="M75" s="28">
        <f t="shared" si="3"/>
        <v>0</v>
      </c>
      <c r="N75" s="29">
        <f t="shared" si="7"/>
        <v>0</v>
      </c>
      <c r="O75" s="29">
        <f t="shared" si="0"/>
        <v>0</v>
      </c>
      <c r="P75" s="29">
        <f t="shared" si="1"/>
        <v>0</v>
      </c>
      <c r="Q75" s="29">
        <f t="shared" si="8"/>
        <v>0</v>
      </c>
      <c r="R75" s="30"/>
      <c r="S75" s="30"/>
      <c r="T75" s="30"/>
    </row>
    <row r="76" spans="1:184" ht="16.5">
      <c r="A76" s="23" t="s">
        <v>37</v>
      </c>
      <c r="B76" s="24" t="s">
        <v>145</v>
      </c>
      <c r="C76" s="24"/>
      <c r="D76" s="25">
        <f>45644.028-5.324</f>
        <v>45638.703999999998</v>
      </c>
      <c r="E76" s="25">
        <f>74077.659-D76-5.324</f>
        <v>28433.631000000001</v>
      </c>
      <c r="F76" s="26">
        <v>19016.830000000002</v>
      </c>
      <c r="G76" s="26">
        <v>43818.87</v>
      </c>
      <c r="H76" s="27">
        <f t="shared" si="2"/>
        <v>136908.035</v>
      </c>
      <c r="I76" s="26">
        <v>1857.9</v>
      </c>
      <c r="J76" s="26">
        <v>1857.9</v>
      </c>
      <c r="K76" s="26">
        <v>1383.73</v>
      </c>
      <c r="L76" s="26">
        <v>1439.08</v>
      </c>
      <c r="M76" s="28">
        <f>45644.028*(I76-K76)-5.324*(1933.68-1383.73)</f>
        <v>21640100.82296</v>
      </c>
      <c r="N76" s="29">
        <f t="shared" si="7"/>
        <v>13482374.811270002</v>
      </c>
      <c r="O76" s="29">
        <f t="shared" si="0"/>
        <v>7964628.7406000039</v>
      </c>
      <c r="P76" s="29">
        <f t="shared" si="1"/>
        <v>18352219.133400008</v>
      </c>
      <c r="Q76" s="29">
        <f t="shared" si="8"/>
        <v>61439323.508230016</v>
      </c>
      <c r="R76" s="26"/>
      <c r="S76" s="26"/>
      <c r="T76" s="26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</row>
    <row r="77" spans="1:184" ht="17.25">
      <c r="A77" s="63" t="s">
        <v>146</v>
      </c>
      <c r="B77" s="63"/>
      <c r="C77" s="63"/>
      <c r="D77" s="22"/>
      <c r="E77" s="22"/>
      <c r="F77" s="20"/>
      <c r="G77" s="20"/>
      <c r="H77" s="27">
        <f t="shared" ref="H77:H143" si="9">SUM(D77:G77)</f>
        <v>0</v>
      </c>
      <c r="I77" s="20"/>
      <c r="J77" s="20"/>
      <c r="K77" s="20"/>
      <c r="L77" s="20"/>
      <c r="M77" s="28">
        <f t="shared" si="3"/>
        <v>0</v>
      </c>
      <c r="N77" s="29">
        <f t="shared" si="7"/>
        <v>0</v>
      </c>
      <c r="O77" s="29">
        <f t="shared" si="7"/>
        <v>0</v>
      </c>
      <c r="P77" s="29">
        <f t="shared" ref="P77:P143" si="10">G77*(J77-L77)</f>
        <v>0</v>
      </c>
      <c r="Q77" s="29">
        <f t="shared" si="8"/>
        <v>0</v>
      </c>
      <c r="R77" s="30"/>
      <c r="S77" s="30"/>
      <c r="T77" s="30"/>
    </row>
    <row r="78" spans="1:184" ht="16.5">
      <c r="A78" s="23" t="s">
        <v>21</v>
      </c>
      <c r="B78" s="24" t="s">
        <v>151</v>
      </c>
      <c r="C78" s="24"/>
      <c r="D78" s="25">
        <v>9675.4989999999998</v>
      </c>
      <c r="E78" s="25">
        <f>15607.146-D78</f>
        <v>5931.6470000000008</v>
      </c>
      <c r="F78" s="26">
        <v>2865.65</v>
      </c>
      <c r="G78" s="26">
        <v>8702.5</v>
      </c>
      <c r="H78" s="27">
        <f t="shared" si="9"/>
        <v>27175.296000000002</v>
      </c>
      <c r="I78" s="26">
        <v>3331.34</v>
      </c>
      <c r="J78" s="26">
        <v>3672.34</v>
      </c>
      <c r="K78" s="26">
        <v>1171.3499999999999</v>
      </c>
      <c r="L78" s="26">
        <v>1218.2</v>
      </c>
      <c r="M78" s="28">
        <f t="shared" ref="M78:M144" si="11">D78*(I78-K78)</f>
        <v>20898981.085010003</v>
      </c>
      <c r="N78" s="29">
        <f t="shared" si="7"/>
        <v>12812298.203530002</v>
      </c>
      <c r="O78" s="29">
        <f t="shared" si="7"/>
        <v>7032706.2910000011</v>
      </c>
      <c r="P78" s="29">
        <f t="shared" si="10"/>
        <v>21357153.350000001</v>
      </c>
      <c r="Q78" s="29">
        <f t="shared" si="8"/>
        <v>62101138.929540008</v>
      </c>
      <c r="R78" s="26"/>
      <c r="S78" s="26"/>
      <c r="T78" s="26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</row>
    <row r="79" spans="1:184" ht="16.5">
      <c r="A79" s="23" t="s">
        <v>17</v>
      </c>
      <c r="B79" s="24" t="s">
        <v>147</v>
      </c>
      <c r="C79" s="24" t="s">
        <v>148</v>
      </c>
      <c r="D79" s="25">
        <v>28459.891</v>
      </c>
      <c r="E79" s="25">
        <f>44982.626-D79</f>
        <v>16522.734999999997</v>
      </c>
      <c r="F79" s="26">
        <v>7456.04</v>
      </c>
      <c r="G79" s="26">
        <v>24457.75</v>
      </c>
      <c r="H79" s="27">
        <f t="shared" si="9"/>
        <v>76896.415999999997</v>
      </c>
      <c r="I79" s="26">
        <v>1439.39</v>
      </c>
      <c r="J79" s="26">
        <v>1528.83</v>
      </c>
      <c r="K79" s="26">
        <v>1171.3499999999999</v>
      </c>
      <c r="L79" s="26">
        <v>1218.2</v>
      </c>
      <c r="M79" s="28">
        <f t="shared" si="11"/>
        <v>7628389.1836400051</v>
      </c>
      <c r="N79" s="29">
        <f t="shared" si="7"/>
        <v>4428753.8894000025</v>
      </c>
      <c r="O79" s="29">
        <f t="shared" si="7"/>
        <v>2316069.7051999993</v>
      </c>
      <c r="P79" s="29">
        <f t="shared" si="10"/>
        <v>7597310.8824999975</v>
      </c>
      <c r="Q79" s="29">
        <f t="shared" si="8"/>
        <v>21970523.660740007</v>
      </c>
      <c r="R79" s="26"/>
      <c r="S79" s="26"/>
      <c r="T79" s="26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</row>
    <row r="80" spans="1:184" ht="16.5">
      <c r="A80" s="23" t="s">
        <v>310</v>
      </c>
      <c r="B80" s="24" t="s">
        <v>149</v>
      </c>
      <c r="C80" s="24" t="s">
        <v>150</v>
      </c>
      <c r="D80" s="25">
        <v>40.040999999999997</v>
      </c>
      <c r="E80" s="25">
        <f>58.546-D80</f>
        <v>18.505000000000003</v>
      </c>
      <c r="F80" s="26">
        <v>15.6</v>
      </c>
      <c r="G80" s="26">
        <v>59.38</v>
      </c>
      <c r="H80" s="27">
        <f t="shared" si="9"/>
        <v>133.52600000000001</v>
      </c>
      <c r="I80" s="47">
        <v>3119.03</v>
      </c>
      <c r="J80" s="47">
        <v>3119.03</v>
      </c>
      <c r="K80" s="47">
        <v>1211.97</v>
      </c>
      <c r="L80" s="47">
        <v>1260.45</v>
      </c>
      <c r="M80" s="28">
        <f t="shared" si="11"/>
        <v>76360.589460000003</v>
      </c>
      <c r="N80" s="29">
        <f t="shared" si="7"/>
        <v>35290.145300000011</v>
      </c>
      <c r="O80" s="29">
        <f t="shared" si="7"/>
        <v>28993.848000000002</v>
      </c>
      <c r="P80" s="29">
        <f t="shared" si="10"/>
        <v>110362.48040000001</v>
      </c>
      <c r="Q80" s="29">
        <f t="shared" si="8"/>
        <v>251007.06316000002</v>
      </c>
      <c r="R80" s="26"/>
      <c r="S80" s="26"/>
      <c r="T80" s="26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</row>
    <row r="81" spans="1:184" ht="16.5">
      <c r="A81" s="32" t="s">
        <v>22</v>
      </c>
      <c r="B81" s="32" t="s">
        <v>121</v>
      </c>
      <c r="C81" s="24" t="s">
        <v>345</v>
      </c>
      <c r="D81" s="25">
        <v>453.31</v>
      </c>
      <c r="E81" s="25">
        <f>743.647-D81</f>
        <v>290.33700000000005</v>
      </c>
      <c r="F81" s="26">
        <v>117.649</v>
      </c>
      <c r="G81" s="26">
        <v>365.31099999999998</v>
      </c>
      <c r="H81" s="27">
        <f>SUBTOTAL(9,D81:G81)</f>
        <v>1226.607</v>
      </c>
      <c r="I81" s="47">
        <v>2731.4</v>
      </c>
      <c r="J81" s="47">
        <v>3532.99</v>
      </c>
      <c r="K81" s="47">
        <v>1171.3499999999999</v>
      </c>
      <c r="L81" s="47">
        <v>1218.2</v>
      </c>
      <c r="M81" s="28">
        <f>(I81-K81)*D81</f>
        <v>707186.2655000001</v>
      </c>
      <c r="N81" s="29">
        <f t="shared" si="7"/>
        <v>452940.2368500001</v>
      </c>
      <c r="O81" s="29">
        <f>(J81-L81)*F81</f>
        <v>272332.72871</v>
      </c>
      <c r="P81" s="29">
        <f>(J81-L81)*G81</f>
        <v>845618.24968999997</v>
      </c>
      <c r="Q81" s="29">
        <f t="shared" si="8"/>
        <v>2278077.4807500001</v>
      </c>
      <c r="R81" s="26"/>
      <c r="S81" s="26"/>
      <c r="T81" s="26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</row>
    <row r="82" spans="1:184" ht="17.25">
      <c r="A82" s="63" t="s">
        <v>152</v>
      </c>
      <c r="B82" s="63"/>
      <c r="C82" s="63"/>
      <c r="D82" s="22"/>
      <c r="E82" s="22"/>
      <c r="F82" s="20"/>
      <c r="G82" s="20"/>
      <c r="H82" s="27">
        <f t="shared" si="9"/>
        <v>0</v>
      </c>
      <c r="I82" s="20"/>
      <c r="J82" s="20"/>
      <c r="K82" s="20"/>
      <c r="L82" s="20"/>
      <c r="M82" s="28">
        <f t="shared" si="11"/>
        <v>0</v>
      </c>
      <c r="N82" s="29">
        <f t="shared" si="7"/>
        <v>0</v>
      </c>
      <c r="O82" s="29">
        <f t="shared" si="7"/>
        <v>0</v>
      </c>
      <c r="P82" s="29">
        <f t="shared" si="10"/>
        <v>0</v>
      </c>
      <c r="Q82" s="29">
        <f t="shared" si="8"/>
        <v>0</v>
      </c>
      <c r="R82" s="30"/>
      <c r="S82" s="30"/>
      <c r="T82" s="30"/>
    </row>
    <row r="83" spans="1:184" ht="16.5">
      <c r="A83" s="23" t="s">
        <v>24</v>
      </c>
      <c r="B83" s="24" t="s">
        <v>153</v>
      </c>
      <c r="C83" s="24" t="s">
        <v>154</v>
      </c>
      <c r="D83" s="25">
        <v>3859.5</v>
      </c>
      <c r="E83" s="25">
        <f>6431.04-D83</f>
        <v>2571.54</v>
      </c>
      <c r="F83" s="26">
        <v>1292.92</v>
      </c>
      <c r="G83" s="26">
        <v>3878.76</v>
      </c>
      <c r="H83" s="27">
        <f t="shared" si="9"/>
        <v>11602.720000000001</v>
      </c>
      <c r="I83" s="26">
        <v>3692.7</v>
      </c>
      <c r="J83" s="26">
        <v>3916.52</v>
      </c>
      <c r="K83" s="26">
        <v>1223.31</v>
      </c>
      <c r="L83" s="26">
        <v>1272.25</v>
      </c>
      <c r="M83" s="28">
        <f t="shared" si="11"/>
        <v>9530610.7050000001</v>
      </c>
      <c r="N83" s="29">
        <f t="shared" si="7"/>
        <v>6350135.1605999991</v>
      </c>
      <c r="O83" s="29">
        <f t="shared" si="7"/>
        <v>3418829.5684000002</v>
      </c>
      <c r="P83" s="29">
        <f t="shared" si="10"/>
        <v>10256488.7052</v>
      </c>
      <c r="Q83" s="29">
        <f t="shared" si="8"/>
        <v>29556064.139200002</v>
      </c>
      <c r="R83" s="26"/>
      <c r="S83" s="26"/>
      <c r="T83" s="26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</row>
    <row r="84" spans="1:184" ht="16.5">
      <c r="A84" s="23" t="s">
        <v>309</v>
      </c>
      <c r="B84" s="24" t="s">
        <v>155</v>
      </c>
      <c r="C84" s="24" t="s">
        <v>156</v>
      </c>
      <c r="D84" s="25">
        <v>3385.6610000000001</v>
      </c>
      <c r="E84" s="25">
        <f>5340.214-D84</f>
        <v>1954.5529999999999</v>
      </c>
      <c r="F84" s="26">
        <v>725</v>
      </c>
      <c r="G84" s="26">
        <v>2017.34</v>
      </c>
      <c r="H84" s="27">
        <f t="shared" si="9"/>
        <v>8082.5540000000001</v>
      </c>
      <c r="I84" s="26">
        <v>4314.8500000000004</v>
      </c>
      <c r="J84" s="26">
        <v>4952.1099999999997</v>
      </c>
      <c r="K84" s="26">
        <v>1246.8499999999999</v>
      </c>
      <c r="L84" s="26">
        <v>1296.72</v>
      </c>
      <c r="M84" s="28">
        <f t="shared" si="11"/>
        <v>10387207.948000001</v>
      </c>
      <c r="N84" s="29">
        <f t="shared" si="7"/>
        <v>5996568.6040000003</v>
      </c>
      <c r="O84" s="29">
        <f t="shared" si="7"/>
        <v>2650157.7499999995</v>
      </c>
      <c r="P84" s="29">
        <f t="shared" si="10"/>
        <v>7374164.4625999983</v>
      </c>
      <c r="Q84" s="29">
        <f t="shared" si="8"/>
        <v>26408098.764600001</v>
      </c>
      <c r="R84" s="26"/>
      <c r="S84" s="26"/>
      <c r="T84" s="26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</row>
    <row r="85" spans="1:184" ht="16.5">
      <c r="A85" s="23" t="s">
        <v>309</v>
      </c>
      <c r="B85" s="24" t="s">
        <v>155</v>
      </c>
      <c r="C85" s="24" t="s">
        <v>157</v>
      </c>
      <c r="D85" s="25">
        <v>2338.509</v>
      </c>
      <c r="E85" s="25">
        <f>3694.219-D85</f>
        <v>1355.71</v>
      </c>
      <c r="F85" s="26">
        <v>510.31</v>
      </c>
      <c r="G85" s="26">
        <v>1706.61</v>
      </c>
      <c r="H85" s="27">
        <f t="shared" si="9"/>
        <v>5911.1390000000001</v>
      </c>
      <c r="I85" s="26">
        <v>4073.52</v>
      </c>
      <c r="J85" s="26">
        <v>4143.16</v>
      </c>
      <c r="K85" s="26">
        <v>1246.8499999999999</v>
      </c>
      <c r="L85" s="26">
        <v>1296.72</v>
      </c>
      <c r="M85" s="28">
        <f t="shared" si="11"/>
        <v>6610193.2350300001</v>
      </c>
      <c r="N85" s="29">
        <f t="shared" si="7"/>
        <v>3832144.7857000004</v>
      </c>
      <c r="O85" s="29">
        <f t="shared" si="7"/>
        <v>1452566.7963999999</v>
      </c>
      <c r="P85" s="29">
        <f t="shared" si="10"/>
        <v>4857762.9683999987</v>
      </c>
      <c r="Q85" s="29">
        <f t="shared" si="8"/>
        <v>16752667.785529997</v>
      </c>
      <c r="R85" s="26"/>
      <c r="S85" s="26"/>
      <c r="T85" s="26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</row>
    <row r="86" spans="1:184" ht="16.5">
      <c r="A86" s="23" t="s">
        <v>309</v>
      </c>
      <c r="B86" s="24" t="s">
        <v>155</v>
      </c>
      <c r="C86" s="24" t="s">
        <v>158</v>
      </c>
      <c r="D86" s="25">
        <v>4942.4949999999999</v>
      </c>
      <c r="E86" s="25">
        <f>8335.84-D86</f>
        <v>3393.3450000000003</v>
      </c>
      <c r="F86" s="26">
        <v>1619.17</v>
      </c>
      <c r="G86" s="26">
        <v>4755.97</v>
      </c>
      <c r="H86" s="27">
        <f t="shared" si="9"/>
        <v>14710.98</v>
      </c>
      <c r="I86" s="26">
        <v>3916.82</v>
      </c>
      <c r="J86" s="26">
        <v>4418.6400000000003</v>
      </c>
      <c r="K86" s="26">
        <v>1246.8499999999999</v>
      </c>
      <c r="L86" s="26">
        <v>1296.72</v>
      </c>
      <c r="M86" s="28">
        <f t="shared" si="11"/>
        <v>13196313.375150001</v>
      </c>
      <c r="N86" s="29">
        <f t="shared" si="7"/>
        <v>9060129.3496500012</v>
      </c>
      <c r="O86" s="29">
        <f t="shared" si="7"/>
        <v>5054919.2064000005</v>
      </c>
      <c r="P86" s="29">
        <f t="shared" si="10"/>
        <v>14847757.862400001</v>
      </c>
      <c r="Q86" s="29">
        <f t="shared" si="8"/>
        <v>42159119.7936</v>
      </c>
      <c r="R86" s="26"/>
      <c r="S86" s="26"/>
      <c r="T86" s="26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</row>
    <row r="87" spans="1:184" ht="16.5">
      <c r="A87" s="23" t="s">
        <v>309</v>
      </c>
      <c r="B87" s="24" t="s">
        <v>155</v>
      </c>
      <c r="C87" s="24" t="s">
        <v>159</v>
      </c>
      <c r="D87" s="25">
        <v>81.066000000000003</v>
      </c>
      <c r="E87" s="25">
        <f>135.11-D87</f>
        <v>54.044000000000011</v>
      </c>
      <c r="F87" s="26">
        <v>30.5</v>
      </c>
      <c r="G87" s="26">
        <v>93.53</v>
      </c>
      <c r="H87" s="27">
        <f t="shared" si="9"/>
        <v>259.14</v>
      </c>
      <c r="I87" s="26">
        <v>6383.09</v>
      </c>
      <c r="J87" s="26">
        <v>6715.23</v>
      </c>
      <c r="K87" s="26">
        <v>1232.73</v>
      </c>
      <c r="L87" s="26">
        <v>1282.04</v>
      </c>
      <c r="M87" s="28">
        <f t="shared" si="11"/>
        <v>417519.08376000007</v>
      </c>
      <c r="N87" s="29">
        <f t="shared" si="7"/>
        <v>278346.0558400001</v>
      </c>
      <c r="O87" s="29">
        <f t="shared" si="7"/>
        <v>165712.29499999998</v>
      </c>
      <c r="P87" s="29">
        <f t="shared" si="10"/>
        <v>508166.26069999998</v>
      </c>
      <c r="Q87" s="29">
        <f t="shared" si="8"/>
        <v>1369743.6953</v>
      </c>
      <c r="R87" s="26"/>
      <c r="S87" s="26"/>
      <c r="T87" s="26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</row>
    <row r="88" spans="1:184" ht="16.5">
      <c r="A88" s="23" t="s">
        <v>309</v>
      </c>
      <c r="B88" s="24" t="s">
        <v>155</v>
      </c>
      <c r="C88" s="24" t="s">
        <v>160</v>
      </c>
      <c r="D88" s="25">
        <v>190.292</v>
      </c>
      <c r="E88" s="25">
        <f>317.154-D88</f>
        <v>126.86199999999999</v>
      </c>
      <c r="F88" s="26">
        <v>63.62</v>
      </c>
      <c r="G88" s="26">
        <v>195.12</v>
      </c>
      <c r="H88" s="27">
        <f t="shared" si="9"/>
        <v>575.89400000000001</v>
      </c>
      <c r="I88" s="26">
        <v>6383.09</v>
      </c>
      <c r="J88" s="26">
        <v>6715.23</v>
      </c>
      <c r="K88" s="26">
        <v>1232.73</v>
      </c>
      <c r="L88" s="26">
        <v>1282.04</v>
      </c>
      <c r="M88" s="28">
        <f t="shared" si="11"/>
        <v>980072.30512000015</v>
      </c>
      <c r="N88" s="29">
        <f t="shared" si="7"/>
        <v>653384.97032000008</v>
      </c>
      <c r="O88" s="29">
        <f t="shared" si="7"/>
        <v>345659.54779999994</v>
      </c>
      <c r="P88" s="29">
        <f t="shared" si="10"/>
        <v>1060124.0327999999</v>
      </c>
      <c r="Q88" s="29">
        <f t="shared" si="8"/>
        <v>3039240.85604</v>
      </c>
      <c r="R88" s="26"/>
      <c r="S88" s="26"/>
      <c r="T88" s="26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</row>
    <row r="89" spans="1:184" ht="16.5">
      <c r="A89" s="23" t="s">
        <v>309</v>
      </c>
      <c r="B89" s="24" t="s">
        <v>155</v>
      </c>
      <c r="C89" s="24" t="s">
        <v>161</v>
      </c>
      <c r="D89" s="25">
        <v>120.282</v>
      </c>
      <c r="E89" s="25">
        <f>200.47-D89</f>
        <v>80.188000000000002</v>
      </c>
      <c r="F89" s="26">
        <v>39.93</v>
      </c>
      <c r="G89" s="26">
        <v>122.48</v>
      </c>
      <c r="H89" s="27">
        <f t="shared" si="9"/>
        <v>362.88</v>
      </c>
      <c r="I89" s="26">
        <v>6383.09</v>
      </c>
      <c r="J89" s="26">
        <v>6715.23</v>
      </c>
      <c r="K89" s="26">
        <v>1232.73</v>
      </c>
      <c r="L89" s="26">
        <v>1282.04</v>
      </c>
      <c r="M89" s="28">
        <f t="shared" si="11"/>
        <v>619495.60152000003</v>
      </c>
      <c r="N89" s="29">
        <f t="shared" si="7"/>
        <v>412997.06768000004</v>
      </c>
      <c r="O89" s="29">
        <f t="shared" si="7"/>
        <v>216947.27669999999</v>
      </c>
      <c r="P89" s="29">
        <f t="shared" si="10"/>
        <v>665457.11119999993</v>
      </c>
      <c r="Q89" s="29">
        <f t="shared" si="8"/>
        <v>1914897.0571000001</v>
      </c>
      <c r="R89" s="26"/>
      <c r="S89" s="26"/>
      <c r="T89" s="26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</row>
    <row r="90" spans="1:184" ht="16.5">
      <c r="A90" s="23" t="s">
        <v>46</v>
      </c>
      <c r="B90" s="24" t="s">
        <v>45</v>
      </c>
      <c r="C90" s="24" t="s">
        <v>162</v>
      </c>
      <c r="D90" s="25">
        <v>503.3</v>
      </c>
      <c r="E90" s="25">
        <f>803.36-D90</f>
        <v>300.06</v>
      </c>
      <c r="F90" s="26">
        <v>141.22</v>
      </c>
      <c r="G90" s="26">
        <v>423.67</v>
      </c>
      <c r="H90" s="27">
        <f>SUM(D90:G90)</f>
        <v>1368.25</v>
      </c>
      <c r="I90" s="26">
        <v>5522.38</v>
      </c>
      <c r="J90" s="26">
        <v>6139.57</v>
      </c>
      <c r="K90" s="26">
        <v>1443.51</v>
      </c>
      <c r="L90" s="26">
        <v>1501.25</v>
      </c>
      <c r="M90" s="28">
        <f t="shared" si="11"/>
        <v>2052895.2709999999</v>
      </c>
      <c r="N90" s="29">
        <f t="shared" si="7"/>
        <v>1223905.7322</v>
      </c>
      <c r="O90" s="29">
        <f t="shared" si="7"/>
        <v>655023.55039999995</v>
      </c>
      <c r="P90" s="29">
        <f t="shared" si="10"/>
        <v>1965117.0344</v>
      </c>
      <c r="Q90" s="29">
        <f t="shared" si="8"/>
        <v>5896941.5880000005</v>
      </c>
      <c r="R90" s="26"/>
      <c r="S90" s="26"/>
      <c r="T90" s="26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</row>
    <row r="91" spans="1:184" s="13" customFormat="1" ht="16.5">
      <c r="A91" s="48" t="s">
        <v>20</v>
      </c>
      <c r="B91" s="48" t="s">
        <v>163</v>
      </c>
      <c r="C91" s="48" t="s">
        <v>162</v>
      </c>
      <c r="D91" s="49"/>
      <c r="E91" s="37">
        <v>6.016</v>
      </c>
      <c r="F91" s="38">
        <v>1.5740000000000001</v>
      </c>
      <c r="G91" s="38">
        <v>4.5060000000000002</v>
      </c>
      <c r="H91" s="27">
        <f>SUM(D91:G91)</f>
        <v>12.096</v>
      </c>
      <c r="I91" s="38">
        <v>2677.25</v>
      </c>
      <c r="J91" s="38">
        <v>3268.1</v>
      </c>
      <c r="K91" s="38">
        <v>1223.31</v>
      </c>
      <c r="L91" s="38">
        <v>1272.25</v>
      </c>
      <c r="M91" s="39">
        <f>D91*(I91-K91)</f>
        <v>0</v>
      </c>
      <c r="N91" s="29">
        <f t="shared" si="7"/>
        <v>8746.9030400000011</v>
      </c>
      <c r="O91" s="39">
        <f>F91*(J91-L91)</f>
        <v>3141.4679000000001</v>
      </c>
      <c r="P91" s="39">
        <f>G91*(J91-L91)</f>
        <v>8993.3001000000004</v>
      </c>
      <c r="Q91" s="29">
        <f t="shared" si="8"/>
        <v>20881.671040000001</v>
      </c>
      <c r="R91" s="29"/>
      <c r="S91" s="29"/>
      <c r="T91" s="29"/>
    </row>
    <row r="92" spans="1:184" ht="17.25">
      <c r="A92" s="63" t="s">
        <v>164</v>
      </c>
      <c r="B92" s="63"/>
      <c r="C92" s="63"/>
      <c r="D92" s="22"/>
      <c r="E92" s="22"/>
      <c r="F92" s="20"/>
      <c r="G92" s="20"/>
      <c r="H92" s="27"/>
      <c r="I92" s="20"/>
      <c r="J92" s="20"/>
      <c r="K92" s="20"/>
      <c r="L92" s="20"/>
      <c r="M92" s="28">
        <f t="shared" si="11"/>
        <v>0</v>
      </c>
      <c r="N92" s="29">
        <f t="shared" si="7"/>
        <v>0</v>
      </c>
      <c r="O92" s="29">
        <f t="shared" si="7"/>
        <v>0</v>
      </c>
      <c r="P92" s="29">
        <f t="shared" si="10"/>
        <v>0</v>
      </c>
      <c r="Q92" s="29">
        <f t="shared" si="8"/>
        <v>0</v>
      </c>
      <c r="R92" s="30"/>
      <c r="S92" s="30"/>
      <c r="T92" s="30"/>
    </row>
    <row r="93" spans="1:184" ht="17.25">
      <c r="A93" s="32" t="s">
        <v>22</v>
      </c>
      <c r="B93" s="32" t="s">
        <v>121</v>
      </c>
      <c r="C93" s="33" t="s">
        <v>347</v>
      </c>
      <c r="D93" s="34">
        <v>1079.895</v>
      </c>
      <c r="E93" s="34">
        <f>1762.155-D93</f>
        <v>682.26</v>
      </c>
      <c r="F93" s="35">
        <v>393.26299999999998</v>
      </c>
      <c r="G93" s="35">
        <v>895.01700000000005</v>
      </c>
      <c r="H93" s="27">
        <f>SUBTOTAL(9,D93:G93)</f>
        <v>3050.4350000000004</v>
      </c>
      <c r="I93" s="35">
        <v>2704.59</v>
      </c>
      <c r="J93" s="35">
        <v>2878.09</v>
      </c>
      <c r="K93" s="35">
        <v>1741.08</v>
      </c>
      <c r="L93" s="35">
        <v>1810.71</v>
      </c>
      <c r="M93" s="28">
        <f>(I93-K93)*D93</f>
        <v>1040489.6314500002</v>
      </c>
      <c r="N93" s="29">
        <f t="shared" si="7"/>
        <v>657364.3326000002</v>
      </c>
      <c r="O93" s="29">
        <f>(J93-L93)*F93</f>
        <v>419761.06094</v>
      </c>
      <c r="P93" s="29">
        <f>(J93-L93)*G93</f>
        <v>955323.24546000012</v>
      </c>
      <c r="Q93" s="29">
        <f t="shared" si="8"/>
        <v>3072938.2704500007</v>
      </c>
      <c r="R93" s="30"/>
      <c r="S93" s="30"/>
      <c r="T93" s="30"/>
    </row>
    <row r="94" spans="1:184" ht="33">
      <c r="A94" s="23" t="s">
        <v>307</v>
      </c>
      <c r="B94" s="24" t="s">
        <v>175</v>
      </c>
      <c r="C94" s="24" t="s">
        <v>171</v>
      </c>
      <c r="D94" s="25">
        <v>111.849</v>
      </c>
      <c r="E94" s="25">
        <f>161.869-D94</f>
        <v>50.019999999999996</v>
      </c>
      <c r="F94" s="26">
        <v>32.024999999999999</v>
      </c>
      <c r="G94" s="26">
        <v>96.075000000000003</v>
      </c>
      <c r="H94" s="27">
        <f t="shared" si="9"/>
        <v>289.96899999999999</v>
      </c>
      <c r="I94" s="26">
        <v>4642.99</v>
      </c>
      <c r="J94" s="26">
        <v>5004.58</v>
      </c>
      <c r="K94" s="26">
        <v>2093.98</v>
      </c>
      <c r="L94" s="26">
        <v>2177.7399999999998</v>
      </c>
      <c r="M94" s="28">
        <f t="shared" si="11"/>
        <v>285104.21948999999</v>
      </c>
      <c r="N94" s="29">
        <f t="shared" si="7"/>
        <v>127501.48019999998</v>
      </c>
      <c r="O94" s="29">
        <f t="shared" si="7"/>
        <v>90529.551000000007</v>
      </c>
      <c r="P94" s="29">
        <f t="shared" si="10"/>
        <v>271588.65300000005</v>
      </c>
      <c r="Q94" s="29">
        <f t="shared" si="8"/>
        <v>774723.90369000006</v>
      </c>
      <c r="R94" s="26"/>
      <c r="S94" s="26"/>
      <c r="T94" s="26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</row>
    <row r="95" spans="1:184" ht="16.5">
      <c r="A95" s="23" t="s">
        <v>19</v>
      </c>
      <c r="B95" s="24" t="s">
        <v>173</v>
      </c>
      <c r="C95" s="24" t="s">
        <v>171</v>
      </c>
      <c r="D95" s="25">
        <v>82.683999999999997</v>
      </c>
      <c r="E95" s="25">
        <f>130.448-D95</f>
        <v>47.76400000000001</v>
      </c>
      <c r="F95" s="26">
        <v>17.29</v>
      </c>
      <c r="G95" s="26">
        <v>79.819999999999993</v>
      </c>
      <c r="H95" s="27">
        <f t="shared" si="9"/>
        <v>227.55799999999999</v>
      </c>
      <c r="I95" s="26">
        <v>3140.72</v>
      </c>
      <c r="J95" s="26">
        <v>3665.76</v>
      </c>
      <c r="K95" s="26">
        <v>2093.98</v>
      </c>
      <c r="L95" s="26">
        <v>2177.73</v>
      </c>
      <c r="M95" s="28">
        <f t="shared" si="11"/>
        <v>86548.650159999976</v>
      </c>
      <c r="N95" s="29">
        <f t="shared" si="7"/>
        <v>49996.48936</v>
      </c>
      <c r="O95" s="29">
        <f t="shared" si="7"/>
        <v>25728.038700000001</v>
      </c>
      <c r="P95" s="29">
        <f t="shared" si="10"/>
        <v>118774.5546</v>
      </c>
      <c r="Q95" s="29">
        <f t="shared" si="8"/>
        <v>281047.73281999998</v>
      </c>
      <c r="R95" s="26"/>
      <c r="S95" s="26"/>
      <c r="T95" s="26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</row>
    <row r="96" spans="1:184" ht="16.5">
      <c r="A96" s="23" t="s">
        <v>2</v>
      </c>
      <c r="B96" s="24" t="s">
        <v>75</v>
      </c>
      <c r="C96" s="24" t="s">
        <v>174</v>
      </c>
      <c r="D96" s="25">
        <v>13388.671</v>
      </c>
      <c r="E96" s="25">
        <f>19141.385-D96</f>
        <v>5752.7139999999981</v>
      </c>
      <c r="F96" s="26">
        <v>1886.11</v>
      </c>
      <c r="G96" s="26">
        <v>9161.1299999999992</v>
      </c>
      <c r="H96" s="27">
        <f t="shared" si="9"/>
        <v>30188.625</v>
      </c>
      <c r="I96" s="26">
        <v>4924.18</v>
      </c>
      <c r="J96" s="26">
        <v>5210.9799999999996</v>
      </c>
      <c r="K96" s="26">
        <v>1774.56</v>
      </c>
      <c r="L96" s="26">
        <v>1845.54</v>
      </c>
      <c r="M96" s="28">
        <f t="shared" si="11"/>
        <v>42169225.955020003</v>
      </c>
      <c r="N96" s="29">
        <f t="shared" si="7"/>
        <v>18118863.068679996</v>
      </c>
      <c r="O96" s="29">
        <f t="shared" si="7"/>
        <v>6347590.038399999</v>
      </c>
      <c r="P96" s="29">
        <f t="shared" si="10"/>
        <v>30831233.347199995</v>
      </c>
      <c r="Q96" s="29">
        <f t="shared" si="8"/>
        <v>97466912.409299999</v>
      </c>
      <c r="R96" s="26"/>
      <c r="S96" s="26"/>
      <c r="T96" s="26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</row>
    <row r="97" spans="1:184" ht="16.5">
      <c r="A97" s="23" t="s">
        <v>308</v>
      </c>
      <c r="B97" s="24" t="s">
        <v>170</v>
      </c>
      <c r="C97" s="24" t="s">
        <v>171</v>
      </c>
      <c r="D97" s="25">
        <v>13362.852999999999</v>
      </c>
      <c r="E97" s="25">
        <f>20285.5-D97</f>
        <v>6922.6470000000008</v>
      </c>
      <c r="F97" s="26">
        <v>4225.3999999999996</v>
      </c>
      <c r="G97" s="26">
        <v>10488.2</v>
      </c>
      <c r="H97" s="27">
        <f t="shared" si="9"/>
        <v>34999.100000000006</v>
      </c>
      <c r="I97" s="26">
        <v>2321.09</v>
      </c>
      <c r="J97" s="26">
        <v>2592.0100000000002</v>
      </c>
      <c r="K97" s="26">
        <v>1774.56</v>
      </c>
      <c r="L97" s="26">
        <v>1845.54</v>
      </c>
      <c r="M97" s="28">
        <f t="shared" si="11"/>
        <v>7303200.0500900019</v>
      </c>
      <c r="N97" s="29">
        <f t="shared" si="7"/>
        <v>3783434.2649100018</v>
      </c>
      <c r="O97" s="29">
        <f t="shared" si="7"/>
        <v>3154134.3380000009</v>
      </c>
      <c r="P97" s="29">
        <f t="shared" si="10"/>
        <v>7829126.6540000029</v>
      </c>
      <c r="Q97" s="29">
        <f t="shared" si="8"/>
        <v>22069895.307000007</v>
      </c>
      <c r="R97" s="26"/>
      <c r="S97" s="26"/>
      <c r="T97" s="26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</row>
    <row r="98" spans="1:184" ht="16.5">
      <c r="A98" s="23" t="s">
        <v>308</v>
      </c>
      <c r="B98" s="24" t="s">
        <v>170</v>
      </c>
      <c r="C98" s="24" t="s">
        <v>166</v>
      </c>
      <c r="D98" s="25">
        <v>12908.493</v>
      </c>
      <c r="E98" s="25">
        <f>19345.226-D98</f>
        <v>6436.7329999999984</v>
      </c>
      <c r="F98" s="26">
        <v>1942.64</v>
      </c>
      <c r="G98" s="26">
        <v>9942.44</v>
      </c>
      <c r="H98" s="27">
        <f t="shared" si="9"/>
        <v>31230.305999999997</v>
      </c>
      <c r="I98" s="26">
        <v>2557.9699999999998</v>
      </c>
      <c r="J98" s="26">
        <v>2557.9699999999998</v>
      </c>
      <c r="K98" s="26">
        <v>1774.56</v>
      </c>
      <c r="L98" s="26">
        <v>1845.54</v>
      </c>
      <c r="M98" s="28">
        <f t="shared" si="11"/>
        <v>10112642.501129998</v>
      </c>
      <c r="N98" s="29">
        <f t="shared" si="7"/>
        <v>5042600.9995299978</v>
      </c>
      <c r="O98" s="29">
        <f t="shared" si="7"/>
        <v>1383995.0151999998</v>
      </c>
      <c r="P98" s="29">
        <f t="shared" si="10"/>
        <v>7083292.5291999988</v>
      </c>
      <c r="Q98" s="29">
        <f t="shared" si="8"/>
        <v>23622531.045059994</v>
      </c>
      <c r="R98" s="26"/>
      <c r="S98" s="26"/>
      <c r="T98" s="26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</row>
    <row r="99" spans="1:184" ht="16.5">
      <c r="A99" s="23" t="s">
        <v>308</v>
      </c>
      <c r="B99" s="24" t="s">
        <v>170</v>
      </c>
      <c r="C99" s="24" t="s">
        <v>172</v>
      </c>
      <c r="D99" s="25">
        <v>503.46600000000001</v>
      </c>
      <c r="E99" s="25">
        <f>839.11-D99</f>
        <v>335.64400000000001</v>
      </c>
      <c r="F99" s="26">
        <v>199.98</v>
      </c>
      <c r="G99" s="26">
        <v>503.4</v>
      </c>
      <c r="H99" s="27">
        <f t="shared" si="9"/>
        <v>1542.4899999999998</v>
      </c>
      <c r="I99" s="26">
        <v>3231.18</v>
      </c>
      <c r="J99" s="26">
        <v>3231.18</v>
      </c>
      <c r="K99" s="26">
        <v>1774.56</v>
      </c>
      <c r="L99" s="26">
        <v>1845.54</v>
      </c>
      <c r="M99" s="28">
        <f t="shared" si="11"/>
        <v>733358.64491999999</v>
      </c>
      <c r="N99" s="29">
        <f t="shared" si="7"/>
        <v>488905.76327999996</v>
      </c>
      <c r="O99" s="29">
        <f t="shared" si="7"/>
        <v>277100.28719999996</v>
      </c>
      <c r="P99" s="29">
        <f t="shared" si="10"/>
        <v>697531.17599999986</v>
      </c>
      <c r="Q99" s="29">
        <f t="shared" si="8"/>
        <v>2196895.8713999996</v>
      </c>
      <c r="R99" s="26"/>
      <c r="S99" s="26"/>
      <c r="T99" s="26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</row>
    <row r="100" spans="1:184" ht="16.5">
      <c r="A100" s="23" t="s">
        <v>32</v>
      </c>
      <c r="B100" s="24" t="s">
        <v>165</v>
      </c>
      <c r="C100" s="24" t="s">
        <v>166</v>
      </c>
      <c r="D100" s="25">
        <v>429.38400000000001</v>
      </c>
      <c r="E100" s="25">
        <f>636.822-D100</f>
        <v>207.43799999999999</v>
      </c>
      <c r="F100" s="26">
        <v>75.91</v>
      </c>
      <c r="G100" s="26">
        <v>489.63</v>
      </c>
      <c r="H100" s="27">
        <f t="shared" si="9"/>
        <v>1202.3620000000001</v>
      </c>
      <c r="I100" s="26">
        <v>3728.66</v>
      </c>
      <c r="J100" s="26">
        <v>4094.64</v>
      </c>
      <c r="K100" s="26">
        <v>1774.56</v>
      </c>
      <c r="L100" s="26">
        <v>1845.54</v>
      </c>
      <c r="M100" s="28">
        <f t="shared" si="11"/>
        <v>839059.27439999999</v>
      </c>
      <c r="N100" s="29">
        <f t="shared" si="7"/>
        <v>405354.59579999995</v>
      </c>
      <c r="O100" s="29">
        <f t="shared" si="7"/>
        <v>170729.18099999998</v>
      </c>
      <c r="P100" s="29">
        <f t="shared" si="10"/>
        <v>1101226.8329999999</v>
      </c>
      <c r="Q100" s="29">
        <f t="shared" si="8"/>
        <v>2516369.8842000002</v>
      </c>
      <c r="R100" s="26"/>
      <c r="S100" s="26"/>
      <c r="T100" s="26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</row>
    <row r="101" spans="1:184" ht="16.5">
      <c r="A101" s="23" t="s">
        <v>32</v>
      </c>
      <c r="B101" s="24" t="s">
        <v>165</v>
      </c>
      <c r="C101" s="24" t="s">
        <v>167</v>
      </c>
      <c r="D101" s="25">
        <v>849.53200000000004</v>
      </c>
      <c r="E101" s="25">
        <f>1261.895-D101</f>
        <v>412.36299999999994</v>
      </c>
      <c r="F101" s="26">
        <v>104.67</v>
      </c>
      <c r="G101" s="26">
        <v>708.18</v>
      </c>
      <c r="H101" s="27">
        <f t="shared" si="9"/>
        <v>2074.7449999999999</v>
      </c>
      <c r="I101" s="26">
        <v>3728.66</v>
      </c>
      <c r="J101" s="26">
        <v>4094.64</v>
      </c>
      <c r="K101" s="26">
        <v>1774.56</v>
      </c>
      <c r="L101" s="26">
        <v>1845.54</v>
      </c>
      <c r="M101" s="28">
        <f t="shared" si="11"/>
        <v>1660070.4812</v>
      </c>
      <c r="N101" s="29">
        <f t="shared" si="7"/>
        <v>805798.5382999999</v>
      </c>
      <c r="O101" s="29">
        <f t="shared" si="7"/>
        <v>235413.29699999999</v>
      </c>
      <c r="P101" s="29">
        <f t="shared" si="10"/>
        <v>1592767.6379999998</v>
      </c>
      <c r="Q101" s="29">
        <f t="shared" si="8"/>
        <v>4294049.9544999991</v>
      </c>
      <c r="R101" s="26"/>
      <c r="S101" s="26"/>
      <c r="T101" s="26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</row>
    <row r="102" spans="1:184" ht="16.5">
      <c r="A102" s="23" t="s">
        <v>32</v>
      </c>
      <c r="B102" s="24" t="s">
        <v>165</v>
      </c>
      <c r="C102" s="24" t="s">
        <v>168</v>
      </c>
      <c r="D102" s="25">
        <v>61.305</v>
      </c>
      <c r="E102" s="25">
        <f>90.968-D102</f>
        <v>29.663000000000004</v>
      </c>
      <c r="F102" s="26">
        <v>16.239999999999998</v>
      </c>
      <c r="G102" s="26">
        <v>48.4</v>
      </c>
      <c r="H102" s="27">
        <f t="shared" si="9"/>
        <v>155.608</v>
      </c>
      <c r="I102" s="26">
        <v>3728.66</v>
      </c>
      <c r="J102" s="26">
        <v>4094.64</v>
      </c>
      <c r="K102" s="26">
        <v>1774.56</v>
      </c>
      <c r="L102" s="26">
        <v>1845.54</v>
      </c>
      <c r="M102" s="28">
        <f t="shared" si="11"/>
        <v>119796.1005</v>
      </c>
      <c r="N102" s="29">
        <f t="shared" si="7"/>
        <v>57964.468300000008</v>
      </c>
      <c r="O102" s="29">
        <f t="shared" si="7"/>
        <v>36525.383999999998</v>
      </c>
      <c r="P102" s="29">
        <f t="shared" si="10"/>
        <v>108856.43999999999</v>
      </c>
      <c r="Q102" s="29">
        <f t="shared" si="8"/>
        <v>323142.39279999997</v>
      </c>
      <c r="R102" s="26"/>
      <c r="S102" s="26"/>
      <c r="T102" s="26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</row>
    <row r="103" spans="1:184" ht="16.5">
      <c r="A103" s="23" t="s">
        <v>32</v>
      </c>
      <c r="B103" s="24" t="s">
        <v>165</v>
      </c>
      <c r="C103" s="24" t="s">
        <v>169</v>
      </c>
      <c r="D103" s="25">
        <v>2697.8649999999998</v>
      </c>
      <c r="E103" s="25">
        <f>3912.216-D103</f>
        <v>1214.3510000000001</v>
      </c>
      <c r="F103" s="26">
        <v>525.09</v>
      </c>
      <c r="G103" s="26">
        <v>2916.93</v>
      </c>
      <c r="H103" s="27">
        <f t="shared" si="9"/>
        <v>7354.235999999999</v>
      </c>
      <c r="I103" s="26">
        <v>3620.58</v>
      </c>
      <c r="J103" s="26">
        <v>3750.3</v>
      </c>
      <c r="K103" s="26">
        <v>1774.56</v>
      </c>
      <c r="L103" s="26">
        <v>1845.54</v>
      </c>
      <c r="M103" s="28">
        <f t="shared" si="11"/>
        <v>4980312.7472999999</v>
      </c>
      <c r="N103" s="29">
        <f t="shared" si="7"/>
        <v>2241716.2330200002</v>
      </c>
      <c r="O103" s="29">
        <f t="shared" si="7"/>
        <v>1000170.4284000002</v>
      </c>
      <c r="P103" s="29">
        <f t="shared" si="10"/>
        <v>5556051.5868000006</v>
      </c>
      <c r="Q103" s="29">
        <f t="shared" si="8"/>
        <v>13778250.995520001</v>
      </c>
      <c r="R103" s="26"/>
      <c r="S103" s="26"/>
      <c r="T103" s="26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</row>
    <row r="104" spans="1:184" ht="16.5">
      <c r="A104" s="23" t="s">
        <v>32</v>
      </c>
      <c r="B104" s="24" t="s">
        <v>165</v>
      </c>
      <c r="C104" s="24" t="s">
        <v>332</v>
      </c>
      <c r="D104" s="25">
        <v>8.7780000000000005</v>
      </c>
      <c r="E104" s="25">
        <f>13.025-D104</f>
        <v>4.2469999999999999</v>
      </c>
      <c r="F104" s="26">
        <v>0.99</v>
      </c>
      <c r="G104" s="26">
        <v>8.7799999999999994</v>
      </c>
      <c r="H104" s="27">
        <f t="shared" si="9"/>
        <v>22.795000000000002</v>
      </c>
      <c r="I104" s="26">
        <v>5967.73</v>
      </c>
      <c r="J104" s="26">
        <v>6019.64</v>
      </c>
      <c r="K104" s="26">
        <v>1774.56</v>
      </c>
      <c r="L104" s="26">
        <v>1845.54</v>
      </c>
      <c r="M104" s="28">
        <f t="shared" si="11"/>
        <v>36807.646260000001</v>
      </c>
      <c r="N104" s="29">
        <f t="shared" si="7"/>
        <v>17808.39299</v>
      </c>
      <c r="O104" s="29">
        <f t="shared" si="7"/>
        <v>4132.3590000000004</v>
      </c>
      <c r="P104" s="29">
        <f t="shared" si="10"/>
        <v>36648.597999999998</v>
      </c>
      <c r="Q104" s="29">
        <f t="shared" si="8"/>
        <v>95396.996249999997</v>
      </c>
      <c r="R104" s="26"/>
      <c r="S104" s="26"/>
      <c r="T104" s="26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</row>
    <row r="105" spans="1:184" ht="16.5">
      <c r="A105" s="23" t="s">
        <v>32</v>
      </c>
      <c r="B105" s="24" t="s">
        <v>165</v>
      </c>
      <c r="C105" s="24" t="s">
        <v>172</v>
      </c>
      <c r="D105" s="25">
        <v>143.04300000000001</v>
      </c>
      <c r="E105" s="25">
        <f>212.257-D105</f>
        <v>69.213999999999999</v>
      </c>
      <c r="F105" s="26">
        <v>23.03</v>
      </c>
      <c r="G105" s="26">
        <v>139.36000000000001</v>
      </c>
      <c r="H105" s="27">
        <f t="shared" si="9"/>
        <v>374.64700000000005</v>
      </c>
      <c r="I105" s="26">
        <v>5967.73</v>
      </c>
      <c r="J105" s="26">
        <v>6019.64</v>
      </c>
      <c r="K105" s="26">
        <v>1774.56</v>
      </c>
      <c r="L105" s="26">
        <v>1845.54</v>
      </c>
      <c r="M105" s="28">
        <f t="shared" si="11"/>
        <v>599803.61631000007</v>
      </c>
      <c r="N105" s="29">
        <f t="shared" si="7"/>
        <v>290226.06838000001</v>
      </c>
      <c r="O105" s="29">
        <f t="shared" si="7"/>
        <v>96129.523000000016</v>
      </c>
      <c r="P105" s="29">
        <f t="shared" si="10"/>
        <v>581702.57600000012</v>
      </c>
      <c r="Q105" s="29">
        <f t="shared" si="8"/>
        <v>1567861.7836900002</v>
      </c>
      <c r="R105" s="26"/>
      <c r="S105" s="26"/>
      <c r="T105" s="26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</row>
    <row r="106" spans="1:184" ht="17.25">
      <c r="A106" s="63" t="s">
        <v>176</v>
      </c>
      <c r="B106" s="63"/>
      <c r="C106" s="63"/>
      <c r="D106" s="22"/>
      <c r="E106" s="22"/>
      <c r="F106" s="20"/>
      <c r="G106" s="20"/>
      <c r="H106" s="27">
        <f t="shared" si="9"/>
        <v>0</v>
      </c>
      <c r="I106" s="20"/>
      <c r="J106" s="20"/>
      <c r="K106" s="20"/>
      <c r="L106" s="20"/>
      <c r="M106" s="28">
        <f t="shared" si="11"/>
        <v>0</v>
      </c>
      <c r="N106" s="29">
        <f t="shared" si="7"/>
        <v>0</v>
      </c>
      <c r="O106" s="29">
        <f t="shared" si="7"/>
        <v>0</v>
      </c>
      <c r="P106" s="29">
        <f t="shared" si="10"/>
        <v>0</v>
      </c>
      <c r="Q106" s="29">
        <f t="shared" si="8"/>
        <v>0</v>
      </c>
      <c r="R106" s="30"/>
      <c r="S106" s="30"/>
      <c r="T106" s="30"/>
    </row>
    <row r="107" spans="1:184" ht="16.5">
      <c r="A107" s="23" t="s">
        <v>23</v>
      </c>
      <c r="B107" s="24" t="s">
        <v>186</v>
      </c>
      <c r="C107" s="24" t="s">
        <v>187</v>
      </c>
      <c r="D107" s="25">
        <v>2389.4360000000001</v>
      </c>
      <c r="E107" s="25">
        <f>3528.984-D107</f>
        <v>1139.5479999999998</v>
      </c>
      <c r="F107" s="26">
        <v>306</v>
      </c>
      <c r="G107" s="26">
        <v>2000</v>
      </c>
      <c r="H107" s="27">
        <f t="shared" si="9"/>
        <v>5834.9840000000004</v>
      </c>
      <c r="I107" s="26">
        <v>3596.19</v>
      </c>
      <c r="J107" s="26">
        <v>3699.28</v>
      </c>
      <c r="K107" s="26">
        <v>1980.5</v>
      </c>
      <c r="L107" s="26">
        <v>2059.7199999999998</v>
      </c>
      <c r="M107" s="28">
        <f t="shared" si="11"/>
        <v>3860587.8508400004</v>
      </c>
      <c r="N107" s="29">
        <f t="shared" si="7"/>
        <v>1841156.3081199997</v>
      </c>
      <c r="O107" s="29">
        <f t="shared" si="7"/>
        <v>501705.3600000001</v>
      </c>
      <c r="P107" s="29">
        <f t="shared" si="10"/>
        <v>3279120.0000000009</v>
      </c>
      <c r="Q107" s="29">
        <f t="shared" si="8"/>
        <v>9482569.5189600009</v>
      </c>
      <c r="R107" s="26"/>
      <c r="S107" s="26"/>
      <c r="T107" s="26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</row>
    <row r="108" spans="1:184" ht="16.5">
      <c r="A108" s="23" t="s">
        <v>26</v>
      </c>
      <c r="B108" s="24" t="s">
        <v>184</v>
      </c>
      <c r="C108" s="24" t="s">
        <v>179</v>
      </c>
      <c r="D108" s="25">
        <v>409.23899999999998</v>
      </c>
      <c r="E108" s="25">
        <f>682.065-D108</f>
        <v>272.82600000000008</v>
      </c>
      <c r="F108" s="26">
        <v>122.4</v>
      </c>
      <c r="G108" s="26">
        <v>367.2</v>
      </c>
      <c r="H108" s="27">
        <f t="shared" si="9"/>
        <v>1171.665</v>
      </c>
      <c r="I108" s="26">
        <v>5640.27</v>
      </c>
      <c r="J108" s="26">
        <v>5640.27</v>
      </c>
      <c r="K108" s="26">
        <v>1980.5</v>
      </c>
      <c r="L108" s="26">
        <v>2059.7199999999998</v>
      </c>
      <c r="M108" s="28">
        <f t="shared" si="11"/>
        <v>1497720.61503</v>
      </c>
      <c r="N108" s="29">
        <f t="shared" si="7"/>
        <v>998480.41002000042</v>
      </c>
      <c r="O108" s="29">
        <f t="shared" si="7"/>
        <v>438259.32000000012</v>
      </c>
      <c r="P108" s="29">
        <f t="shared" si="10"/>
        <v>1314777.9600000002</v>
      </c>
      <c r="Q108" s="29">
        <f t="shared" si="8"/>
        <v>4249238.3050500005</v>
      </c>
      <c r="R108" s="26"/>
      <c r="S108" s="26"/>
      <c r="T108" s="26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</row>
    <row r="109" spans="1:184" ht="16.5">
      <c r="A109" s="23" t="s">
        <v>26</v>
      </c>
      <c r="B109" s="24" t="s">
        <v>184</v>
      </c>
      <c r="C109" s="24" t="s">
        <v>177</v>
      </c>
      <c r="D109" s="25">
        <v>227.42</v>
      </c>
      <c r="E109" s="25">
        <f>324.133-D109</f>
        <v>96.712999999999994</v>
      </c>
      <c r="F109" s="26">
        <v>49.1</v>
      </c>
      <c r="G109" s="26">
        <v>147.30000000000001</v>
      </c>
      <c r="H109" s="27">
        <f t="shared" si="9"/>
        <v>520.53300000000002</v>
      </c>
      <c r="I109" s="26">
        <v>7083.02</v>
      </c>
      <c r="J109" s="26">
        <v>7172.11</v>
      </c>
      <c r="K109" s="26">
        <v>1980.5</v>
      </c>
      <c r="L109" s="26">
        <v>2059.7199999999998</v>
      </c>
      <c r="M109" s="28">
        <f t="shared" si="11"/>
        <v>1160415.0984</v>
      </c>
      <c r="N109" s="29">
        <f t="shared" si="7"/>
        <v>493480.01676000003</v>
      </c>
      <c r="O109" s="29">
        <f t="shared" si="7"/>
        <v>251018.34899999999</v>
      </c>
      <c r="P109" s="29">
        <f t="shared" si="10"/>
        <v>753055.04700000002</v>
      </c>
      <c r="Q109" s="29">
        <f t="shared" si="8"/>
        <v>2657968.5111600002</v>
      </c>
      <c r="R109" s="26"/>
      <c r="S109" s="26"/>
      <c r="T109" s="26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</row>
    <row r="110" spans="1:184" ht="33">
      <c r="A110" s="23" t="s">
        <v>305</v>
      </c>
      <c r="B110" s="24" t="s">
        <v>183</v>
      </c>
      <c r="C110" s="24" t="s">
        <v>350</v>
      </c>
      <c r="D110" s="25">
        <v>883.35500000000002</v>
      </c>
      <c r="E110" s="25">
        <f>1462.28-D110</f>
        <v>578.92499999999995</v>
      </c>
      <c r="F110" s="26">
        <v>251.095</v>
      </c>
      <c r="G110" s="26">
        <v>753.28499999999997</v>
      </c>
      <c r="H110" s="27">
        <f t="shared" si="9"/>
        <v>2466.66</v>
      </c>
      <c r="I110" s="26">
        <v>4911.7700000000004</v>
      </c>
      <c r="J110" s="26">
        <v>4911.7700000000004</v>
      </c>
      <c r="K110" s="26">
        <v>1980.5</v>
      </c>
      <c r="L110" s="26">
        <v>2059.7199999999998</v>
      </c>
      <c r="M110" s="28">
        <f t="shared" si="11"/>
        <v>2589352.0108500007</v>
      </c>
      <c r="N110" s="29">
        <f t="shared" si="7"/>
        <v>1696985.4847500001</v>
      </c>
      <c r="O110" s="29">
        <f t="shared" si="7"/>
        <v>716135.49475000019</v>
      </c>
      <c r="P110" s="29">
        <f t="shared" si="10"/>
        <v>2148406.4842500002</v>
      </c>
      <c r="Q110" s="29">
        <f t="shared" si="8"/>
        <v>7150879.4746000022</v>
      </c>
      <c r="R110" s="26"/>
      <c r="S110" s="26"/>
      <c r="T110" s="26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</row>
    <row r="111" spans="1:184" ht="16.5">
      <c r="A111" s="23" t="s">
        <v>305</v>
      </c>
      <c r="B111" s="24" t="s">
        <v>183</v>
      </c>
      <c r="C111" s="24" t="s">
        <v>349</v>
      </c>
      <c r="D111" s="25">
        <v>1199.001</v>
      </c>
      <c r="E111" s="25">
        <f>1998.335-D111</f>
        <v>799.33400000000006</v>
      </c>
      <c r="F111" s="26">
        <v>345.14800000000002</v>
      </c>
      <c r="G111" s="26">
        <v>1035.442</v>
      </c>
      <c r="H111" s="27">
        <f t="shared" si="9"/>
        <v>3378.9250000000002</v>
      </c>
      <c r="I111" s="26">
        <v>3652.22</v>
      </c>
      <c r="J111" s="26">
        <v>3667.41</v>
      </c>
      <c r="K111" s="26">
        <v>1519.79</v>
      </c>
      <c r="L111" s="26">
        <v>1580.58</v>
      </c>
      <c r="M111" s="28">
        <f t="shared" si="11"/>
        <v>2556785.7024299996</v>
      </c>
      <c r="N111" s="29">
        <f t="shared" si="7"/>
        <v>1704523.80162</v>
      </c>
      <c r="O111" s="29">
        <f t="shared" si="7"/>
        <v>720265.20084000006</v>
      </c>
      <c r="P111" s="29">
        <f t="shared" si="10"/>
        <v>2160791.4288599999</v>
      </c>
      <c r="Q111" s="29">
        <f t="shared" si="8"/>
        <v>7142366.1337499991</v>
      </c>
      <c r="R111" s="26"/>
      <c r="S111" s="26"/>
      <c r="T111" s="26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</row>
    <row r="112" spans="1:184" ht="16.5">
      <c r="A112" s="23" t="s">
        <v>305</v>
      </c>
      <c r="B112" s="24" t="s">
        <v>183</v>
      </c>
      <c r="C112" s="24" t="s">
        <v>348</v>
      </c>
      <c r="D112" s="25">
        <v>374.33100000000002</v>
      </c>
      <c r="E112" s="25">
        <f>623.885-D112</f>
        <v>249.55399999999997</v>
      </c>
      <c r="F112" s="26">
        <v>72.822999999999993</v>
      </c>
      <c r="G112" s="26">
        <v>355.54500000000002</v>
      </c>
      <c r="H112" s="27">
        <f t="shared" si="9"/>
        <v>1052.2529999999999</v>
      </c>
      <c r="I112" s="26">
        <v>5582.12</v>
      </c>
      <c r="J112" s="26">
        <v>5582.12</v>
      </c>
      <c r="K112" s="26">
        <v>1980.5</v>
      </c>
      <c r="L112" s="26">
        <v>2059.7199999999998</v>
      </c>
      <c r="M112" s="28">
        <f t="shared" si="11"/>
        <v>1348198.0162200001</v>
      </c>
      <c r="N112" s="29">
        <f t="shared" si="7"/>
        <v>898798.67747999984</v>
      </c>
      <c r="O112" s="29">
        <f t="shared" si="7"/>
        <v>256511.7352</v>
      </c>
      <c r="P112" s="29">
        <f t="shared" si="10"/>
        <v>1252371.7080000001</v>
      </c>
      <c r="Q112" s="29">
        <f t="shared" si="8"/>
        <v>3755880.1368999998</v>
      </c>
      <c r="R112" s="26"/>
      <c r="S112" s="26"/>
      <c r="T112" s="26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</row>
    <row r="113" spans="1:184" ht="16.5">
      <c r="A113" s="23" t="s">
        <v>306</v>
      </c>
      <c r="B113" s="24" t="s">
        <v>178</v>
      </c>
      <c r="C113" s="24" t="s">
        <v>179</v>
      </c>
      <c r="D113" s="25">
        <v>6916.1</v>
      </c>
      <c r="E113" s="25">
        <f>10297.688-D113</f>
        <v>3381.5879999999997</v>
      </c>
      <c r="F113" s="26">
        <v>1214</v>
      </c>
      <c r="G113" s="26">
        <v>5973.9</v>
      </c>
      <c r="H113" s="27">
        <f t="shared" si="9"/>
        <v>17485.588</v>
      </c>
      <c r="I113" s="26">
        <v>2048.9899999999998</v>
      </c>
      <c r="J113" s="26">
        <v>2048.9899999999998</v>
      </c>
      <c r="K113" s="26">
        <v>1646.73</v>
      </c>
      <c r="L113" s="26">
        <v>1712.59</v>
      </c>
      <c r="M113" s="28">
        <f t="shared" si="11"/>
        <v>2782070.3859999985</v>
      </c>
      <c r="N113" s="29">
        <f t="shared" si="7"/>
        <v>1360277.588879999</v>
      </c>
      <c r="O113" s="29">
        <f t="shared" si="7"/>
        <v>408389.59999999986</v>
      </c>
      <c r="P113" s="29">
        <f t="shared" si="10"/>
        <v>2009619.959999999</v>
      </c>
      <c r="Q113" s="29">
        <f t="shared" si="8"/>
        <v>6560357.5348799964</v>
      </c>
      <c r="R113" s="26"/>
      <c r="S113" s="26"/>
      <c r="T113" s="26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</row>
    <row r="114" spans="1:184" ht="16.5">
      <c r="A114" s="23" t="s">
        <v>306</v>
      </c>
      <c r="B114" s="24" t="s">
        <v>178</v>
      </c>
      <c r="C114" s="24" t="s">
        <v>180</v>
      </c>
      <c r="D114" s="25">
        <v>4183.0609999999997</v>
      </c>
      <c r="E114" s="25">
        <f>6163.764-D114</f>
        <v>1980.7030000000004</v>
      </c>
      <c r="F114" s="26">
        <v>670.26300000000003</v>
      </c>
      <c r="G114" s="26">
        <v>3241.14</v>
      </c>
      <c r="H114" s="27">
        <f t="shared" si="9"/>
        <v>10075.166999999999</v>
      </c>
      <c r="I114" s="26">
        <v>2781.78</v>
      </c>
      <c r="J114" s="26">
        <v>2781.78</v>
      </c>
      <c r="K114" s="26">
        <v>1646.73</v>
      </c>
      <c r="L114" s="26">
        <v>1712.59</v>
      </c>
      <c r="M114" s="28">
        <f t="shared" si="11"/>
        <v>4747983.3880500002</v>
      </c>
      <c r="N114" s="29">
        <f t="shared" si="7"/>
        <v>2248196.9401500006</v>
      </c>
      <c r="O114" s="29">
        <f t="shared" si="7"/>
        <v>716638.49697000021</v>
      </c>
      <c r="P114" s="29">
        <f t="shared" si="10"/>
        <v>3465394.4766000006</v>
      </c>
      <c r="Q114" s="29">
        <f t="shared" si="8"/>
        <v>11178213.301770002</v>
      </c>
      <c r="R114" s="26"/>
      <c r="S114" s="26"/>
      <c r="T114" s="26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</row>
    <row r="115" spans="1:184" ht="33">
      <c r="A115" s="23" t="s">
        <v>3</v>
      </c>
      <c r="B115" s="24" t="s">
        <v>185</v>
      </c>
      <c r="C115" s="24" t="s">
        <v>182</v>
      </c>
      <c r="D115" s="25">
        <v>85.022000000000006</v>
      </c>
      <c r="E115" s="25">
        <f>116.446-D115</f>
        <v>31.423999999999992</v>
      </c>
      <c r="F115" s="26">
        <v>9.93</v>
      </c>
      <c r="G115" s="26">
        <v>69.75</v>
      </c>
      <c r="H115" s="27">
        <f t="shared" si="9"/>
        <v>196.126</v>
      </c>
      <c r="I115" s="26">
        <v>2906.69</v>
      </c>
      <c r="J115" s="26">
        <v>2948.76</v>
      </c>
      <c r="K115" s="26">
        <v>1646.73</v>
      </c>
      <c r="L115" s="26">
        <v>1729.06</v>
      </c>
      <c r="M115" s="28">
        <f t="shared" si="11"/>
        <v>107124.31912000001</v>
      </c>
      <c r="N115" s="29">
        <f t="shared" si="7"/>
        <v>39592.983039999992</v>
      </c>
      <c r="O115" s="29">
        <f t="shared" si="7"/>
        <v>12111.621000000003</v>
      </c>
      <c r="P115" s="29">
        <f t="shared" si="10"/>
        <v>85074.075000000026</v>
      </c>
      <c r="Q115" s="29">
        <f t="shared" si="8"/>
        <v>243902.99816000008</v>
      </c>
      <c r="R115" s="26"/>
      <c r="S115" s="26"/>
      <c r="T115" s="26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</row>
    <row r="116" spans="1:184" ht="16.5">
      <c r="A116" s="23" t="s">
        <v>304</v>
      </c>
      <c r="B116" s="24" t="s">
        <v>189</v>
      </c>
      <c r="C116" s="24" t="s">
        <v>187</v>
      </c>
      <c r="D116" s="25">
        <v>581.37099999999998</v>
      </c>
      <c r="E116" s="25">
        <f>822.119-D116</f>
        <v>240.74800000000005</v>
      </c>
      <c r="F116" s="26">
        <v>28.3</v>
      </c>
      <c r="G116" s="26">
        <v>506.5</v>
      </c>
      <c r="H116" s="27">
        <f t="shared" si="9"/>
        <v>1356.9189999999999</v>
      </c>
      <c r="I116" s="26">
        <v>5980.99</v>
      </c>
      <c r="J116" s="26">
        <v>6247.85</v>
      </c>
      <c r="K116" s="26">
        <v>1943.14</v>
      </c>
      <c r="L116" s="26">
        <v>2020.86</v>
      </c>
      <c r="M116" s="28">
        <f t="shared" si="11"/>
        <v>2347488.8923499994</v>
      </c>
      <c r="N116" s="29">
        <f t="shared" si="7"/>
        <v>972104.31180000002</v>
      </c>
      <c r="O116" s="29">
        <f t="shared" si="7"/>
        <v>119623.81700000002</v>
      </c>
      <c r="P116" s="29">
        <f t="shared" si="10"/>
        <v>2140970.4350000005</v>
      </c>
      <c r="Q116" s="29">
        <f t="shared" si="8"/>
        <v>5580187.45615</v>
      </c>
      <c r="R116" s="26"/>
      <c r="S116" s="26"/>
      <c r="T116" s="26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</row>
    <row r="117" spans="1:184" ht="16.5">
      <c r="A117" s="23" t="s">
        <v>304</v>
      </c>
      <c r="B117" s="24" t="s">
        <v>189</v>
      </c>
      <c r="C117" s="24" t="s">
        <v>177</v>
      </c>
      <c r="D117" s="25">
        <v>62.777999999999999</v>
      </c>
      <c r="E117" s="25">
        <f>104.63-D117</f>
        <v>41.851999999999997</v>
      </c>
      <c r="F117" s="26">
        <v>12.53</v>
      </c>
      <c r="G117" s="26">
        <v>62.79</v>
      </c>
      <c r="H117" s="27">
        <f t="shared" si="9"/>
        <v>179.95</v>
      </c>
      <c r="I117" s="26">
        <v>11626.55</v>
      </c>
      <c r="J117" s="26">
        <v>11626.55</v>
      </c>
      <c r="K117" s="26">
        <v>1943.14</v>
      </c>
      <c r="L117" s="26">
        <v>2020.86</v>
      </c>
      <c r="M117" s="28">
        <f t="shared" si="11"/>
        <v>607905.11297999998</v>
      </c>
      <c r="N117" s="29">
        <f t="shared" si="7"/>
        <v>405270.07531999995</v>
      </c>
      <c r="O117" s="29">
        <f t="shared" si="7"/>
        <v>120359.29569999997</v>
      </c>
      <c r="P117" s="29">
        <f t="shared" si="10"/>
        <v>603141.27509999985</v>
      </c>
      <c r="Q117" s="29">
        <f t="shared" si="8"/>
        <v>1736675.7590999999</v>
      </c>
      <c r="R117" s="26"/>
      <c r="S117" s="26"/>
      <c r="T117" s="26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</row>
    <row r="118" spans="1:184" ht="16.5">
      <c r="A118" s="23" t="s">
        <v>288</v>
      </c>
      <c r="B118" s="24" t="s">
        <v>96</v>
      </c>
      <c r="C118" s="24" t="s">
        <v>181</v>
      </c>
      <c r="D118" s="25">
        <v>2030.28</v>
      </c>
      <c r="E118" s="25">
        <f>2967.1-D118</f>
        <v>936.81999999999994</v>
      </c>
      <c r="F118" s="26">
        <v>229.73</v>
      </c>
      <c r="G118" s="26">
        <v>1913.88</v>
      </c>
      <c r="H118" s="27">
        <f t="shared" si="9"/>
        <v>5110.71</v>
      </c>
      <c r="I118" s="26">
        <v>4419.0600000000004</v>
      </c>
      <c r="J118" s="26">
        <v>4781.3</v>
      </c>
      <c r="K118" s="26">
        <v>1980.5</v>
      </c>
      <c r="L118" s="26">
        <v>2059.7199999999998</v>
      </c>
      <c r="M118" s="28">
        <f t="shared" si="11"/>
        <v>4950959.5968000004</v>
      </c>
      <c r="N118" s="29">
        <f t="shared" si="7"/>
        <v>2284491.7792000002</v>
      </c>
      <c r="O118" s="29">
        <f t="shared" si="7"/>
        <v>625228.57340000011</v>
      </c>
      <c r="P118" s="29">
        <f t="shared" si="10"/>
        <v>5208777.5304000014</v>
      </c>
      <c r="Q118" s="29">
        <f t="shared" si="8"/>
        <v>13069457.479800001</v>
      </c>
      <c r="R118" s="26"/>
      <c r="S118" s="26"/>
      <c r="T118" s="26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</row>
    <row r="119" spans="1:184" ht="16.5">
      <c r="A119" s="23" t="s">
        <v>333</v>
      </c>
      <c r="B119" s="24" t="s">
        <v>334</v>
      </c>
      <c r="C119" s="24" t="s">
        <v>177</v>
      </c>
      <c r="D119" s="25">
        <v>1570.693</v>
      </c>
      <c r="E119" s="25">
        <f>2357.73-D119</f>
        <v>787.03700000000003</v>
      </c>
      <c r="F119" s="26">
        <v>191.88</v>
      </c>
      <c r="G119" s="26">
        <v>1343</v>
      </c>
      <c r="H119" s="27">
        <f t="shared" si="9"/>
        <v>3892.61</v>
      </c>
      <c r="I119" s="26">
        <v>4879.8999999999996</v>
      </c>
      <c r="J119" s="26">
        <v>4879.8999999999996</v>
      </c>
      <c r="K119" s="26">
        <v>1980.5</v>
      </c>
      <c r="L119" s="26">
        <v>2059.7199999999998</v>
      </c>
      <c r="M119" s="28">
        <f t="shared" si="11"/>
        <v>4554067.2841999996</v>
      </c>
      <c r="N119" s="29">
        <f t="shared" si="7"/>
        <v>2281935.0777999996</v>
      </c>
      <c r="O119" s="29">
        <f t="shared" si="7"/>
        <v>541136.13839999994</v>
      </c>
      <c r="P119" s="29">
        <f t="shared" si="10"/>
        <v>3787501.7399999998</v>
      </c>
      <c r="Q119" s="29">
        <f t="shared" si="8"/>
        <v>11164640.2404</v>
      </c>
      <c r="R119" s="26"/>
      <c r="S119" s="26"/>
      <c r="T119" s="26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</row>
    <row r="120" spans="1:184" ht="16.5">
      <c r="A120" s="23" t="s">
        <v>2</v>
      </c>
      <c r="B120" s="24" t="s">
        <v>75</v>
      </c>
      <c r="C120" s="24" t="s">
        <v>187</v>
      </c>
      <c r="D120" s="25">
        <v>767</v>
      </c>
      <c r="E120" s="25">
        <f>1213.26-D120</f>
        <v>446.26</v>
      </c>
      <c r="F120" s="26">
        <v>181.5</v>
      </c>
      <c r="G120" s="26">
        <v>626.17499999999995</v>
      </c>
      <c r="H120" s="27">
        <f t="shared" si="9"/>
        <v>2020.9349999999999</v>
      </c>
      <c r="I120" s="26">
        <v>2103.73</v>
      </c>
      <c r="J120" s="26">
        <v>2144.48</v>
      </c>
      <c r="K120" s="26">
        <v>1562.16</v>
      </c>
      <c r="L120" s="26">
        <v>1624.65</v>
      </c>
      <c r="M120" s="28">
        <f t="shared" si="11"/>
        <v>415384.18999999994</v>
      </c>
      <c r="N120" s="29">
        <f t="shared" si="7"/>
        <v>241681.02819999997</v>
      </c>
      <c r="O120" s="29">
        <f t="shared" si="7"/>
        <v>94349.14499999999</v>
      </c>
      <c r="P120" s="29">
        <f t="shared" si="10"/>
        <v>325504.55024999991</v>
      </c>
      <c r="Q120" s="29">
        <f t="shared" si="8"/>
        <v>1076918.9134499999</v>
      </c>
      <c r="R120" s="26"/>
      <c r="S120" s="26"/>
      <c r="T120" s="26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</row>
    <row r="121" spans="1:184" ht="16.5">
      <c r="A121" s="23" t="s">
        <v>2</v>
      </c>
      <c r="B121" s="24" t="s">
        <v>75</v>
      </c>
      <c r="C121" s="24" t="s">
        <v>190</v>
      </c>
      <c r="D121" s="25">
        <v>993.39700000000005</v>
      </c>
      <c r="E121" s="25">
        <f>1640.751-D121</f>
        <v>647.35399999999993</v>
      </c>
      <c r="F121" s="26">
        <v>137.66200000000001</v>
      </c>
      <c r="G121" s="26">
        <v>1134.33</v>
      </c>
      <c r="H121" s="27">
        <f t="shared" si="9"/>
        <v>2912.7429999999999</v>
      </c>
      <c r="I121" s="26">
        <v>6463.17</v>
      </c>
      <c r="J121" s="26">
        <v>7071.59</v>
      </c>
      <c r="K121" s="26">
        <v>1118.26</v>
      </c>
      <c r="L121" s="26">
        <v>1185.3599999999999</v>
      </c>
      <c r="M121" s="28">
        <f t="shared" si="11"/>
        <v>5309617.5592700001</v>
      </c>
      <c r="N121" s="29">
        <f t="shared" si="7"/>
        <v>3460048.8681399995</v>
      </c>
      <c r="O121" s="29">
        <f t="shared" si="7"/>
        <v>810310.19426000013</v>
      </c>
      <c r="P121" s="29">
        <f t="shared" si="10"/>
        <v>6676927.2758999998</v>
      </c>
      <c r="Q121" s="29">
        <f t="shared" si="8"/>
        <v>16256903.897569999</v>
      </c>
      <c r="R121" s="26"/>
      <c r="S121" s="26"/>
      <c r="T121" s="26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</row>
    <row r="122" spans="1:184" ht="16.5">
      <c r="A122" s="23" t="s">
        <v>1</v>
      </c>
      <c r="B122" s="24" t="s">
        <v>188</v>
      </c>
      <c r="C122" s="24" t="s">
        <v>182</v>
      </c>
      <c r="D122" s="25">
        <v>8991.7360000000008</v>
      </c>
      <c r="E122" s="25">
        <f>14772.842-D122</f>
        <v>5781.1059999999998</v>
      </c>
      <c r="F122" s="26">
        <v>2313.12</v>
      </c>
      <c r="G122" s="26">
        <v>7743.93</v>
      </c>
      <c r="H122" s="27">
        <f t="shared" si="9"/>
        <v>24829.892</v>
      </c>
      <c r="I122" s="26">
        <v>4003.01</v>
      </c>
      <c r="J122" s="26">
        <v>4003.01</v>
      </c>
      <c r="K122" s="26">
        <v>1678.39</v>
      </c>
      <c r="L122" s="26">
        <v>1745.53</v>
      </c>
      <c r="M122" s="28">
        <f t="shared" si="11"/>
        <v>20902369.340320002</v>
      </c>
      <c r="N122" s="29">
        <f t="shared" si="7"/>
        <v>13438874.629719999</v>
      </c>
      <c r="O122" s="29">
        <f t="shared" si="7"/>
        <v>5221822.1376000009</v>
      </c>
      <c r="P122" s="29">
        <f t="shared" si="10"/>
        <v>17481767.096400004</v>
      </c>
      <c r="Q122" s="29">
        <f t="shared" si="8"/>
        <v>57044833.204040006</v>
      </c>
      <c r="R122" s="44"/>
      <c r="S122" s="26"/>
      <c r="T122" s="26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</row>
    <row r="123" spans="1:184" ht="16.5">
      <c r="A123" s="23" t="s">
        <v>1</v>
      </c>
      <c r="B123" s="24" t="s">
        <v>188</v>
      </c>
      <c r="C123" s="24" t="s">
        <v>177</v>
      </c>
      <c r="D123" s="25">
        <v>2053.3679999999999</v>
      </c>
      <c r="E123" s="25">
        <f>3066.882-D123</f>
        <v>1013.5140000000001</v>
      </c>
      <c r="F123" s="26">
        <v>330.745</v>
      </c>
      <c r="G123" s="26">
        <v>1841.845</v>
      </c>
      <c r="H123" s="27">
        <f t="shared" si="9"/>
        <v>5239.4719999999998</v>
      </c>
      <c r="I123" s="26">
        <v>4639.1499999999996</v>
      </c>
      <c r="J123" s="26">
        <v>4867.07</v>
      </c>
      <c r="K123" s="26">
        <v>1678.39</v>
      </c>
      <c r="L123" s="26">
        <v>1745.53</v>
      </c>
      <c r="M123" s="28">
        <f t="shared" si="11"/>
        <v>6079529.8396799983</v>
      </c>
      <c r="N123" s="29">
        <f t="shared" si="7"/>
        <v>3000771.7106399997</v>
      </c>
      <c r="O123" s="29">
        <f t="shared" si="7"/>
        <v>1032433.7473</v>
      </c>
      <c r="P123" s="29">
        <f t="shared" si="10"/>
        <v>5749392.8413000004</v>
      </c>
      <c r="Q123" s="29">
        <f t="shared" si="8"/>
        <v>15862128.138919998</v>
      </c>
      <c r="R123" s="26"/>
      <c r="S123" s="26"/>
      <c r="T123" s="26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</row>
    <row r="124" spans="1:184" ht="16.5">
      <c r="A124" s="23" t="s">
        <v>1</v>
      </c>
      <c r="B124" s="24" t="s">
        <v>188</v>
      </c>
      <c r="C124" s="24" t="s">
        <v>180</v>
      </c>
      <c r="D124" s="25">
        <v>1463.472</v>
      </c>
      <c r="E124" s="25">
        <f>2255.315-D124</f>
        <v>791.84300000000007</v>
      </c>
      <c r="F124" s="26">
        <v>381.834</v>
      </c>
      <c r="G124" s="26">
        <v>1432.0060000000001</v>
      </c>
      <c r="H124" s="27">
        <f t="shared" si="9"/>
        <v>4069.1549999999997</v>
      </c>
      <c r="I124" s="26">
        <v>4639.1499999999996</v>
      </c>
      <c r="J124" s="26">
        <v>4867.07</v>
      </c>
      <c r="K124" s="26">
        <v>1678.39</v>
      </c>
      <c r="L124" s="26">
        <v>1745.53</v>
      </c>
      <c r="M124" s="28">
        <f t="shared" si="11"/>
        <v>4332989.358719999</v>
      </c>
      <c r="N124" s="29">
        <f t="shared" si="7"/>
        <v>2344457.0806799997</v>
      </c>
      <c r="O124" s="29">
        <f t="shared" si="7"/>
        <v>1191910.10436</v>
      </c>
      <c r="P124" s="29">
        <f t="shared" si="10"/>
        <v>4470064.0092400005</v>
      </c>
      <c r="Q124" s="29">
        <f t="shared" si="8"/>
        <v>12339420.552999999</v>
      </c>
      <c r="R124" s="26"/>
      <c r="S124" s="26"/>
      <c r="T124" s="26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</row>
    <row r="125" spans="1:184" ht="16.5">
      <c r="A125" s="23" t="s">
        <v>1</v>
      </c>
      <c r="B125" s="24" t="s">
        <v>188</v>
      </c>
      <c r="C125" s="24" t="s">
        <v>181</v>
      </c>
      <c r="D125" s="25">
        <v>778.58799999999997</v>
      </c>
      <c r="E125" s="25">
        <f>1302.725-D125</f>
        <v>524.13699999999994</v>
      </c>
      <c r="F125" s="26">
        <v>226.91300000000001</v>
      </c>
      <c r="G125" s="26">
        <v>750.93700000000001</v>
      </c>
      <c r="H125" s="27">
        <f t="shared" si="9"/>
        <v>2280.5749999999998</v>
      </c>
      <c r="I125" s="26">
        <v>4639.1499999999996</v>
      </c>
      <c r="J125" s="26">
        <v>4867.07</v>
      </c>
      <c r="K125" s="26">
        <v>1678.39</v>
      </c>
      <c r="L125" s="26">
        <v>1745.53</v>
      </c>
      <c r="M125" s="28">
        <f t="shared" si="11"/>
        <v>2305212.2068799995</v>
      </c>
      <c r="N125" s="29">
        <f t="shared" si="7"/>
        <v>1551843.8641199996</v>
      </c>
      <c r="O125" s="29">
        <f t="shared" si="7"/>
        <v>708318.00601999997</v>
      </c>
      <c r="P125" s="29">
        <f t="shared" si="10"/>
        <v>2344079.8829800002</v>
      </c>
      <c r="Q125" s="29">
        <f t="shared" si="8"/>
        <v>6909453.959999999</v>
      </c>
      <c r="R125" s="26"/>
      <c r="S125" s="26"/>
      <c r="T125" s="26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</row>
    <row r="126" spans="1:184" ht="16.5">
      <c r="A126" s="23" t="s">
        <v>337</v>
      </c>
      <c r="B126" s="24" t="s">
        <v>338</v>
      </c>
      <c r="C126" s="24" t="s">
        <v>182</v>
      </c>
      <c r="D126" s="25">
        <v>761.20500000000004</v>
      </c>
      <c r="E126" s="25">
        <f>1156.17-D126</f>
        <v>394.96500000000003</v>
      </c>
      <c r="F126" s="26">
        <v>278.95</v>
      </c>
      <c r="G126" s="26">
        <v>537.28</v>
      </c>
      <c r="H126" s="27">
        <f t="shared" si="9"/>
        <v>1972.4</v>
      </c>
      <c r="I126" s="26">
        <v>4423.8100000000004</v>
      </c>
      <c r="J126" s="26">
        <v>4864.1000000000004</v>
      </c>
      <c r="K126" s="26">
        <v>1678.39</v>
      </c>
      <c r="L126" s="26">
        <v>1745.52</v>
      </c>
      <c r="M126" s="28">
        <f t="shared" si="11"/>
        <v>2089827.4311000002</v>
      </c>
      <c r="N126" s="29">
        <f t="shared" si="7"/>
        <v>1084344.8103</v>
      </c>
      <c r="O126" s="29">
        <f t="shared" si="7"/>
        <v>869927.89100000006</v>
      </c>
      <c r="P126" s="29">
        <f t="shared" si="10"/>
        <v>1675550.6624</v>
      </c>
      <c r="Q126" s="29">
        <f t="shared" si="8"/>
        <v>5719650.7948000003</v>
      </c>
      <c r="R126" s="26"/>
      <c r="S126" s="26"/>
      <c r="T126" s="26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</row>
    <row r="127" spans="1:184" ht="17.25">
      <c r="A127" s="63" t="s">
        <v>191</v>
      </c>
      <c r="B127" s="63"/>
      <c r="C127" s="63"/>
      <c r="D127" s="22"/>
      <c r="E127" s="22"/>
      <c r="F127" s="20"/>
      <c r="G127" s="20"/>
      <c r="H127" s="27">
        <f t="shared" si="9"/>
        <v>0</v>
      </c>
      <c r="I127" s="20"/>
      <c r="J127" s="20"/>
      <c r="K127" s="20"/>
      <c r="L127" s="20"/>
      <c r="M127" s="28">
        <f t="shared" si="11"/>
        <v>0</v>
      </c>
      <c r="N127" s="29">
        <f t="shared" si="7"/>
        <v>0</v>
      </c>
      <c r="O127" s="29">
        <f t="shared" si="7"/>
        <v>0</v>
      </c>
      <c r="P127" s="29">
        <f t="shared" si="10"/>
        <v>0</v>
      </c>
      <c r="Q127" s="29">
        <f t="shared" si="8"/>
        <v>0</v>
      </c>
      <c r="R127" s="30"/>
      <c r="S127" s="30"/>
      <c r="T127" s="30"/>
    </row>
    <row r="128" spans="1:184" ht="16.5">
      <c r="A128" s="23" t="s">
        <v>34</v>
      </c>
      <c r="B128" s="24" t="s">
        <v>192</v>
      </c>
      <c r="C128" s="24"/>
      <c r="D128" s="25">
        <v>119.37</v>
      </c>
      <c r="E128" s="25">
        <f>196.14-D128</f>
        <v>76.769999999999982</v>
      </c>
      <c r="F128" s="26">
        <v>35.42</v>
      </c>
      <c r="G128" s="26">
        <v>119.37</v>
      </c>
      <c r="H128" s="27">
        <f t="shared" si="9"/>
        <v>350.93</v>
      </c>
      <c r="I128" s="26">
        <v>4149.8</v>
      </c>
      <c r="J128" s="26">
        <v>5437.27</v>
      </c>
      <c r="K128" s="26">
        <v>1033.07</v>
      </c>
      <c r="L128" s="26">
        <v>1095.05</v>
      </c>
      <c r="M128" s="28">
        <f t="shared" si="11"/>
        <v>372044.06010000006</v>
      </c>
      <c r="N128" s="29">
        <f t="shared" si="7"/>
        <v>239271.36209999997</v>
      </c>
      <c r="O128" s="29">
        <f t="shared" si="7"/>
        <v>153801.43240000002</v>
      </c>
      <c r="P128" s="29">
        <f t="shared" si="10"/>
        <v>518330.80140000005</v>
      </c>
      <c r="Q128" s="29">
        <f t="shared" si="8"/>
        <v>1283447.6560000002</v>
      </c>
      <c r="R128" s="26"/>
      <c r="S128" s="26"/>
      <c r="T128" s="26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ht="16.5">
      <c r="A129" s="23" t="s">
        <v>303</v>
      </c>
      <c r="B129" s="24" t="s">
        <v>193</v>
      </c>
      <c r="C129" s="24" t="s">
        <v>50</v>
      </c>
      <c r="D129" s="25">
        <v>172.78800000000001</v>
      </c>
      <c r="E129" s="25">
        <f>287.98-D129</f>
        <v>115.19200000000001</v>
      </c>
      <c r="F129" s="26">
        <v>31.82</v>
      </c>
      <c r="G129" s="26">
        <v>172.79</v>
      </c>
      <c r="H129" s="27">
        <f t="shared" si="9"/>
        <v>492.59000000000003</v>
      </c>
      <c r="I129" s="26">
        <v>5170.82</v>
      </c>
      <c r="J129" s="26">
        <v>5352.66</v>
      </c>
      <c r="K129" s="26">
        <v>891.02</v>
      </c>
      <c r="L129" s="26">
        <v>927.55</v>
      </c>
      <c r="M129" s="28">
        <f t="shared" si="11"/>
        <v>739498.08239999996</v>
      </c>
      <c r="N129" s="29">
        <f t="shared" si="7"/>
        <v>492998.72159999993</v>
      </c>
      <c r="O129" s="29">
        <f t="shared" si="7"/>
        <v>140807.00019999998</v>
      </c>
      <c r="P129" s="29">
        <f t="shared" si="10"/>
        <v>764614.75689999992</v>
      </c>
      <c r="Q129" s="29">
        <f t="shared" si="8"/>
        <v>2137918.5610999996</v>
      </c>
      <c r="R129" s="26"/>
      <c r="S129" s="26"/>
      <c r="T129" s="26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ht="16.5">
      <c r="A130" s="23" t="s">
        <v>303</v>
      </c>
      <c r="B130" s="24" t="s">
        <v>193</v>
      </c>
      <c r="C130" s="24" t="s">
        <v>194</v>
      </c>
      <c r="D130" s="25">
        <v>183.53399999999999</v>
      </c>
      <c r="E130" s="25">
        <f>305.89-D130</f>
        <v>122.35599999999999</v>
      </c>
      <c r="F130" s="26">
        <v>47.1</v>
      </c>
      <c r="G130" s="26">
        <v>204.76</v>
      </c>
      <c r="H130" s="27">
        <f t="shared" si="9"/>
        <v>557.75</v>
      </c>
      <c r="I130" s="26">
        <v>3905.67</v>
      </c>
      <c r="J130" s="26">
        <v>4111.6000000000004</v>
      </c>
      <c r="K130" s="26">
        <v>891.02</v>
      </c>
      <c r="L130" s="26">
        <v>927.55</v>
      </c>
      <c r="M130" s="28">
        <f t="shared" si="11"/>
        <v>553290.77309999999</v>
      </c>
      <c r="N130" s="29">
        <f t="shared" si="7"/>
        <v>368860.51539999997</v>
      </c>
      <c r="O130" s="29">
        <f t="shared" si="7"/>
        <v>149968.755</v>
      </c>
      <c r="P130" s="29">
        <f t="shared" si="10"/>
        <v>651966.07799999998</v>
      </c>
      <c r="Q130" s="29">
        <f t="shared" si="8"/>
        <v>1724086.1215000001</v>
      </c>
      <c r="R130" s="26"/>
      <c r="S130" s="26"/>
      <c r="T130" s="26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ht="17.25">
      <c r="A131" s="63" t="s">
        <v>195</v>
      </c>
      <c r="B131" s="63"/>
      <c r="C131" s="63"/>
      <c r="D131" s="22"/>
      <c r="E131" s="22"/>
      <c r="F131" s="20"/>
      <c r="G131" s="20"/>
      <c r="H131" s="27">
        <f t="shared" si="9"/>
        <v>0</v>
      </c>
      <c r="I131" s="20"/>
      <c r="J131" s="20"/>
      <c r="K131" s="20"/>
      <c r="L131" s="20"/>
      <c r="M131" s="28">
        <f t="shared" si="11"/>
        <v>0</v>
      </c>
      <c r="N131" s="29">
        <f t="shared" si="7"/>
        <v>0</v>
      </c>
      <c r="O131" s="29">
        <f t="shared" si="7"/>
        <v>0</v>
      </c>
      <c r="P131" s="29">
        <f t="shared" si="10"/>
        <v>0</v>
      </c>
      <c r="Q131" s="29">
        <f t="shared" si="8"/>
        <v>0</v>
      </c>
      <c r="R131" s="30"/>
      <c r="S131" s="30"/>
      <c r="T131" s="30"/>
    </row>
    <row r="132" spans="1:184" ht="16.5">
      <c r="A132" s="23" t="s">
        <v>302</v>
      </c>
      <c r="B132" s="24" t="s">
        <v>196</v>
      </c>
      <c r="C132" s="24" t="s">
        <v>197</v>
      </c>
      <c r="D132" s="43">
        <v>17331.576000000001</v>
      </c>
      <c r="E132" s="50">
        <f>25413.258-D132</f>
        <v>8081.6820000000007</v>
      </c>
      <c r="F132" s="26">
        <v>3162.2359999999999</v>
      </c>
      <c r="G132" s="26">
        <v>16773.596000000001</v>
      </c>
      <c r="H132" s="27">
        <f t="shared" si="9"/>
        <v>45349.090000000004</v>
      </c>
      <c r="I132" s="26">
        <v>3556.76</v>
      </c>
      <c r="J132" s="26">
        <v>3876.87</v>
      </c>
      <c r="K132" s="26">
        <v>1396.28</v>
      </c>
      <c r="L132" s="26">
        <v>1452.13</v>
      </c>
      <c r="M132" s="28">
        <f t="shared" si="11"/>
        <v>37444523.316480011</v>
      </c>
      <c r="N132" s="29">
        <f t="shared" si="7"/>
        <v>17460312.327360004</v>
      </c>
      <c r="O132" s="29">
        <f t="shared" si="7"/>
        <v>7667600.1186399991</v>
      </c>
      <c r="P132" s="29">
        <f t="shared" si="10"/>
        <v>40671609.165040001</v>
      </c>
      <c r="Q132" s="29">
        <f t="shared" si="8"/>
        <v>103244044.92752001</v>
      </c>
      <c r="R132" s="26"/>
      <c r="S132" s="26"/>
      <c r="T132" s="26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ht="16.5">
      <c r="A133" s="23" t="s">
        <v>302</v>
      </c>
      <c r="B133" s="24" t="s">
        <v>196</v>
      </c>
      <c r="C133" s="24" t="s">
        <v>207</v>
      </c>
      <c r="D133" s="25">
        <v>6.282</v>
      </c>
      <c r="E133" s="25">
        <f>9.322-D133</f>
        <v>3.0399999999999991</v>
      </c>
      <c r="F133" s="26">
        <v>1.3049999999999999</v>
      </c>
      <c r="G133" s="26">
        <v>7.8330000000000002</v>
      </c>
      <c r="H133" s="27">
        <f t="shared" si="9"/>
        <v>18.46</v>
      </c>
      <c r="I133" s="26">
        <v>4230.9799999999996</v>
      </c>
      <c r="J133" s="26">
        <v>4245.16</v>
      </c>
      <c r="K133" s="26">
        <v>1072.92</v>
      </c>
      <c r="L133" s="26">
        <v>1115.8399999999999</v>
      </c>
      <c r="M133" s="28">
        <f t="shared" si="11"/>
        <v>19838.932919999996</v>
      </c>
      <c r="N133" s="29">
        <f t="shared" si="7"/>
        <v>9600.5023999999958</v>
      </c>
      <c r="O133" s="29">
        <f t="shared" si="7"/>
        <v>4083.7625999999996</v>
      </c>
      <c r="P133" s="29">
        <f t="shared" si="10"/>
        <v>24511.963559999997</v>
      </c>
      <c r="Q133" s="29">
        <f t="shared" si="8"/>
        <v>58035.161479999988</v>
      </c>
      <c r="R133" s="26"/>
      <c r="S133" s="26"/>
      <c r="T133" s="26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ht="16.5">
      <c r="A134" s="23" t="s">
        <v>299</v>
      </c>
      <c r="B134" s="24" t="s">
        <v>212</v>
      </c>
      <c r="C134" s="24" t="s">
        <v>213</v>
      </c>
      <c r="D134" s="25">
        <v>2338.0419999999999</v>
      </c>
      <c r="E134" s="25">
        <f>3485.316-D134</f>
        <v>1147.2739999999999</v>
      </c>
      <c r="F134" s="26">
        <v>202.54599999999999</v>
      </c>
      <c r="G134" s="26">
        <v>2499.9340000000002</v>
      </c>
      <c r="H134" s="27">
        <f t="shared" si="9"/>
        <v>6187.7960000000003</v>
      </c>
      <c r="I134" s="26">
        <v>3276.03</v>
      </c>
      <c r="J134" s="26">
        <v>3276.03</v>
      </c>
      <c r="K134" s="26">
        <v>1336.39</v>
      </c>
      <c r="L134" s="26">
        <v>1416.58</v>
      </c>
      <c r="M134" s="28">
        <f t="shared" si="11"/>
        <v>4534959.7848800002</v>
      </c>
      <c r="N134" s="29">
        <f t="shared" si="7"/>
        <v>2225298.5413599997</v>
      </c>
      <c r="O134" s="29">
        <f t="shared" si="7"/>
        <v>376624.15970000002</v>
      </c>
      <c r="P134" s="29">
        <f t="shared" si="10"/>
        <v>4648502.276300001</v>
      </c>
      <c r="Q134" s="29">
        <f t="shared" si="8"/>
        <v>11785384.76224</v>
      </c>
      <c r="R134" s="26"/>
      <c r="S134" s="26"/>
      <c r="T134" s="26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ht="16.5">
      <c r="A135" s="23" t="s">
        <v>4</v>
      </c>
      <c r="B135" s="24" t="s">
        <v>206</v>
      </c>
      <c r="C135" s="24" t="s">
        <v>208</v>
      </c>
      <c r="D135" s="25">
        <v>7.6079999999999997</v>
      </c>
      <c r="E135" s="25">
        <f>11.289-D135</f>
        <v>3.681</v>
      </c>
      <c r="F135" s="26">
        <v>1.35</v>
      </c>
      <c r="G135" s="26">
        <v>7.61</v>
      </c>
      <c r="H135" s="27">
        <f t="shared" si="9"/>
        <v>20.248999999999999</v>
      </c>
      <c r="I135" s="26">
        <v>3146.95</v>
      </c>
      <c r="J135" s="26">
        <v>3146.95</v>
      </c>
      <c r="K135" s="26">
        <v>1242.1400000000001</v>
      </c>
      <c r="L135" s="26">
        <v>1316.67</v>
      </c>
      <c r="M135" s="28">
        <f t="shared" si="11"/>
        <v>14491.794479999997</v>
      </c>
      <c r="N135" s="29">
        <f t="shared" si="7"/>
        <v>7011.6056099999987</v>
      </c>
      <c r="O135" s="29">
        <f t="shared" si="7"/>
        <v>2470.8779999999997</v>
      </c>
      <c r="P135" s="29">
        <f t="shared" si="10"/>
        <v>13928.430799999998</v>
      </c>
      <c r="Q135" s="29">
        <f t="shared" si="8"/>
        <v>37902.708889999994</v>
      </c>
      <c r="R135" s="26"/>
      <c r="S135" s="26"/>
      <c r="T135" s="26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ht="16.5">
      <c r="A136" s="23" t="s">
        <v>4</v>
      </c>
      <c r="B136" s="24" t="s">
        <v>206</v>
      </c>
      <c r="C136" s="24" t="s">
        <v>209</v>
      </c>
      <c r="D136" s="25">
        <v>17.234999999999999</v>
      </c>
      <c r="E136" s="25">
        <f>25.574-D136</f>
        <v>8.3390000000000022</v>
      </c>
      <c r="F136" s="26">
        <v>3.06</v>
      </c>
      <c r="G136" s="26">
        <v>17.239999999999998</v>
      </c>
      <c r="H136" s="27">
        <f t="shared" si="9"/>
        <v>45.873999999999995</v>
      </c>
      <c r="I136" s="26">
        <v>3427.75</v>
      </c>
      <c r="J136" s="26">
        <v>3427.75</v>
      </c>
      <c r="K136" s="26">
        <v>1624.12</v>
      </c>
      <c r="L136" s="26">
        <v>1721.56</v>
      </c>
      <c r="M136" s="28">
        <f t="shared" si="11"/>
        <v>31085.563050000001</v>
      </c>
      <c r="N136" s="29">
        <f t="shared" si="7"/>
        <v>15040.470570000005</v>
      </c>
      <c r="O136" s="29">
        <f t="shared" si="7"/>
        <v>5220.9414000000006</v>
      </c>
      <c r="P136" s="29">
        <f t="shared" si="10"/>
        <v>29414.7156</v>
      </c>
      <c r="Q136" s="29">
        <f t="shared" si="8"/>
        <v>80761.690620000008</v>
      </c>
      <c r="R136" s="26"/>
      <c r="S136" s="26"/>
      <c r="T136" s="26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ht="16.5">
      <c r="A137" s="23" t="s">
        <v>300</v>
      </c>
      <c r="B137" s="24" t="s">
        <v>202</v>
      </c>
      <c r="C137" s="24" t="s">
        <v>203</v>
      </c>
      <c r="D137" s="25">
        <v>2007.289</v>
      </c>
      <c r="E137" s="25">
        <f>2709.487-D137</f>
        <v>702.19800000000009</v>
      </c>
      <c r="F137" s="26">
        <v>574</v>
      </c>
      <c r="G137" s="26">
        <v>1823.9</v>
      </c>
      <c r="H137" s="27">
        <f t="shared" si="9"/>
        <v>5107.3870000000006</v>
      </c>
      <c r="I137" s="26">
        <v>3219.28</v>
      </c>
      <c r="J137" s="26">
        <v>3401.96</v>
      </c>
      <c r="K137" s="26">
        <v>1266.77</v>
      </c>
      <c r="L137" s="26">
        <v>1342.78</v>
      </c>
      <c r="M137" s="28">
        <f t="shared" si="11"/>
        <v>3919251.8453900004</v>
      </c>
      <c r="N137" s="29">
        <f t="shared" si="7"/>
        <v>1371048.6169800004</v>
      </c>
      <c r="O137" s="29">
        <f t="shared" si="7"/>
        <v>1181969.32</v>
      </c>
      <c r="P137" s="29">
        <f t="shared" si="10"/>
        <v>3755738.4020000007</v>
      </c>
      <c r="Q137" s="29">
        <f t="shared" si="8"/>
        <v>10228008.184370002</v>
      </c>
      <c r="R137" s="26"/>
      <c r="S137" s="26"/>
      <c r="T137" s="26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ht="16.5">
      <c r="A138" s="23" t="s">
        <v>11</v>
      </c>
      <c r="B138" s="24" t="s">
        <v>198</v>
      </c>
      <c r="C138" s="24" t="s">
        <v>199</v>
      </c>
      <c r="D138" s="25">
        <v>282.57900000000001</v>
      </c>
      <c r="E138" s="25">
        <f>397.766-D138</f>
        <v>115.18700000000001</v>
      </c>
      <c r="F138" s="26">
        <v>30</v>
      </c>
      <c r="G138" s="26">
        <v>251.38</v>
      </c>
      <c r="H138" s="27">
        <f t="shared" si="9"/>
        <v>679.14599999999996</v>
      </c>
      <c r="I138" s="26">
        <v>2689.07</v>
      </c>
      <c r="J138" s="26">
        <v>2710.05</v>
      </c>
      <c r="K138" s="26">
        <v>1514.92</v>
      </c>
      <c r="L138" s="26">
        <v>1605.82</v>
      </c>
      <c r="M138" s="28">
        <f t="shared" si="11"/>
        <v>331790.13285000005</v>
      </c>
      <c r="N138" s="29">
        <f t="shared" ref="N138:O199" si="12">E138*(I138-K138)</f>
        <v>135246.81605000002</v>
      </c>
      <c r="O138" s="29">
        <f t="shared" si="12"/>
        <v>33126.900000000009</v>
      </c>
      <c r="P138" s="29">
        <f t="shared" si="10"/>
        <v>277581.33740000008</v>
      </c>
      <c r="Q138" s="29">
        <f t="shared" ref="Q138:Q199" si="13">SUM(M138:P138)</f>
        <v>777745.18630000018</v>
      </c>
      <c r="R138" s="26"/>
      <c r="S138" s="26"/>
      <c r="T138" s="26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ht="16.5">
      <c r="A139" s="23" t="s">
        <v>35</v>
      </c>
      <c r="B139" s="24" t="s">
        <v>204</v>
      </c>
      <c r="C139" s="24" t="s">
        <v>205</v>
      </c>
      <c r="D139" s="25">
        <v>61.494</v>
      </c>
      <c r="E139" s="25">
        <f>91.511-D139</f>
        <v>30.016999999999996</v>
      </c>
      <c r="F139" s="26">
        <v>11.154</v>
      </c>
      <c r="G139" s="26">
        <v>68.516000000000005</v>
      </c>
      <c r="H139" s="27">
        <f t="shared" si="9"/>
        <v>171.18099999999998</v>
      </c>
      <c r="I139" s="26">
        <v>5037.03</v>
      </c>
      <c r="J139" s="26">
        <v>5703.25</v>
      </c>
      <c r="K139" s="26">
        <v>1722.66</v>
      </c>
      <c r="L139" s="26">
        <v>1826.02</v>
      </c>
      <c r="M139" s="28">
        <f t="shared" si="11"/>
        <v>203813.86877999999</v>
      </c>
      <c r="N139" s="29">
        <f t="shared" si="12"/>
        <v>99487.444289999985</v>
      </c>
      <c r="O139" s="29">
        <f t="shared" si="12"/>
        <v>43246.623419999996</v>
      </c>
      <c r="P139" s="29">
        <f t="shared" si="10"/>
        <v>265652.29068000003</v>
      </c>
      <c r="Q139" s="29">
        <f t="shared" si="13"/>
        <v>612200.22717000009</v>
      </c>
      <c r="R139" s="26"/>
      <c r="S139" s="26"/>
      <c r="T139" s="26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ht="16.5">
      <c r="A140" s="23" t="s">
        <v>38</v>
      </c>
      <c r="B140" s="24" t="s">
        <v>210</v>
      </c>
      <c r="C140" s="24" t="s">
        <v>211</v>
      </c>
      <c r="D140" s="25">
        <v>16.134</v>
      </c>
      <c r="E140" s="25">
        <f>23.941-D140</f>
        <v>7.8069999999999986</v>
      </c>
      <c r="F140" s="26">
        <v>4.226</v>
      </c>
      <c r="G140" s="26">
        <v>25.359000000000002</v>
      </c>
      <c r="H140" s="27">
        <f t="shared" si="9"/>
        <v>53.525999999999996</v>
      </c>
      <c r="I140" s="26">
        <v>3063.82</v>
      </c>
      <c r="J140" s="26">
        <v>4035.32</v>
      </c>
      <c r="K140" s="26">
        <v>1270.55</v>
      </c>
      <c r="L140" s="26">
        <v>1346.78</v>
      </c>
      <c r="M140" s="28">
        <f t="shared" si="11"/>
        <v>28932.618180000005</v>
      </c>
      <c r="N140" s="29">
        <f t="shared" si="12"/>
        <v>14000.058889999998</v>
      </c>
      <c r="O140" s="29">
        <f t="shared" si="12"/>
        <v>11361.770039999999</v>
      </c>
      <c r="P140" s="29">
        <f t="shared" si="10"/>
        <v>68178.685859999998</v>
      </c>
      <c r="Q140" s="29">
        <f t="shared" si="13"/>
        <v>122473.13297000001</v>
      </c>
      <c r="R140" s="26"/>
      <c r="S140" s="26"/>
      <c r="T140" s="26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ht="16.5">
      <c r="A141" s="23" t="s">
        <v>301</v>
      </c>
      <c r="B141" s="24" t="s">
        <v>200</v>
      </c>
      <c r="C141" s="24" t="s">
        <v>201</v>
      </c>
      <c r="D141" s="25">
        <v>588.83600000000001</v>
      </c>
      <c r="E141" s="25">
        <f>861.203-D141</f>
        <v>272.36699999999996</v>
      </c>
      <c r="F141" s="26">
        <v>75.540000000000006</v>
      </c>
      <c r="G141" s="26">
        <v>549.63</v>
      </c>
      <c r="H141" s="27">
        <f t="shared" si="9"/>
        <v>1486.373</v>
      </c>
      <c r="I141" s="26">
        <v>2395.3200000000002</v>
      </c>
      <c r="J141" s="26">
        <v>2395.3200000000002</v>
      </c>
      <c r="K141" s="26">
        <v>1432.43</v>
      </c>
      <c r="L141" s="26">
        <v>1518.38</v>
      </c>
      <c r="M141" s="28">
        <f t="shared" si="11"/>
        <v>566984.29604000004</v>
      </c>
      <c r="N141" s="29">
        <f t="shared" si="12"/>
        <v>262259.46062999999</v>
      </c>
      <c r="O141" s="29">
        <f t="shared" si="12"/>
        <v>66244.047600000005</v>
      </c>
      <c r="P141" s="29">
        <f t="shared" si="10"/>
        <v>481992.53220000002</v>
      </c>
      <c r="Q141" s="29">
        <f t="shared" si="13"/>
        <v>1377480.33647</v>
      </c>
      <c r="R141" s="26"/>
      <c r="S141" s="26"/>
      <c r="T141" s="26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ht="16.5">
      <c r="A142" s="23" t="s">
        <v>298</v>
      </c>
      <c r="B142" s="24" t="s">
        <v>214</v>
      </c>
      <c r="C142" s="24" t="s">
        <v>215</v>
      </c>
      <c r="D142" s="25">
        <v>52.5</v>
      </c>
      <c r="E142" s="25">
        <f>72.75-D142</f>
        <v>20.25</v>
      </c>
      <c r="F142" s="26">
        <v>28.9</v>
      </c>
      <c r="G142" s="26">
        <v>28.9</v>
      </c>
      <c r="H142" s="27">
        <f t="shared" si="9"/>
        <v>130.55000000000001</v>
      </c>
      <c r="I142" s="26">
        <v>3988.08</v>
      </c>
      <c r="J142" s="26">
        <v>3988.08</v>
      </c>
      <c r="K142" s="26">
        <v>1711.27</v>
      </c>
      <c r="L142" s="26">
        <v>1813.95</v>
      </c>
      <c r="M142" s="28">
        <f t="shared" si="11"/>
        <v>119532.52499999999</v>
      </c>
      <c r="N142" s="29">
        <f t="shared" si="12"/>
        <v>46105.402499999997</v>
      </c>
      <c r="O142" s="29">
        <f t="shared" si="12"/>
        <v>62832.357000000004</v>
      </c>
      <c r="P142" s="29">
        <f t="shared" si="10"/>
        <v>62832.357000000004</v>
      </c>
      <c r="Q142" s="29">
        <f t="shared" si="13"/>
        <v>291302.64150000003</v>
      </c>
      <c r="R142" s="26"/>
      <c r="S142" s="26"/>
      <c r="T142" s="26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ht="16.5">
      <c r="A143" s="23" t="s">
        <v>297</v>
      </c>
      <c r="B143" s="24" t="s">
        <v>216</v>
      </c>
      <c r="C143" s="24" t="s">
        <v>217</v>
      </c>
      <c r="D143" s="25">
        <v>7.7489999999999997</v>
      </c>
      <c r="E143" s="25">
        <f>10.331-D143</f>
        <v>2.5819999999999999</v>
      </c>
      <c r="F143" s="26">
        <v>0.49</v>
      </c>
      <c r="G143" s="26">
        <v>3.02</v>
      </c>
      <c r="H143" s="27">
        <f t="shared" si="9"/>
        <v>13.840999999999999</v>
      </c>
      <c r="I143" s="26">
        <v>3372.99</v>
      </c>
      <c r="J143" s="26">
        <v>3443.19</v>
      </c>
      <c r="K143" s="26">
        <v>1711.11</v>
      </c>
      <c r="L143" s="26">
        <v>1813.78</v>
      </c>
      <c r="M143" s="28">
        <f t="shared" si="11"/>
        <v>12877.908119999998</v>
      </c>
      <c r="N143" s="29">
        <f t="shared" si="12"/>
        <v>4290.9741599999998</v>
      </c>
      <c r="O143" s="29">
        <f t="shared" si="12"/>
        <v>798.41089999999997</v>
      </c>
      <c r="P143" s="29">
        <f t="shared" si="10"/>
        <v>4920.8182000000006</v>
      </c>
      <c r="Q143" s="29">
        <f t="shared" si="13"/>
        <v>22888.111379999998</v>
      </c>
      <c r="R143" s="26"/>
      <c r="S143" s="26"/>
      <c r="T143" s="26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ht="16.5">
      <c r="A144" s="23" t="s">
        <v>296</v>
      </c>
      <c r="B144" s="24" t="s">
        <v>339</v>
      </c>
      <c r="C144" s="24" t="s">
        <v>340</v>
      </c>
      <c r="D144" s="25">
        <v>58.247999999999998</v>
      </c>
      <c r="E144" s="25">
        <f>87.059-D144</f>
        <v>28.811</v>
      </c>
      <c r="F144" s="26">
        <v>10.36</v>
      </c>
      <c r="G144" s="26">
        <v>58.25</v>
      </c>
      <c r="H144" s="27">
        <f t="shared" ref="H144:H199" si="14">SUM(D144:G144)</f>
        <v>155.66899999999998</v>
      </c>
      <c r="I144" s="26">
        <v>3455.66</v>
      </c>
      <c r="J144" s="26">
        <v>3455.66</v>
      </c>
      <c r="K144" s="26">
        <v>1516.37</v>
      </c>
      <c r="L144" s="26">
        <v>1607.35</v>
      </c>
      <c r="M144" s="28">
        <f t="shared" si="11"/>
        <v>112959.76392</v>
      </c>
      <c r="N144" s="29">
        <f t="shared" si="12"/>
        <v>55872.884189999997</v>
      </c>
      <c r="O144" s="29">
        <f t="shared" si="12"/>
        <v>19148.491599999998</v>
      </c>
      <c r="P144" s="29">
        <f t="shared" ref="P144:P199" si="15">G144*(J144-L144)</f>
        <v>107664.0575</v>
      </c>
      <c r="Q144" s="29">
        <f t="shared" si="13"/>
        <v>295645.19721000001</v>
      </c>
      <c r="R144" s="26"/>
      <c r="S144" s="26"/>
      <c r="T144" s="26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4" ht="17.25">
      <c r="A145" s="63" t="s">
        <v>218</v>
      </c>
      <c r="B145" s="63"/>
      <c r="C145" s="63"/>
      <c r="D145" s="22"/>
      <c r="E145" s="22"/>
      <c r="F145" s="20"/>
      <c r="G145" s="20"/>
      <c r="H145" s="27">
        <f t="shared" si="14"/>
        <v>0</v>
      </c>
      <c r="I145" s="20"/>
      <c r="J145" s="20"/>
      <c r="K145" s="20"/>
      <c r="L145" s="20"/>
      <c r="M145" s="28">
        <f t="shared" ref="M145:M199" si="16">D145*(I145-K145)</f>
        <v>0</v>
      </c>
      <c r="N145" s="29">
        <f t="shared" si="12"/>
        <v>0</v>
      </c>
      <c r="O145" s="29">
        <f t="shared" si="12"/>
        <v>0</v>
      </c>
      <c r="P145" s="29">
        <f t="shared" si="15"/>
        <v>0</v>
      </c>
      <c r="Q145" s="29">
        <f t="shared" si="13"/>
        <v>0</v>
      </c>
      <c r="R145" s="30"/>
      <c r="S145" s="30"/>
      <c r="T145" s="30"/>
    </row>
    <row r="146" spans="1:184" ht="16.5">
      <c r="A146" s="23" t="s">
        <v>290</v>
      </c>
      <c r="B146" s="24" t="s">
        <v>232</v>
      </c>
      <c r="C146" s="24" t="s">
        <v>224</v>
      </c>
      <c r="D146" s="25">
        <v>1057.806</v>
      </c>
      <c r="E146" s="25">
        <f>1608.053-D146</f>
        <v>550.24700000000007</v>
      </c>
      <c r="F146" s="26">
        <v>335.363</v>
      </c>
      <c r="G146" s="26">
        <v>1006.087</v>
      </c>
      <c r="H146" s="27">
        <f t="shared" si="14"/>
        <v>2949.5030000000002</v>
      </c>
      <c r="I146" s="26">
        <v>3701.27</v>
      </c>
      <c r="J146" s="26">
        <v>3926.29</v>
      </c>
      <c r="K146" s="26">
        <v>1357.11</v>
      </c>
      <c r="L146" s="26">
        <v>1411.39</v>
      </c>
      <c r="M146" s="28">
        <f>D146*(I146-K146)</f>
        <v>2479666.51296</v>
      </c>
      <c r="N146" s="29">
        <f t="shared" si="12"/>
        <v>1289867.00752</v>
      </c>
      <c r="O146" s="29">
        <f t="shared" si="12"/>
        <v>843404.40869999991</v>
      </c>
      <c r="P146" s="29">
        <f t="shared" si="15"/>
        <v>2530208.1962999995</v>
      </c>
      <c r="Q146" s="29">
        <f t="shared" si="13"/>
        <v>7143146.1254799999</v>
      </c>
      <c r="R146" s="26"/>
      <c r="S146" s="26"/>
      <c r="T146" s="26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4" ht="16.5">
      <c r="A147" s="23" t="s">
        <v>290</v>
      </c>
      <c r="B147" s="24" t="s">
        <v>232</v>
      </c>
      <c r="C147" s="24" t="s">
        <v>335</v>
      </c>
      <c r="D147" s="25">
        <v>824.72199999999998</v>
      </c>
      <c r="E147" s="25">
        <f>1308.708-D147</f>
        <v>483.9860000000001</v>
      </c>
      <c r="F147" s="26">
        <v>282.78800000000001</v>
      </c>
      <c r="G147" s="26">
        <v>848.36400000000003</v>
      </c>
      <c r="H147" s="27">
        <f>SUM(D147:G147)</f>
        <v>2439.86</v>
      </c>
      <c r="I147" s="26">
        <v>3569.37</v>
      </c>
      <c r="J147" s="26">
        <v>3569.37</v>
      </c>
      <c r="K147" s="26">
        <v>1346.75</v>
      </c>
      <c r="L147" s="26">
        <v>1400.62</v>
      </c>
      <c r="M147" s="28">
        <f>D147*(I147-K147)</f>
        <v>1833043.6116399998</v>
      </c>
      <c r="N147" s="29">
        <f t="shared" si="12"/>
        <v>1075716.9633200001</v>
      </c>
      <c r="O147" s="29">
        <f t="shared" si="12"/>
        <v>613296.47499999998</v>
      </c>
      <c r="P147" s="29">
        <f t="shared" si="15"/>
        <v>1839889.425</v>
      </c>
      <c r="Q147" s="29">
        <f t="shared" si="13"/>
        <v>5361946.4749600003</v>
      </c>
      <c r="R147" s="26"/>
      <c r="S147" s="26"/>
      <c r="T147" s="26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4" ht="16.5">
      <c r="A148" s="23" t="s">
        <v>33</v>
      </c>
      <c r="B148" s="24" t="s">
        <v>231</v>
      </c>
      <c r="C148" s="24" t="s">
        <v>224</v>
      </c>
      <c r="D148" s="25">
        <v>3247.299</v>
      </c>
      <c r="E148" s="25">
        <f>4909.36-D148</f>
        <v>1662.0609999999997</v>
      </c>
      <c r="F148" s="26">
        <v>642.72</v>
      </c>
      <c r="G148" s="26">
        <v>3642.1</v>
      </c>
      <c r="H148" s="27">
        <f t="shared" si="14"/>
        <v>9194.18</v>
      </c>
      <c r="I148" s="26">
        <v>3174.84</v>
      </c>
      <c r="J148" s="26">
        <v>3358.59</v>
      </c>
      <c r="K148" s="26">
        <v>1346.75</v>
      </c>
      <c r="L148" s="26">
        <v>1400.62</v>
      </c>
      <c r="M148" s="28">
        <f t="shared" si="16"/>
        <v>5936354.8289100006</v>
      </c>
      <c r="N148" s="29">
        <f t="shared" si="12"/>
        <v>3038397.0934899999</v>
      </c>
      <c r="O148" s="29">
        <f t="shared" si="12"/>
        <v>1258426.4784000001</v>
      </c>
      <c r="P148" s="29">
        <f t="shared" si="15"/>
        <v>7131122.5370000005</v>
      </c>
      <c r="Q148" s="29">
        <f t="shared" si="13"/>
        <v>17364300.937800001</v>
      </c>
      <c r="R148" s="26"/>
      <c r="S148" s="26"/>
      <c r="T148" s="26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4" ht="16.5">
      <c r="A149" s="23" t="s">
        <v>294</v>
      </c>
      <c r="B149" s="24" t="s">
        <v>221</v>
      </c>
      <c r="C149" s="24" t="s">
        <v>222</v>
      </c>
      <c r="D149" s="25">
        <v>3756.0909999999999</v>
      </c>
      <c r="E149" s="25">
        <f>5455.784-D149</f>
        <v>1699.6929999999998</v>
      </c>
      <c r="F149" s="26">
        <v>670.09</v>
      </c>
      <c r="G149" s="26">
        <v>2680.35</v>
      </c>
      <c r="H149" s="27">
        <f t="shared" si="14"/>
        <v>8806.2240000000002</v>
      </c>
      <c r="I149" s="26">
        <v>4642.34</v>
      </c>
      <c r="J149" s="26">
        <v>4980.22</v>
      </c>
      <c r="K149" s="26">
        <v>1316.95</v>
      </c>
      <c r="L149" s="26">
        <v>1369.63</v>
      </c>
      <c r="M149" s="28">
        <f t="shared" si="16"/>
        <v>12490467.450490002</v>
      </c>
      <c r="N149" s="29">
        <f t="shared" si="12"/>
        <v>5652142.1052700002</v>
      </c>
      <c r="O149" s="29">
        <f t="shared" si="12"/>
        <v>2419420.2531000003</v>
      </c>
      <c r="P149" s="29">
        <f t="shared" si="15"/>
        <v>9677644.9065000005</v>
      </c>
      <c r="Q149" s="29">
        <f t="shared" si="13"/>
        <v>30239674.715360004</v>
      </c>
      <c r="R149" s="26"/>
      <c r="S149" s="26"/>
      <c r="T149" s="26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</row>
    <row r="150" spans="1:184" ht="16.5">
      <c r="A150" s="23" t="s">
        <v>8</v>
      </c>
      <c r="B150" s="24" t="s">
        <v>225</v>
      </c>
      <c r="C150" s="24" t="s">
        <v>352</v>
      </c>
      <c r="D150" s="25">
        <v>190.41</v>
      </c>
      <c r="E150" s="25">
        <f>317.35-D150</f>
        <v>126.94000000000003</v>
      </c>
      <c r="F150" s="26">
        <v>50.155999999999999</v>
      </c>
      <c r="G150" s="26">
        <v>170.54400000000001</v>
      </c>
      <c r="H150" s="27">
        <f t="shared" si="14"/>
        <v>538.05000000000007</v>
      </c>
      <c r="I150" s="26">
        <v>3371.15</v>
      </c>
      <c r="J150" s="26">
        <v>3371.15</v>
      </c>
      <c r="K150" s="26">
        <v>1372.65</v>
      </c>
      <c r="L150" s="26">
        <v>1427.55</v>
      </c>
      <c r="M150" s="28">
        <f t="shared" si="16"/>
        <v>380534.38500000001</v>
      </c>
      <c r="N150" s="29">
        <f t="shared" si="12"/>
        <v>253689.59000000005</v>
      </c>
      <c r="O150" s="29">
        <f t="shared" si="12"/>
        <v>97483.2016</v>
      </c>
      <c r="P150" s="29">
        <f t="shared" si="15"/>
        <v>331469.31840000005</v>
      </c>
      <c r="Q150" s="29">
        <f t="shared" si="13"/>
        <v>1063176.4950000001</v>
      </c>
      <c r="R150" s="26"/>
      <c r="S150" s="26"/>
      <c r="T150" s="26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4" ht="16.5">
      <c r="A151" s="23" t="s">
        <v>8</v>
      </c>
      <c r="B151" s="24" t="s">
        <v>225</v>
      </c>
      <c r="C151" s="24" t="s">
        <v>351</v>
      </c>
      <c r="D151" s="25">
        <v>67.700999999999993</v>
      </c>
      <c r="E151" s="25">
        <f>112.835-D151</f>
        <v>45.134</v>
      </c>
      <c r="F151" s="26">
        <v>11.087999999999999</v>
      </c>
      <c r="G151" s="26">
        <v>69.67</v>
      </c>
      <c r="H151" s="27">
        <f t="shared" si="14"/>
        <v>193.59299999999999</v>
      </c>
      <c r="I151" s="26">
        <v>3371.15</v>
      </c>
      <c r="J151" s="26">
        <v>3371.15</v>
      </c>
      <c r="K151" s="26">
        <v>1312.2</v>
      </c>
      <c r="L151" s="26">
        <v>1364.68</v>
      </c>
      <c r="M151" s="28">
        <f t="shared" si="16"/>
        <v>139392.97394999999</v>
      </c>
      <c r="N151" s="29">
        <f t="shared" si="12"/>
        <v>92928.64929999999</v>
      </c>
      <c r="O151" s="29">
        <f t="shared" si="12"/>
        <v>22247.73936</v>
      </c>
      <c r="P151" s="29">
        <f t="shared" si="15"/>
        <v>139790.76490000001</v>
      </c>
      <c r="Q151" s="29">
        <f t="shared" si="13"/>
        <v>394360.12751000002</v>
      </c>
      <c r="R151" s="26"/>
      <c r="S151" s="26"/>
      <c r="T151" s="26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4" ht="16.5">
      <c r="A152" s="23" t="s">
        <v>293</v>
      </c>
      <c r="B152" s="24" t="s">
        <v>223</v>
      </c>
      <c r="C152" s="24" t="s">
        <v>224</v>
      </c>
      <c r="D152" s="25">
        <v>4684.1090000000004</v>
      </c>
      <c r="E152" s="25">
        <f>6718.721-D152</f>
        <v>2034.6119999999992</v>
      </c>
      <c r="F152" s="26">
        <v>732</v>
      </c>
      <c r="G152" s="26">
        <v>3571</v>
      </c>
      <c r="H152" s="27">
        <f t="shared" si="14"/>
        <v>11021.721</v>
      </c>
      <c r="I152" s="26">
        <v>3175.65</v>
      </c>
      <c r="J152" s="26">
        <v>3175.65</v>
      </c>
      <c r="K152" s="26">
        <v>1346.75</v>
      </c>
      <c r="L152" s="26">
        <v>1400.62</v>
      </c>
      <c r="M152" s="28">
        <f t="shared" si="16"/>
        <v>8566766.9501000009</v>
      </c>
      <c r="N152" s="29">
        <f t="shared" si="12"/>
        <v>3721101.8867999986</v>
      </c>
      <c r="O152" s="29">
        <f t="shared" si="12"/>
        <v>1299321.9600000002</v>
      </c>
      <c r="P152" s="29">
        <f t="shared" si="15"/>
        <v>6338632.1300000008</v>
      </c>
      <c r="Q152" s="29">
        <f t="shared" si="13"/>
        <v>19925822.926899999</v>
      </c>
      <c r="R152" s="26"/>
      <c r="S152" s="26"/>
      <c r="T152" s="26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4" ht="33">
      <c r="A153" s="23" t="s">
        <v>292</v>
      </c>
      <c r="B153" s="24" t="s">
        <v>367</v>
      </c>
      <c r="C153" s="24" t="s">
        <v>360</v>
      </c>
      <c r="D153" s="25">
        <v>446.66899999999998</v>
      </c>
      <c r="E153" s="25">
        <f>664.262-D153</f>
        <v>217.59299999999996</v>
      </c>
      <c r="F153" s="26">
        <v>91.507000000000005</v>
      </c>
      <c r="G153" s="26">
        <v>335.70299999999997</v>
      </c>
      <c r="H153" s="27">
        <f t="shared" si="14"/>
        <v>1091.472</v>
      </c>
      <c r="I153" s="26">
        <v>4649.43</v>
      </c>
      <c r="J153" s="26">
        <v>4649.43</v>
      </c>
      <c r="K153" s="26">
        <v>1346.75</v>
      </c>
      <c r="L153" s="26">
        <v>1400.62</v>
      </c>
      <c r="M153" s="28">
        <f t="shared" si="16"/>
        <v>1475204.7729200001</v>
      </c>
      <c r="N153" s="29">
        <f t="shared" si="12"/>
        <v>718640.04923999996</v>
      </c>
      <c r="O153" s="29">
        <f t="shared" si="12"/>
        <v>297288.85667000007</v>
      </c>
      <c r="P153" s="29">
        <f t="shared" si="15"/>
        <v>1090635.26343</v>
      </c>
      <c r="Q153" s="29">
        <f t="shared" si="13"/>
        <v>3581768.9422599999</v>
      </c>
      <c r="R153" s="26"/>
      <c r="S153" s="26"/>
      <c r="T153" s="26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4" ht="33">
      <c r="A154" s="23" t="s">
        <v>292</v>
      </c>
      <c r="B154" s="24" t="s">
        <v>368</v>
      </c>
      <c r="C154" s="24" t="s">
        <v>361</v>
      </c>
      <c r="D154" s="25">
        <v>384.93900000000002</v>
      </c>
      <c r="E154" s="25">
        <f>641.565-D154</f>
        <v>256.62600000000003</v>
      </c>
      <c r="F154" s="26">
        <v>93.045000000000002</v>
      </c>
      <c r="G154" s="26">
        <v>341.74700000000001</v>
      </c>
      <c r="H154" s="27">
        <f t="shared" si="14"/>
        <v>1076.357</v>
      </c>
      <c r="I154" s="26">
        <v>4649.43</v>
      </c>
      <c r="J154" s="26">
        <v>4649.43</v>
      </c>
      <c r="K154" s="26">
        <v>1307.26</v>
      </c>
      <c r="L154" s="26">
        <v>1359.55</v>
      </c>
      <c r="M154" s="28">
        <f t="shared" si="16"/>
        <v>1286531.5776300002</v>
      </c>
      <c r="N154" s="29">
        <f t="shared" si="12"/>
        <v>857687.71842000016</v>
      </c>
      <c r="O154" s="29">
        <f t="shared" si="12"/>
        <v>306106.88459999999</v>
      </c>
      <c r="P154" s="29">
        <f t="shared" si="15"/>
        <v>1124306.6203600001</v>
      </c>
      <c r="Q154" s="29">
        <f t="shared" si="13"/>
        <v>3574632.8010100005</v>
      </c>
      <c r="R154" s="26"/>
      <c r="S154" s="26"/>
      <c r="T154" s="26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</row>
    <row r="155" spans="1:184" ht="33">
      <c r="A155" s="23" t="s">
        <v>295</v>
      </c>
      <c r="B155" s="24" t="s">
        <v>219</v>
      </c>
      <c r="C155" s="24" t="s">
        <v>220</v>
      </c>
      <c r="D155" s="25">
        <v>6560.8829999999998</v>
      </c>
      <c r="E155" s="25">
        <f>9756.465-D155</f>
        <v>3195.5820000000003</v>
      </c>
      <c r="F155" s="26">
        <v>1036.94</v>
      </c>
      <c r="G155" s="26">
        <v>8651.2000000000007</v>
      </c>
      <c r="H155" s="27">
        <f t="shared" si="14"/>
        <v>19444.605000000003</v>
      </c>
      <c r="I155" s="26">
        <v>3530.24</v>
      </c>
      <c r="J155" s="26">
        <v>3706.39</v>
      </c>
      <c r="K155" s="26">
        <v>1116.06</v>
      </c>
      <c r="L155" s="26">
        <v>1160.7</v>
      </c>
      <c r="M155" s="28">
        <f t="shared" si="16"/>
        <v>15839152.520939998</v>
      </c>
      <c r="N155" s="29">
        <f t="shared" si="12"/>
        <v>7714710.15276</v>
      </c>
      <c r="O155" s="29">
        <f t="shared" si="12"/>
        <v>2639727.7885999996</v>
      </c>
      <c r="P155" s="29">
        <f t="shared" si="15"/>
        <v>22023273.327999998</v>
      </c>
      <c r="Q155" s="29">
        <f t="shared" si="13"/>
        <v>48216863.790299997</v>
      </c>
      <c r="R155" s="26"/>
      <c r="S155" s="26"/>
      <c r="T155" s="26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4" ht="16.5">
      <c r="A156" s="23" t="s">
        <v>288</v>
      </c>
      <c r="B156" s="24" t="s">
        <v>96</v>
      </c>
      <c r="C156" s="24" t="s">
        <v>234</v>
      </c>
      <c r="D156" s="25">
        <f>2830.83+79.65</f>
        <v>2910.48</v>
      </c>
      <c r="E156" s="25">
        <f>4168.92-D156+79.65</f>
        <v>1338.0900000000001</v>
      </c>
      <c r="F156" s="26">
        <v>297.31</v>
      </c>
      <c r="G156" s="26">
        <v>2925.15</v>
      </c>
      <c r="H156" s="27">
        <f t="shared" si="14"/>
        <v>7471.0300000000007</v>
      </c>
      <c r="I156" s="26">
        <v>4639.22</v>
      </c>
      <c r="J156" s="26">
        <v>4639.22</v>
      </c>
      <c r="K156" s="26">
        <v>1287.44</v>
      </c>
      <c r="L156" s="26">
        <v>1338.93</v>
      </c>
      <c r="M156" s="28">
        <f>(4639.22-1287.44)*2830.83+79.65*(5343.25-1287.44)</f>
        <v>9811364.6438999996</v>
      </c>
      <c r="N156" s="29">
        <f t="shared" si="12"/>
        <v>4484983.3002000004</v>
      </c>
      <c r="O156" s="29">
        <f t="shared" si="12"/>
        <v>981209.21990000003</v>
      </c>
      <c r="P156" s="29">
        <f t="shared" si="15"/>
        <v>9653843.2935000006</v>
      </c>
      <c r="Q156" s="29">
        <f t="shared" si="13"/>
        <v>24931400.457500003</v>
      </c>
      <c r="R156" s="26"/>
      <c r="S156" s="26"/>
      <c r="T156" s="26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4" ht="16.5">
      <c r="A157" s="23" t="s">
        <v>9</v>
      </c>
      <c r="B157" s="24" t="s">
        <v>227</v>
      </c>
      <c r="C157" s="24" t="s">
        <v>226</v>
      </c>
      <c r="D157" s="25">
        <v>3297.232</v>
      </c>
      <c r="E157" s="25">
        <f>4870.428-D157</f>
        <v>1573.1959999999999</v>
      </c>
      <c r="F157" s="26">
        <v>456.35399999999998</v>
      </c>
      <c r="G157" s="26">
        <v>2586.0059999999999</v>
      </c>
      <c r="H157" s="27">
        <f t="shared" si="14"/>
        <v>7912.7880000000005</v>
      </c>
      <c r="I157" s="26">
        <v>3734.98</v>
      </c>
      <c r="J157" s="26">
        <v>3734.98</v>
      </c>
      <c r="K157" s="26">
        <v>1346.75</v>
      </c>
      <c r="L157" s="26">
        <v>1400.62</v>
      </c>
      <c r="M157" s="28">
        <f t="shared" si="16"/>
        <v>7874548.3793599997</v>
      </c>
      <c r="N157" s="29">
        <f t="shared" si="12"/>
        <v>3757153.8830799996</v>
      </c>
      <c r="O157" s="29">
        <f t="shared" si="12"/>
        <v>1065294.5234400001</v>
      </c>
      <c r="P157" s="29">
        <f t="shared" si="15"/>
        <v>6036668.9661600003</v>
      </c>
      <c r="Q157" s="29">
        <f t="shared" si="13"/>
        <v>18733665.752039999</v>
      </c>
      <c r="R157" s="26"/>
      <c r="S157" s="26"/>
      <c r="T157" s="26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4" ht="16.5">
      <c r="A158" s="23" t="s">
        <v>9</v>
      </c>
      <c r="B158" s="24" t="s">
        <v>227</v>
      </c>
      <c r="C158" s="24" t="s">
        <v>228</v>
      </c>
      <c r="D158" s="25">
        <v>1462.5640000000001</v>
      </c>
      <c r="E158" s="25">
        <f>2218.433-D158</f>
        <v>755.86899999999991</v>
      </c>
      <c r="F158" s="26">
        <v>262.50599999999997</v>
      </c>
      <c r="G158" s="26">
        <v>1487.5340000000001</v>
      </c>
      <c r="H158" s="27">
        <f t="shared" si="14"/>
        <v>3968.473</v>
      </c>
      <c r="I158" s="26">
        <v>4010.72</v>
      </c>
      <c r="J158" s="26">
        <v>4835.45</v>
      </c>
      <c r="K158" s="26">
        <v>1346.75</v>
      </c>
      <c r="L158" s="26">
        <v>1400.62</v>
      </c>
      <c r="M158" s="28">
        <f t="shared" si="16"/>
        <v>3896226.6190800001</v>
      </c>
      <c r="N158" s="29">
        <f t="shared" si="12"/>
        <v>2013612.3399299996</v>
      </c>
      <c r="O158" s="29">
        <f t="shared" si="12"/>
        <v>901663.4839799999</v>
      </c>
      <c r="P158" s="29">
        <f t="shared" si="15"/>
        <v>5109426.4092199998</v>
      </c>
      <c r="Q158" s="29">
        <f t="shared" si="13"/>
        <v>11920928.85221</v>
      </c>
      <c r="R158" s="26"/>
      <c r="S158" s="26"/>
      <c r="T158" s="26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4" ht="16.5">
      <c r="A159" s="23" t="s">
        <v>9</v>
      </c>
      <c r="B159" s="24" t="s">
        <v>227</v>
      </c>
      <c r="C159" s="24" t="s">
        <v>74</v>
      </c>
      <c r="D159" s="25">
        <v>707.62800000000004</v>
      </c>
      <c r="E159" s="25">
        <f>1102.977-D159</f>
        <v>395.34900000000005</v>
      </c>
      <c r="F159" s="26">
        <v>215.04400000000001</v>
      </c>
      <c r="G159" s="26">
        <v>731.13599999999997</v>
      </c>
      <c r="H159" s="27">
        <f t="shared" si="14"/>
        <v>2049.1570000000002</v>
      </c>
      <c r="I159" s="26">
        <v>3473.49</v>
      </c>
      <c r="J159" s="26">
        <v>4138.99</v>
      </c>
      <c r="K159" s="26">
        <v>1346.75</v>
      </c>
      <c r="L159" s="26">
        <v>1400.62</v>
      </c>
      <c r="M159" s="28">
        <f t="shared" si="16"/>
        <v>1504940.77272</v>
      </c>
      <c r="N159" s="29">
        <f t="shared" si="12"/>
        <v>840804.53226000001</v>
      </c>
      <c r="O159" s="29">
        <f t="shared" si="12"/>
        <v>588870.03827999998</v>
      </c>
      <c r="P159" s="29">
        <f t="shared" si="15"/>
        <v>2002120.8883199999</v>
      </c>
      <c r="Q159" s="29">
        <f t="shared" si="13"/>
        <v>4936736.2315800004</v>
      </c>
      <c r="R159" s="26"/>
      <c r="S159" s="26"/>
      <c r="T159" s="26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4" ht="16.5">
      <c r="A160" s="23" t="s">
        <v>291</v>
      </c>
      <c r="B160" s="24" t="s">
        <v>229</v>
      </c>
      <c r="C160" s="24" t="s">
        <v>230</v>
      </c>
      <c r="D160" s="25">
        <v>2157.5250000000001</v>
      </c>
      <c r="E160" s="25">
        <f>3247.888-D160</f>
        <v>1090.3629999999998</v>
      </c>
      <c r="F160" s="26">
        <v>400.65</v>
      </c>
      <c r="G160" s="26">
        <v>2047.75</v>
      </c>
      <c r="H160" s="27">
        <f t="shared" si="14"/>
        <v>5696.2880000000005</v>
      </c>
      <c r="I160" s="26">
        <v>3741.23</v>
      </c>
      <c r="J160" s="26">
        <v>3899.1</v>
      </c>
      <c r="K160" s="26">
        <v>1287.44</v>
      </c>
      <c r="L160" s="26">
        <v>1338.93</v>
      </c>
      <c r="M160" s="28">
        <f t="shared" si="16"/>
        <v>5294113.26975</v>
      </c>
      <c r="N160" s="29">
        <f t="shared" si="12"/>
        <v>2675521.8257699995</v>
      </c>
      <c r="O160" s="29">
        <f t="shared" si="12"/>
        <v>1025732.1105</v>
      </c>
      <c r="P160" s="29">
        <f t="shared" si="15"/>
        <v>5242588.1174999997</v>
      </c>
      <c r="Q160" s="29">
        <f t="shared" si="13"/>
        <v>14237955.323519999</v>
      </c>
      <c r="R160" s="26"/>
      <c r="S160" s="26"/>
      <c r="T160" s="26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</row>
    <row r="161" spans="1:184" ht="16.5">
      <c r="A161" s="23" t="s">
        <v>289</v>
      </c>
      <c r="B161" s="24" t="s">
        <v>233</v>
      </c>
      <c r="C161" s="24" t="s">
        <v>336</v>
      </c>
      <c r="D161" s="25">
        <v>2831.7330000000002</v>
      </c>
      <c r="E161" s="25">
        <f>4262.825-D161</f>
        <v>1431.0919999999996</v>
      </c>
      <c r="F161" s="26">
        <v>426.31700000000001</v>
      </c>
      <c r="G161" s="26">
        <v>2618.8029999999999</v>
      </c>
      <c r="H161" s="27">
        <f t="shared" si="14"/>
        <v>7307.9449999999997</v>
      </c>
      <c r="I161" s="26">
        <v>3873.61</v>
      </c>
      <c r="J161" s="26">
        <v>3873.61</v>
      </c>
      <c r="K161" s="26">
        <v>1287.44</v>
      </c>
      <c r="L161" s="26">
        <v>1338.93</v>
      </c>
      <c r="M161" s="28">
        <f t="shared" si="16"/>
        <v>7323342.9326100005</v>
      </c>
      <c r="N161" s="29">
        <f t="shared" si="12"/>
        <v>3701047.197639999</v>
      </c>
      <c r="O161" s="29">
        <f t="shared" si="12"/>
        <v>1080577.1735600003</v>
      </c>
      <c r="P161" s="29">
        <f t="shared" si="15"/>
        <v>6637827.5880400008</v>
      </c>
      <c r="Q161" s="29">
        <f t="shared" si="13"/>
        <v>18742794.891850002</v>
      </c>
      <c r="R161" s="26"/>
      <c r="S161" s="26"/>
      <c r="T161" s="26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</row>
    <row r="162" spans="1:184" ht="17.25">
      <c r="A162" s="63" t="s">
        <v>235</v>
      </c>
      <c r="B162" s="63"/>
      <c r="C162" s="63"/>
      <c r="D162" s="22"/>
      <c r="E162" s="22"/>
      <c r="F162" s="20"/>
      <c r="G162" s="20"/>
      <c r="H162" s="27">
        <f t="shared" si="14"/>
        <v>0</v>
      </c>
      <c r="I162" s="20"/>
      <c r="J162" s="20"/>
      <c r="K162" s="20"/>
      <c r="L162" s="20"/>
      <c r="M162" s="28">
        <f t="shared" si="16"/>
        <v>0</v>
      </c>
      <c r="N162" s="29">
        <f t="shared" si="12"/>
        <v>0</v>
      </c>
      <c r="O162" s="29">
        <f t="shared" si="12"/>
        <v>0</v>
      </c>
      <c r="P162" s="29">
        <f t="shared" si="15"/>
        <v>0</v>
      </c>
      <c r="Q162" s="29">
        <f t="shared" si="13"/>
        <v>0</v>
      </c>
      <c r="R162" s="30"/>
      <c r="S162" s="30"/>
      <c r="T162" s="30"/>
    </row>
    <row r="163" spans="1:184" ht="16.5">
      <c r="A163" s="23" t="s">
        <v>287</v>
      </c>
      <c r="B163" s="24" t="s">
        <v>236</v>
      </c>
      <c r="C163" s="24" t="s">
        <v>237</v>
      </c>
      <c r="D163" s="25">
        <v>1854.579</v>
      </c>
      <c r="E163" s="25">
        <f>2745.348-D163</f>
        <v>890.76900000000001</v>
      </c>
      <c r="F163" s="26">
        <v>258.92599999999999</v>
      </c>
      <c r="G163" s="26">
        <v>1590.5440000000001</v>
      </c>
      <c r="H163" s="27">
        <f t="shared" si="14"/>
        <v>4594.8180000000002</v>
      </c>
      <c r="I163" s="26">
        <v>3558.19</v>
      </c>
      <c r="J163" s="26">
        <v>3558.19</v>
      </c>
      <c r="K163" s="26">
        <v>1827.92</v>
      </c>
      <c r="L163" s="26">
        <v>1901.04</v>
      </c>
      <c r="M163" s="28">
        <f t="shared" si="16"/>
        <v>3208922.4063299997</v>
      </c>
      <c r="N163" s="29">
        <f t="shared" si="12"/>
        <v>1541270.87763</v>
      </c>
      <c r="O163" s="29">
        <f t="shared" si="12"/>
        <v>429079.22090000001</v>
      </c>
      <c r="P163" s="29">
        <f t="shared" si="15"/>
        <v>2635769.9896000004</v>
      </c>
      <c r="Q163" s="29">
        <f t="shared" si="13"/>
        <v>7815042.4944599997</v>
      </c>
      <c r="R163" s="26"/>
      <c r="S163" s="26"/>
      <c r="T163" s="26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</row>
    <row r="164" spans="1:184" ht="16.5">
      <c r="A164" s="23" t="s">
        <v>28</v>
      </c>
      <c r="B164" s="24" t="s">
        <v>238</v>
      </c>
      <c r="C164" s="24" t="s">
        <v>237</v>
      </c>
      <c r="D164" s="25">
        <v>2332.665</v>
      </c>
      <c r="E164" s="25">
        <f>3487.96-D164</f>
        <v>1155.2950000000001</v>
      </c>
      <c r="F164" s="26">
        <v>335.20699999999999</v>
      </c>
      <c r="G164" s="26">
        <v>2059.1289999999999</v>
      </c>
      <c r="H164" s="27">
        <f t="shared" si="14"/>
        <v>5882.2960000000003</v>
      </c>
      <c r="I164" s="26">
        <v>3619.01</v>
      </c>
      <c r="J164" s="26">
        <v>3887.9</v>
      </c>
      <c r="K164" s="26">
        <v>1827.92</v>
      </c>
      <c r="L164" s="26">
        <v>1901.04</v>
      </c>
      <c r="M164" s="28">
        <f t="shared" si="16"/>
        <v>4178012.9548500003</v>
      </c>
      <c r="N164" s="29">
        <f t="shared" si="12"/>
        <v>2069237.3215500002</v>
      </c>
      <c r="O164" s="29">
        <f t="shared" si="12"/>
        <v>666009.38002000004</v>
      </c>
      <c r="P164" s="29">
        <f t="shared" si="15"/>
        <v>4091201.0449399999</v>
      </c>
      <c r="Q164" s="29">
        <f t="shared" si="13"/>
        <v>11004460.70136</v>
      </c>
      <c r="R164" s="26"/>
      <c r="S164" s="26"/>
      <c r="T164" s="26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</row>
    <row r="165" spans="1:184" ht="16.5">
      <c r="A165" s="23" t="s">
        <v>28</v>
      </c>
      <c r="B165" s="24" t="s">
        <v>238</v>
      </c>
      <c r="C165" s="24" t="s">
        <v>239</v>
      </c>
      <c r="D165" s="25">
        <v>578.21600000000001</v>
      </c>
      <c r="E165" s="25">
        <f>863.393-D165</f>
        <v>285.17700000000002</v>
      </c>
      <c r="F165" s="26">
        <v>83.802000000000007</v>
      </c>
      <c r="G165" s="26">
        <v>514.78200000000004</v>
      </c>
      <c r="H165" s="27">
        <f t="shared" si="14"/>
        <v>1461.9770000000001</v>
      </c>
      <c r="I165" s="26">
        <v>3619.01</v>
      </c>
      <c r="J165" s="26">
        <v>3887.9</v>
      </c>
      <c r="K165" s="26">
        <v>1827.92</v>
      </c>
      <c r="L165" s="26">
        <v>1901.04</v>
      </c>
      <c r="M165" s="28">
        <f t="shared" si="16"/>
        <v>1035636.8954400001</v>
      </c>
      <c r="N165" s="29">
        <f t="shared" si="12"/>
        <v>510777.67293000006</v>
      </c>
      <c r="O165" s="29">
        <f t="shared" si="12"/>
        <v>166502.84172000003</v>
      </c>
      <c r="P165" s="29">
        <f t="shared" si="15"/>
        <v>1022799.7645200002</v>
      </c>
      <c r="Q165" s="29">
        <f t="shared" si="13"/>
        <v>2735717.1746100006</v>
      </c>
      <c r="R165" s="26"/>
      <c r="S165" s="26"/>
      <c r="T165" s="26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</row>
    <row r="166" spans="1:184" ht="16.5">
      <c r="A166" s="23" t="s">
        <v>31</v>
      </c>
      <c r="B166" s="24" t="s">
        <v>92</v>
      </c>
      <c r="C166" s="24" t="s">
        <v>240</v>
      </c>
      <c r="D166" s="25">
        <v>102.801</v>
      </c>
      <c r="E166" s="25">
        <f>153.649-D166</f>
        <v>50.847999999999999</v>
      </c>
      <c r="F166" s="26">
        <v>4.0679999999999996</v>
      </c>
      <c r="G166" s="26">
        <v>24.99</v>
      </c>
      <c r="H166" s="27">
        <f t="shared" si="14"/>
        <v>182.70700000000002</v>
      </c>
      <c r="I166" s="26">
        <v>3946.62</v>
      </c>
      <c r="J166" s="26">
        <v>3946.62</v>
      </c>
      <c r="K166" s="26">
        <v>1482.79</v>
      </c>
      <c r="L166" s="26">
        <v>1571.76</v>
      </c>
      <c r="M166" s="28">
        <f t="shared" si="16"/>
        <v>253284.18783000001</v>
      </c>
      <c r="N166" s="29">
        <f t="shared" si="12"/>
        <v>125280.82784</v>
      </c>
      <c r="O166" s="29">
        <f t="shared" si="12"/>
        <v>9660.9304799999973</v>
      </c>
      <c r="P166" s="29">
        <f t="shared" si="15"/>
        <v>59347.751399999986</v>
      </c>
      <c r="Q166" s="29">
        <f t="shared" si="13"/>
        <v>447573.69754999998</v>
      </c>
      <c r="R166" s="26"/>
      <c r="S166" s="26"/>
      <c r="T166" s="26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</row>
    <row r="167" spans="1:184" ht="33">
      <c r="A167" s="23" t="s">
        <v>31</v>
      </c>
      <c r="B167" s="24" t="s">
        <v>92</v>
      </c>
      <c r="C167" s="24" t="s">
        <v>353</v>
      </c>
      <c r="D167" s="25">
        <v>67.397999999999996</v>
      </c>
      <c r="E167" s="25">
        <f>112.33-D167</f>
        <v>44.932000000000002</v>
      </c>
      <c r="F167" s="26">
        <v>10.8</v>
      </c>
      <c r="G167" s="26">
        <v>64.8</v>
      </c>
      <c r="H167" s="27">
        <f t="shared" si="14"/>
        <v>187.93</v>
      </c>
      <c r="I167" s="26">
        <v>3737.91</v>
      </c>
      <c r="J167" s="26">
        <v>3737.91</v>
      </c>
      <c r="K167" s="26">
        <v>1482.79</v>
      </c>
      <c r="L167" s="26">
        <v>1571.76</v>
      </c>
      <c r="M167" s="28">
        <f t="shared" si="16"/>
        <v>151990.57775999999</v>
      </c>
      <c r="N167" s="29">
        <f t="shared" si="12"/>
        <v>101327.05184</v>
      </c>
      <c r="O167" s="29">
        <f t="shared" si="12"/>
        <v>23394.42</v>
      </c>
      <c r="P167" s="29">
        <f t="shared" si="15"/>
        <v>140366.51999999996</v>
      </c>
      <c r="Q167" s="29">
        <f t="shared" si="13"/>
        <v>417078.56959999993</v>
      </c>
      <c r="R167" s="26"/>
      <c r="S167" s="26"/>
      <c r="T167" s="26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</row>
    <row r="168" spans="1:184" ht="33">
      <c r="A168" s="23" t="s">
        <v>31</v>
      </c>
      <c r="B168" s="24" t="s">
        <v>92</v>
      </c>
      <c r="C168" s="24" t="s">
        <v>354</v>
      </c>
      <c r="D168" s="25">
        <v>193.31700000000001</v>
      </c>
      <c r="E168" s="25">
        <f>289.975-D168</f>
        <v>96.658000000000015</v>
      </c>
      <c r="F168" s="26">
        <v>29.922999999999998</v>
      </c>
      <c r="G168" s="26">
        <v>183.815</v>
      </c>
      <c r="H168" s="27">
        <f t="shared" si="14"/>
        <v>503.71300000000002</v>
      </c>
      <c r="I168" s="26">
        <v>4280.04</v>
      </c>
      <c r="J168" s="26">
        <v>4280.04</v>
      </c>
      <c r="K168" s="26">
        <v>1482.79</v>
      </c>
      <c r="L168" s="26">
        <v>1571.76</v>
      </c>
      <c r="M168" s="29">
        <f t="shared" si="16"/>
        <v>540755.97825000004</v>
      </c>
      <c r="N168" s="29">
        <f t="shared" si="12"/>
        <v>270376.59050000005</v>
      </c>
      <c r="O168" s="29">
        <f t="shared" si="12"/>
        <v>81039.862439999983</v>
      </c>
      <c r="P168" s="29">
        <f t="shared" si="15"/>
        <v>497822.48819999996</v>
      </c>
      <c r="Q168" s="29">
        <f t="shared" si="13"/>
        <v>1389994.9193899999</v>
      </c>
      <c r="R168" s="26"/>
      <c r="S168" s="26"/>
      <c r="T168" s="26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</row>
    <row r="169" spans="1:184" ht="16.5">
      <c r="A169" s="23" t="s">
        <v>31</v>
      </c>
      <c r="B169" s="24" t="s">
        <v>92</v>
      </c>
      <c r="C169" s="24" t="s">
        <v>80</v>
      </c>
      <c r="D169" s="25">
        <v>76.367999999999995</v>
      </c>
      <c r="E169" s="25">
        <f>112.282-D169</f>
        <v>35.914000000000001</v>
      </c>
      <c r="F169" s="26">
        <v>12.36</v>
      </c>
      <c r="G169" s="26">
        <v>74.099999999999994</v>
      </c>
      <c r="H169" s="27">
        <f t="shared" si="14"/>
        <v>198.74199999999999</v>
      </c>
      <c r="I169" s="26">
        <v>4054.45</v>
      </c>
      <c r="J169" s="26">
        <v>4054.45</v>
      </c>
      <c r="K169" s="26">
        <v>1162.1500000000001</v>
      </c>
      <c r="L169" s="26">
        <v>1231.8800000000001</v>
      </c>
      <c r="M169" s="29">
        <f t="shared" si="16"/>
        <v>220879.16639999996</v>
      </c>
      <c r="N169" s="29">
        <f t="shared" si="12"/>
        <v>103874.0622</v>
      </c>
      <c r="O169" s="29">
        <f t="shared" si="12"/>
        <v>34886.965199999991</v>
      </c>
      <c r="P169" s="29">
        <f t="shared" si="15"/>
        <v>209152.43699999998</v>
      </c>
      <c r="Q169" s="29">
        <f t="shared" si="13"/>
        <v>568792.63079999993</v>
      </c>
      <c r="R169" s="26"/>
      <c r="S169" s="26"/>
      <c r="T169" s="26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</row>
    <row r="170" spans="1:184" ht="16.5">
      <c r="A170" s="63" t="s">
        <v>241</v>
      </c>
      <c r="B170" s="63"/>
      <c r="C170" s="63"/>
      <c r="D170" s="51"/>
      <c r="E170" s="37"/>
      <c r="F170" s="38"/>
      <c r="G170" s="38"/>
      <c r="H170" s="27">
        <f t="shared" si="14"/>
        <v>0</v>
      </c>
      <c r="I170" s="38"/>
      <c r="J170" s="38"/>
      <c r="K170" s="38"/>
      <c r="L170" s="38"/>
      <c r="M170" s="29">
        <f t="shared" si="16"/>
        <v>0</v>
      </c>
      <c r="N170" s="29">
        <f t="shared" si="12"/>
        <v>0</v>
      </c>
      <c r="O170" s="29">
        <f t="shared" si="12"/>
        <v>0</v>
      </c>
      <c r="P170" s="29">
        <f t="shared" si="15"/>
        <v>0</v>
      </c>
      <c r="Q170" s="29">
        <f t="shared" si="13"/>
        <v>0</v>
      </c>
      <c r="R170" s="29"/>
      <c r="S170" s="29"/>
      <c r="T170" s="29"/>
    </row>
    <row r="171" spans="1:184" ht="17.25">
      <c r="A171" s="32" t="s">
        <v>286</v>
      </c>
      <c r="B171" s="24" t="s">
        <v>75</v>
      </c>
      <c r="C171" s="52" t="s">
        <v>242</v>
      </c>
      <c r="D171" s="37">
        <v>27996.595000000001</v>
      </c>
      <c r="E171" s="37">
        <f>41790.798-D171</f>
        <v>13794.203000000001</v>
      </c>
      <c r="F171" s="38">
        <v>1918.1610000000001</v>
      </c>
      <c r="G171" s="38">
        <v>24296.691999999999</v>
      </c>
      <c r="H171" s="27">
        <f t="shared" si="14"/>
        <v>68005.650999999998</v>
      </c>
      <c r="I171" s="38">
        <v>3920.98</v>
      </c>
      <c r="J171" s="38">
        <v>4070.85</v>
      </c>
      <c r="K171" s="38">
        <v>1352.11</v>
      </c>
      <c r="L171" s="39">
        <v>1406.19</v>
      </c>
      <c r="M171" s="29">
        <f t="shared" si="16"/>
        <v>71919612.997649997</v>
      </c>
      <c r="N171" s="29">
        <f t="shared" si="12"/>
        <v>35435514.260609999</v>
      </c>
      <c r="O171" s="29">
        <f t="shared" si="12"/>
        <v>5111246.8902599998</v>
      </c>
      <c r="P171" s="29">
        <f t="shared" si="15"/>
        <v>64742423.304719992</v>
      </c>
      <c r="Q171" s="29">
        <f t="shared" si="13"/>
        <v>177208797.45323998</v>
      </c>
      <c r="R171" s="29"/>
      <c r="S171" s="29"/>
      <c r="T171" s="30"/>
    </row>
    <row r="172" spans="1:184" ht="17.25">
      <c r="A172" s="32" t="s">
        <v>286</v>
      </c>
      <c r="B172" s="24" t="s">
        <v>75</v>
      </c>
      <c r="C172" s="52" t="s">
        <v>243</v>
      </c>
      <c r="D172" s="37">
        <v>1130.731</v>
      </c>
      <c r="E172" s="37">
        <f>1874.703-D172</f>
        <v>743.97199999999998</v>
      </c>
      <c r="F172" s="38">
        <v>157.666</v>
      </c>
      <c r="G172" s="38">
        <v>1135.1949999999999</v>
      </c>
      <c r="H172" s="27">
        <f t="shared" si="14"/>
        <v>3167.5639999999999</v>
      </c>
      <c r="I172" s="38">
        <v>3920.98</v>
      </c>
      <c r="J172" s="38">
        <v>4070.85</v>
      </c>
      <c r="K172" s="38">
        <v>1352.11</v>
      </c>
      <c r="L172" s="39">
        <v>1406.19</v>
      </c>
      <c r="M172" s="29">
        <f t="shared" si="16"/>
        <v>2904700.9439699999</v>
      </c>
      <c r="N172" s="29">
        <f t="shared" si="12"/>
        <v>1911167.3516399998</v>
      </c>
      <c r="O172" s="29">
        <f t="shared" si="12"/>
        <v>420126.28355999995</v>
      </c>
      <c r="P172" s="29">
        <f t="shared" si="15"/>
        <v>3024908.7086999998</v>
      </c>
      <c r="Q172" s="29">
        <f t="shared" si="13"/>
        <v>8260903.2878699992</v>
      </c>
      <c r="R172" s="29"/>
      <c r="S172" s="29"/>
      <c r="T172" s="30"/>
    </row>
    <row r="173" spans="1:184" ht="17.25">
      <c r="A173" s="32" t="s">
        <v>32</v>
      </c>
      <c r="B173" s="32" t="s">
        <v>165</v>
      </c>
      <c r="C173" s="52" t="s">
        <v>244</v>
      </c>
      <c r="D173" s="37">
        <v>414.82600000000002</v>
      </c>
      <c r="E173" s="37">
        <f>619.559-D173</f>
        <v>204.73299999999995</v>
      </c>
      <c r="F173" s="38">
        <v>114.23</v>
      </c>
      <c r="G173" s="38">
        <v>428.14</v>
      </c>
      <c r="H173" s="27">
        <f t="shared" si="14"/>
        <v>1161.9290000000001</v>
      </c>
      <c r="I173" s="38">
        <v>3923.5</v>
      </c>
      <c r="J173" s="38">
        <v>3923.5</v>
      </c>
      <c r="K173" s="38">
        <v>1378.12</v>
      </c>
      <c r="L173" s="39">
        <v>1433.24</v>
      </c>
      <c r="M173" s="29">
        <f t="shared" si="16"/>
        <v>1055889.80388</v>
      </c>
      <c r="N173" s="29">
        <f t="shared" si="12"/>
        <v>521123.28353999992</v>
      </c>
      <c r="O173" s="29">
        <f t="shared" si="12"/>
        <v>284462.39980000001</v>
      </c>
      <c r="P173" s="29">
        <f t="shared" si="15"/>
        <v>1066179.9164</v>
      </c>
      <c r="Q173" s="29">
        <f t="shared" si="13"/>
        <v>2927655.40362</v>
      </c>
      <c r="R173" s="29"/>
      <c r="S173" s="29"/>
      <c r="T173" s="30"/>
    </row>
    <row r="174" spans="1:184" ht="17.25">
      <c r="A174" s="32" t="s">
        <v>25</v>
      </c>
      <c r="B174" s="32" t="s">
        <v>245</v>
      </c>
      <c r="C174" s="52" t="s">
        <v>242</v>
      </c>
      <c r="D174" s="37">
        <v>0</v>
      </c>
      <c r="E174" s="37">
        <v>5.22</v>
      </c>
      <c r="F174" s="38">
        <v>0</v>
      </c>
      <c r="G174" s="38">
        <v>19.920000000000002</v>
      </c>
      <c r="H174" s="27">
        <f t="shared" si="14"/>
        <v>25.14</v>
      </c>
      <c r="I174" s="38">
        <v>6946.45</v>
      </c>
      <c r="J174" s="38">
        <v>6946.45</v>
      </c>
      <c r="K174" s="38">
        <v>1626.18</v>
      </c>
      <c r="L174" s="39">
        <v>1691.22</v>
      </c>
      <c r="M174" s="29">
        <f t="shared" si="16"/>
        <v>0</v>
      </c>
      <c r="N174" s="29">
        <f t="shared" si="12"/>
        <v>27771.809399999995</v>
      </c>
      <c r="O174" s="29">
        <f t="shared" si="12"/>
        <v>0</v>
      </c>
      <c r="P174" s="29">
        <f t="shared" si="15"/>
        <v>104684.1816</v>
      </c>
      <c r="Q174" s="29">
        <f t="shared" si="13"/>
        <v>132455.99099999998</v>
      </c>
      <c r="R174" s="29"/>
      <c r="S174" s="29"/>
      <c r="T174" s="30"/>
    </row>
    <row r="175" spans="1:184" ht="17.25">
      <c r="A175" s="32" t="s">
        <v>285</v>
      </c>
      <c r="B175" s="32" t="s">
        <v>246</v>
      </c>
      <c r="C175" s="52" t="s">
        <v>243</v>
      </c>
      <c r="D175" s="37">
        <v>529.71299999999997</v>
      </c>
      <c r="E175" s="37">
        <f>786.026-D175</f>
        <v>256.31299999999999</v>
      </c>
      <c r="F175" s="38">
        <v>107.11</v>
      </c>
      <c r="G175" s="38">
        <v>539.85</v>
      </c>
      <c r="H175" s="27">
        <f t="shared" si="14"/>
        <v>1432.9859999999999</v>
      </c>
      <c r="I175" s="38">
        <v>5422.03</v>
      </c>
      <c r="J175" s="38">
        <v>5422.03</v>
      </c>
      <c r="K175" s="38">
        <v>1595.5</v>
      </c>
      <c r="L175" s="39">
        <v>1659.32</v>
      </c>
      <c r="M175" s="29">
        <f t="shared" si="16"/>
        <v>2026962.6858899998</v>
      </c>
      <c r="N175" s="29">
        <f t="shared" si="12"/>
        <v>980789.38388999994</v>
      </c>
      <c r="O175" s="29">
        <f t="shared" si="12"/>
        <v>403023.86810000002</v>
      </c>
      <c r="P175" s="29">
        <f t="shared" si="15"/>
        <v>2031298.9935000001</v>
      </c>
      <c r="Q175" s="29">
        <f t="shared" si="13"/>
        <v>5442074.93138</v>
      </c>
      <c r="R175" s="29"/>
      <c r="S175" s="29"/>
      <c r="T175" s="30"/>
    </row>
    <row r="176" spans="1:184" s="11" customFormat="1" ht="17.25">
      <c r="A176" s="32" t="s">
        <v>22</v>
      </c>
      <c r="B176" s="32" t="s">
        <v>121</v>
      </c>
      <c r="C176" s="52" t="s">
        <v>242</v>
      </c>
      <c r="D176" s="37">
        <v>2700.0140000000001</v>
      </c>
      <c r="E176" s="37">
        <f>4341.862-D176</f>
        <v>1641.848</v>
      </c>
      <c r="F176" s="38">
        <v>597.48400000000004</v>
      </c>
      <c r="G176" s="38">
        <v>2136.8760000000002</v>
      </c>
      <c r="H176" s="27">
        <f>SUBTOTAL(9,D176:G176)</f>
        <v>7076.2220000000007</v>
      </c>
      <c r="I176" s="38">
        <v>2647.14</v>
      </c>
      <c r="J176" s="38">
        <v>2849.22</v>
      </c>
      <c r="K176" s="38">
        <v>1352.1</v>
      </c>
      <c r="L176" s="53">
        <v>1406.19</v>
      </c>
      <c r="M176" s="28">
        <f>(I176-K176)*D176</f>
        <v>3496626.13056</v>
      </c>
      <c r="N176" s="29">
        <f t="shared" si="12"/>
        <v>2126258.8339199997</v>
      </c>
      <c r="O176" s="29">
        <f>(J176-L176)*F176</f>
        <v>862187.3365199999</v>
      </c>
      <c r="P176" s="29">
        <f>(J176-L176)*G176</f>
        <v>3083576.1742799999</v>
      </c>
      <c r="Q176" s="29">
        <f t="shared" si="13"/>
        <v>9568648.475279998</v>
      </c>
      <c r="R176" s="54"/>
      <c r="S176" s="54"/>
      <c r="T176" s="55"/>
    </row>
    <row r="177" spans="1:20" ht="17.25">
      <c r="A177" s="63" t="s">
        <v>247</v>
      </c>
      <c r="B177" s="63"/>
      <c r="C177" s="18"/>
      <c r="D177" s="37"/>
      <c r="E177" s="37"/>
      <c r="F177" s="38"/>
      <c r="G177" s="38"/>
      <c r="H177" s="27">
        <f t="shared" si="14"/>
        <v>0</v>
      </c>
      <c r="I177" s="38"/>
      <c r="J177" s="38"/>
      <c r="K177" s="38"/>
      <c r="L177" s="39"/>
      <c r="M177" s="29">
        <f t="shared" si="16"/>
        <v>0</v>
      </c>
      <c r="N177" s="29">
        <f t="shared" si="12"/>
        <v>0</v>
      </c>
      <c r="O177" s="29">
        <f t="shared" si="12"/>
        <v>0</v>
      </c>
      <c r="P177" s="29">
        <f t="shared" si="15"/>
        <v>0</v>
      </c>
      <c r="Q177" s="29">
        <f t="shared" si="13"/>
        <v>0</v>
      </c>
      <c r="R177" s="29"/>
      <c r="S177" s="29"/>
      <c r="T177" s="30"/>
    </row>
    <row r="178" spans="1:20" ht="17.25">
      <c r="A178" s="32" t="s">
        <v>31</v>
      </c>
      <c r="B178" s="32" t="s">
        <v>248</v>
      </c>
      <c r="C178" s="52" t="s">
        <v>249</v>
      </c>
      <c r="D178" s="37">
        <v>360.822</v>
      </c>
      <c r="E178" s="37">
        <f>534.632-D178</f>
        <v>173.80999999999995</v>
      </c>
      <c r="F178" s="38">
        <v>50.94</v>
      </c>
      <c r="G178" s="38">
        <v>427.89</v>
      </c>
      <c r="H178" s="27">
        <f t="shared" si="14"/>
        <v>1013.4619999999999</v>
      </c>
      <c r="I178" s="38">
        <v>3214.69</v>
      </c>
      <c r="J178" s="38">
        <v>3214.69</v>
      </c>
      <c r="K178" s="38">
        <v>1542.12</v>
      </c>
      <c r="L178" s="39">
        <v>1588.38</v>
      </c>
      <c r="M178" s="29">
        <f t="shared" si="16"/>
        <v>603500.05254000006</v>
      </c>
      <c r="N178" s="29">
        <f t="shared" si="12"/>
        <v>290709.39169999992</v>
      </c>
      <c r="O178" s="29">
        <f t="shared" si="12"/>
        <v>82844.23139999999</v>
      </c>
      <c r="P178" s="29">
        <f t="shared" si="15"/>
        <v>695881.7858999999</v>
      </c>
      <c r="Q178" s="29">
        <f t="shared" si="13"/>
        <v>1672935.46154</v>
      </c>
      <c r="R178" s="29"/>
      <c r="S178" s="29"/>
      <c r="T178" s="30"/>
    </row>
    <row r="179" spans="1:20" ht="17.25">
      <c r="A179" s="32" t="s">
        <v>31</v>
      </c>
      <c r="B179" s="32" t="s">
        <v>248</v>
      </c>
      <c r="C179" s="52" t="s">
        <v>250</v>
      </c>
      <c r="D179" s="37">
        <v>1431.4590000000001</v>
      </c>
      <c r="E179" s="37">
        <f>2142.433-D179</f>
        <v>710.97399999999993</v>
      </c>
      <c r="F179" s="38">
        <v>170.78</v>
      </c>
      <c r="G179" s="38">
        <v>1434.59</v>
      </c>
      <c r="H179" s="27">
        <f t="shared" si="14"/>
        <v>3747.8029999999999</v>
      </c>
      <c r="I179" s="38">
        <v>3214.69</v>
      </c>
      <c r="J179" s="38">
        <v>3214.69</v>
      </c>
      <c r="K179" s="38">
        <v>1514.42</v>
      </c>
      <c r="L179" s="39">
        <v>1575</v>
      </c>
      <c r="M179" s="29">
        <f t="shared" si="16"/>
        <v>2433866.7939300002</v>
      </c>
      <c r="N179" s="29">
        <f t="shared" si="12"/>
        <v>1208847.7629799999</v>
      </c>
      <c r="O179" s="29">
        <f t="shared" si="12"/>
        <v>280026.25820000004</v>
      </c>
      <c r="P179" s="29">
        <f t="shared" si="15"/>
        <v>2352282.8771000002</v>
      </c>
      <c r="Q179" s="29">
        <f t="shared" si="13"/>
        <v>6275023.69221</v>
      </c>
      <c r="R179" s="29"/>
      <c r="S179" s="29"/>
      <c r="T179" s="30"/>
    </row>
    <row r="180" spans="1:20" ht="17.25">
      <c r="A180" s="32" t="s">
        <v>49</v>
      </c>
      <c r="B180" s="32" t="s">
        <v>251</v>
      </c>
      <c r="C180" s="52" t="s">
        <v>252</v>
      </c>
      <c r="D180" s="37">
        <v>81.010000000000005</v>
      </c>
      <c r="E180" s="37">
        <f>120.36-D180</f>
        <v>39.349999999999994</v>
      </c>
      <c r="F180" s="38">
        <v>21.797000000000001</v>
      </c>
      <c r="G180" s="38">
        <v>85.653000000000006</v>
      </c>
      <c r="H180" s="27">
        <f t="shared" si="14"/>
        <v>227.81</v>
      </c>
      <c r="I180" s="38">
        <v>1879.09</v>
      </c>
      <c r="J180" s="38">
        <v>1879.09</v>
      </c>
      <c r="K180" s="38">
        <v>1540</v>
      </c>
      <c r="L180" s="39">
        <v>1632.4</v>
      </c>
      <c r="M180" s="29">
        <f t="shared" si="16"/>
        <v>27469.680899999996</v>
      </c>
      <c r="N180" s="29">
        <f t="shared" si="12"/>
        <v>13343.191499999995</v>
      </c>
      <c r="O180" s="29">
        <f t="shared" si="12"/>
        <v>5377.1019299999962</v>
      </c>
      <c r="P180" s="29">
        <f t="shared" si="15"/>
        <v>21129.738569999987</v>
      </c>
      <c r="Q180" s="29">
        <f t="shared" si="13"/>
        <v>67319.712899999984</v>
      </c>
      <c r="R180" s="29"/>
      <c r="S180" s="29"/>
      <c r="T180" s="30"/>
    </row>
    <row r="181" spans="1:20" ht="17.25">
      <c r="A181" s="32" t="s">
        <v>280</v>
      </c>
      <c r="B181" s="32" t="s">
        <v>253</v>
      </c>
      <c r="C181" s="52" t="s">
        <v>254</v>
      </c>
      <c r="D181" s="37">
        <v>68.388000000000005</v>
      </c>
      <c r="E181" s="37">
        <f>101.479-D181</f>
        <v>33.090999999999994</v>
      </c>
      <c r="F181" s="38">
        <v>8.11</v>
      </c>
      <c r="G181" s="38">
        <v>62.96</v>
      </c>
      <c r="H181" s="27">
        <f t="shared" si="14"/>
        <v>172.54900000000001</v>
      </c>
      <c r="I181" s="38">
        <v>3901.12</v>
      </c>
      <c r="J181" s="38">
        <v>3901.12</v>
      </c>
      <c r="K181" s="38">
        <v>1369.87</v>
      </c>
      <c r="L181" s="39">
        <v>1424.66</v>
      </c>
      <c r="M181" s="29">
        <f t="shared" si="16"/>
        <v>173107.125</v>
      </c>
      <c r="N181" s="29">
        <f t="shared" si="12"/>
        <v>83761.593749999985</v>
      </c>
      <c r="O181" s="29">
        <f t="shared" si="12"/>
        <v>20084.0906</v>
      </c>
      <c r="P181" s="29">
        <f t="shared" si="15"/>
        <v>155917.9216</v>
      </c>
      <c r="Q181" s="29">
        <f t="shared" si="13"/>
        <v>432870.73095</v>
      </c>
      <c r="R181" s="29"/>
      <c r="S181" s="29"/>
      <c r="T181" s="30"/>
    </row>
    <row r="182" spans="1:20" ht="17.25">
      <c r="A182" s="32" t="s">
        <v>284</v>
      </c>
      <c r="B182" s="32" t="s">
        <v>248</v>
      </c>
      <c r="C182" s="52" t="s">
        <v>255</v>
      </c>
      <c r="D182" s="37">
        <v>108.432</v>
      </c>
      <c r="E182" s="37">
        <f>162.249-D182</f>
        <v>53.816999999999993</v>
      </c>
      <c r="F182" s="38">
        <v>18.059999999999999</v>
      </c>
      <c r="G182" s="38">
        <v>151.69999999999999</v>
      </c>
      <c r="H182" s="27">
        <f t="shared" si="14"/>
        <v>332.00900000000001</v>
      </c>
      <c r="I182" s="38">
        <v>3214.69</v>
      </c>
      <c r="J182" s="38">
        <v>3214.69</v>
      </c>
      <c r="K182" s="38">
        <v>1694.46</v>
      </c>
      <c r="L182" s="39">
        <v>1762.24</v>
      </c>
      <c r="M182" s="29">
        <f t="shared" si="16"/>
        <v>164841.57936</v>
      </c>
      <c r="N182" s="29">
        <f t="shared" si="12"/>
        <v>81814.217909999992</v>
      </c>
      <c r="O182" s="29">
        <f t="shared" si="12"/>
        <v>26231.246999999999</v>
      </c>
      <c r="P182" s="29">
        <f t="shared" si="15"/>
        <v>220336.66499999998</v>
      </c>
      <c r="Q182" s="29">
        <f t="shared" si="13"/>
        <v>493223.70926999993</v>
      </c>
      <c r="R182" s="29"/>
      <c r="S182" s="29"/>
      <c r="T182" s="30"/>
    </row>
    <row r="183" spans="1:20" ht="17.25">
      <c r="A183" s="32" t="s">
        <v>283</v>
      </c>
      <c r="B183" s="32" t="s">
        <v>248</v>
      </c>
      <c r="C183" s="52" t="s">
        <v>256</v>
      </c>
      <c r="D183" s="37">
        <v>146.178</v>
      </c>
      <c r="E183" s="37">
        <f>187.974-D183</f>
        <v>41.795999999999992</v>
      </c>
      <c r="F183" s="38">
        <v>28.97</v>
      </c>
      <c r="G183" s="38">
        <v>243.35</v>
      </c>
      <c r="H183" s="27">
        <f t="shared" si="14"/>
        <v>460.29399999999998</v>
      </c>
      <c r="I183" s="38">
        <v>3214.69</v>
      </c>
      <c r="J183" s="38">
        <v>3214.69</v>
      </c>
      <c r="K183" s="38">
        <v>1193.52</v>
      </c>
      <c r="L183" s="39">
        <v>1265.1300000000001</v>
      </c>
      <c r="M183" s="29">
        <f t="shared" si="16"/>
        <v>295450.58825999999</v>
      </c>
      <c r="N183" s="29">
        <f t="shared" si="12"/>
        <v>84476.821319999988</v>
      </c>
      <c r="O183" s="29">
        <f t="shared" si="12"/>
        <v>56478.753199999999</v>
      </c>
      <c r="P183" s="29">
        <f t="shared" si="15"/>
        <v>474425.42599999998</v>
      </c>
      <c r="Q183" s="29">
        <f t="shared" si="13"/>
        <v>910831.58877999987</v>
      </c>
      <c r="R183" s="29"/>
      <c r="S183" s="29"/>
      <c r="T183" s="30"/>
    </row>
    <row r="184" spans="1:20" ht="17.25">
      <c r="A184" s="32" t="s">
        <v>280</v>
      </c>
      <c r="B184" s="32" t="s">
        <v>253</v>
      </c>
      <c r="C184" s="52" t="s">
        <v>257</v>
      </c>
      <c r="D184" s="37">
        <v>280.971</v>
      </c>
      <c r="E184" s="37">
        <f>416.925-D184</f>
        <v>135.95400000000001</v>
      </c>
      <c r="F184" s="38">
        <v>28.76</v>
      </c>
      <c r="G184" s="38">
        <v>247.74</v>
      </c>
      <c r="H184" s="27">
        <f t="shared" si="14"/>
        <v>693.42499999999995</v>
      </c>
      <c r="I184" s="38">
        <v>3201.14</v>
      </c>
      <c r="J184" s="38">
        <v>3201.14</v>
      </c>
      <c r="K184" s="38">
        <v>1613.32</v>
      </c>
      <c r="L184" s="39">
        <v>1677.85</v>
      </c>
      <c r="M184" s="29">
        <f t="shared" si="16"/>
        <v>446131.37322000001</v>
      </c>
      <c r="N184" s="29">
        <f t="shared" si="12"/>
        <v>215870.48028000002</v>
      </c>
      <c r="O184" s="29">
        <f t="shared" si="12"/>
        <v>43809.820400000004</v>
      </c>
      <c r="P184" s="29">
        <f t="shared" si="15"/>
        <v>377379.86460000003</v>
      </c>
      <c r="Q184" s="29">
        <f t="shared" si="13"/>
        <v>1083191.5385</v>
      </c>
      <c r="R184" s="29"/>
      <c r="S184" s="29"/>
      <c r="T184" s="30"/>
    </row>
    <row r="185" spans="1:20" ht="17.25">
      <c r="A185" s="32" t="s">
        <v>282</v>
      </c>
      <c r="B185" s="32" t="s">
        <v>258</v>
      </c>
      <c r="C185" s="52" t="s">
        <v>259</v>
      </c>
      <c r="D185" s="37">
        <v>458.59</v>
      </c>
      <c r="E185" s="37">
        <f>671.624-D185</f>
        <v>213.03400000000005</v>
      </c>
      <c r="F185" s="38">
        <v>81</v>
      </c>
      <c r="G185" s="38">
        <v>408.72</v>
      </c>
      <c r="H185" s="27">
        <f t="shared" si="14"/>
        <v>1161.3440000000001</v>
      </c>
      <c r="I185" s="38">
        <v>2259.4</v>
      </c>
      <c r="J185" s="38">
        <v>2259.4</v>
      </c>
      <c r="K185" s="38">
        <v>1137.6400000000001</v>
      </c>
      <c r="L185" s="39">
        <v>1205.8900000000001</v>
      </c>
      <c r="M185" s="29">
        <f t="shared" si="16"/>
        <v>514427.91839999997</v>
      </c>
      <c r="N185" s="29">
        <f t="shared" si="12"/>
        <v>238973.01984000005</v>
      </c>
      <c r="O185" s="29">
        <f t="shared" si="12"/>
        <v>85334.31</v>
      </c>
      <c r="P185" s="29">
        <f t="shared" si="15"/>
        <v>430590.60720000003</v>
      </c>
      <c r="Q185" s="29">
        <f t="shared" si="13"/>
        <v>1269325.8554400001</v>
      </c>
      <c r="R185" s="29"/>
      <c r="S185" s="29"/>
      <c r="T185" s="30"/>
    </row>
    <row r="186" spans="1:20" ht="17.25">
      <c r="A186" s="32">
        <v>2907014810</v>
      </c>
      <c r="B186" s="32" t="s">
        <v>248</v>
      </c>
      <c r="C186" s="52" t="s">
        <v>260</v>
      </c>
      <c r="D186" s="37">
        <v>832.79200000000003</v>
      </c>
      <c r="E186" s="37">
        <f>1237.703-D186</f>
        <v>404.91099999999994</v>
      </c>
      <c r="F186" s="38">
        <v>102.89</v>
      </c>
      <c r="G186" s="38">
        <v>868.42</v>
      </c>
      <c r="H186" s="27">
        <f t="shared" si="14"/>
        <v>2209.0129999999999</v>
      </c>
      <c r="I186" s="38">
        <v>3214.69</v>
      </c>
      <c r="J186" s="38">
        <v>3214.69</v>
      </c>
      <c r="K186" s="38">
        <v>1645</v>
      </c>
      <c r="L186" s="39">
        <v>1743.5</v>
      </c>
      <c r="M186" s="29">
        <f t="shared" si="16"/>
        <v>1307225.2744800001</v>
      </c>
      <c r="N186" s="29">
        <f t="shared" si="12"/>
        <v>635584.74758999993</v>
      </c>
      <c r="O186" s="29">
        <f t="shared" si="12"/>
        <v>151370.73910000001</v>
      </c>
      <c r="P186" s="29">
        <f t="shared" si="15"/>
        <v>1277610.8197999999</v>
      </c>
      <c r="Q186" s="29">
        <f t="shared" si="13"/>
        <v>3371791.5809699995</v>
      </c>
      <c r="R186" s="29"/>
      <c r="S186" s="29"/>
      <c r="T186" s="30"/>
    </row>
    <row r="187" spans="1:20" ht="17.25">
      <c r="A187" s="32" t="s">
        <v>48</v>
      </c>
      <c r="B187" s="32" t="s">
        <v>261</v>
      </c>
      <c r="C187" s="52" t="s">
        <v>262</v>
      </c>
      <c r="D187" s="37">
        <v>250.64099999999999</v>
      </c>
      <c r="E187" s="37">
        <f>374.614-D187</f>
        <v>123.97299999999998</v>
      </c>
      <c r="F187" s="38">
        <v>50.13</v>
      </c>
      <c r="G187" s="38">
        <v>227.26</v>
      </c>
      <c r="H187" s="27">
        <f t="shared" si="14"/>
        <v>652.00399999999991</v>
      </c>
      <c r="I187" s="38">
        <v>1641.83</v>
      </c>
      <c r="J187" s="38">
        <v>1641.83</v>
      </c>
      <c r="K187" s="38">
        <v>1198.29</v>
      </c>
      <c r="L187" s="39">
        <v>1246.22</v>
      </c>
      <c r="M187" s="29">
        <f t="shared" si="16"/>
        <v>111169.30913999998</v>
      </c>
      <c r="N187" s="29">
        <f t="shared" si="12"/>
        <v>54986.984419999986</v>
      </c>
      <c r="O187" s="29">
        <f t="shared" si="12"/>
        <v>19831.929299999996</v>
      </c>
      <c r="P187" s="29">
        <f t="shared" si="15"/>
        <v>89906.328599999979</v>
      </c>
      <c r="Q187" s="29">
        <f t="shared" si="13"/>
        <v>275894.55145999993</v>
      </c>
      <c r="R187" s="29"/>
      <c r="S187" s="29"/>
      <c r="T187" s="30"/>
    </row>
    <row r="188" spans="1:20" ht="17.25">
      <c r="A188" s="32" t="s">
        <v>281</v>
      </c>
      <c r="B188" s="32" t="s">
        <v>248</v>
      </c>
      <c r="C188" s="52" t="s">
        <v>263</v>
      </c>
      <c r="D188" s="37">
        <v>566.34</v>
      </c>
      <c r="E188" s="37">
        <f>834.597-D188</f>
        <v>268.25699999999995</v>
      </c>
      <c r="F188" s="38">
        <v>64.150000000000006</v>
      </c>
      <c r="G188" s="38">
        <v>538.89</v>
      </c>
      <c r="H188" s="27">
        <f t="shared" si="14"/>
        <v>1437.6369999999999</v>
      </c>
      <c r="I188" s="38">
        <v>3214.69</v>
      </c>
      <c r="J188" s="38">
        <v>3214.69</v>
      </c>
      <c r="K188" s="38">
        <v>1561.75</v>
      </c>
      <c r="L188" s="39">
        <v>1624.22</v>
      </c>
      <c r="M188" s="29">
        <f t="shared" si="16"/>
        <v>936126.03960000013</v>
      </c>
      <c r="N188" s="29">
        <f t="shared" si="12"/>
        <v>443412.72557999991</v>
      </c>
      <c r="O188" s="29">
        <f t="shared" si="12"/>
        <v>102028.65050000002</v>
      </c>
      <c r="P188" s="29">
        <f t="shared" si="15"/>
        <v>857088.37829999998</v>
      </c>
      <c r="Q188" s="29">
        <f t="shared" si="13"/>
        <v>2338655.7939800001</v>
      </c>
      <c r="R188" s="29"/>
      <c r="S188" s="29"/>
      <c r="T188" s="30"/>
    </row>
    <row r="189" spans="1:20" ht="17.25">
      <c r="A189" s="32" t="s">
        <v>10</v>
      </c>
      <c r="B189" s="32" t="s">
        <v>264</v>
      </c>
      <c r="C189" s="52" t="s">
        <v>265</v>
      </c>
      <c r="D189" s="37">
        <v>131.79</v>
      </c>
      <c r="E189" s="37">
        <f>194.86-D189</f>
        <v>63.070000000000022</v>
      </c>
      <c r="F189" s="38">
        <v>21</v>
      </c>
      <c r="G189" s="38">
        <v>130.58000000000001</v>
      </c>
      <c r="H189" s="27">
        <f t="shared" si="14"/>
        <v>346.44000000000005</v>
      </c>
      <c r="I189" s="38">
        <v>2346.89</v>
      </c>
      <c r="J189" s="38">
        <v>2387.4299999999998</v>
      </c>
      <c r="K189" s="38">
        <v>1821.08</v>
      </c>
      <c r="L189" s="39">
        <v>1893.92</v>
      </c>
      <c r="M189" s="29">
        <f t="shared" si="16"/>
        <v>69296.499899999995</v>
      </c>
      <c r="N189" s="29">
        <f t="shared" si="12"/>
        <v>33162.836700000007</v>
      </c>
      <c r="O189" s="29">
        <f t="shared" si="12"/>
        <v>10363.709999999995</v>
      </c>
      <c r="P189" s="29">
        <f t="shared" si="15"/>
        <v>64442.535799999976</v>
      </c>
      <c r="Q189" s="29">
        <f t="shared" si="13"/>
        <v>177265.58239999998</v>
      </c>
      <c r="R189" s="29"/>
      <c r="S189" s="29"/>
      <c r="T189" s="30"/>
    </row>
    <row r="190" spans="1:20" ht="17.25">
      <c r="A190" s="32" t="s">
        <v>280</v>
      </c>
      <c r="B190" s="32" t="s">
        <v>253</v>
      </c>
      <c r="C190" s="52" t="s">
        <v>266</v>
      </c>
      <c r="D190" s="37">
        <v>661.90300000000002</v>
      </c>
      <c r="E190" s="37">
        <f>984.395-D190</f>
        <v>322.49199999999996</v>
      </c>
      <c r="F190" s="38">
        <v>88.58</v>
      </c>
      <c r="G190" s="38">
        <v>668.38</v>
      </c>
      <c r="H190" s="27">
        <f t="shared" si="14"/>
        <v>1741.355</v>
      </c>
      <c r="I190" s="38">
        <v>2099.89</v>
      </c>
      <c r="J190" s="38">
        <v>2099.89</v>
      </c>
      <c r="K190" s="38">
        <v>1439.48</v>
      </c>
      <c r="L190" s="39">
        <v>1497.06</v>
      </c>
      <c r="M190" s="29">
        <f t="shared" si="16"/>
        <v>437127.36022999993</v>
      </c>
      <c r="N190" s="29">
        <f t="shared" si="12"/>
        <v>212976.94171999992</v>
      </c>
      <c r="O190" s="29">
        <f t="shared" si="12"/>
        <v>53398.681399999994</v>
      </c>
      <c r="P190" s="29">
        <f t="shared" si="15"/>
        <v>402919.51539999997</v>
      </c>
      <c r="Q190" s="29">
        <f t="shared" si="13"/>
        <v>1106422.4987499998</v>
      </c>
      <c r="R190" s="29"/>
      <c r="S190" s="29"/>
      <c r="T190" s="30"/>
    </row>
    <row r="191" spans="1:20" ht="17.25">
      <c r="A191" s="32" t="s">
        <v>2</v>
      </c>
      <c r="B191" s="32" t="s">
        <v>75</v>
      </c>
      <c r="C191" s="52" t="s">
        <v>267</v>
      </c>
      <c r="D191" s="37">
        <f>2409.134-386.194</f>
        <v>2022.94</v>
      </c>
      <c r="E191" s="37">
        <f>3429.789-D191-386.194</f>
        <v>1020.6550000000002</v>
      </c>
      <c r="F191" s="38">
        <v>351.32299999999998</v>
      </c>
      <c r="G191" s="38">
        <v>1756.614</v>
      </c>
      <c r="H191" s="27">
        <f t="shared" si="14"/>
        <v>5151.5320000000002</v>
      </c>
      <c r="I191" s="38">
        <v>3334.33</v>
      </c>
      <c r="J191" s="38">
        <v>3401.81</v>
      </c>
      <c r="K191" s="38">
        <v>1347.38</v>
      </c>
      <c r="L191" s="39">
        <v>1401.28</v>
      </c>
      <c r="M191" s="29">
        <f>2409.134*(I191-K191)-386.194*(3152.31-1285.67)</f>
        <v>4065943.6331399996</v>
      </c>
      <c r="N191" s="29">
        <f t="shared" si="12"/>
        <v>2027990.4522500003</v>
      </c>
      <c r="O191" s="29">
        <f t="shared" si="12"/>
        <v>702832.20118999993</v>
      </c>
      <c r="P191" s="29">
        <f t="shared" si="15"/>
        <v>3514159.0054199998</v>
      </c>
      <c r="Q191" s="29">
        <f t="shared" si="13"/>
        <v>10310925.291999999</v>
      </c>
      <c r="R191" s="29"/>
      <c r="S191" s="29"/>
      <c r="T191" s="30"/>
    </row>
    <row r="192" spans="1:20" ht="17.25">
      <c r="A192" s="32" t="s">
        <v>15</v>
      </c>
      <c r="B192" s="32" t="s">
        <v>268</v>
      </c>
      <c r="C192" s="52" t="s">
        <v>269</v>
      </c>
      <c r="D192" s="37">
        <v>6289.7309999999998</v>
      </c>
      <c r="E192" s="37">
        <f>8710.952-D192</f>
        <v>2421.2209999999995</v>
      </c>
      <c r="F192" s="38"/>
      <c r="G192" s="38"/>
      <c r="H192" s="27">
        <f t="shared" si="14"/>
        <v>8710.9519999999993</v>
      </c>
      <c r="I192" s="38">
        <v>3018.57</v>
      </c>
      <c r="J192" s="38">
        <v>3018.57</v>
      </c>
      <c r="K192" s="38">
        <v>1690.38</v>
      </c>
      <c r="L192" s="39">
        <v>1758</v>
      </c>
      <c r="M192" s="29">
        <f t="shared" si="16"/>
        <v>8353957.8168900004</v>
      </c>
      <c r="N192" s="29">
        <f t="shared" si="12"/>
        <v>3215841.5199899995</v>
      </c>
      <c r="O192" s="29">
        <f t="shared" si="12"/>
        <v>0</v>
      </c>
      <c r="P192" s="29">
        <f t="shared" si="15"/>
        <v>0</v>
      </c>
      <c r="Q192" s="29">
        <f t="shared" si="13"/>
        <v>11569799.33688</v>
      </c>
      <c r="R192" s="29"/>
      <c r="S192" s="29"/>
      <c r="T192" s="30"/>
    </row>
    <row r="193" spans="1:20" ht="17.25">
      <c r="A193" s="32">
        <v>3525369837</v>
      </c>
      <c r="B193" s="32" t="s">
        <v>366</v>
      </c>
      <c r="C193" s="52" t="s">
        <v>269</v>
      </c>
      <c r="D193" s="37"/>
      <c r="E193" s="37"/>
      <c r="F193" s="38">
        <v>703.36</v>
      </c>
      <c r="G193" s="38">
        <v>4256.8500000000004</v>
      </c>
      <c r="H193" s="27">
        <f t="shared" si="14"/>
        <v>4960.21</v>
      </c>
      <c r="I193" s="38">
        <v>3557.99</v>
      </c>
      <c r="J193" s="38">
        <v>3557.99</v>
      </c>
      <c r="K193" s="38">
        <v>1994.65</v>
      </c>
      <c r="L193" s="39">
        <v>2074.44</v>
      </c>
      <c r="M193" s="29">
        <f t="shared" si="16"/>
        <v>0</v>
      </c>
      <c r="N193" s="29">
        <f t="shared" si="12"/>
        <v>0</v>
      </c>
      <c r="O193" s="29">
        <f t="shared" si="12"/>
        <v>1043469.7279999999</v>
      </c>
      <c r="P193" s="29">
        <f t="shared" si="15"/>
        <v>6315249.817499999</v>
      </c>
      <c r="Q193" s="29">
        <f t="shared" si="13"/>
        <v>7358719.5454999991</v>
      </c>
      <c r="R193" s="29"/>
      <c r="S193" s="29"/>
      <c r="T193" s="30"/>
    </row>
    <row r="194" spans="1:20" ht="17.25">
      <c r="A194" s="32" t="s">
        <v>6</v>
      </c>
      <c r="B194" s="32" t="s">
        <v>270</v>
      </c>
      <c r="C194" s="52" t="s">
        <v>271</v>
      </c>
      <c r="D194" s="37">
        <v>155.4</v>
      </c>
      <c r="E194" s="37">
        <f>229.28-D194</f>
        <v>73.88</v>
      </c>
      <c r="F194" s="38">
        <v>40.479999999999997</v>
      </c>
      <c r="G194" s="38">
        <v>121.44</v>
      </c>
      <c r="H194" s="27">
        <f t="shared" si="14"/>
        <v>391.2</v>
      </c>
      <c r="I194" s="38">
        <v>1984.92</v>
      </c>
      <c r="J194" s="38">
        <v>2388.35</v>
      </c>
      <c r="K194" s="38">
        <v>1562.11</v>
      </c>
      <c r="L194" s="39">
        <v>1624.59</v>
      </c>
      <c r="M194" s="29">
        <f t="shared" si="16"/>
        <v>65704.674000000028</v>
      </c>
      <c r="N194" s="29">
        <f t="shared" si="12"/>
        <v>31237.20280000001</v>
      </c>
      <c r="O194" s="29">
        <f t="shared" si="12"/>
        <v>30917.004799999999</v>
      </c>
      <c r="P194" s="29">
        <f t="shared" si="15"/>
        <v>92751.0144</v>
      </c>
      <c r="Q194" s="29">
        <f t="shared" si="13"/>
        <v>220609.89600000004</v>
      </c>
      <c r="R194" s="29"/>
      <c r="S194" s="29"/>
      <c r="T194" s="30"/>
    </row>
    <row r="195" spans="1:20" ht="17.25">
      <c r="A195" s="32" t="s">
        <v>279</v>
      </c>
      <c r="B195" s="32" t="s">
        <v>75</v>
      </c>
      <c r="C195" s="52" t="s">
        <v>271</v>
      </c>
      <c r="D195" s="37">
        <v>26403.424999999999</v>
      </c>
      <c r="E195" s="37">
        <f>39604.266-D195</f>
        <v>13200.841000000004</v>
      </c>
      <c r="F195" s="38">
        <v>0</v>
      </c>
      <c r="G195" s="38">
        <v>25187.68</v>
      </c>
      <c r="H195" s="56">
        <f>SUM(D195:G195)</f>
        <v>64791.946000000004</v>
      </c>
      <c r="I195" s="38">
        <v>2719.33</v>
      </c>
      <c r="J195" s="38">
        <v>2719.33</v>
      </c>
      <c r="K195" s="38">
        <v>1323.83</v>
      </c>
      <c r="L195" s="39">
        <v>1378.11</v>
      </c>
      <c r="M195" s="29">
        <f t="shared" si="16"/>
        <v>36845979.587499999</v>
      </c>
      <c r="N195" s="29">
        <f t="shared" si="12"/>
        <v>18421773.615500007</v>
      </c>
      <c r="O195" s="29">
        <f t="shared" si="12"/>
        <v>0</v>
      </c>
      <c r="P195" s="29">
        <f t="shared" si="15"/>
        <v>33782220.169600002</v>
      </c>
      <c r="Q195" s="29">
        <f t="shared" si="13"/>
        <v>89049973.372600019</v>
      </c>
      <c r="R195" s="29"/>
      <c r="S195" s="29"/>
      <c r="T195" s="30"/>
    </row>
    <row r="196" spans="1:20" ht="17.25">
      <c r="A196" s="32" t="s">
        <v>278</v>
      </c>
      <c r="B196" s="32" t="s">
        <v>248</v>
      </c>
      <c r="C196" s="52" t="s">
        <v>272</v>
      </c>
      <c r="D196" s="37">
        <v>232.53700000000001</v>
      </c>
      <c r="E196" s="37">
        <f>345.05-D196</f>
        <v>112.51300000000001</v>
      </c>
      <c r="F196" s="38">
        <v>21.6</v>
      </c>
      <c r="G196" s="38">
        <v>181.43</v>
      </c>
      <c r="H196" s="27">
        <f t="shared" si="14"/>
        <v>548.08000000000004</v>
      </c>
      <c r="I196" s="38">
        <v>3214.69</v>
      </c>
      <c r="J196" s="38">
        <v>3214.69</v>
      </c>
      <c r="K196" s="38">
        <v>1592.23</v>
      </c>
      <c r="L196" s="39">
        <v>1624.07</v>
      </c>
      <c r="M196" s="29">
        <f t="shared" si="16"/>
        <v>377281.98102000001</v>
      </c>
      <c r="N196" s="29">
        <f t="shared" si="12"/>
        <v>182547.84198000003</v>
      </c>
      <c r="O196" s="29">
        <f t="shared" si="12"/>
        <v>34357.392000000007</v>
      </c>
      <c r="P196" s="29">
        <f t="shared" si="15"/>
        <v>288586.18660000002</v>
      </c>
      <c r="Q196" s="29">
        <f t="shared" si="13"/>
        <v>882773.4016000001</v>
      </c>
      <c r="R196" s="29"/>
      <c r="S196" s="29"/>
      <c r="T196" s="30"/>
    </row>
    <row r="197" spans="1:20" ht="17.25">
      <c r="A197" s="32" t="s">
        <v>278</v>
      </c>
      <c r="B197" s="32" t="s">
        <v>248</v>
      </c>
      <c r="C197" s="52" t="s">
        <v>273</v>
      </c>
      <c r="D197" s="37">
        <v>173.64400000000001</v>
      </c>
      <c r="E197" s="37">
        <f>254.332-D197</f>
        <v>80.687999999999988</v>
      </c>
      <c r="F197" s="38">
        <v>17.68</v>
      </c>
      <c r="G197" s="38">
        <v>148.47</v>
      </c>
      <c r="H197" s="27">
        <f t="shared" si="14"/>
        <v>420.48199999999997</v>
      </c>
      <c r="I197" s="38">
        <v>3214.69</v>
      </c>
      <c r="J197" s="38">
        <v>3214.69</v>
      </c>
      <c r="K197" s="38">
        <v>1251.33</v>
      </c>
      <c r="L197" s="39">
        <v>1326.41</v>
      </c>
      <c r="M197" s="29">
        <f t="shared" si="16"/>
        <v>340925.68384000001</v>
      </c>
      <c r="N197" s="29">
        <f t="shared" si="12"/>
        <v>158419.59167999998</v>
      </c>
      <c r="O197" s="29">
        <f t="shared" si="12"/>
        <v>33384.790399999998</v>
      </c>
      <c r="P197" s="29">
        <f t="shared" si="15"/>
        <v>280352.93160000001</v>
      </c>
      <c r="Q197" s="29">
        <f t="shared" si="13"/>
        <v>813082.99751999998</v>
      </c>
      <c r="R197" s="29"/>
      <c r="S197" s="29"/>
      <c r="T197" s="30"/>
    </row>
    <row r="198" spans="1:20" ht="17.25">
      <c r="A198" s="32" t="s">
        <v>277</v>
      </c>
      <c r="B198" s="32" t="s">
        <v>274</v>
      </c>
      <c r="C198" s="52" t="s">
        <v>271</v>
      </c>
      <c r="D198" s="37">
        <v>324.13499999999999</v>
      </c>
      <c r="E198" s="37">
        <f>456.897-D198</f>
        <v>132.762</v>
      </c>
      <c r="F198" s="38">
        <v>19.7</v>
      </c>
      <c r="G198" s="38">
        <v>261.7</v>
      </c>
      <c r="H198" s="27">
        <f t="shared" si="14"/>
        <v>738.29700000000003</v>
      </c>
      <c r="I198" s="38">
        <v>2771.53</v>
      </c>
      <c r="J198" s="38">
        <v>2785.2</v>
      </c>
      <c r="K198" s="38">
        <v>1574.13</v>
      </c>
      <c r="L198" s="39">
        <v>1624.59</v>
      </c>
      <c r="M198" s="29">
        <f t="shared" si="16"/>
        <v>388119.24900000001</v>
      </c>
      <c r="N198" s="29">
        <f t="shared" si="12"/>
        <v>158969.2188</v>
      </c>
      <c r="O198" s="29">
        <f t="shared" si="12"/>
        <v>22864.016999999996</v>
      </c>
      <c r="P198" s="29">
        <f t="shared" si="15"/>
        <v>303731.63699999999</v>
      </c>
      <c r="Q198" s="29">
        <f t="shared" si="13"/>
        <v>873684.12179999996</v>
      </c>
      <c r="R198" s="29"/>
      <c r="S198" s="29"/>
      <c r="T198" s="30"/>
    </row>
    <row r="199" spans="1:20" ht="17.25">
      <c r="A199" s="32" t="s">
        <v>276</v>
      </c>
      <c r="B199" s="32" t="s">
        <v>275</v>
      </c>
      <c r="C199" s="52" t="s">
        <v>269</v>
      </c>
      <c r="D199" s="37">
        <v>834.03899999999999</v>
      </c>
      <c r="E199" s="37">
        <f>1204.893-D199</f>
        <v>370.85400000000004</v>
      </c>
      <c r="F199" s="38">
        <v>132.52000000000001</v>
      </c>
      <c r="G199" s="38">
        <v>814.81</v>
      </c>
      <c r="H199" s="27">
        <f t="shared" si="14"/>
        <v>2152.223</v>
      </c>
      <c r="I199" s="38">
        <v>4268.78</v>
      </c>
      <c r="J199" s="38">
        <v>4268.78</v>
      </c>
      <c r="K199" s="38">
        <v>1971.79</v>
      </c>
      <c r="L199" s="39">
        <v>2050.66</v>
      </c>
      <c r="M199" s="29">
        <f t="shared" si="16"/>
        <v>1915779.2426099998</v>
      </c>
      <c r="N199" s="29">
        <f t="shared" si="12"/>
        <v>851847.92946000001</v>
      </c>
      <c r="O199" s="29">
        <f t="shared" si="12"/>
        <v>293945.26240000001</v>
      </c>
      <c r="P199" s="29">
        <f t="shared" si="15"/>
        <v>1807346.3571999997</v>
      </c>
      <c r="Q199" s="29">
        <f t="shared" si="13"/>
        <v>4868918.7916699992</v>
      </c>
      <c r="R199" s="29"/>
      <c r="S199" s="29"/>
      <c r="T199" s="30"/>
    </row>
    <row r="200" spans="1:20" s="14" customFormat="1" ht="16.5">
      <c r="A200" s="63" t="s">
        <v>51</v>
      </c>
      <c r="B200" s="63"/>
      <c r="C200" s="19"/>
      <c r="D200" s="57">
        <f>SUM(D9:D199)</f>
        <v>403001.69000000012</v>
      </c>
      <c r="E200" s="57">
        <f>SUM(E9:E199)</f>
        <v>211541.80899999995</v>
      </c>
      <c r="F200" s="58">
        <f>SUM(F9:F199)</f>
        <v>81004.404999999955</v>
      </c>
      <c r="G200" s="58">
        <f>SUM(G9:G199)</f>
        <v>358870.2699999999</v>
      </c>
      <c r="H200" s="58">
        <f>SUM(H9:H199)</f>
        <v>1054418.1740000003</v>
      </c>
      <c r="I200" s="58"/>
      <c r="J200" s="58"/>
      <c r="K200" s="58"/>
      <c r="L200" s="58"/>
      <c r="M200" s="58">
        <f>SUM(M9:M199)</f>
        <v>669271662.61600971</v>
      </c>
      <c r="N200" s="58">
        <f t="shared" ref="N200:Q200" si="17">SUM(N9:N199)</f>
        <v>344449369.34555</v>
      </c>
      <c r="O200" s="58">
        <f t="shared" si="17"/>
        <v>125255721.15603004</v>
      </c>
      <c r="P200" s="58">
        <f t="shared" si="17"/>
        <v>635790043.39839971</v>
      </c>
      <c r="Q200" s="58">
        <f t="shared" si="17"/>
        <v>1774766796.5159895</v>
      </c>
      <c r="R200" s="58">
        <v>203938561.05000001</v>
      </c>
      <c r="S200" s="58">
        <f>P200*0.36</f>
        <v>228884415.62342387</v>
      </c>
      <c r="T200" s="58">
        <f>Q200+R200-S200</f>
        <v>1749820941.9425657</v>
      </c>
    </row>
  </sheetData>
  <autoFilter ref="A7:T200"/>
  <mergeCells count="34">
    <mergeCell ref="A200:B200"/>
    <mergeCell ref="A131:C131"/>
    <mergeCell ref="A145:C145"/>
    <mergeCell ref="A162:C162"/>
    <mergeCell ref="A170:C170"/>
    <mergeCell ref="A177:B177"/>
    <mergeCell ref="A127:C127"/>
    <mergeCell ref="A51:C51"/>
    <mergeCell ref="A60:C60"/>
    <mergeCell ref="A62:C62"/>
    <mergeCell ref="A65:C65"/>
    <mergeCell ref="A71:C71"/>
    <mergeCell ref="A73:C73"/>
    <mergeCell ref="A75:C75"/>
    <mergeCell ref="A77:C77"/>
    <mergeCell ref="A82:C82"/>
    <mergeCell ref="A92:C92"/>
    <mergeCell ref="A106:C106"/>
    <mergeCell ref="M5:Q5"/>
    <mergeCell ref="R5:R6"/>
    <mergeCell ref="S5:S6"/>
    <mergeCell ref="T5:T6"/>
    <mergeCell ref="A8:C8"/>
    <mergeCell ref="D3:L3"/>
    <mergeCell ref="A41:C41"/>
    <mergeCell ref="A5:A6"/>
    <mergeCell ref="B5:B6"/>
    <mergeCell ref="C5:C6"/>
    <mergeCell ref="D5:H5"/>
    <mergeCell ref="I5:J5"/>
    <mergeCell ref="K5:L5"/>
    <mergeCell ref="A14:C14"/>
    <mergeCell ref="A24:C24"/>
    <mergeCell ref="A32:C32"/>
  </mergeCells>
  <pageMargins left="0.31496062992125984" right="0.31496062992125984" top="0.55118110236220474" bottom="0.35433070866141736" header="0.31496062992125984" footer="0.31496062992125984"/>
  <pageSetup paperSize="9" scale="43" fitToHeight="0" orientation="landscape" r:id="rId1"/>
  <headerFooter>
    <oddFooter>&amp;C&amp;P</oddFooter>
  </headerFooter>
  <colBreaks count="1" manualBreakCount="1">
    <brk id="12" min="2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 1 пг</vt:lpstr>
      <vt:lpstr>'факт 1 пг'!Заголовки_для_печати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2018-10-07T16:03:49Z</cp:lastPrinted>
  <dcterms:created xsi:type="dcterms:W3CDTF">2014-12-30T11:05:19Z</dcterms:created>
  <dcterms:modified xsi:type="dcterms:W3CDTF">2018-10-07T16:03:51Z</dcterms:modified>
</cp:coreProperties>
</file>