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11535" tabRatio="535"/>
  </bookViews>
  <sheets>
    <sheet name="Лист1" sheetId="2" r:id="rId1"/>
  </sheets>
  <definedNames>
    <definedName name="_xlnm.Print_Titles" localSheetId="0">Лист1!$5:$7</definedName>
    <definedName name="_xlnm.Print_Area" localSheetId="0">Лист1!$A$1:$AB$108</definedName>
  </definedNames>
  <calcPr calcId="125725"/>
</workbook>
</file>

<file path=xl/calcChain.xml><?xml version="1.0" encoding="utf-8"?>
<calcChain xmlns="http://schemas.openxmlformats.org/spreadsheetml/2006/main">
  <c r="AB108" i="2"/>
  <c r="AA108"/>
  <c r="AB107"/>
  <c r="AA107"/>
  <c r="O107"/>
  <c r="O106" s="1"/>
  <c r="L107"/>
  <c r="M107" s="1"/>
  <c r="M106" s="1"/>
  <c r="AA106"/>
  <c r="Z106"/>
  <c r="AB106" s="1"/>
  <c r="Y106"/>
  <c r="X106"/>
  <c r="T106"/>
  <c r="S106"/>
  <c r="R106"/>
  <c r="Q106"/>
  <c r="P106"/>
  <c r="N106"/>
  <c r="L106"/>
  <c r="K106"/>
  <c r="AB105"/>
  <c r="AA105"/>
  <c r="V105"/>
  <c r="S105"/>
  <c r="P105"/>
  <c r="M105"/>
  <c r="Z104"/>
  <c r="AA104" s="1"/>
  <c r="Y104"/>
  <c r="X104"/>
  <c r="U104"/>
  <c r="V104" s="1"/>
  <c r="T104"/>
  <c r="S104"/>
  <c r="R104"/>
  <c r="Q104"/>
  <c r="O104"/>
  <c r="N104"/>
  <c r="P104" s="1"/>
  <c r="L104"/>
  <c r="K104"/>
  <c r="M104" s="1"/>
  <c r="J104"/>
  <c r="I104"/>
  <c r="H104"/>
  <c r="G104"/>
  <c r="AA103"/>
  <c r="Z103"/>
  <c r="Y103"/>
  <c r="X103"/>
  <c r="AB103" s="1"/>
  <c r="V103"/>
  <c r="S103"/>
  <c r="P103"/>
  <c r="K103"/>
  <c r="M103" s="1"/>
  <c r="AB102"/>
  <c r="AA102"/>
  <c r="V102"/>
  <c r="S102"/>
  <c r="P102"/>
  <c r="M102"/>
  <c r="AA101"/>
  <c r="Z101"/>
  <c r="Y101"/>
  <c r="X101"/>
  <c r="AB101" s="1"/>
  <c r="V101"/>
  <c r="U101"/>
  <c r="T101"/>
  <c r="R101"/>
  <c r="S101" s="1"/>
  <c r="Q101"/>
  <c r="O101"/>
  <c r="N101"/>
  <c r="P101" s="1"/>
  <c r="L101"/>
  <c r="J101"/>
  <c r="I101"/>
  <c r="H101"/>
  <c r="G101"/>
  <c r="AB100"/>
  <c r="AA100"/>
  <c r="V100"/>
  <c r="S100"/>
  <c r="P100"/>
  <c r="M100"/>
  <c r="V99"/>
  <c r="V97" s="1"/>
  <c r="S99"/>
  <c r="P99"/>
  <c r="P97" s="1"/>
  <c r="K99"/>
  <c r="M99" s="1"/>
  <c r="M97" s="1"/>
  <c r="AB98"/>
  <c r="AA98"/>
  <c r="V98"/>
  <c r="S98"/>
  <c r="K98"/>
  <c r="Z97"/>
  <c r="AA97" s="1"/>
  <c r="Y97"/>
  <c r="X97"/>
  <c r="U97"/>
  <c r="T97"/>
  <c r="S97"/>
  <c r="R97"/>
  <c r="Q97"/>
  <c r="O97"/>
  <c r="N97"/>
  <c r="L97"/>
  <c r="K97"/>
  <c r="J97"/>
  <c r="I97"/>
  <c r="H97"/>
  <c r="G97"/>
  <c r="Q96"/>
  <c r="Q95"/>
  <c r="Q94"/>
  <c r="T93"/>
  <c r="S93"/>
  <c r="R93"/>
  <c r="P93"/>
  <c r="O93"/>
  <c r="N93"/>
  <c r="M93"/>
  <c r="Q93" s="1"/>
  <c r="Q84" s="1"/>
  <c r="AB92"/>
  <c r="AA92"/>
  <c r="P92"/>
  <c r="P91" s="1"/>
  <c r="M92"/>
  <c r="Z91"/>
  <c r="AA91" s="1"/>
  <c r="Y91"/>
  <c r="X91"/>
  <c r="V91"/>
  <c r="U91"/>
  <c r="T91"/>
  <c r="S91"/>
  <c r="R91"/>
  <c r="Q91"/>
  <c r="O91"/>
  <c r="N91"/>
  <c r="M91"/>
  <c r="L91"/>
  <c r="Z90"/>
  <c r="AA90" s="1"/>
  <c r="Y90"/>
  <c r="X90"/>
  <c r="V90"/>
  <c r="S90"/>
  <c r="I90"/>
  <c r="V89"/>
  <c r="S89"/>
  <c r="M89"/>
  <c r="V88"/>
  <c r="S88"/>
  <c r="K88"/>
  <c r="M88" s="1"/>
  <c r="M87" s="1"/>
  <c r="I88"/>
  <c r="Z87"/>
  <c r="AA87" s="1"/>
  <c r="Y87"/>
  <c r="X87"/>
  <c r="U87"/>
  <c r="T87"/>
  <c r="V87" s="1"/>
  <c r="R87"/>
  <c r="Q87"/>
  <c r="S87" s="1"/>
  <c r="P87"/>
  <c r="O87"/>
  <c r="N87"/>
  <c r="L87"/>
  <c r="K87"/>
  <c r="J87"/>
  <c r="I87"/>
  <c r="H87"/>
  <c r="G87"/>
  <c r="AB86"/>
  <c r="AA86"/>
  <c r="V86"/>
  <c r="S86"/>
  <c r="P86"/>
  <c r="M86"/>
  <c r="AA85"/>
  <c r="Z85"/>
  <c r="Y85"/>
  <c r="Y84" s="1"/>
  <c r="X85"/>
  <c r="AB85" s="1"/>
  <c r="U85"/>
  <c r="T85"/>
  <c r="T84" s="1"/>
  <c r="R85"/>
  <c r="S85" s="1"/>
  <c r="S84" s="1"/>
  <c r="Q85"/>
  <c r="P85"/>
  <c r="P84" s="1"/>
  <c r="O85"/>
  <c r="N85"/>
  <c r="N84" s="1"/>
  <c r="N8" s="1"/>
  <c r="N9" s="1"/>
  <c r="N10" s="1"/>
  <c r="L85"/>
  <c r="L84" s="1"/>
  <c r="K85"/>
  <c r="M85" s="1"/>
  <c r="M84" s="1"/>
  <c r="I85"/>
  <c r="G85"/>
  <c r="Z84"/>
  <c r="AA84" s="1"/>
  <c r="X84"/>
  <c r="U84"/>
  <c r="O84"/>
  <c r="K84"/>
  <c r="J84"/>
  <c r="I84"/>
  <c r="H84"/>
  <c r="G84"/>
  <c r="AB83"/>
  <c r="AA83"/>
  <c r="AB82"/>
  <c r="AA82"/>
  <c r="V82"/>
  <c r="Q81"/>
  <c r="Q78" s="1"/>
  <c r="AA80"/>
  <c r="P80"/>
  <c r="M80"/>
  <c r="AA79"/>
  <c r="V79"/>
  <c r="S79"/>
  <c r="S78" s="1"/>
  <c r="P79"/>
  <c r="M79"/>
  <c r="M78" s="1"/>
  <c r="AA78"/>
  <c r="Z78"/>
  <c r="AB78" s="1"/>
  <c r="Y78"/>
  <c r="X78"/>
  <c r="V78"/>
  <c r="U78"/>
  <c r="T78"/>
  <c r="R78"/>
  <c r="P78"/>
  <c r="O78"/>
  <c r="N78"/>
  <c r="L78"/>
  <c r="K78"/>
  <c r="AA77"/>
  <c r="V77"/>
  <c r="S77"/>
  <c r="P77"/>
  <c r="M77"/>
  <c r="Z76"/>
  <c r="AA76" s="1"/>
  <c r="Y76"/>
  <c r="X76"/>
  <c r="U76"/>
  <c r="V76" s="1"/>
  <c r="T76"/>
  <c r="R76"/>
  <c r="Q76"/>
  <c r="Q71" s="1"/>
  <c r="S71" s="1"/>
  <c r="O76"/>
  <c r="O71" s="1"/>
  <c r="N76"/>
  <c r="P76" s="1"/>
  <c r="P71" s="1"/>
  <c r="M76"/>
  <c r="L76"/>
  <c r="K76"/>
  <c r="K71" s="1"/>
  <c r="AB75"/>
  <c r="AA75"/>
  <c r="S75"/>
  <c r="P75"/>
  <c r="M75"/>
  <c r="AB74"/>
  <c r="AA74"/>
  <c r="V74"/>
  <c r="S74"/>
  <c r="P74"/>
  <c r="M74"/>
  <c r="Z73"/>
  <c r="AA73" s="1"/>
  <c r="Y73"/>
  <c r="X73"/>
  <c r="X71" s="1"/>
  <c r="V73"/>
  <c r="S73"/>
  <c r="P73"/>
  <c r="M73"/>
  <c r="M71" s="1"/>
  <c r="AB72"/>
  <c r="AA72"/>
  <c r="V72"/>
  <c r="S72"/>
  <c r="M72"/>
  <c r="I72"/>
  <c r="I71" s="1"/>
  <c r="Y71"/>
  <c r="T71"/>
  <c r="R71"/>
  <c r="N71"/>
  <c r="L71"/>
  <c r="J71"/>
  <c r="H71"/>
  <c r="G71"/>
  <c r="M69"/>
  <c r="M68"/>
  <c r="M67"/>
  <c r="M66"/>
  <c r="M65"/>
  <c r="M64"/>
  <c r="M63"/>
  <c r="M61"/>
  <c r="M60"/>
  <c r="M56"/>
  <c r="R55"/>
  <c r="R53" s="1"/>
  <c r="R50" s="1"/>
  <c r="Q55"/>
  <c r="AA54"/>
  <c r="V54"/>
  <c r="S54"/>
  <c r="Z53"/>
  <c r="AA53" s="1"/>
  <c r="Y53"/>
  <c r="X53"/>
  <c r="X50" s="1"/>
  <c r="V53"/>
  <c r="U53"/>
  <c r="U50" s="1"/>
  <c r="T53"/>
  <c r="S53"/>
  <c r="Q53"/>
  <c r="Q50" s="1"/>
  <c r="P53"/>
  <c r="O53"/>
  <c r="N53"/>
  <c r="L53"/>
  <c r="L50" s="1"/>
  <c r="L8" s="1"/>
  <c r="K53"/>
  <c r="AA52"/>
  <c r="Z52"/>
  <c r="AB52" s="1"/>
  <c r="Y52"/>
  <c r="X52"/>
  <c r="V52"/>
  <c r="S52"/>
  <c r="P52"/>
  <c r="M52"/>
  <c r="AB51"/>
  <c r="AA51"/>
  <c r="V51"/>
  <c r="S51"/>
  <c r="T50"/>
  <c r="S50"/>
  <c r="O50"/>
  <c r="N50"/>
  <c r="K50"/>
  <c r="J50"/>
  <c r="I50"/>
  <c r="H50"/>
  <c r="G50"/>
  <c r="AA49"/>
  <c r="AB48"/>
  <c r="AA48"/>
  <c r="P48"/>
  <c r="M48"/>
  <c r="I48"/>
  <c r="AB47"/>
  <c r="AA47"/>
  <c r="V47"/>
  <c r="S47"/>
  <c r="N47"/>
  <c r="AA46"/>
  <c r="V46"/>
  <c r="S46"/>
  <c r="N46"/>
  <c r="AB45"/>
  <c r="AA45"/>
  <c r="V45"/>
  <c r="S45"/>
  <c r="M45"/>
  <c r="M43" s="1"/>
  <c r="AB44"/>
  <c r="AA44"/>
  <c r="V44"/>
  <c r="S44"/>
  <c r="S43" s="1"/>
  <c r="AA43"/>
  <c r="Z43"/>
  <c r="Y43"/>
  <c r="X43"/>
  <c r="U43"/>
  <c r="T43"/>
  <c r="V43" s="1"/>
  <c r="R43"/>
  <c r="Q43"/>
  <c r="P43"/>
  <c r="O43"/>
  <c r="N43"/>
  <c r="L43"/>
  <c r="K43"/>
  <c r="J43"/>
  <c r="I43"/>
  <c r="H43"/>
  <c r="G43"/>
  <c r="R42"/>
  <c r="R37" s="1"/>
  <c r="R26" s="1"/>
  <c r="Q42"/>
  <c r="V41"/>
  <c r="S41"/>
  <c r="P41"/>
  <c r="P37" s="1"/>
  <c r="P26" s="1"/>
  <c r="M41"/>
  <c r="AB40"/>
  <c r="AA40"/>
  <c r="V40"/>
  <c r="V37" s="1"/>
  <c r="V26" s="1"/>
  <c r="S40"/>
  <c r="M40"/>
  <c r="AB39"/>
  <c r="AA39"/>
  <c r="V39"/>
  <c r="S39"/>
  <c r="M39"/>
  <c r="I39"/>
  <c r="AB38"/>
  <c r="AA38"/>
  <c r="V38"/>
  <c r="S38"/>
  <c r="M38"/>
  <c r="Z37"/>
  <c r="AA37" s="1"/>
  <c r="Y37"/>
  <c r="X37"/>
  <c r="AB37" s="1"/>
  <c r="U37"/>
  <c r="U26" s="1"/>
  <c r="T37"/>
  <c r="S37"/>
  <c r="Q37"/>
  <c r="O37"/>
  <c r="O26" s="1"/>
  <c r="O8" s="1"/>
  <c r="O9" s="1"/>
  <c r="O10" s="1"/>
  <c r="N37"/>
  <c r="M37"/>
  <c r="L37"/>
  <c r="K37"/>
  <c r="K26" s="1"/>
  <c r="J37"/>
  <c r="I37"/>
  <c r="I26" s="1"/>
  <c r="H37"/>
  <c r="G37"/>
  <c r="G26" s="1"/>
  <c r="G8" s="1"/>
  <c r="AA36"/>
  <c r="AA35"/>
  <c r="Q35"/>
  <c r="AA34"/>
  <c r="Q34"/>
  <c r="Q33"/>
  <c r="Q32"/>
  <c r="Q31"/>
  <c r="Q27" s="1"/>
  <c r="Q26" s="1"/>
  <c r="AB30"/>
  <c r="AA30"/>
  <c r="V30"/>
  <c r="S30"/>
  <c r="M30"/>
  <c r="AB29"/>
  <c r="AA29"/>
  <c r="V29"/>
  <c r="S29"/>
  <c r="M29"/>
  <c r="M27" s="1"/>
  <c r="M26" s="1"/>
  <c r="AB28"/>
  <c r="AA28"/>
  <c r="V28"/>
  <c r="S28"/>
  <c r="S27" s="1"/>
  <c r="S26" s="1"/>
  <c r="M28"/>
  <c r="Z27"/>
  <c r="AA27" s="1"/>
  <c r="Y27"/>
  <c r="Y26" s="1"/>
  <c r="X27"/>
  <c r="W27"/>
  <c r="V27"/>
  <c r="U27"/>
  <c r="T27"/>
  <c r="R27"/>
  <c r="P27"/>
  <c r="O27"/>
  <c r="N27"/>
  <c r="L27"/>
  <c r="K27"/>
  <c r="J27"/>
  <c r="I27"/>
  <c r="H27"/>
  <c r="G27"/>
  <c r="Z26"/>
  <c r="AA26" s="1"/>
  <c r="X26"/>
  <c r="W26"/>
  <c r="T26"/>
  <c r="N26"/>
  <c r="L26"/>
  <c r="J26"/>
  <c r="H26"/>
  <c r="AA25"/>
  <c r="V25"/>
  <c r="AA24"/>
  <c r="V24"/>
  <c r="AA23"/>
  <c r="Z23"/>
  <c r="Y23"/>
  <c r="X23"/>
  <c r="U23"/>
  <c r="T23"/>
  <c r="V23" s="1"/>
  <c r="S23"/>
  <c r="R23"/>
  <c r="Q23"/>
  <c r="P23"/>
  <c r="O23"/>
  <c r="N23"/>
  <c r="M23"/>
  <c r="L23"/>
  <c r="K23"/>
  <c r="J23"/>
  <c r="H23"/>
  <c r="I23" s="1"/>
  <c r="G23"/>
  <c r="AA22"/>
  <c r="S22"/>
  <c r="M22"/>
  <c r="V21"/>
  <c r="X21" s="1"/>
  <c r="S21"/>
  <c r="S20" s="1"/>
  <c r="P21"/>
  <c r="M21"/>
  <c r="AA20"/>
  <c r="Z20"/>
  <c r="Y20"/>
  <c r="Y11" s="1"/>
  <c r="X20"/>
  <c r="V20"/>
  <c r="U20"/>
  <c r="T20"/>
  <c r="R20"/>
  <c r="Q20"/>
  <c r="P20"/>
  <c r="O20"/>
  <c r="N20"/>
  <c r="L20"/>
  <c r="M20" s="1"/>
  <c r="K20"/>
  <c r="AB19"/>
  <c r="AA19"/>
  <c r="N19"/>
  <c r="V18"/>
  <c r="S18"/>
  <c r="P18"/>
  <c r="M18"/>
  <c r="H18"/>
  <c r="I18" s="1"/>
  <c r="AB17"/>
  <c r="AA17"/>
  <c r="V17"/>
  <c r="S17"/>
  <c r="P17"/>
  <c r="M17"/>
  <c r="AB16"/>
  <c r="AA16"/>
  <c r="V16"/>
  <c r="S16"/>
  <c r="P16"/>
  <c r="M16"/>
  <c r="AB15"/>
  <c r="AA15"/>
  <c r="V15"/>
  <c r="S15"/>
  <c r="M15"/>
  <c r="AB14"/>
  <c r="W14"/>
  <c r="AA14" s="1"/>
  <c r="V14"/>
  <c r="S14"/>
  <c r="P14"/>
  <c r="M14"/>
  <c r="M12" s="1"/>
  <c r="M11" s="1"/>
  <c r="H14"/>
  <c r="I14" s="1"/>
  <c r="I12" s="1"/>
  <c r="I11" s="1"/>
  <c r="I8" s="1"/>
  <c r="AB13"/>
  <c r="AA13"/>
  <c r="V13"/>
  <c r="S13"/>
  <c r="S12" s="1"/>
  <c r="S11" s="1"/>
  <c r="P13"/>
  <c r="Z12"/>
  <c r="Y12"/>
  <c r="X12"/>
  <c r="V12"/>
  <c r="U12"/>
  <c r="T12"/>
  <c r="R12"/>
  <c r="Q12"/>
  <c r="P12"/>
  <c r="O12"/>
  <c r="N12"/>
  <c r="L12"/>
  <c r="K12"/>
  <c r="J12"/>
  <c r="H12"/>
  <c r="G12"/>
  <c r="Z11"/>
  <c r="X11"/>
  <c r="U11"/>
  <c r="T11"/>
  <c r="V11" s="1"/>
  <c r="R11"/>
  <c r="Q11"/>
  <c r="P11"/>
  <c r="O11"/>
  <c r="N11"/>
  <c r="L11"/>
  <c r="K11"/>
  <c r="J11"/>
  <c r="H11"/>
  <c r="G11"/>
  <c r="J8"/>
  <c r="H8"/>
  <c r="T8" l="1"/>
  <c r="T9" s="1"/>
  <c r="T10" s="1"/>
  <c r="S8"/>
  <c r="M53"/>
  <c r="M50" s="1"/>
  <c r="V50"/>
  <c r="P50"/>
  <c r="P8" s="1"/>
  <c r="Z50"/>
  <c r="AA50" s="1"/>
  <c r="Y50"/>
  <c r="Y8" s="1"/>
  <c r="AB43"/>
  <c r="X8"/>
  <c r="Q8"/>
  <c r="Q9" s="1"/>
  <c r="Q10" s="1"/>
  <c r="U8"/>
  <c r="U9" s="1"/>
  <c r="U10" s="1"/>
  <c r="Y21"/>
  <c r="Z21"/>
  <c r="AB27"/>
  <c r="AB73"/>
  <c r="S76"/>
  <c r="AB84"/>
  <c r="AB104"/>
  <c r="AB12"/>
  <c r="W12"/>
  <c r="W11" s="1"/>
  <c r="W8" s="1"/>
  <c r="U71"/>
  <c r="V71" s="1"/>
  <c r="Z71"/>
  <c r="R84"/>
  <c r="R8" s="1"/>
  <c r="R9" s="1"/>
  <c r="R10" s="1"/>
  <c r="K101"/>
  <c r="M101" s="1"/>
  <c r="M8" s="1"/>
  <c r="AB11"/>
  <c r="AB26"/>
  <c r="V85"/>
  <c r="V84" s="1"/>
  <c r="AB87"/>
  <c r="AB90"/>
  <c r="AB91"/>
  <c r="AB97"/>
  <c r="V8" l="1"/>
  <c r="AB50"/>
  <c r="AB71"/>
  <c r="Z8"/>
  <c r="AA71"/>
  <c r="AA12"/>
  <c r="AB21"/>
  <c r="AA21"/>
  <c r="AA11"/>
  <c r="K8"/>
  <c r="AA8" l="1"/>
  <c r="AB8"/>
</calcChain>
</file>

<file path=xl/sharedStrings.xml><?xml version="1.0" encoding="utf-8"?>
<sst xmlns="http://schemas.openxmlformats.org/spreadsheetml/2006/main" count="510" uniqueCount="251">
  <si>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</si>
  <si>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</si>
  <si>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</si>
  <si>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</si>
  <si>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</si>
  <si>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</si>
  <si>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</si>
  <si>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</si>
  <si>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</si>
  <si>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</si>
  <si>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</si>
  <si>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</si>
  <si>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</si>
  <si>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</si>
  <si>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</si>
  <si>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</si>
  <si>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</si>
  <si>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</si>
  <si>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</si>
  <si>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</si>
  <si>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</si>
  <si>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</si>
  <si>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</si>
  <si>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</si>
  <si>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</si>
  <si>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</si>
  <si>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</si>
  <si>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</si>
  <si>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</si>
  <si>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</si>
  <si>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45 чел./смену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</si>
  <si>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</si>
  <si>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</si>
  <si>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</si>
  <si>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</si>
  <si>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</si>
  <si>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</si>
  <si>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</si>
  <si>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</si>
  <si>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</si>
  <si>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</si>
  <si>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</si>
  <si>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</si>
  <si>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</si>
  <si>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</si>
  <si>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</si>
  <si>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</si>
  <si>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</si>
  <si>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</si>
  <si>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81 чел./смену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</si>
  <si>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</si>
  <si>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</si>
  <si>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</si>
  <si>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</si>
  <si>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</si>
  <si>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</si>
  <si>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</si>
  <si>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</si>
  <si>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</si>
  <si>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</si>
  <si>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</si>
  <si>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</si>
  <si>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</si>
  <si>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</si>
  <si>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</si>
  <si>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</si>
  <si>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</si>
  <si>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</si>
  <si>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</si>
  <si>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</si>
  <si>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</si>
  <si>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</si>
  <si>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</si>
  <si>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</si>
  <si>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</si>
  <si>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</si>
  <si>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</si>
  <si>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</si>
  <si>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</si>
  <si>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</si>
  <si>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</si>
  <si>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</si>
  <si>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</si>
  <si>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t>1. Укрепление правого берега реки Северная Двина в Соломбальском территориальном округе                                                      г. Архангельска на участке от улицы Маяковского до улицы Кедрова (I этап, 1 подэтап)</t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</si>
  <si>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</si>
  <si>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</si>
  <si>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</si>
  <si>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</si>
  <si>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</si>
  <si>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</si>
  <si>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</si>
  <si>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</si>
  <si>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2020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</si>
  <si>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</si>
  <si>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</si>
  <si>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2016 / 2020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</si>
  <si>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</si>
  <si>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</si>
  <si>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</si>
  <si>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</si>
  <si>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</si>
  <si>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</si>
  <si>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</si>
  <si>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</si>
  <si>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</si>
  <si>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</si>
  <si>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</si>
  <si>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</si>
  <si>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</si>
  <si>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администрация муниципального образования  "Мезенский муниципального район"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</si>
  <si>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</si>
  <si>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</si>
  <si>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</si>
  <si>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</si>
  <si>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</si>
  <si>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</si>
  <si>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администрация муниципального образования                                                        "Сельское поселение "Соловецкое"</t>
  </si>
  <si>
    <t>1. Строительство и реконструкция системы водоснабжения поселка Соловецкий</t>
  </si>
  <si>
    <t>2. Укрепление правого берега реки Северная Двина в Соломбальском территориальном округе                                                  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</si>
  <si>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от ул. Маяковского до ул. Кедрова                               (I этап, 1 подэтап, I этап,                                                                                                                                                                          2 подэтап и II этап)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</si>
  <si>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</si>
  <si>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</si>
  <si>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2. Физкультурно-оздоровительный комплекс с универсальным игровым залом  42 х 24 м по адресу: Архангельская обл.,   г. Северодвинск, о. Ягры, пр. Машиностроителей*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</si>
  <si>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</si>
  <si>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</si>
  <si>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</si>
  <si>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</si>
  <si>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</si>
  <si>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2013 / -</t>
  </si>
  <si>
    <t>2020 / -</t>
  </si>
  <si>
    <t>1) детский сад на 280 мест в 7 микрорайоне территориального округа Майская горка города Архангельска</t>
  </si>
  <si>
    <t>1) детский сад на 60 мест в пос. Турдеевск
г. Архангельска</t>
  </si>
  <si>
    <t>2) детский сад на 120 мест в пос. Катунино Приморского района Архангельской области</t>
  </si>
  <si>
    <t>3) детский сад на 120 мест                                                                                   в п. Каменка МО "Мезенский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</si>
  <si>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</si>
  <si>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</si>
  <si>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</si>
  <si>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1) фельдшерско-акушерский пункт
в д. Окулово Приморского района
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</si>
  <si>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</si>
  <si>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</si>
  <si>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3. Строительство (приобретение) фельдшерско-акушерских пунктов, в том числе:</t>
  </si>
  <si>
    <t>Предлагаемые изменения</t>
  </si>
  <si>
    <t>Общий (предельный) объем бюджетных ассигнований областного бюджета на 2020 год с учетом изменений,                                                 тыс. рублей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</si>
  <si>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</si>
  <si>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</si>
  <si>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</si>
  <si>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 xml:space="preserve">бюджетные инвестиции в объекты государственной собственности Архангельской области,  строительство 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</si>
  <si>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</si>
  <si>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</si>
  <si>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</si>
  <si>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</si>
  <si>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</si>
  <si>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</si>
  <si>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</si>
  <si>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</si>
  <si>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</si>
  <si>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4. Реконструкция пр-та Ленинградского от ул. Первомайской до ул. Смольный Буян в г. Архангельске</t>
  </si>
  <si>
    <t>XI.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2018 годы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</si>
  <si>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</si>
  <si>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</si>
  <si>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</si>
  <si>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</si>
  <si>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</si>
  <si>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 xml:space="preserve">6. Приобретение части нежилого помещения  здания библиотеки,  расположенного по адресу: Архангельская область, Лешуконский район, с. Лешуконское, ул. Октябрьская, д. 26 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</si>
  <si>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</si>
  <si>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</si>
  <si>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</si>
  <si>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</si>
  <si>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</si>
  <si>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4 306,5 кв.м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</si>
  <si>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</si>
  <si>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</si>
  <si>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</si>
  <si>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</si>
  <si>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</si>
  <si>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</si>
  <si>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</si>
  <si>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1) строительство                                                                                            300-квартирного дома по пр. Московскому в г. Архангельске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</si>
  <si>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</si>
  <si>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</si>
  <si>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</si>
  <si>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</si>
  <si>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2) строительство инженерной инфраструктуры (водоснабжение)                                                              к земельным участкам                                                        для строительства индивидуальных жилых домов многодетным семьям                                                                 в районе ул. Южная, д. 19,                                                                      г. Новодвинск. Строительство водопровода</t>
  </si>
  <si>
    <t>1) детский сад на 280 мест в 7 микрорайоне территориального округа Майская горка города Архангельска*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</si>
  <si>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</si>
  <si>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 xml:space="preserve">                        19.02.2018 № 603-41-ОЗ)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</si>
  <si>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</si>
  <si>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</si>
  <si>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</si>
  <si>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 xml:space="preserve">   тыс. рублей</t>
  </si>
  <si>
    <r>
      <t>сети: водоснабжения – 113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</si>
  <si>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r>
      <t>535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 xml:space="preserve"> / сутки</t>
    </r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</si>
  <si>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</si>
  <si>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1650 м</t>
  </si>
  <si>
    <t>4) детский сад на 125 мест в Соломбальском территориальном округе                                                                    города Архангельска*</t>
  </si>
  <si>
    <t>5) детский сад на 280 мест в 6 микрорайоне территориального округа Майская горка города Архангельска*</t>
  </si>
  <si>
    <t>6) детский сад на 280 мест в г. Котласе Архангельской области по пр. Мира, д. 24а*</t>
  </si>
  <si>
    <t>7) детский сад на 280 мест в г. Северодвинске*</t>
  </si>
  <si>
    <t>8) детский сад на 220 мест в с. Карпогоры Пинежского района*</t>
  </si>
  <si>
    <t>125 мест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</si>
  <si>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</si>
  <si>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220 мест</t>
  </si>
  <si>
    <t>5) строительство школы на 90 учащихся в с. Долгощелье Мезенского района Архангельской области*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</si>
  <si>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</si>
  <si>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3) фельдшерско-акушерский пункт в пос. Квазеньга Устьянского района Архангельской области</t>
  </si>
  <si>
    <t>2019 / 2019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</si>
  <si>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</si>
  <si>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</si>
  <si>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</si>
  <si>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</si>
  <si>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</si>
  <si>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</si>
  <si>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</si>
  <si>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2020 / 2020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</si>
  <si>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</si>
  <si>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</si>
  <si>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</si>
  <si>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</si>
  <si>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</si>
  <si>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</si>
  <si>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2)  фельдшерско-акушерский пункт в дер. Шиловская Вельского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</si>
  <si>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</si>
  <si>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</si>
  <si>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</si>
  <si>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</si>
  <si>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</si>
  <si>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</si>
  <si>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</si>
  <si>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>государственное казенное учреждение Архангельской области "Дирекция по развитию Соловецкого архипелага"  (далее - ГКУ АО "Дирекция по развитию Соловецкого архипелага")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</si>
  <si>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</si>
  <si>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</si>
  <si>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</si>
  <si>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 xml:space="preserve">ГКУ АО "Дирекция по развитию Соловецкого архипелага" </t>
  </si>
  <si>
    <t>2009 / -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</si>
  <si>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</si>
  <si>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</si>
  <si>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</si>
  <si>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</si>
  <si>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 xml:space="preserve">Общий (предельный) объем бюджетных ассигнований областного бюджета на 2018 год                                          </t>
  </si>
  <si>
    <t>Общий объем капитальных вложений за счет всех источников</t>
  </si>
  <si>
    <t>2) обеспечение объектами инженерной инфраструктуры 300-квартирного дома по пр. Московскому в г. Архангельске</t>
  </si>
  <si>
    <t>2. Строительство центра культурного развития в г. Каргополе по адресу: Архангельская область,  г. Каргополь, ул. Гагарина</t>
  </si>
  <si>
    <t>Приложение № 6 к пояснительной записке к отчету об исполнении областного бюджета за 9 месяцев 2018 года  по форме приложения № 16 к областному закону "Об областном бюджете на 2018 год и на плановый период 2019 и 2020 годов"</t>
  </si>
  <si>
    <t xml:space="preserve">Отчет об исполнении областной адресной инвестиционной программы за 9 месяцев 2018 года </t>
  </si>
  <si>
    <t>Уточненная сводная бюджетная роспись на 2018 год по состоянию на 30.09.2018</t>
  </si>
  <si>
    <t>План кассовых выплат на 9 месяцев 2018 года</t>
  </si>
  <si>
    <t>Исполнено на 30.09.2018</t>
  </si>
  <si>
    <t>к плану на 9 месяцев</t>
  </si>
  <si>
    <r>
      <t>9) детский сад на 220 мест в округе Варавино-Фактория города Архангельска</t>
    </r>
    <r>
      <rPr>
        <i/>
        <sz val="12"/>
        <rFont val="Times New Roman"/>
        <family val="1"/>
        <charset val="204"/>
      </rPr>
      <t xml:space="preserve"> (по сводной бюджетной росписи)</t>
    </r>
  </si>
  <si>
    <t>5. Строительство (приобретение) речных судов для осуществления грузопассажирских перевозок на территории Архангельской области, в том числе:</t>
  </si>
  <si>
    <t>4) строительство средней общеобразовательной школы на 860 учащихся по ул. Дзержинского                           г. Вельска Архангельской области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</si>
</sst>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7">
      <alignment horizontal="center" vertical="center" wrapText="1"/>
    </xf>
    <xf numFmtId="0" fontId="11" fillId="0" borderId="7">
      <alignment horizontal="center" vertical="center" wrapText="1"/>
    </xf>
    <xf numFmtId="0" fontId="11" fillId="0" borderId="9">
      <alignment horizontal="center" vertical="center" wrapText="1"/>
    </xf>
    <xf numFmtId="0" fontId="11" fillId="0" borderId="10">
      <alignment horizontal="center" vertical="center" wrapText="1"/>
    </xf>
    <xf numFmtId="49" fontId="11" fillId="0" borderId="10">
      <alignment horizontal="center" vertical="center" wrapText="1"/>
    </xf>
  </cellStyleXfs>
  <cellXfs count="135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/>
    <xf numFmtId="165" fontId="3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8" fillId="0" borderId="10" xfId="8" applyNumberFormat="1" applyFo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165" fontId="14" fillId="2" borderId="1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6" fontId="10" fillId="2" borderId="1" xfId="0" applyNumberFormat="1" applyFont="1" applyFill="1" applyBorder="1" applyAlignment="1">
      <alignment vertical="center" wrapText="1"/>
    </xf>
    <xf numFmtId="165" fontId="17" fillId="2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/>
    </xf>
    <xf numFmtId="165" fontId="10" fillId="0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165" fontId="17" fillId="0" borderId="1" xfId="1" applyNumberFormat="1" applyFont="1" applyFill="1" applyBorder="1" applyAlignment="1">
      <alignment vertical="center"/>
    </xf>
    <xf numFmtId="165" fontId="17" fillId="2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/>
    </xf>
    <xf numFmtId="165" fontId="10" fillId="0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 wrapText="1"/>
    </xf>
    <xf numFmtId="165" fontId="17" fillId="0" borderId="1" xfId="0" applyNumberFormat="1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65" fontId="1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lef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3" fillId="0" borderId="0" xfId="0" applyFont="1" applyAlignment="1"/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168" fontId="8" fillId="0" borderId="8" xfId="4" applyNumberFormat="1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8" xfId="5" applyNumberFormat="1" applyFont="1" applyBorder="1" applyAlignment="1" applyProtection="1">
      <alignment horizontal="center" vertical="center" wrapText="1"/>
    </xf>
    <xf numFmtId="0" fontId="8" fillId="0" borderId="13" xfId="5" applyNumberFormat="1" applyFont="1" applyBorder="1" applyAlignment="1" applyProtection="1">
      <alignment horizontal="center" vertical="center" wrapText="1"/>
    </xf>
    <xf numFmtId="0" fontId="8" fillId="0" borderId="8" xfId="6" applyNumberFormat="1" applyFont="1" applyBorder="1" applyAlignment="1" applyProtection="1">
      <alignment horizontal="center" vertical="center" wrapText="1"/>
    </xf>
    <xf numFmtId="0" fontId="8" fillId="0" borderId="13" xfId="6" applyNumberFormat="1" applyFont="1" applyBorder="1" applyAlignment="1" applyProtection="1">
      <alignment horizontal="center" vertical="center" wrapText="1"/>
    </xf>
    <xf numFmtId="168" fontId="8" fillId="0" borderId="13" xfId="4" applyNumberFormat="1" applyFont="1" applyBorder="1" applyAlignment="1" applyProtection="1">
      <alignment horizontal="center" vertical="center" wrapText="1"/>
    </xf>
    <xf numFmtId="0" fontId="8" fillId="0" borderId="11" xfId="7" applyNumberFormat="1" applyFont="1" applyBorder="1" applyProtection="1">
      <alignment horizontal="center" vertical="center" wrapText="1"/>
    </xf>
    <xf numFmtId="0" fontId="8" fillId="0" borderId="12" xfId="7" applyNumberFormat="1" applyFont="1" applyBorder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18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</cellXfs>
  <cellStyles count="9">
    <cellStyle name="st66" xfId="7"/>
    <cellStyle name="st67" xfId="6"/>
    <cellStyle name="xl56" xfId="4"/>
    <cellStyle name="xl62" xfId="5"/>
    <cellStyle name="xl68" xfId="8"/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F122"/>
  <sheetViews>
    <sheetView showGridLines="0" tabSelected="1" topLeftCell="A104" zoomScaleNormal="100" zoomScaleSheetLayoutView="75" workbookViewId="0">
      <selection activeCell="A105" sqref="A105"/>
    </sheetView>
  </sheetViews>
  <sheetFormatPr defaultColWidth="9.140625" defaultRowHeight="15" outlineLevelRow="1"/>
  <cols>
    <col min="1" max="1" width="37.28515625" style="2" customWidth="1"/>
    <col min="2" max="2" width="19.85546875" style="2" customWidth="1"/>
    <col min="3" max="3" width="20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2" width="15.85546875" style="2" hidden="1" customWidth="1"/>
    <col min="13" max="13" width="19.28515625" style="2" customWidth="1"/>
    <col min="14" max="15" width="15.85546875" style="2" hidden="1" customWidth="1"/>
    <col min="16" max="16" width="19.7109375" style="2" customWidth="1"/>
    <col min="17" max="22" width="15" style="2" hidden="1" customWidth="1"/>
    <col min="23" max="23" width="22.7109375" style="1" customWidth="1"/>
    <col min="24" max="24" width="23" style="1" customWidth="1"/>
    <col min="25" max="25" width="21.28515625" style="1" customWidth="1"/>
    <col min="26" max="26" width="21.5703125" style="1" customWidth="1"/>
    <col min="27" max="27" width="13" style="1" customWidth="1"/>
    <col min="28" max="28" width="15.42578125" style="2" customWidth="1"/>
    <col min="29" max="29" width="27" style="2" customWidth="1"/>
    <col min="30" max="16384" width="9.140625" style="2"/>
  </cols>
  <sheetData>
    <row r="1" spans="1:28" ht="6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0"/>
      <c r="S1" s="12" t="s">
        <v>185</v>
      </c>
      <c r="T1" s="3"/>
      <c r="U1" s="3"/>
      <c r="V1" s="3"/>
      <c r="W1" s="114" t="s">
        <v>242</v>
      </c>
      <c r="X1" s="115"/>
      <c r="Y1" s="115"/>
      <c r="Z1" s="115"/>
      <c r="AA1" s="115"/>
      <c r="AB1" s="115"/>
    </row>
    <row r="2" spans="1:28" ht="17.25" customHeight="1">
      <c r="A2" s="125" t="s">
        <v>243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 s="126"/>
      <c r="W2" s="126"/>
      <c r="X2" s="126"/>
      <c r="Y2" s="126"/>
      <c r="Z2" s="126"/>
      <c r="AA2" s="126"/>
      <c r="AB2" s="126"/>
    </row>
    <row r="3" spans="1:28" ht="19.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</row>
    <row r="4" spans="1:28" ht="17.2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46"/>
      <c r="V4" s="46"/>
      <c r="AB4" s="22" t="s">
        <v>189</v>
      </c>
    </row>
    <row r="5" spans="1:28" ht="49.5" customHeight="1">
      <c r="A5" s="91" t="s">
        <v>3</v>
      </c>
      <c r="B5" s="91" t="s">
        <v>0</v>
      </c>
      <c r="C5" s="91" t="s">
        <v>4</v>
      </c>
      <c r="D5" s="91" t="s">
        <v>2</v>
      </c>
      <c r="E5" s="91" t="s">
        <v>1</v>
      </c>
      <c r="F5" s="91" t="s">
        <v>12</v>
      </c>
      <c r="G5" s="104" t="s">
        <v>31</v>
      </c>
      <c r="H5" s="104" t="s">
        <v>47</v>
      </c>
      <c r="I5" s="104" t="s">
        <v>31</v>
      </c>
      <c r="J5" s="104" t="s">
        <v>47</v>
      </c>
      <c r="K5" s="91" t="s">
        <v>51</v>
      </c>
      <c r="L5" s="95" t="s">
        <v>141</v>
      </c>
      <c r="M5" s="91" t="s">
        <v>239</v>
      </c>
      <c r="N5" s="91" t="s">
        <v>107</v>
      </c>
      <c r="O5" s="95" t="s">
        <v>141</v>
      </c>
      <c r="P5" s="91" t="s">
        <v>238</v>
      </c>
      <c r="Q5" s="91" t="s">
        <v>57</v>
      </c>
      <c r="R5" s="95" t="s">
        <v>141</v>
      </c>
      <c r="S5" s="91" t="s">
        <v>57</v>
      </c>
      <c r="T5" s="91" t="s">
        <v>108</v>
      </c>
      <c r="U5" s="93" t="s">
        <v>141</v>
      </c>
      <c r="V5" s="91" t="s">
        <v>142</v>
      </c>
      <c r="W5" s="116" t="s">
        <v>244</v>
      </c>
      <c r="X5" s="118" t="s">
        <v>245</v>
      </c>
      <c r="Y5" s="120" t="s">
        <v>186</v>
      </c>
      <c r="Z5" s="116" t="s">
        <v>246</v>
      </c>
      <c r="AA5" s="123" t="s">
        <v>187</v>
      </c>
      <c r="AB5" s="124"/>
    </row>
    <row r="6" spans="1:28" ht="132.75" customHeight="1">
      <c r="A6" s="91"/>
      <c r="B6" s="91"/>
      <c r="C6" s="92"/>
      <c r="D6" s="92"/>
      <c r="E6" s="92"/>
      <c r="F6" s="92"/>
      <c r="G6" s="105"/>
      <c r="H6" s="105"/>
      <c r="I6" s="105"/>
      <c r="J6" s="105"/>
      <c r="K6" s="92"/>
      <c r="L6" s="96"/>
      <c r="M6" s="92"/>
      <c r="N6" s="92"/>
      <c r="O6" s="96"/>
      <c r="P6" s="92"/>
      <c r="Q6" s="92"/>
      <c r="R6" s="96"/>
      <c r="S6" s="92"/>
      <c r="T6" s="92"/>
      <c r="U6" s="94"/>
      <c r="V6" s="92"/>
      <c r="W6" s="117"/>
      <c r="X6" s="119"/>
      <c r="Y6" s="121"/>
      <c r="Z6" s="122"/>
      <c r="AA6" s="21" t="s">
        <v>188</v>
      </c>
      <c r="AB6" s="21" t="s">
        <v>247</v>
      </c>
    </row>
    <row r="7" spans="1:28" ht="15" customHeight="1">
      <c r="A7" s="13">
        <v>1</v>
      </c>
      <c r="B7" s="13">
        <v>2</v>
      </c>
      <c r="C7" s="20">
        <v>3</v>
      </c>
      <c r="D7" s="20">
        <v>4</v>
      </c>
      <c r="E7" s="20">
        <v>5</v>
      </c>
      <c r="F7" s="20">
        <v>6</v>
      </c>
      <c r="G7" s="17"/>
      <c r="H7" s="17"/>
      <c r="I7" s="17"/>
      <c r="J7" s="17"/>
      <c r="K7" s="20">
        <v>7</v>
      </c>
      <c r="L7" s="20">
        <v>7</v>
      </c>
      <c r="M7" s="20">
        <v>7</v>
      </c>
      <c r="N7" s="20">
        <v>8</v>
      </c>
      <c r="O7" s="20">
        <v>8</v>
      </c>
      <c r="P7" s="20">
        <v>8</v>
      </c>
      <c r="Q7" s="20">
        <v>9</v>
      </c>
      <c r="R7" s="20">
        <v>9</v>
      </c>
      <c r="S7" s="20">
        <v>9</v>
      </c>
      <c r="T7" s="20">
        <v>10</v>
      </c>
      <c r="U7" s="20">
        <v>10</v>
      </c>
      <c r="V7" s="20">
        <v>10</v>
      </c>
      <c r="W7" s="20">
        <v>9</v>
      </c>
      <c r="X7" s="20">
        <v>10</v>
      </c>
      <c r="Y7" s="20">
        <v>11</v>
      </c>
      <c r="Z7" s="20">
        <v>12</v>
      </c>
      <c r="AA7" s="20">
        <v>13</v>
      </c>
      <c r="AB7" s="20">
        <v>14</v>
      </c>
    </row>
    <row r="8" spans="1:28" ht="21.75" customHeight="1">
      <c r="A8" s="97" t="s">
        <v>8</v>
      </c>
      <c r="B8" s="98"/>
      <c r="C8" s="98"/>
      <c r="D8" s="98"/>
      <c r="E8" s="23"/>
      <c r="F8" s="23"/>
      <c r="G8" s="24" t="e">
        <f>G11+G26+G43+G50+#REF!+#REF!+G71+G84+G97+G101+G104+#REF!</f>
        <v>#REF!</v>
      </c>
      <c r="H8" s="24" t="e">
        <f>H11+H26+H43+H50+#REF!+#REF!+H71+H84+H97+H101+H104+#REF!</f>
        <v>#REF!</v>
      </c>
      <c r="I8" s="24" t="e">
        <f>I11+I26+I43+I50+#REF!+#REF!+I71+I84+I97+I101+I104+#REF!</f>
        <v>#REF!</v>
      </c>
      <c r="J8" s="24" t="e">
        <f>J11+J26+J43+J50+#REF!+#REF!+J71+J84+J97+J101+J104+#REF!</f>
        <v>#REF!</v>
      </c>
      <c r="K8" s="24">
        <f t="shared" ref="K8:Z8" si="0">K11+K26+K43+K50+K71+K84+K97+K101+K104+K78+K106</f>
        <v>12391328.939999999</v>
      </c>
      <c r="L8" s="24">
        <f t="shared" si="0"/>
        <v>3791689.6999999997</v>
      </c>
      <c r="M8" s="24">
        <f t="shared" si="0"/>
        <v>18149248.489999998</v>
      </c>
      <c r="N8" s="24">
        <f t="shared" si="0"/>
        <v>1145791.5799999998</v>
      </c>
      <c r="O8" s="24">
        <f t="shared" si="0"/>
        <v>250839</v>
      </c>
      <c r="P8" s="24">
        <f t="shared" si="0"/>
        <v>1699808.7399999998</v>
      </c>
      <c r="Q8" s="24">
        <f t="shared" si="0"/>
        <v>2358631.2849999997</v>
      </c>
      <c r="R8" s="24">
        <f t="shared" si="0"/>
        <v>136964.745</v>
      </c>
      <c r="S8" s="24">
        <f t="shared" si="0"/>
        <v>806769.94500000007</v>
      </c>
      <c r="T8" s="24">
        <f t="shared" si="0"/>
        <v>743075.74500000011</v>
      </c>
      <c r="U8" s="24">
        <f t="shared" si="0"/>
        <v>86578.444999999992</v>
      </c>
      <c r="V8" s="24">
        <f t="shared" si="0"/>
        <v>1008291.447</v>
      </c>
      <c r="W8" s="47">
        <f t="shared" si="0"/>
        <v>1699808.7449999999</v>
      </c>
      <c r="X8" s="47">
        <f t="shared" si="0"/>
        <v>615535.76427999989</v>
      </c>
      <c r="Y8" s="47">
        <f t="shared" si="0"/>
        <v>615535.76427999989</v>
      </c>
      <c r="Z8" s="47">
        <f t="shared" si="0"/>
        <v>615526.76307999995</v>
      </c>
      <c r="AA8" s="48">
        <f>Z8/W8*100</f>
        <v>36.211530555456697</v>
      </c>
      <c r="AB8" s="25">
        <f>Z8/X8*100</f>
        <v>99.998537664174478</v>
      </c>
    </row>
    <row r="9" spans="1:28" ht="21.75" hidden="1" customHeight="1">
      <c r="A9" s="14"/>
      <c r="B9" s="16"/>
      <c r="C9" s="16"/>
      <c r="D9" s="16"/>
      <c r="E9" s="13"/>
      <c r="F9" s="13" t="s">
        <v>89</v>
      </c>
      <c r="G9" s="9"/>
      <c r="H9" s="9"/>
      <c r="I9" s="9"/>
      <c r="J9" s="9"/>
      <c r="K9" s="9"/>
      <c r="L9" s="9"/>
      <c r="M9" s="9"/>
      <c r="N9" s="9">
        <f>N8-N72-N73-N74</f>
        <v>933298.97999999986</v>
      </c>
      <c r="O9" s="9">
        <f>O8-O72-O73-O74</f>
        <v>250839</v>
      </c>
      <c r="P9" s="9"/>
      <c r="Q9" s="9">
        <f>Q8-Q46-Q72-Q73-Q74</f>
        <v>2166702.2849999997</v>
      </c>
      <c r="R9" s="9">
        <f>R8-R46-R72-R73-R74</f>
        <v>136964.745</v>
      </c>
      <c r="S9" s="9"/>
      <c r="T9" s="9">
        <f>T8-T46-T72-T73-T74</f>
        <v>543345.54500000016</v>
      </c>
      <c r="U9" s="9">
        <f>U8-U46-U72-U73-U74</f>
        <v>86578.444999999992</v>
      </c>
      <c r="V9" s="9"/>
      <c r="W9" s="40"/>
      <c r="X9" s="40"/>
      <c r="Y9" s="40"/>
      <c r="Z9" s="40"/>
      <c r="AA9" s="49"/>
      <c r="AB9" s="26"/>
    </row>
    <row r="10" spans="1:28" ht="21.75" hidden="1" customHeight="1">
      <c r="A10" s="14"/>
      <c r="B10" s="16"/>
      <c r="C10" s="16"/>
      <c r="D10" s="16"/>
      <c r="E10" s="13"/>
      <c r="F10" s="13" t="s">
        <v>90</v>
      </c>
      <c r="G10" s="9"/>
      <c r="H10" s="9"/>
      <c r="I10" s="9"/>
      <c r="J10" s="9"/>
      <c r="K10" s="9"/>
      <c r="L10" s="9"/>
      <c r="M10" s="9"/>
      <c r="N10" s="9">
        <f>N9-N47-N77-N87-N105-N78</f>
        <v>742862.67999999993</v>
      </c>
      <c r="O10" s="9">
        <f>O9-O47-O77-O87-O105-O78</f>
        <v>217505.7</v>
      </c>
      <c r="P10" s="9"/>
      <c r="Q10" s="9">
        <f>Q9-Q47-Q77-Q87-Q105-Q78</f>
        <v>1783842.2849999997</v>
      </c>
      <c r="R10" s="9">
        <f>R9-R47-R77-R87-R105-R78</f>
        <v>136964.745</v>
      </c>
      <c r="S10" s="9"/>
      <c r="T10" s="9">
        <f>T9-T47-T77-T87-T105-T78</f>
        <v>448345.54500000016</v>
      </c>
      <c r="U10" s="9">
        <f>U9-U47-U77-U87-U105-U78</f>
        <v>-4745.7550000000047</v>
      </c>
      <c r="V10" s="9"/>
      <c r="W10" s="40"/>
      <c r="X10" s="40"/>
      <c r="Y10" s="40"/>
      <c r="Z10" s="40"/>
      <c r="AA10" s="49"/>
      <c r="AB10" s="26"/>
    </row>
    <row r="11" spans="1:28" ht="56.25" customHeight="1">
      <c r="A11" s="99" t="s">
        <v>32</v>
      </c>
      <c r="B11" s="100"/>
      <c r="C11" s="100"/>
      <c r="D11" s="100"/>
      <c r="E11" s="44"/>
      <c r="F11" s="44"/>
      <c r="G11" s="11">
        <f>G12+G23</f>
        <v>238051.1</v>
      </c>
      <c r="H11" s="11" t="e">
        <f>H12+H23</f>
        <v>#REF!</v>
      </c>
      <c r="I11" s="11" t="e">
        <f>I12+I23</f>
        <v>#REF!</v>
      </c>
      <c r="J11" s="11" t="e">
        <f>J12+J23</f>
        <v>#REF!</v>
      </c>
      <c r="K11" s="11">
        <f>K12+K20+K23</f>
        <v>6070149.8500000006</v>
      </c>
      <c r="L11" s="11">
        <f>L12+L20+L23</f>
        <v>0</v>
      </c>
      <c r="M11" s="11">
        <f>M12+M20+M23</f>
        <v>6142791.3499999996</v>
      </c>
      <c r="N11" s="11">
        <f t="shared" ref="N11:T11" si="1">N12+N20+N23</f>
        <v>200995.9</v>
      </c>
      <c r="O11" s="11">
        <f t="shared" si="1"/>
        <v>-64616.5</v>
      </c>
      <c r="P11" s="39">
        <f t="shared" si="1"/>
        <v>151346.4</v>
      </c>
      <c r="Q11" s="39">
        <f t="shared" si="1"/>
        <v>210630.245</v>
      </c>
      <c r="R11" s="39">
        <f t="shared" si="1"/>
        <v>2.3450000000000002</v>
      </c>
      <c r="S11" s="39">
        <f t="shared" si="1"/>
        <v>210630.245</v>
      </c>
      <c r="T11" s="39">
        <f t="shared" si="1"/>
        <v>82797.744999999995</v>
      </c>
      <c r="U11" s="39">
        <f>U12+U20+U23</f>
        <v>2.3450000000000002</v>
      </c>
      <c r="V11" s="39">
        <f t="shared" ref="V11:V105" si="2">T11+U11</f>
        <v>82800.09</v>
      </c>
      <c r="W11" s="41">
        <f>W12+W20+W23</f>
        <v>150258.005</v>
      </c>
      <c r="X11" s="41">
        <f>X12+X20+X23</f>
        <v>47604.393360000002</v>
      </c>
      <c r="Y11" s="41">
        <f t="shared" ref="Y11:Z11" si="3">Y12+Y20+Y23</f>
        <v>47604.393360000002</v>
      </c>
      <c r="Z11" s="41">
        <f t="shared" si="3"/>
        <v>47604.393360000002</v>
      </c>
      <c r="AA11" s="50">
        <f t="shared" ref="AA11:AA104" si="4">Z11/W11*100</f>
        <v>31.681768542048726</v>
      </c>
      <c r="AB11" s="50">
        <f t="shared" ref="AB11:AB75" si="5">Z11/X11*100</f>
        <v>100</v>
      </c>
    </row>
    <row r="12" spans="1:28" ht="100.5" customHeight="1">
      <c r="A12" s="101" t="s">
        <v>33</v>
      </c>
      <c r="B12" s="129"/>
      <c r="C12" s="129"/>
      <c r="D12" s="130"/>
      <c r="E12" s="27"/>
      <c r="F12" s="28"/>
      <c r="G12" s="11">
        <f>SUM(G14:G14)</f>
        <v>238051.1</v>
      </c>
      <c r="H12" s="11" t="e">
        <f>H14+#REF!</f>
        <v>#REF!</v>
      </c>
      <c r="I12" s="11" t="e">
        <f>I14+#REF!+#REF!</f>
        <v>#REF!</v>
      </c>
      <c r="J12" s="11" t="e">
        <f>J14+#REF!+#REF!</f>
        <v>#REF!</v>
      </c>
      <c r="K12" s="11">
        <f>SUM(K13:K18)</f>
        <v>5782567.5500000007</v>
      </c>
      <c r="L12" s="11">
        <f>SUM(L13:L18)</f>
        <v>0</v>
      </c>
      <c r="M12" s="11">
        <f>M13+M14+M15+M16+M17+M18+M19</f>
        <v>5839580.25</v>
      </c>
      <c r="N12" s="11">
        <f t="shared" ref="N12:O12" si="6">N13+N14+N15+N16+N17+N18</f>
        <v>179953.3</v>
      </c>
      <c r="O12" s="11">
        <f t="shared" si="6"/>
        <v>-64616.5</v>
      </c>
      <c r="P12" s="39">
        <f t="shared" ref="P12:Z12" si="7">P13+P14+P15+P16+P17+P18+P19</f>
        <v>115339.1</v>
      </c>
      <c r="Q12" s="39">
        <f t="shared" si="7"/>
        <v>63332.044999999998</v>
      </c>
      <c r="R12" s="39">
        <f t="shared" si="7"/>
        <v>2.3450000000000002</v>
      </c>
      <c r="S12" s="39">
        <f t="shared" si="7"/>
        <v>63332.044999999998</v>
      </c>
      <c r="T12" s="39">
        <f t="shared" si="7"/>
        <v>82797.744999999995</v>
      </c>
      <c r="U12" s="39">
        <f t="shared" si="7"/>
        <v>2.3450000000000002</v>
      </c>
      <c r="V12" s="39">
        <f t="shared" si="7"/>
        <v>82797.744999999995</v>
      </c>
      <c r="W12" s="41">
        <f t="shared" si="7"/>
        <v>114250.705</v>
      </c>
      <c r="X12" s="41">
        <f t="shared" si="7"/>
        <v>47604.393360000002</v>
      </c>
      <c r="Y12" s="41">
        <f t="shared" si="7"/>
        <v>47604.393360000002</v>
      </c>
      <c r="Z12" s="41">
        <f t="shared" si="7"/>
        <v>47604.393360000002</v>
      </c>
      <c r="AA12" s="50">
        <f t="shared" si="4"/>
        <v>41.666607974103968</v>
      </c>
      <c r="AB12" s="50">
        <f t="shared" si="5"/>
        <v>100</v>
      </c>
    </row>
    <row r="13" spans="1:28" ht="162" customHeight="1">
      <c r="A13" s="43" t="s">
        <v>177</v>
      </c>
      <c r="B13" s="29" t="s">
        <v>178</v>
      </c>
      <c r="C13" s="19" t="s">
        <v>5</v>
      </c>
      <c r="D13" s="19" t="s">
        <v>7</v>
      </c>
      <c r="E13" s="19" t="s">
        <v>34</v>
      </c>
      <c r="F13" s="19" t="s">
        <v>179</v>
      </c>
      <c r="G13" s="11"/>
      <c r="H13" s="11"/>
      <c r="I13" s="11"/>
      <c r="J13" s="11"/>
      <c r="K13" s="11">
        <v>419054.45</v>
      </c>
      <c r="L13" s="11"/>
      <c r="M13" s="11">
        <v>473364.85000000003</v>
      </c>
      <c r="N13" s="30">
        <v>68906.2</v>
      </c>
      <c r="O13" s="30">
        <v>-64616.5</v>
      </c>
      <c r="P13" s="39">
        <f t="shared" ref="P13:P105" si="8">N13+O13</f>
        <v>4289.6999999999971</v>
      </c>
      <c r="Q13" s="39">
        <v>0</v>
      </c>
      <c r="R13" s="39">
        <v>0</v>
      </c>
      <c r="S13" s="39">
        <f t="shared" ref="S13:S105" si="9">Q13+R13</f>
        <v>0</v>
      </c>
      <c r="T13" s="39">
        <v>0</v>
      </c>
      <c r="U13" s="39">
        <v>0</v>
      </c>
      <c r="V13" s="39">
        <f t="shared" si="2"/>
        <v>0</v>
      </c>
      <c r="W13" s="41">
        <v>4289.6999999999971</v>
      </c>
      <c r="X13" s="41">
        <v>160.91900000000001</v>
      </c>
      <c r="Y13" s="41">
        <v>160.91900000000001</v>
      </c>
      <c r="Z13" s="41">
        <v>160.91900000000001</v>
      </c>
      <c r="AA13" s="50">
        <f t="shared" si="4"/>
        <v>3.7512879688556335</v>
      </c>
      <c r="AB13" s="50">
        <f t="shared" si="5"/>
        <v>100</v>
      </c>
    </row>
    <row r="14" spans="1:28" ht="148.5" customHeight="1">
      <c r="A14" s="43" t="s">
        <v>240</v>
      </c>
      <c r="B14" s="31" t="s">
        <v>190</v>
      </c>
      <c r="C14" s="42" t="s">
        <v>5</v>
      </c>
      <c r="D14" s="42" t="s">
        <v>7</v>
      </c>
      <c r="E14" s="42" t="s">
        <v>14</v>
      </c>
      <c r="F14" s="42" t="s">
        <v>16</v>
      </c>
      <c r="G14" s="11">
        <v>238051.1</v>
      </c>
      <c r="H14" s="11">
        <f>15000+17938.4+9719.5</f>
        <v>42657.9</v>
      </c>
      <c r="I14" s="11">
        <f>G14+H14</f>
        <v>280709</v>
      </c>
      <c r="J14" s="11">
        <v>8409.5</v>
      </c>
      <c r="K14" s="11">
        <v>22219</v>
      </c>
      <c r="L14" s="11"/>
      <c r="M14" s="11">
        <f t="shared" ref="M14:M107" si="10">K14+L14</f>
        <v>22219</v>
      </c>
      <c r="N14" s="11">
        <v>13933.2</v>
      </c>
      <c r="O14" s="11"/>
      <c r="P14" s="39">
        <f t="shared" si="8"/>
        <v>13933.2</v>
      </c>
      <c r="Q14" s="39">
        <v>0</v>
      </c>
      <c r="R14" s="39">
        <v>0</v>
      </c>
      <c r="S14" s="39">
        <f t="shared" si="9"/>
        <v>0</v>
      </c>
      <c r="T14" s="39">
        <v>0</v>
      </c>
      <c r="U14" s="39">
        <v>0</v>
      </c>
      <c r="V14" s="39">
        <f t="shared" si="2"/>
        <v>0</v>
      </c>
      <c r="W14" s="41">
        <f>12844.8-0.04</f>
        <v>12844.759999999998</v>
      </c>
      <c r="X14" s="41">
        <v>1722.75665</v>
      </c>
      <c r="Y14" s="41">
        <v>1722.75665</v>
      </c>
      <c r="Z14" s="41">
        <v>1722.75665</v>
      </c>
      <c r="AA14" s="50">
        <f t="shared" si="4"/>
        <v>13.412135765868729</v>
      </c>
      <c r="AB14" s="50">
        <f t="shared" si="5"/>
        <v>100</v>
      </c>
    </row>
    <row r="15" spans="1:28" ht="140.25" customHeight="1">
      <c r="A15" s="43" t="s">
        <v>71</v>
      </c>
      <c r="B15" s="42" t="s">
        <v>191</v>
      </c>
      <c r="C15" s="42" t="s">
        <v>20</v>
      </c>
      <c r="D15" s="42" t="s">
        <v>7</v>
      </c>
      <c r="E15" s="42" t="s">
        <v>165</v>
      </c>
      <c r="F15" s="42" t="s">
        <v>52</v>
      </c>
      <c r="G15" s="11"/>
      <c r="H15" s="11"/>
      <c r="I15" s="11"/>
      <c r="J15" s="11"/>
      <c r="K15" s="11">
        <v>59108.5</v>
      </c>
      <c r="L15" s="11"/>
      <c r="M15" s="11">
        <f t="shared" si="10"/>
        <v>59108.5</v>
      </c>
      <c r="N15" s="11">
        <v>33753.9</v>
      </c>
      <c r="O15" s="11"/>
      <c r="P15" s="39">
        <v>33753.9</v>
      </c>
      <c r="Q15" s="39">
        <v>0</v>
      </c>
      <c r="R15" s="39">
        <v>0</v>
      </c>
      <c r="S15" s="39">
        <f t="shared" si="9"/>
        <v>0</v>
      </c>
      <c r="T15" s="39">
        <v>0</v>
      </c>
      <c r="U15" s="39">
        <v>0</v>
      </c>
      <c r="V15" s="39">
        <f t="shared" si="2"/>
        <v>0</v>
      </c>
      <c r="W15" s="41">
        <v>33753.9</v>
      </c>
      <c r="X15" s="41">
        <v>2907.84771</v>
      </c>
      <c r="Y15" s="41">
        <v>2907.84771</v>
      </c>
      <c r="Z15" s="41">
        <v>2907.84771</v>
      </c>
      <c r="AA15" s="50">
        <f t="shared" si="4"/>
        <v>8.6148495729382386</v>
      </c>
      <c r="AB15" s="50">
        <f t="shared" si="5"/>
        <v>100</v>
      </c>
    </row>
    <row r="16" spans="1:28" ht="141.75" customHeight="1">
      <c r="A16" s="43" t="s">
        <v>84</v>
      </c>
      <c r="B16" s="42" t="s">
        <v>53</v>
      </c>
      <c r="C16" s="42" t="s">
        <v>20</v>
      </c>
      <c r="D16" s="42" t="s">
        <v>7</v>
      </c>
      <c r="E16" s="42" t="s">
        <v>166</v>
      </c>
      <c r="F16" s="42" t="s">
        <v>104</v>
      </c>
      <c r="G16" s="11"/>
      <c r="H16" s="11"/>
      <c r="I16" s="11"/>
      <c r="J16" s="11"/>
      <c r="K16" s="11">
        <v>4237022.4000000004</v>
      </c>
      <c r="L16" s="11"/>
      <c r="M16" s="11">
        <f t="shared" si="10"/>
        <v>4237022.4000000004</v>
      </c>
      <c r="N16" s="30">
        <v>42250</v>
      </c>
      <c r="O16" s="30"/>
      <c r="P16" s="39">
        <f t="shared" si="8"/>
        <v>42250</v>
      </c>
      <c r="Q16" s="51">
        <v>52050</v>
      </c>
      <c r="R16" s="51"/>
      <c r="S16" s="39">
        <f t="shared" si="9"/>
        <v>52050</v>
      </c>
      <c r="T16" s="51">
        <v>60410</v>
      </c>
      <c r="U16" s="51"/>
      <c r="V16" s="39">
        <f t="shared" si="2"/>
        <v>60410</v>
      </c>
      <c r="W16" s="41">
        <v>42250</v>
      </c>
      <c r="X16" s="41">
        <v>31801.784</v>
      </c>
      <c r="Y16" s="41">
        <v>31801.784</v>
      </c>
      <c r="Z16" s="41">
        <v>31801.784</v>
      </c>
      <c r="AA16" s="50">
        <f t="shared" si="4"/>
        <v>75.270494674556204</v>
      </c>
      <c r="AB16" s="50">
        <f t="shared" si="5"/>
        <v>100</v>
      </c>
    </row>
    <row r="17" spans="1:28" ht="142.5" customHeight="1">
      <c r="A17" s="43" t="s">
        <v>96</v>
      </c>
      <c r="B17" s="42" t="s">
        <v>69</v>
      </c>
      <c r="C17" s="42" t="s">
        <v>20</v>
      </c>
      <c r="D17" s="42" t="s">
        <v>7</v>
      </c>
      <c r="E17" s="42" t="s">
        <v>166</v>
      </c>
      <c r="F17" s="42" t="s">
        <v>105</v>
      </c>
      <c r="G17" s="11"/>
      <c r="H17" s="11"/>
      <c r="I17" s="11"/>
      <c r="J17" s="11"/>
      <c r="K17" s="32">
        <v>807409.2</v>
      </c>
      <c r="L17" s="32"/>
      <c r="M17" s="11">
        <f t="shared" si="10"/>
        <v>807409.2</v>
      </c>
      <c r="N17" s="30">
        <v>21110</v>
      </c>
      <c r="O17" s="30"/>
      <c r="P17" s="39">
        <f t="shared" si="8"/>
        <v>21110</v>
      </c>
      <c r="Q17" s="51">
        <v>3820</v>
      </c>
      <c r="R17" s="51"/>
      <c r="S17" s="39">
        <f t="shared" si="9"/>
        <v>3820</v>
      </c>
      <c r="T17" s="51">
        <v>0</v>
      </c>
      <c r="U17" s="51">
        <v>0</v>
      </c>
      <c r="V17" s="39">
        <f t="shared" si="2"/>
        <v>0</v>
      </c>
      <c r="W17" s="41">
        <v>21110</v>
      </c>
      <c r="X17" s="41">
        <v>11008.741</v>
      </c>
      <c r="Y17" s="41">
        <v>11008.741</v>
      </c>
      <c r="Z17" s="41">
        <v>11008.741</v>
      </c>
      <c r="AA17" s="50">
        <f t="shared" si="4"/>
        <v>52.14941260066319</v>
      </c>
      <c r="AB17" s="50">
        <f t="shared" si="5"/>
        <v>100</v>
      </c>
    </row>
    <row r="18" spans="1:28" ht="153" customHeight="1">
      <c r="A18" s="43" t="s">
        <v>121</v>
      </c>
      <c r="B18" s="31" t="s">
        <v>94</v>
      </c>
      <c r="C18" s="42" t="s">
        <v>13</v>
      </c>
      <c r="D18" s="42" t="s">
        <v>7</v>
      </c>
      <c r="E18" s="42" t="s">
        <v>14</v>
      </c>
      <c r="F18" s="42" t="s">
        <v>93</v>
      </c>
      <c r="G18" s="11">
        <v>205680.1</v>
      </c>
      <c r="H18" s="11">
        <f>-17922.3-11000-1875.3-9719.5-755</f>
        <v>-41272.1</v>
      </c>
      <c r="I18" s="11">
        <f>G18+H18</f>
        <v>164408</v>
      </c>
      <c r="J18" s="11">
        <v>73166</v>
      </c>
      <c r="K18" s="32">
        <v>237754</v>
      </c>
      <c r="L18" s="32"/>
      <c r="M18" s="11">
        <f t="shared" si="10"/>
        <v>237754</v>
      </c>
      <c r="N18" s="11">
        <v>0</v>
      </c>
      <c r="O18" s="11"/>
      <c r="P18" s="39">
        <f t="shared" si="8"/>
        <v>0</v>
      </c>
      <c r="Q18" s="39">
        <v>7459.7</v>
      </c>
      <c r="R18" s="39"/>
      <c r="S18" s="39">
        <f t="shared" si="9"/>
        <v>7459.7</v>
      </c>
      <c r="T18" s="39">
        <v>22385.4</v>
      </c>
      <c r="U18" s="39"/>
      <c r="V18" s="39">
        <f t="shared" si="2"/>
        <v>22385.4</v>
      </c>
      <c r="W18" s="41">
        <v>0</v>
      </c>
      <c r="X18" s="41">
        <v>0</v>
      </c>
      <c r="Y18" s="41">
        <v>0</v>
      </c>
      <c r="Z18" s="41">
        <v>0</v>
      </c>
      <c r="AA18" s="50">
        <v>0</v>
      </c>
      <c r="AB18" s="50">
        <v>0</v>
      </c>
    </row>
    <row r="19" spans="1:28" ht="153" customHeight="1">
      <c r="A19" s="43" t="s">
        <v>192</v>
      </c>
      <c r="B19" s="35" t="s">
        <v>193</v>
      </c>
      <c r="C19" s="13" t="s">
        <v>13</v>
      </c>
      <c r="D19" s="13" t="s">
        <v>7</v>
      </c>
      <c r="E19" s="13" t="s">
        <v>14</v>
      </c>
      <c r="F19" s="13" t="s">
        <v>93</v>
      </c>
      <c r="G19" s="9"/>
      <c r="H19" s="9"/>
      <c r="I19" s="9"/>
      <c r="J19" s="9"/>
      <c r="K19" s="36"/>
      <c r="L19" s="36"/>
      <c r="M19" s="9">
        <v>2702.3</v>
      </c>
      <c r="N19" s="9">
        <f>J19+M19</f>
        <v>2702.3</v>
      </c>
      <c r="O19" s="9"/>
      <c r="P19" s="40">
        <v>2.2999999999999998</v>
      </c>
      <c r="Q19" s="40">
        <v>2.3450000000000002</v>
      </c>
      <c r="R19" s="40">
        <v>2.3450000000000002</v>
      </c>
      <c r="S19" s="40">
        <v>2.3450000000000002</v>
      </c>
      <c r="T19" s="40">
        <v>2.3450000000000002</v>
      </c>
      <c r="U19" s="40">
        <v>2.3450000000000002</v>
      </c>
      <c r="V19" s="40">
        <v>2.3450000000000002</v>
      </c>
      <c r="W19" s="52">
        <v>2.3450000000000002</v>
      </c>
      <c r="X19" s="52">
        <v>2.3450000000000002</v>
      </c>
      <c r="Y19" s="52">
        <v>2.3450000000000002</v>
      </c>
      <c r="Z19" s="52">
        <v>2.3450000000000002</v>
      </c>
      <c r="AA19" s="50">
        <f t="shared" si="4"/>
        <v>100</v>
      </c>
      <c r="AB19" s="50">
        <f t="shared" si="5"/>
        <v>100</v>
      </c>
    </row>
    <row r="20" spans="1:28" ht="45" customHeight="1">
      <c r="A20" s="101" t="s">
        <v>173</v>
      </c>
      <c r="B20" s="102"/>
      <c r="C20" s="102"/>
      <c r="D20" s="103"/>
      <c r="E20" s="42"/>
      <c r="F20" s="42"/>
      <c r="G20" s="11"/>
      <c r="H20" s="11"/>
      <c r="I20" s="11"/>
      <c r="J20" s="11"/>
      <c r="K20" s="11">
        <f>K21+K22</f>
        <v>287582.3</v>
      </c>
      <c r="L20" s="11">
        <f>L21+L22</f>
        <v>0</v>
      </c>
      <c r="M20" s="11">
        <f t="shared" si="10"/>
        <v>287582.3</v>
      </c>
      <c r="N20" s="11">
        <f t="shared" ref="N20:V20" si="11">N21+N22</f>
        <v>21042.6</v>
      </c>
      <c r="O20" s="11">
        <f t="shared" si="11"/>
        <v>0</v>
      </c>
      <c r="P20" s="39">
        <f t="shared" si="11"/>
        <v>20962.5</v>
      </c>
      <c r="Q20" s="39">
        <f t="shared" si="11"/>
        <v>147298.20000000001</v>
      </c>
      <c r="R20" s="39">
        <f t="shared" si="11"/>
        <v>0</v>
      </c>
      <c r="S20" s="39">
        <f t="shared" si="11"/>
        <v>147298.20000000001</v>
      </c>
      <c r="T20" s="39">
        <f t="shared" si="11"/>
        <v>0</v>
      </c>
      <c r="U20" s="39">
        <f t="shared" si="11"/>
        <v>0</v>
      </c>
      <c r="V20" s="39">
        <f t="shared" si="11"/>
        <v>0</v>
      </c>
      <c r="W20" s="41">
        <v>20962.5</v>
      </c>
      <c r="X20" s="41">
        <f>X22</f>
        <v>0</v>
      </c>
      <c r="Y20" s="41">
        <f t="shared" ref="Y20:Z20" si="12">Y22</f>
        <v>0</v>
      </c>
      <c r="Z20" s="41">
        <f t="shared" si="12"/>
        <v>0</v>
      </c>
      <c r="AA20" s="50">
        <f t="shared" si="4"/>
        <v>0</v>
      </c>
      <c r="AB20" s="50">
        <v>0</v>
      </c>
    </row>
    <row r="21" spans="1:28" ht="133.5" hidden="1" customHeight="1">
      <c r="A21" s="43" t="s">
        <v>130</v>
      </c>
      <c r="B21" s="31" t="s">
        <v>87</v>
      </c>
      <c r="C21" s="42" t="s">
        <v>146</v>
      </c>
      <c r="D21" s="42" t="s">
        <v>18</v>
      </c>
      <c r="E21" s="42" t="s">
        <v>14</v>
      </c>
      <c r="F21" s="42" t="s">
        <v>26</v>
      </c>
      <c r="G21" s="11"/>
      <c r="H21" s="11"/>
      <c r="I21" s="11"/>
      <c r="J21" s="11"/>
      <c r="K21" s="11">
        <v>287582.3</v>
      </c>
      <c r="L21" s="11">
        <v>-287582.3</v>
      </c>
      <c r="M21" s="11">
        <f t="shared" si="10"/>
        <v>0</v>
      </c>
      <c r="N21" s="11">
        <v>21042.6</v>
      </c>
      <c r="O21" s="11">
        <v>-21042.6</v>
      </c>
      <c r="P21" s="39">
        <f t="shared" si="8"/>
        <v>0</v>
      </c>
      <c r="Q21" s="39">
        <v>147298.20000000001</v>
      </c>
      <c r="R21" s="39">
        <v>-147298.20000000001</v>
      </c>
      <c r="S21" s="39">
        <f t="shared" si="9"/>
        <v>0</v>
      </c>
      <c r="T21" s="39">
        <v>0</v>
      </c>
      <c r="U21" s="39">
        <v>0</v>
      </c>
      <c r="V21" s="39">
        <f t="shared" si="2"/>
        <v>0</v>
      </c>
      <c r="W21" s="41">
        <v>0</v>
      </c>
      <c r="X21" s="41">
        <f t="shared" ref="X21:Z21" si="13">V21+W21</f>
        <v>0</v>
      </c>
      <c r="Y21" s="41">
        <f t="shared" si="13"/>
        <v>0</v>
      </c>
      <c r="Z21" s="41">
        <f t="shared" si="13"/>
        <v>0</v>
      </c>
      <c r="AA21" s="50" t="e">
        <f t="shared" si="4"/>
        <v>#DIV/0!</v>
      </c>
      <c r="AB21" s="50" t="e">
        <f t="shared" si="5"/>
        <v>#DIV/0!</v>
      </c>
    </row>
    <row r="22" spans="1:28" ht="139.5" customHeight="1">
      <c r="A22" s="43" t="s">
        <v>183</v>
      </c>
      <c r="B22" s="31" t="s">
        <v>87</v>
      </c>
      <c r="C22" s="42" t="s">
        <v>20</v>
      </c>
      <c r="D22" s="42" t="s">
        <v>18</v>
      </c>
      <c r="E22" s="42" t="s">
        <v>36</v>
      </c>
      <c r="F22" s="42" t="s">
        <v>26</v>
      </c>
      <c r="G22" s="11"/>
      <c r="H22" s="11"/>
      <c r="I22" s="11"/>
      <c r="J22" s="11"/>
      <c r="K22" s="11"/>
      <c r="L22" s="11">
        <v>287582.3</v>
      </c>
      <c r="M22" s="11">
        <f t="shared" si="10"/>
        <v>287582.3</v>
      </c>
      <c r="N22" s="11"/>
      <c r="O22" s="11">
        <v>21042.6</v>
      </c>
      <c r="P22" s="39">
        <v>20962.5</v>
      </c>
      <c r="Q22" s="39"/>
      <c r="R22" s="39">
        <v>147298.20000000001</v>
      </c>
      <c r="S22" s="39">
        <f t="shared" si="9"/>
        <v>147298.20000000001</v>
      </c>
      <c r="T22" s="39">
        <v>0</v>
      </c>
      <c r="U22" s="39"/>
      <c r="V22" s="39"/>
      <c r="W22" s="41">
        <v>20962.5</v>
      </c>
      <c r="X22" s="41">
        <v>0</v>
      </c>
      <c r="Y22" s="41">
        <v>0</v>
      </c>
      <c r="Z22" s="41">
        <v>0</v>
      </c>
      <c r="AA22" s="50">
        <f t="shared" si="4"/>
        <v>0</v>
      </c>
      <c r="AB22" s="50">
        <v>0</v>
      </c>
    </row>
    <row r="23" spans="1:28" ht="70.5" customHeight="1">
      <c r="A23" s="101" t="s">
        <v>134</v>
      </c>
      <c r="B23" s="129"/>
      <c r="C23" s="129"/>
      <c r="D23" s="130"/>
      <c r="E23" s="42"/>
      <c r="F23" s="42"/>
      <c r="G23" s="11">
        <f>G24</f>
        <v>0</v>
      </c>
      <c r="H23" s="11">
        <f>H24</f>
        <v>0</v>
      </c>
      <c r="I23" s="11">
        <f>G23+H23</f>
        <v>0</v>
      </c>
      <c r="J23" s="11">
        <f>J24</f>
        <v>0</v>
      </c>
      <c r="K23" s="11">
        <f>SUM(K24:K25)</f>
        <v>0</v>
      </c>
      <c r="L23" s="11">
        <f>SUM(L24:L25)</f>
        <v>0</v>
      </c>
      <c r="M23" s="11">
        <f>M24+M25</f>
        <v>15628.8</v>
      </c>
      <c r="N23" s="11">
        <f t="shared" ref="N23:T23" si="14">N24+N25</f>
        <v>0</v>
      </c>
      <c r="O23" s="11">
        <f t="shared" si="14"/>
        <v>0</v>
      </c>
      <c r="P23" s="39">
        <f t="shared" si="14"/>
        <v>15044.8</v>
      </c>
      <c r="Q23" s="39">
        <f t="shared" si="14"/>
        <v>0</v>
      </c>
      <c r="R23" s="39">
        <f t="shared" si="14"/>
        <v>0</v>
      </c>
      <c r="S23" s="39">
        <f t="shared" si="14"/>
        <v>0</v>
      </c>
      <c r="T23" s="39">
        <f t="shared" si="14"/>
        <v>0</v>
      </c>
      <c r="U23" s="39">
        <f>SUM(U24:U25)</f>
        <v>0</v>
      </c>
      <c r="V23" s="39">
        <f t="shared" si="2"/>
        <v>0</v>
      </c>
      <c r="W23" s="41">
        <v>15044.8</v>
      </c>
      <c r="X23" s="41">
        <f t="shared" ref="X23:Z23" si="15">X24+X25</f>
        <v>0</v>
      </c>
      <c r="Y23" s="41">
        <f t="shared" si="15"/>
        <v>0</v>
      </c>
      <c r="Z23" s="41">
        <f t="shared" si="15"/>
        <v>0</v>
      </c>
      <c r="AA23" s="50">
        <f t="shared" si="4"/>
        <v>0</v>
      </c>
      <c r="AB23" s="50">
        <v>0</v>
      </c>
    </row>
    <row r="24" spans="1:28" ht="153" customHeight="1">
      <c r="A24" s="18" t="s">
        <v>180</v>
      </c>
      <c r="B24" s="19" t="s">
        <v>181</v>
      </c>
      <c r="C24" s="19" t="s">
        <v>167</v>
      </c>
      <c r="D24" s="19" t="s">
        <v>7</v>
      </c>
      <c r="E24" s="19" t="s">
        <v>14</v>
      </c>
      <c r="F24" s="19" t="s">
        <v>42</v>
      </c>
      <c r="G24" s="11"/>
      <c r="H24" s="11"/>
      <c r="I24" s="11"/>
      <c r="J24" s="11"/>
      <c r="K24" s="11"/>
      <c r="L24" s="11"/>
      <c r="M24" s="30">
        <v>3961.8</v>
      </c>
      <c r="N24" s="11"/>
      <c r="O24" s="11"/>
      <c r="P24" s="41">
        <v>3961.8</v>
      </c>
      <c r="Q24" s="39"/>
      <c r="R24" s="39"/>
      <c r="S24" s="39">
        <v>0</v>
      </c>
      <c r="T24" s="39">
        <v>0</v>
      </c>
      <c r="U24" s="39">
        <v>0</v>
      </c>
      <c r="V24" s="39">
        <f t="shared" si="2"/>
        <v>0</v>
      </c>
      <c r="W24" s="41">
        <v>3961.8</v>
      </c>
      <c r="X24" s="41">
        <v>0</v>
      </c>
      <c r="Y24" s="41">
        <v>0</v>
      </c>
      <c r="Z24" s="41">
        <v>0</v>
      </c>
      <c r="AA24" s="50">
        <f t="shared" si="4"/>
        <v>0</v>
      </c>
      <c r="AB24" s="50">
        <v>0</v>
      </c>
    </row>
    <row r="25" spans="1:28" ht="144.75" customHeight="1">
      <c r="A25" s="43" t="s">
        <v>182</v>
      </c>
      <c r="B25" s="42" t="s">
        <v>143</v>
      </c>
      <c r="C25" s="42" t="s">
        <v>20</v>
      </c>
      <c r="D25" s="42" t="s">
        <v>7</v>
      </c>
      <c r="E25" s="42" t="s">
        <v>144</v>
      </c>
      <c r="F25" s="42" t="s">
        <v>54</v>
      </c>
      <c r="G25" s="11"/>
      <c r="H25" s="11"/>
      <c r="I25" s="11"/>
      <c r="J25" s="11"/>
      <c r="K25" s="27"/>
      <c r="L25" s="27"/>
      <c r="M25" s="27">
        <v>11667</v>
      </c>
      <c r="N25" s="27"/>
      <c r="O25" s="27"/>
      <c r="P25" s="39">
        <v>11083</v>
      </c>
      <c r="Q25" s="39"/>
      <c r="R25" s="39"/>
      <c r="S25" s="39">
        <v>0</v>
      </c>
      <c r="T25" s="39">
        <v>0</v>
      </c>
      <c r="U25" s="39">
        <v>0</v>
      </c>
      <c r="V25" s="39">
        <f t="shared" si="2"/>
        <v>0</v>
      </c>
      <c r="W25" s="41">
        <v>11083</v>
      </c>
      <c r="X25" s="41">
        <v>0</v>
      </c>
      <c r="Y25" s="41">
        <v>0</v>
      </c>
      <c r="Z25" s="41">
        <v>0</v>
      </c>
      <c r="AA25" s="50">
        <f t="shared" si="4"/>
        <v>0</v>
      </c>
      <c r="AB25" s="50">
        <v>0</v>
      </c>
    </row>
    <row r="26" spans="1:28" ht="40.5" customHeight="1">
      <c r="A26" s="89" t="s">
        <v>100</v>
      </c>
      <c r="B26" s="90"/>
      <c r="C26" s="90"/>
      <c r="D26" s="90"/>
      <c r="E26" s="19"/>
      <c r="F26" s="18"/>
      <c r="G26" s="32">
        <f t="shared" ref="G26:Z26" si="16">G27+G37</f>
        <v>728943.5</v>
      </c>
      <c r="H26" s="32" t="e">
        <f t="shared" si="16"/>
        <v>#REF!</v>
      </c>
      <c r="I26" s="32" t="e">
        <f t="shared" si="16"/>
        <v>#REF!</v>
      </c>
      <c r="J26" s="32" t="e">
        <f t="shared" si="16"/>
        <v>#REF!</v>
      </c>
      <c r="K26" s="32">
        <f t="shared" si="16"/>
        <v>2038937.5</v>
      </c>
      <c r="L26" s="32">
        <f t="shared" si="16"/>
        <v>0</v>
      </c>
      <c r="M26" s="32">
        <f>M27+M37</f>
        <v>3357872.9999999995</v>
      </c>
      <c r="N26" s="32">
        <f t="shared" si="16"/>
        <v>129114.37999999999</v>
      </c>
      <c r="O26" s="32">
        <f t="shared" si="16"/>
        <v>7381.6</v>
      </c>
      <c r="P26" s="41">
        <f t="shared" si="16"/>
        <v>229380.33999999997</v>
      </c>
      <c r="Q26" s="41">
        <f t="shared" si="16"/>
        <v>1463382.24</v>
      </c>
      <c r="R26" s="41">
        <f t="shared" si="16"/>
        <v>47897.899999999994</v>
      </c>
      <c r="S26" s="41">
        <f t="shared" si="16"/>
        <v>75506.399999999994</v>
      </c>
      <c r="T26" s="41">
        <f t="shared" si="16"/>
        <v>182834.5</v>
      </c>
      <c r="U26" s="41">
        <f t="shared" si="16"/>
        <v>1251.9000000000001</v>
      </c>
      <c r="V26" s="41">
        <f t="shared" si="16"/>
        <v>182834.5</v>
      </c>
      <c r="W26" s="41">
        <f t="shared" si="16"/>
        <v>230468.74</v>
      </c>
      <c r="X26" s="41">
        <f t="shared" si="16"/>
        <v>64960.57344</v>
      </c>
      <c r="Y26" s="41">
        <f t="shared" si="16"/>
        <v>64960.57344</v>
      </c>
      <c r="Z26" s="41">
        <f t="shared" si="16"/>
        <v>64960.57344</v>
      </c>
      <c r="AA26" s="54">
        <f t="shared" si="4"/>
        <v>28.186283935947237</v>
      </c>
      <c r="AB26" s="54">
        <f t="shared" si="5"/>
        <v>100</v>
      </c>
    </row>
    <row r="27" spans="1:28" ht="36.75" customHeight="1">
      <c r="A27" s="89" t="s">
        <v>19</v>
      </c>
      <c r="B27" s="131"/>
      <c r="C27" s="131"/>
      <c r="D27" s="131"/>
      <c r="E27" s="19"/>
      <c r="F27" s="18"/>
      <c r="G27" s="32">
        <f>SUM(G28:G28)</f>
        <v>79058</v>
      </c>
      <c r="H27" s="32" t="e">
        <f>#REF!+#REF!+#REF!+#REF!</f>
        <v>#REF!</v>
      </c>
      <c r="I27" s="32" t="e">
        <f>#REF!+#REF!+#REF!+#REF!</f>
        <v>#REF!</v>
      </c>
      <c r="J27" s="32" t="e">
        <f>#REF!+#REF!+#REF!+#REF!</f>
        <v>#REF!</v>
      </c>
      <c r="K27" s="32">
        <f>SUM(K28:K30)</f>
        <v>301422.09999999998</v>
      </c>
      <c r="L27" s="32">
        <f>SUM(L28:L30)</f>
        <v>0</v>
      </c>
      <c r="M27" s="41">
        <f>M28+M29+M30+M31+M32+M33+M34+M35+M36</f>
        <v>1445765.1999999997</v>
      </c>
      <c r="N27" s="32">
        <f t="shared" ref="N27" si="17">SUM(N28:N30)</f>
        <v>59711.7</v>
      </c>
      <c r="O27" s="32">
        <f t="shared" ref="O27" si="18">SUM(O28:O30)</f>
        <v>7381.6</v>
      </c>
      <c r="P27" s="41">
        <f>P28+P29+P30+P31+P32+P33+P34+P35+P36</f>
        <v>64153.539999999994</v>
      </c>
      <c r="Q27" s="41">
        <f t="shared" ref="Q27:V27" si="19">Q28+Q29+Q30+Q31+Q32+Q35+Q33+Q34</f>
        <v>1215897.54</v>
      </c>
      <c r="R27" s="41">
        <f t="shared" si="19"/>
        <v>47897.899999999994</v>
      </c>
      <c r="S27" s="41">
        <f t="shared" si="19"/>
        <v>31247</v>
      </c>
      <c r="T27" s="41">
        <f t="shared" si="19"/>
        <v>131011</v>
      </c>
      <c r="U27" s="41">
        <f t="shared" si="19"/>
        <v>0</v>
      </c>
      <c r="V27" s="41">
        <f t="shared" si="19"/>
        <v>131011</v>
      </c>
      <c r="W27" s="41">
        <f>W28+W29+W30+W31+W32+W33+W34+W35+W36</f>
        <v>65241.939999999995</v>
      </c>
      <c r="X27" s="41">
        <f t="shared" ref="X27:Z27" si="20">X28+X29+X30+X31+X32+X33+X34+X35+X36</f>
        <v>5238.9734399999998</v>
      </c>
      <c r="Y27" s="41">
        <f t="shared" si="20"/>
        <v>5238.9734399999998</v>
      </c>
      <c r="Z27" s="41">
        <f t="shared" si="20"/>
        <v>5238.9734399999998</v>
      </c>
      <c r="AA27" s="54">
        <f t="shared" si="4"/>
        <v>8.0300699825909536</v>
      </c>
      <c r="AB27" s="54">
        <f t="shared" si="5"/>
        <v>100</v>
      </c>
    </row>
    <row r="28" spans="1:28" ht="145.5" customHeight="1" outlineLevel="1">
      <c r="A28" s="18" t="s">
        <v>131</v>
      </c>
      <c r="B28" s="19" t="s">
        <v>24</v>
      </c>
      <c r="C28" s="19" t="s">
        <v>20</v>
      </c>
      <c r="D28" s="19" t="s">
        <v>7</v>
      </c>
      <c r="E28" s="19" t="s">
        <v>88</v>
      </c>
      <c r="F28" s="19" t="s">
        <v>16</v>
      </c>
      <c r="G28" s="32">
        <v>79058</v>
      </c>
      <c r="H28" s="32"/>
      <c r="I28" s="32">
        <v>79058</v>
      </c>
      <c r="J28" s="32"/>
      <c r="K28" s="32">
        <v>67764.2</v>
      </c>
      <c r="L28" s="32"/>
      <c r="M28" s="32">
        <f t="shared" si="10"/>
        <v>67764.2</v>
      </c>
      <c r="N28" s="32">
        <v>29705</v>
      </c>
      <c r="O28" s="32">
        <v>7381.6</v>
      </c>
      <c r="P28" s="41">
        <v>3730.9</v>
      </c>
      <c r="Q28" s="41">
        <v>0</v>
      </c>
      <c r="R28" s="41">
        <v>0</v>
      </c>
      <c r="S28" s="41">
        <f t="shared" si="9"/>
        <v>0</v>
      </c>
      <c r="T28" s="41">
        <v>0</v>
      </c>
      <c r="U28" s="41">
        <v>0</v>
      </c>
      <c r="V28" s="41">
        <f t="shared" si="2"/>
        <v>0</v>
      </c>
      <c r="W28" s="41">
        <v>3730.9</v>
      </c>
      <c r="X28" s="41">
        <v>2025.3</v>
      </c>
      <c r="Y28" s="41">
        <v>2025.3</v>
      </c>
      <c r="Z28" s="41">
        <v>2025.3</v>
      </c>
      <c r="AA28" s="54">
        <f t="shared" si="4"/>
        <v>54.284488997292883</v>
      </c>
      <c r="AB28" s="54">
        <f t="shared" si="5"/>
        <v>100</v>
      </c>
    </row>
    <row r="29" spans="1:28" ht="144.75" customHeight="1" outlineLevel="1">
      <c r="A29" s="18" t="s">
        <v>132</v>
      </c>
      <c r="B29" s="19" t="s">
        <v>17</v>
      </c>
      <c r="C29" s="19" t="s">
        <v>20</v>
      </c>
      <c r="D29" s="19" t="s">
        <v>7</v>
      </c>
      <c r="E29" s="19" t="s">
        <v>91</v>
      </c>
      <c r="F29" s="19" t="s">
        <v>92</v>
      </c>
      <c r="G29" s="32">
        <v>101257.9</v>
      </c>
      <c r="H29" s="32"/>
      <c r="I29" s="32">
        <v>101257.9</v>
      </c>
      <c r="J29" s="32"/>
      <c r="K29" s="32">
        <v>101257.9</v>
      </c>
      <c r="L29" s="32"/>
      <c r="M29" s="32">
        <f t="shared" si="10"/>
        <v>101257.9</v>
      </c>
      <c r="N29" s="32">
        <v>20006.7</v>
      </c>
      <c r="O29" s="32"/>
      <c r="P29" s="41">
        <v>8058.9</v>
      </c>
      <c r="Q29" s="41">
        <v>19247</v>
      </c>
      <c r="R29" s="41"/>
      <c r="S29" s="41">
        <f t="shared" si="9"/>
        <v>19247</v>
      </c>
      <c r="T29" s="41">
        <v>32231</v>
      </c>
      <c r="U29" s="41"/>
      <c r="V29" s="41">
        <f t="shared" si="2"/>
        <v>32231</v>
      </c>
      <c r="W29" s="41">
        <v>8058.9</v>
      </c>
      <c r="X29" s="41">
        <v>166.97344000000001</v>
      </c>
      <c r="Y29" s="41">
        <v>166.97344000000001</v>
      </c>
      <c r="Z29" s="41">
        <v>166.97344000000001</v>
      </c>
      <c r="AA29" s="54">
        <f t="shared" si="4"/>
        <v>2.0719135365868793</v>
      </c>
      <c r="AB29" s="54">
        <f t="shared" si="5"/>
        <v>100</v>
      </c>
    </row>
    <row r="30" spans="1:28" ht="151.5" customHeight="1" outlineLevel="1">
      <c r="A30" s="18" t="s">
        <v>133</v>
      </c>
      <c r="B30" s="19" t="s">
        <v>17</v>
      </c>
      <c r="C30" s="19" t="s">
        <v>20</v>
      </c>
      <c r="D30" s="19" t="s">
        <v>7</v>
      </c>
      <c r="E30" s="19" t="s">
        <v>109</v>
      </c>
      <c r="F30" s="19" t="s">
        <v>95</v>
      </c>
      <c r="G30" s="32">
        <v>79058</v>
      </c>
      <c r="H30" s="32"/>
      <c r="I30" s="32">
        <v>79058</v>
      </c>
      <c r="J30" s="32"/>
      <c r="K30" s="32">
        <v>132400</v>
      </c>
      <c r="L30" s="32"/>
      <c r="M30" s="32">
        <f t="shared" si="10"/>
        <v>132400</v>
      </c>
      <c r="N30" s="32">
        <v>10000</v>
      </c>
      <c r="O30" s="32"/>
      <c r="P30" s="41">
        <v>12056.3</v>
      </c>
      <c r="Q30" s="41">
        <v>12000</v>
      </c>
      <c r="R30" s="41"/>
      <c r="S30" s="41">
        <f t="shared" si="9"/>
        <v>12000</v>
      </c>
      <c r="T30" s="41">
        <v>98780</v>
      </c>
      <c r="U30" s="41"/>
      <c r="V30" s="41">
        <f t="shared" si="2"/>
        <v>98780</v>
      </c>
      <c r="W30" s="41">
        <v>12056.3</v>
      </c>
      <c r="X30" s="41">
        <v>3046.7</v>
      </c>
      <c r="Y30" s="41">
        <v>3046.7</v>
      </c>
      <c r="Z30" s="41">
        <v>3046.7</v>
      </c>
      <c r="AA30" s="54">
        <f t="shared" si="4"/>
        <v>25.270605409619868</v>
      </c>
      <c r="AB30" s="54">
        <f t="shared" si="5"/>
        <v>100</v>
      </c>
    </row>
    <row r="31" spans="1:28" ht="151.5" customHeight="1" outlineLevel="1">
      <c r="A31" s="18" t="s">
        <v>194</v>
      </c>
      <c r="B31" s="37" t="s">
        <v>199</v>
      </c>
      <c r="C31" s="37" t="s">
        <v>200</v>
      </c>
      <c r="D31" s="37" t="s">
        <v>7</v>
      </c>
      <c r="E31" s="37" t="s">
        <v>88</v>
      </c>
      <c r="F31" s="37" t="s">
        <v>26</v>
      </c>
      <c r="G31" s="36"/>
      <c r="H31" s="36"/>
      <c r="I31" s="36"/>
      <c r="J31" s="36"/>
      <c r="K31" s="36"/>
      <c r="L31" s="36"/>
      <c r="M31" s="36">
        <v>90000</v>
      </c>
      <c r="N31" s="36"/>
      <c r="O31" s="36"/>
      <c r="P31" s="52">
        <v>6709.88</v>
      </c>
      <c r="Q31" s="52">
        <f t="shared" ref="Q31:Q35" si="21">M31+P31</f>
        <v>96709.88</v>
      </c>
      <c r="R31" s="52">
        <v>6700</v>
      </c>
      <c r="S31" s="52"/>
      <c r="T31" s="52"/>
      <c r="U31" s="52"/>
      <c r="V31" s="52"/>
      <c r="W31" s="52">
        <v>6709.88</v>
      </c>
      <c r="X31" s="52"/>
      <c r="Y31" s="52"/>
      <c r="Z31" s="52"/>
      <c r="AA31" s="52"/>
      <c r="AB31" s="54">
        <v>0</v>
      </c>
    </row>
    <row r="32" spans="1:28" ht="151.5" customHeight="1" outlineLevel="1">
      <c r="A32" s="18" t="s">
        <v>195</v>
      </c>
      <c r="B32" s="37" t="s">
        <v>87</v>
      </c>
      <c r="C32" s="37" t="s">
        <v>200</v>
      </c>
      <c r="D32" s="37" t="s">
        <v>7</v>
      </c>
      <c r="E32" s="37" t="s">
        <v>88</v>
      </c>
      <c r="F32" s="37" t="s">
        <v>26</v>
      </c>
      <c r="G32" s="36"/>
      <c r="H32" s="36"/>
      <c r="I32" s="36"/>
      <c r="J32" s="36"/>
      <c r="K32" s="36"/>
      <c r="L32" s="36"/>
      <c r="M32" s="36">
        <v>287128.09999999998</v>
      </c>
      <c r="N32" s="36"/>
      <c r="O32" s="36"/>
      <c r="P32" s="52">
        <v>10059.799999999999</v>
      </c>
      <c r="Q32" s="52">
        <f t="shared" si="21"/>
        <v>297187.89999999997</v>
      </c>
      <c r="R32" s="52">
        <v>10000</v>
      </c>
      <c r="S32" s="52"/>
      <c r="T32" s="52"/>
      <c r="U32" s="52"/>
      <c r="V32" s="52"/>
      <c r="W32" s="52">
        <v>10059.799999999999</v>
      </c>
      <c r="X32" s="52"/>
      <c r="Y32" s="52"/>
      <c r="Z32" s="52"/>
      <c r="AA32" s="52"/>
      <c r="AB32" s="54">
        <v>0</v>
      </c>
    </row>
    <row r="33" spans="1:28" ht="151.5" customHeight="1" outlineLevel="1">
      <c r="A33" s="18" t="s">
        <v>196</v>
      </c>
      <c r="B33" s="37" t="s">
        <v>87</v>
      </c>
      <c r="C33" s="37" t="s">
        <v>200</v>
      </c>
      <c r="D33" s="37" t="s">
        <v>7</v>
      </c>
      <c r="E33" s="37" t="s">
        <v>41</v>
      </c>
      <c r="F33" s="37" t="s">
        <v>26</v>
      </c>
      <c r="G33" s="36"/>
      <c r="H33" s="36"/>
      <c r="I33" s="36"/>
      <c r="J33" s="36"/>
      <c r="K33" s="36"/>
      <c r="L33" s="36"/>
      <c r="M33" s="36">
        <v>264506</v>
      </c>
      <c r="N33" s="36"/>
      <c r="O33" s="36"/>
      <c r="P33" s="52">
        <v>11177.5</v>
      </c>
      <c r="Q33" s="52">
        <f t="shared" si="21"/>
        <v>275683.5</v>
      </c>
      <c r="R33" s="52">
        <v>11111.1</v>
      </c>
      <c r="S33" s="52"/>
      <c r="T33" s="52"/>
      <c r="U33" s="52"/>
      <c r="V33" s="52"/>
      <c r="W33" s="52">
        <v>11177.5</v>
      </c>
      <c r="X33" s="52"/>
      <c r="Y33" s="52"/>
      <c r="Z33" s="52"/>
      <c r="AA33" s="52"/>
      <c r="AB33" s="54">
        <v>0</v>
      </c>
    </row>
    <row r="34" spans="1:28" ht="151.5" customHeight="1" outlineLevel="1">
      <c r="A34" s="18" t="s">
        <v>197</v>
      </c>
      <c r="B34" s="37" t="s">
        <v>87</v>
      </c>
      <c r="C34" s="37" t="s">
        <v>200</v>
      </c>
      <c r="D34" s="37" t="s">
        <v>7</v>
      </c>
      <c r="E34" s="37" t="s">
        <v>50</v>
      </c>
      <c r="F34" s="37" t="s">
        <v>26</v>
      </c>
      <c r="G34" s="36"/>
      <c r="H34" s="36"/>
      <c r="I34" s="36"/>
      <c r="J34" s="36"/>
      <c r="K34" s="36"/>
      <c r="L34" s="36"/>
      <c r="M34" s="36">
        <v>287128.09999999998</v>
      </c>
      <c r="N34" s="36"/>
      <c r="O34" s="36"/>
      <c r="P34" s="52">
        <v>5653.7</v>
      </c>
      <c r="Q34" s="52">
        <f t="shared" si="21"/>
        <v>292781.8</v>
      </c>
      <c r="R34" s="52">
        <v>13386.8</v>
      </c>
      <c r="S34" s="52"/>
      <c r="T34" s="52"/>
      <c r="U34" s="52"/>
      <c r="V34" s="52"/>
      <c r="W34" s="52">
        <v>5653.7</v>
      </c>
      <c r="X34" s="52"/>
      <c r="Y34" s="52"/>
      <c r="Z34" s="52"/>
      <c r="AA34" s="54">
        <f t="shared" ref="AA34:AA36" si="22">Z34/W34*100</f>
        <v>0</v>
      </c>
      <c r="AB34" s="54"/>
    </row>
    <row r="35" spans="1:28" ht="151.5" customHeight="1" outlineLevel="1">
      <c r="A35" s="18" t="s">
        <v>198</v>
      </c>
      <c r="B35" s="37" t="s">
        <v>201</v>
      </c>
      <c r="C35" s="37" t="s">
        <v>200</v>
      </c>
      <c r="D35" s="37" t="s">
        <v>7</v>
      </c>
      <c r="E35" s="37" t="s">
        <v>165</v>
      </c>
      <c r="F35" s="37" t="s">
        <v>26</v>
      </c>
      <c r="G35" s="36"/>
      <c r="H35" s="36"/>
      <c r="I35" s="36"/>
      <c r="J35" s="36"/>
      <c r="K35" s="36"/>
      <c r="L35" s="36"/>
      <c r="M35" s="36">
        <v>215580.9</v>
      </c>
      <c r="N35" s="36"/>
      <c r="O35" s="36"/>
      <c r="P35" s="52">
        <v>6706.5599999999995</v>
      </c>
      <c r="Q35" s="52">
        <f t="shared" si="21"/>
        <v>222287.46</v>
      </c>
      <c r="R35" s="52">
        <v>6700</v>
      </c>
      <c r="S35" s="52"/>
      <c r="T35" s="52"/>
      <c r="U35" s="52"/>
      <c r="V35" s="52"/>
      <c r="W35" s="52">
        <v>6706.5599999999995</v>
      </c>
      <c r="X35" s="52"/>
      <c r="Y35" s="52"/>
      <c r="Z35" s="52"/>
      <c r="AA35" s="54">
        <f t="shared" si="22"/>
        <v>0</v>
      </c>
      <c r="AB35" s="54"/>
    </row>
    <row r="36" spans="1:28" ht="159.75" customHeight="1">
      <c r="A36" s="18" t="s">
        <v>248</v>
      </c>
      <c r="B36" s="37" t="s">
        <v>201</v>
      </c>
      <c r="C36" s="37" t="s">
        <v>200</v>
      </c>
      <c r="D36" s="37" t="s">
        <v>7</v>
      </c>
      <c r="E36" s="37" t="s">
        <v>88</v>
      </c>
      <c r="F36" s="37" t="s">
        <v>26</v>
      </c>
      <c r="G36" s="36"/>
      <c r="H36" s="36"/>
      <c r="I36" s="36"/>
      <c r="J36" s="36"/>
      <c r="K36" s="36"/>
      <c r="L36" s="36"/>
      <c r="M36" s="36"/>
      <c r="N36" s="36"/>
      <c r="O36" s="36"/>
      <c r="P36" s="52"/>
      <c r="Q36" s="52"/>
      <c r="R36" s="52"/>
      <c r="S36" s="52"/>
      <c r="T36" s="52"/>
      <c r="U36" s="52"/>
      <c r="V36" s="52"/>
      <c r="W36" s="52">
        <v>1088.4000000000001</v>
      </c>
      <c r="X36" s="52"/>
      <c r="Y36" s="52"/>
      <c r="Z36" s="52"/>
      <c r="AA36" s="54">
        <f t="shared" si="22"/>
        <v>0</v>
      </c>
      <c r="AB36" s="54"/>
    </row>
    <row r="37" spans="1:28" ht="34.5" customHeight="1" outlineLevel="1">
      <c r="A37" s="89" t="s">
        <v>21</v>
      </c>
      <c r="B37" s="131"/>
      <c r="C37" s="131"/>
      <c r="D37" s="131"/>
      <c r="E37" s="19"/>
      <c r="F37" s="18"/>
      <c r="G37" s="32">
        <f>SUM(G38:G39)</f>
        <v>649885.5</v>
      </c>
      <c r="H37" s="32">
        <f>H38+H39</f>
        <v>17147.099999999999</v>
      </c>
      <c r="I37" s="32" t="e">
        <f>I38+I39+#REF!</f>
        <v>#REF!</v>
      </c>
      <c r="J37" s="32" t="e">
        <f>J38+J39+#REF!</f>
        <v>#REF!</v>
      </c>
      <c r="K37" s="32">
        <f>SUM(K38:K41)</f>
        <v>1737515.4</v>
      </c>
      <c r="L37" s="32">
        <f>SUM(L38:L41)</f>
        <v>0</v>
      </c>
      <c r="M37" s="32">
        <f>M38+M39+M40+M41+M42</f>
        <v>1912107.7999999998</v>
      </c>
      <c r="N37" s="32">
        <f t="shared" ref="N37" si="23">SUM(N38:N41)</f>
        <v>69402.679999999993</v>
      </c>
      <c r="O37" s="32">
        <f t="shared" ref="O37" si="24">SUM(O38:O41)</f>
        <v>0</v>
      </c>
      <c r="P37" s="41">
        <f t="shared" ref="P37:Z37" si="25">P38+P39+P40+P41+P42</f>
        <v>165226.79999999999</v>
      </c>
      <c r="Q37" s="41">
        <f t="shared" si="25"/>
        <v>247484.69999999998</v>
      </c>
      <c r="R37" s="41">
        <f t="shared" si="25"/>
        <v>0</v>
      </c>
      <c r="S37" s="41">
        <f t="shared" si="25"/>
        <v>44259.4</v>
      </c>
      <c r="T37" s="41">
        <f t="shared" si="25"/>
        <v>51823.5</v>
      </c>
      <c r="U37" s="41">
        <f t="shared" si="25"/>
        <v>1251.9000000000001</v>
      </c>
      <c r="V37" s="41">
        <f t="shared" si="25"/>
        <v>51823.5</v>
      </c>
      <c r="W37" s="41">
        <v>165226.79999999999</v>
      </c>
      <c r="X37" s="41">
        <f t="shared" si="25"/>
        <v>59721.599999999999</v>
      </c>
      <c r="Y37" s="41">
        <f t="shared" si="25"/>
        <v>59721.599999999999</v>
      </c>
      <c r="Z37" s="41">
        <f t="shared" si="25"/>
        <v>59721.599999999999</v>
      </c>
      <c r="AA37" s="54">
        <f t="shared" si="4"/>
        <v>36.145225835034026</v>
      </c>
      <c r="AB37" s="54">
        <f t="shared" si="5"/>
        <v>100</v>
      </c>
    </row>
    <row r="38" spans="1:28" ht="141" customHeight="1" outlineLevel="1">
      <c r="A38" s="18" t="s">
        <v>123</v>
      </c>
      <c r="B38" s="19" t="s">
        <v>22</v>
      </c>
      <c r="C38" s="19" t="s">
        <v>20</v>
      </c>
      <c r="D38" s="19" t="s">
        <v>7</v>
      </c>
      <c r="E38" s="19" t="s">
        <v>37</v>
      </c>
      <c r="F38" s="19" t="s">
        <v>58</v>
      </c>
      <c r="G38" s="32">
        <v>316480</v>
      </c>
      <c r="H38" s="32"/>
      <c r="I38" s="32">
        <v>316480</v>
      </c>
      <c r="J38" s="32"/>
      <c r="K38" s="32">
        <v>316480</v>
      </c>
      <c r="L38" s="32"/>
      <c r="M38" s="32">
        <f t="shared" si="10"/>
        <v>316480</v>
      </c>
      <c r="N38" s="32">
        <v>3741.28</v>
      </c>
      <c r="O38" s="32"/>
      <c r="P38" s="41">
        <v>11189.4</v>
      </c>
      <c r="Q38" s="41">
        <v>0</v>
      </c>
      <c r="R38" s="41">
        <v>0</v>
      </c>
      <c r="S38" s="41">
        <f t="shared" si="9"/>
        <v>0</v>
      </c>
      <c r="T38" s="41">
        <v>0</v>
      </c>
      <c r="U38" s="41">
        <v>0</v>
      </c>
      <c r="V38" s="41">
        <f t="shared" si="2"/>
        <v>0</v>
      </c>
      <c r="W38" s="41">
        <v>11189.4</v>
      </c>
      <c r="X38" s="41">
        <v>11070.5</v>
      </c>
      <c r="Y38" s="41">
        <v>11070.5</v>
      </c>
      <c r="Z38" s="41">
        <v>11070.5</v>
      </c>
      <c r="AA38" s="54">
        <f t="shared" si="4"/>
        <v>98.937387170000179</v>
      </c>
      <c r="AB38" s="54">
        <f t="shared" si="5"/>
        <v>100</v>
      </c>
    </row>
    <row r="39" spans="1:28" ht="135" customHeight="1" outlineLevel="1">
      <c r="A39" s="18" t="s">
        <v>48</v>
      </c>
      <c r="B39" s="19" t="s">
        <v>23</v>
      </c>
      <c r="C39" s="19" t="s">
        <v>5</v>
      </c>
      <c r="D39" s="19" t="s">
        <v>7</v>
      </c>
      <c r="E39" s="19" t="s">
        <v>14</v>
      </c>
      <c r="F39" s="19" t="s">
        <v>16</v>
      </c>
      <c r="G39" s="32">
        <v>333405.5</v>
      </c>
      <c r="H39" s="32">
        <v>17147.099999999999</v>
      </c>
      <c r="I39" s="32">
        <f>G39+H39</f>
        <v>350552.6</v>
      </c>
      <c r="J39" s="32"/>
      <c r="K39" s="32">
        <v>352526.8</v>
      </c>
      <c r="L39" s="32"/>
      <c r="M39" s="32">
        <f t="shared" si="10"/>
        <v>352526.8</v>
      </c>
      <c r="N39" s="32">
        <v>65661.399999999994</v>
      </c>
      <c r="O39" s="32"/>
      <c r="P39" s="41">
        <v>62702.5</v>
      </c>
      <c r="Q39" s="41">
        <v>0</v>
      </c>
      <c r="R39" s="41">
        <v>0</v>
      </c>
      <c r="S39" s="41">
        <f t="shared" si="9"/>
        <v>0</v>
      </c>
      <c r="T39" s="41">
        <v>0</v>
      </c>
      <c r="U39" s="41">
        <v>0</v>
      </c>
      <c r="V39" s="41">
        <f t="shared" si="2"/>
        <v>0</v>
      </c>
      <c r="W39" s="41">
        <v>62702.5</v>
      </c>
      <c r="X39" s="41">
        <v>45281.7</v>
      </c>
      <c r="Y39" s="41">
        <v>45281.7</v>
      </c>
      <c r="Z39" s="41">
        <v>45281.7</v>
      </c>
      <c r="AA39" s="54">
        <f t="shared" si="4"/>
        <v>72.216737769626405</v>
      </c>
      <c r="AB39" s="54">
        <f t="shared" si="5"/>
        <v>100</v>
      </c>
    </row>
    <row r="40" spans="1:28" ht="137.25" customHeight="1" outlineLevel="1">
      <c r="A40" s="18" t="s">
        <v>124</v>
      </c>
      <c r="B40" s="19" t="s">
        <v>125</v>
      </c>
      <c r="C40" s="19" t="s">
        <v>20</v>
      </c>
      <c r="D40" s="19" t="s">
        <v>7</v>
      </c>
      <c r="E40" s="19" t="s">
        <v>127</v>
      </c>
      <c r="F40" s="19" t="s">
        <v>128</v>
      </c>
      <c r="G40" s="32"/>
      <c r="H40" s="32"/>
      <c r="I40" s="32"/>
      <c r="J40" s="32"/>
      <c r="K40" s="32">
        <v>374983.1</v>
      </c>
      <c r="L40" s="32"/>
      <c r="M40" s="32">
        <f t="shared" si="10"/>
        <v>374983.1</v>
      </c>
      <c r="N40" s="32">
        <v>0</v>
      </c>
      <c r="O40" s="32">
        <v>0</v>
      </c>
      <c r="P40" s="41">
        <v>62702</v>
      </c>
      <c r="Q40" s="41">
        <v>44259.4</v>
      </c>
      <c r="R40" s="41"/>
      <c r="S40" s="41">
        <f t="shared" si="9"/>
        <v>44259.4</v>
      </c>
      <c r="T40" s="41">
        <v>0</v>
      </c>
      <c r="U40" s="41">
        <v>0</v>
      </c>
      <c r="V40" s="41">
        <f t="shared" si="2"/>
        <v>0</v>
      </c>
      <c r="W40" s="41">
        <v>62702</v>
      </c>
      <c r="X40" s="41">
        <v>3369.4</v>
      </c>
      <c r="Y40" s="41">
        <v>3369.4</v>
      </c>
      <c r="Z40" s="41">
        <v>3369.4</v>
      </c>
      <c r="AA40" s="54">
        <f t="shared" si="4"/>
        <v>5.3736722911549872</v>
      </c>
      <c r="AB40" s="54">
        <f t="shared" si="5"/>
        <v>100</v>
      </c>
    </row>
    <row r="41" spans="1:28" ht="135" customHeight="1" outlineLevel="1">
      <c r="A41" s="87" t="s">
        <v>250</v>
      </c>
      <c r="B41" s="19" t="s">
        <v>126</v>
      </c>
      <c r="C41" s="19" t="s">
        <v>20</v>
      </c>
      <c r="D41" s="19" t="s">
        <v>7</v>
      </c>
      <c r="E41" s="19" t="s">
        <v>38</v>
      </c>
      <c r="F41" s="19" t="s">
        <v>129</v>
      </c>
      <c r="G41" s="32"/>
      <c r="H41" s="32"/>
      <c r="I41" s="32"/>
      <c r="J41" s="32"/>
      <c r="K41" s="32">
        <v>693525.5</v>
      </c>
      <c r="L41" s="32"/>
      <c r="M41" s="32">
        <f t="shared" si="10"/>
        <v>693525.5</v>
      </c>
      <c r="N41" s="32">
        <v>0</v>
      </c>
      <c r="O41" s="32">
        <v>0</v>
      </c>
      <c r="P41" s="41">
        <f t="shared" si="8"/>
        <v>0</v>
      </c>
      <c r="Q41" s="41">
        <v>0</v>
      </c>
      <c r="R41" s="41">
        <v>0</v>
      </c>
      <c r="S41" s="41">
        <f t="shared" si="9"/>
        <v>0</v>
      </c>
      <c r="T41" s="41">
        <v>51823.5</v>
      </c>
      <c r="U41" s="41"/>
      <c r="V41" s="41">
        <f t="shared" si="2"/>
        <v>51823.5</v>
      </c>
      <c r="W41" s="41">
        <v>0</v>
      </c>
      <c r="X41" s="41"/>
      <c r="Y41" s="41"/>
      <c r="Z41" s="41"/>
      <c r="AA41" s="54">
        <v>0</v>
      </c>
      <c r="AB41" s="54">
        <v>0</v>
      </c>
    </row>
    <row r="42" spans="1:28" ht="109.5" customHeight="1">
      <c r="A42" s="18" t="s">
        <v>202</v>
      </c>
      <c r="B42" s="37" t="s">
        <v>153</v>
      </c>
      <c r="C42" s="37" t="s">
        <v>20</v>
      </c>
      <c r="D42" s="37" t="s">
        <v>7</v>
      </c>
      <c r="E42" s="37" t="s">
        <v>203</v>
      </c>
      <c r="F42" s="37" t="s">
        <v>62</v>
      </c>
      <c r="G42" s="36"/>
      <c r="H42" s="36"/>
      <c r="I42" s="36"/>
      <c r="J42" s="36"/>
      <c r="K42" s="36"/>
      <c r="L42" s="36"/>
      <c r="M42" s="36">
        <v>174592.4</v>
      </c>
      <c r="N42" s="36"/>
      <c r="O42" s="36"/>
      <c r="P42" s="52">
        <v>28632.9</v>
      </c>
      <c r="Q42" s="52">
        <f t="shared" ref="Q42" si="26">M42+P42</f>
        <v>203225.3</v>
      </c>
      <c r="R42" s="52">
        <f t="shared" ref="R42" si="27">N42+O42</f>
        <v>0</v>
      </c>
      <c r="S42" s="52"/>
      <c r="T42" s="52"/>
      <c r="U42" s="52">
        <v>1251.9000000000001</v>
      </c>
      <c r="V42" s="52"/>
      <c r="W42" s="52">
        <v>28632.9</v>
      </c>
      <c r="X42" s="52"/>
      <c r="Y42" s="52">
        <v>0</v>
      </c>
      <c r="Z42" s="52"/>
      <c r="AA42" s="52"/>
      <c r="AB42" s="54">
        <v>0</v>
      </c>
    </row>
    <row r="43" spans="1:28" ht="41.25" customHeight="1" outlineLevel="1">
      <c r="A43" s="110" t="s">
        <v>39</v>
      </c>
      <c r="B43" s="110"/>
      <c r="C43" s="110"/>
      <c r="D43" s="110"/>
      <c r="E43" s="55"/>
      <c r="F43" s="55"/>
      <c r="G43" s="56">
        <f>SUM(G44:G46)</f>
        <v>724590.7</v>
      </c>
      <c r="H43" s="56">
        <f>H44+H45+H46</f>
        <v>29059.200000000001</v>
      </c>
      <c r="I43" s="56" t="e">
        <f>I44+I45+I46+#REF!</f>
        <v>#REF!</v>
      </c>
      <c r="J43" s="56" t="e">
        <f>J44+J45+J46+#REF!</f>
        <v>#REF!</v>
      </c>
      <c r="K43" s="56">
        <f>SUM(K44:K47)</f>
        <v>767376.64999999991</v>
      </c>
      <c r="L43" s="56">
        <f>SUM(L44:L48)</f>
        <v>251050.9</v>
      </c>
      <c r="M43" s="32">
        <f>M44+M45+M46+M47+M48+M49</f>
        <v>1053646.3999999999</v>
      </c>
      <c r="N43" s="56">
        <f>SUM(N44:N47)</f>
        <v>262420.39999999997</v>
      </c>
      <c r="O43" s="56">
        <f>SUM(O44:O48)</f>
        <v>4622.6000000000004</v>
      </c>
      <c r="P43" s="41">
        <f t="shared" ref="P43:T43" si="28">P44+P45+P46+P47+P48+P49</f>
        <v>292656.7</v>
      </c>
      <c r="Q43" s="41">
        <f t="shared" si="28"/>
        <v>0</v>
      </c>
      <c r="R43" s="41">
        <f t="shared" si="28"/>
        <v>0</v>
      </c>
      <c r="S43" s="41">
        <f t="shared" si="28"/>
        <v>0</v>
      </c>
      <c r="T43" s="41">
        <f t="shared" si="28"/>
        <v>0</v>
      </c>
      <c r="U43" s="57">
        <f>SUM(U44:U47)</f>
        <v>0</v>
      </c>
      <c r="V43" s="41">
        <f t="shared" si="2"/>
        <v>0</v>
      </c>
      <c r="W43" s="41">
        <v>292656.7</v>
      </c>
      <c r="X43" s="41">
        <f>X44+X45+X46+X47+X48+X49</f>
        <v>255155.73031000001</v>
      </c>
      <c r="Y43" s="41">
        <f t="shared" ref="Y43:Z43" si="29">Y44+Y45+Y46+Y47+Y48+Y49</f>
        <v>255155.73031000001</v>
      </c>
      <c r="Z43" s="41">
        <f t="shared" si="29"/>
        <v>255155.73031000001</v>
      </c>
      <c r="AA43" s="54">
        <f t="shared" si="4"/>
        <v>87.186020449899146</v>
      </c>
      <c r="AB43" s="54">
        <f t="shared" si="5"/>
        <v>100</v>
      </c>
    </row>
    <row r="44" spans="1:28" ht="153.75" customHeight="1" outlineLevel="1">
      <c r="A44" s="18" t="s">
        <v>85</v>
      </c>
      <c r="B44" s="19" t="s">
        <v>9</v>
      </c>
      <c r="C44" s="19" t="s">
        <v>13</v>
      </c>
      <c r="D44" s="19" t="s">
        <v>7</v>
      </c>
      <c r="E44" s="19" t="s">
        <v>14</v>
      </c>
      <c r="F44" s="19" t="s">
        <v>58</v>
      </c>
      <c r="G44" s="32">
        <v>574511.9</v>
      </c>
      <c r="H44" s="32"/>
      <c r="I44" s="32">
        <v>574511.9</v>
      </c>
      <c r="J44" s="32"/>
      <c r="K44" s="32">
        <v>574511.9</v>
      </c>
      <c r="L44" s="32"/>
      <c r="M44" s="32">
        <v>606127.69999999995</v>
      </c>
      <c r="N44" s="32">
        <v>194634.4</v>
      </c>
      <c r="O44" s="32"/>
      <c r="P44" s="41">
        <v>182328.9</v>
      </c>
      <c r="Q44" s="41">
        <v>0</v>
      </c>
      <c r="R44" s="41">
        <v>0</v>
      </c>
      <c r="S44" s="41">
        <f t="shared" si="9"/>
        <v>0</v>
      </c>
      <c r="T44" s="41">
        <v>0</v>
      </c>
      <c r="U44" s="41">
        <v>0</v>
      </c>
      <c r="V44" s="41">
        <f t="shared" si="2"/>
        <v>0</v>
      </c>
      <c r="W44" s="41">
        <v>182328.9</v>
      </c>
      <c r="X44" s="41">
        <v>176147.88980999999</v>
      </c>
      <c r="Y44" s="41">
        <v>176147.88980999999</v>
      </c>
      <c r="Z44" s="41">
        <v>176147.88980999999</v>
      </c>
      <c r="AA44" s="54">
        <f t="shared" si="4"/>
        <v>96.609966829175193</v>
      </c>
      <c r="AB44" s="54">
        <f t="shared" si="5"/>
        <v>100</v>
      </c>
    </row>
    <row r="45" spans="1:28" ht="140.25" customHeight="1" outlineLevel="1">
      <c r="A45" s="18" t="s">
        <v>241</v>
      </c>
      <c r="B45" s="19" t="s">
        <v>17</v>
      </c>
      <c r="C45" s="19" t="s">
        <v>20</v>
      </c>
      <c r="D45" s="19" t="s">
        <v>18</v>
      </c>
      <c r="E45" s="19" t="s">
        <v>35</v>
      </c>
      <c r="F45" s="19" t="s">
        <v>16</v>
      </c>
      <c r="G45" s="32">
        <v>150078.79999999999</v>
      </c>
      <c r="H45" s="32"/>
      <c r="I45" s="32">
        <v>150078.79999999999</v>
      </c>
      <c r="J45" s="32"/>
      <c r="K45" s="32">
        <v>150078.79999999999</v>
      </c>
      <c r="L45" s="32"/>
      <c r="M45" s="32">
        <f t="shared" si="10"/>
        <v>150078.79999999999</v>
      </c>
      <c r="N45" s="32">
        <v>30000</v>
      </c>
      <c r="O45" s="32"/>
      <c r="P45" s="41">
        <v>65000</v>
      </c>
      <c r="Q45" s="41">
        <v>0</v>
      </c>
      <c r="R45" s="41">
        <v>0</v>
      </c>
      <c r="S45" s="41">
        <f t="shared" si="9"/>
        <v>0</v>
      </c>
      <c r="T45" s="41">
        <v>0</v>
      </c>
      <c r="U45" s="41">
        <v>0</v>
      </c>
      <c r="V45" s="41">
        <f t="shared" si="2"/>
        <v>0</v>
      </c>
      <c r="W45" s="41">
        <v>65000</v>
      </c>
      <c r="X45" s="41">
        <v>64999.985999999997</v>
      </c>
      <c r="Y45" s="41">
        <v>64999.985999999997</v>
      </c>
      <c r="Z45" s="41">
        <v>64999.985999999997</v>
      </c>
      <c r="AA45" s="54">
        <f t="shared" si="4"/>
        <v>99.999978461538447</v>
      </c>
      <c r="AB45" s="54">
        <f t="shared" si="5"/>
        <v>100</v>
      </c>
    </row>
    <row r="46" spans="1:28" ht="177" customHeight="1" outlineLevel="1">
      <c r="A46" s="18" t="s">
        <v>168</v>
      </c>
      <c r="B46" s="19" t="s">
        <v>169</v>
      </c>
      <c r="C46" s="19" t="s">
        <v>13</v>
      </c>
      <c r="D46" s="19" t="s">
        <v>7</v>
      </c>
      <c r="E46" s="19" t="s">
        <v>14</v>
      </c>
      <c r="F46" s="19" t="s">
        <v>43</v>
      </c>
      <c r="G46" s="58">
        <v>0</v>
      </c>
      <c r="H46" s="58">
        <v>29059.200000000001</v>
      </c>
      <c r="I46" s="33"/>
      <c r="J46" s="32">
        <v>29059.200000000001</v>
      </c>
      <c r="K46" s="32">
        <v>26484.85</v>
      </c>
      <c r="L46" s="32"/>
      <c r="M46" s="32">
        <v>22404</v>
      </c>
      <c r="N46" s="32">
        <f>26786-301.2</f>
        <v>26484.799999999999</v>
      </c>
      <c r="O46" s="32"/>
      <c r="P46" s="41">
        <v>22404</v>
      </c>
      <c r="Q46" s="41">
        <v>0</v>
      </c>
      <c r="R46" s="41">
        <v>0</v>
      </c>
      <c r="S46" s="41">
        <f t="shared" si="9"/>
        <v>0</v>
      </c>
      <c r="T46" s="41">
        <v>0</v>
      </c>
      <c r="U46" s="41">
        <v>0</v>
      </c>
      <c r="V46" s="41">
        <f t="shared" si="2"/>
        <v>0</v>
      </c>
      <c r="W46" s="41">
        <v>22404</v>
      </c>
      <c r="X46" s="41"/>
      <c r="Y46" s="41"/>
      <c r="Z46" s="41"/>
      <c r="AA46" s="54">
        <f t="shared" si="4"/>
        <v>0</v>
      </c>
      <c r="AB46" s="54">
        <v>0</v>
      </c>
    </row>
    <row r="47" spans="1:28" ht="161.25" customHeight="1" outlineLevel="1">
      <c r="A47" s="18" t="s">
        <v>110</v>
      </c>
      <c r="B47" s="19" t="s">
        <v>25</v>
      </c>
      <c r="C47" s="19" t="s">
        <v>99</v>
      </c>
      <c r="D47" s="19" t="s">
        <v>81</v>
      </c>
      <c r="E47" s="19" t="s">
        <v>82</v>
      </c>
      <c r="F47" s="19" t="s">
        <v>64</v>
      </c>
      <c r="G47" s="58">
        <v>0</v>
      </c>
      <c r="H47" s="58">
        <v>29059.200000000001</v>
      </c>
      <c r="I47" s="33"/>
      <c r="J47" s="32">
        <v>29059.200000000001</v>
      </c>
      <c r="K47" s="32">
        <v>16301.1</v>
      </c>
      <c r="L47" s="32"/>
      <c r="M47" s="32">
        <v>16985</v>
      </c>
      <c r="N47" s="32">
        <f>11000+301.2</f>
        <v>11301.2</v>
      </c>
      <c r="O47" s="32"/>
      <c r="P47" s="41">
        <v>11301.2</v>
      </c>
      <c r="Q47" s="41">
        <v>0</v>
      </c>
      <c r="R47" s="41">
        <v>0</v>
      </c>
      <c r="S47" s="41">
        <f t="shared" si="9"/>
        <v>0</v>
      </c>
      <c r="T47" s="41">
        <v>0</v>
      </c>
      <c r="U47" s="41">
        <v>0</v>
      </c>
      <c r="V47" s="41">
        <f t="shared" si="2"/>
        <v>0</v>
      </c>
      <c r="W47" s="41">
        <v>11301.2</v>
      </c>
      <c r="X47" s="41">
        <v>11301.2</v>
      </c>
      <c r="Y47" s="41">
        <v>11301.2</v>
      </c>
      <c r="Z47" s="41">
        <v>11301.2</v>
      </c>
      <c r="AA47" s="54">
        <f t="shared" si="4"/>
        <v>100</v>
      </c>
      <c r="AB47" s="54">
        <f t="shared" si="5"/>
        <v>100</v>
      </c>
    </row>
    <row r="48" spans="1:28" ht="161.25" customHeight="1" outlineLevel="1">
      <c r="A48" s="18" t="s">
        <v>149</v>
      </c>
      <c r="B48" s="19" t="s">
        <v>147</v>
      </c>
      <c r="C48" s="19" t="s">
        <v>13</v>
      </c>
      <c r="D48" s="19" t="s">
        <v>7</v>
      </c>
      <c r="E48" s="19" t="s">
        <v>14</v>
      </c>
      <c r="F48" s="19" t="s">
        <v>148</v>
      </c>
      <c r="G48" s="33">
        <v>0</v>
      </c>
      <c r="H48" s="33">
        <v>251050.9</v>
      </c>
      <c r="I48" s="32">
        <f t="shared" ref="I48" si="30">G48+H48</f>
        <v>251050.9</v>
      </c>
      <c r="J48" s="32">
        <v>0</v>
      </c>
      <c r="K48" s="32"/>
      <c r="L48" s="30">
        <v>251050.9</v>
      </c>
      <c r="M48" s="32">
        <f t="shared" si="10"/>
        <v>251050.9</v>
      </c>
      <c r="N48" s="32">
        <v>0</v>
      </c>
      <c r="O48" s="32">
        <v>4622.6000000000004</v>
      </c>
      <c r="P48" s="41">
        <f t="shared" si="8"/>
        <v>4622.6000000000004</v>
      </c>
      <c r="Q48" s="41"/>
      <c r="R48" s="41"/>
      <c r="S48" s="41">
        <v>0</v>
      </c>
      <c r="T48" s="41">
        <v>0</v>
      </c>
      <c r="U48" s="41"/>
      <c r="V48" s="41"/>
      <c r="W48" s="41">
        <v>4622.6000000000004</v>
      </c>
      <c r="X48" s="41">
        <v>2706.6545000000001</v>
      </c>
      <c r="Y48" s="41">
        <v>2706.6545000000001</v>
      </c>
      <c r="Z48" s="41">
        <v>2706.6545000000001</v>
      </c>
      <c r="AA48" s="54">
        <f t="shared" si="4"/>
        <v>58.552643533941939</v>
      </c>
      <c r="AB48" s="54">
        <f t="shared" si="5"/>
        <v>100</v>
      </c>
    </row>
    <row r="49" spans="1:28" ht="138.75" customHeight="1">
      <c r="A49" s="18" t="s">
        <v>163</v>
      </c>
      <c r="B49" s="19" t="s">
        <v>164</v>
      </c>
      <c r="C49" s="19" t="s">
        <v>72</v>
      </c>
      <c r="D49" s="19" t="s">
        <v>81</v>
      </c>
      <c r="E49" s="19" t="s">
        <v>162</v>
      </c>
      <c r="F49" s="19" t="s">
        <v>145</v>
      </c>
      <c r="G49" s="33"/>
      <c r="H49" s="33"/>
      <c r="I49" s="32"/>
      <c r="J49" s="32"/>
      <c r="K49" s="32"/>
      <c r="L49" s="30"/>
      <c r="M49" s="32">
        <v>7000</v>
      </c>
      <c r="N49" s="32"/>
      <c r="O49" s="32"/>
      <c r="P49" s="41">
        <v>7000</v>
      </c>
      <c r="Q49" s="41"/>
      <c r="R49" s="41"/>
      <c r="S49" s="41">
        <v>0</v>
      </c>
      <c r="T49" s="41">
        <v>0</v>
      </c>
      <c r="U49" s="41"/>
      <c r="V49" s="41"/>
      <c r="W49" s="41">
        <v>7000</v>
      </c>
      <c r="X49" s="41">
        <v>0</v>
      </c>
      <c r="Y49" s="41">
        <v>0</v>
      </c>
      <c r="Z49" s="41">
        <v>0</v>
      </c>
      <c r="AA49" s="54">
        <f t="shared" si="4"/>
        <v>0</v>
      </c>
      <c r="AB49" s="54">
        <v>0</v>
      </c>
    </row>
    <row r="50" spans="1:28" ht="46.5" customHeight="1">
      <c r="A50" s="110" t="s">
        <v>59</v>
      </c>
      <c r="B50" s="111"/>
      <c r="C50" s="111"/>
      <c r="D50" s="111"/>
      <c r="E50" s="19"/>
      <c r="F50" s="19"/>
      <c r="G50" s="59" t="e">
        <f>#REF!</f>
        <v>#REF!</v>
      </c>
      <c r="H50" s="59" t="e">
        <f>#REF!</f>
        <v>#REF!</v>
      </c>
      <c r="I50" s="59" t="e">
        <f>#REF!</f>
        <v>#REF!</v>
      </c>
      <c r="J50" s="59" t="e">
        <f>#REF!</f>
        <v>#REF!</v>
      </c>
      <c r="K50" s="59">
        <f>K51+K52+K53</f>
        <v>518867.60000000003</v>
      </c>
      <c r="L50" s="59">
        <f>L51+L52+L53</f>
        <v>0</v>
      </c>
      <c r="M50" s="32">
        <f>M51++M52+M53+M70</f>
        <v>634926.5</v>
      </c>
      <c r="N50" s="59">
        <f t="shared" ref="N50:O50" si="31">N51+N52+N53</f>
        <v>23000</v>
      </c>
      <c r="O50" s="59">
        <f t="shared" si="31"/>
        <v>0</v>
      </c>
      <c r="P50" s="41">
        <f t="shared" ref="P50:Z50" si="32">P51++P52+P53+P70</f>
        <v>64470.6</v>
      </c>
      <c r="Q50" s="41">
        <f t="shared" si="32"/>
        <v>9960</v>
      </c>
      <c r="R50" s="41">
        <f t="shared" si="32"/>
        <v>6000</v>
      </c>
      <c r="S50" s="41">
        <f t="shared" si="32"/>
        <v>0</v>
      </c>
      <c r="T50" s="41">
        <f t="shared" si="32"/>
        <v>0</v>
      </c>
      <c r="U50" s="41">
        <f t="shared" si="32"/>
        <v>-6000</v>
      </c>
      <c r="V50" s="41">
        <f t="shared" si="32"/>
        <v>150825.20000000001</v>
      </c>
      <c r="W50" s="41">
        <v>64470.6</v>
      </c>
      <c r="X50" s="41">
        <f t="shared" si="32"/>
        <v>48385.29</v>
      </c>
      <c r="Y50" s="41">
        <f t="shared" si="32"/>
        <v>48385.29</v>
      </c>
      <c r="Z50" s="41">
        <f t="shared" si="32"/>
        <v>48385.29</v>
      </c>
      <c r="AA50" s="54">
        <f t="shared" si="4"/>
        <v>75.050162399605398</v>
      </c>
      <c r="AB50" s="54">
        <f t="shared" si="5"/>
        <v>100</v>
      </c>
    </row>
    <row r="51" spans="1:28" ht="157.5" customHeight="1">
      <c r="A51" s="45" t="s">
        <v>106</v>
      </c>
      <c r="B51" s="19" t="s">
        <v>103</v>
      </c>
      <c r="C51" s="19" t="s">
        <v>13</v>
      </c>
      <c r="D51" s="19" t="s">
        <v>18</v>
      </c>
      <c r="E51" s="19" t="s">
        <v>10</v>
      </c>
      <c r="F51" s="19" t="s">
        <v>43</v>
      </c>
      <c r="G51" s="59"/>
      <c r="H51" s="59"/>
      <c r="I51" s="59"/>
      <c r="J51" s="59"/>
      <c r="K51" s="32">
        <v>231024.2</v>
      </c>
      <c r="L51" s="32"/>
      <c r="M51" s="32">
        <v>205617.9</v>
      </c>
      <c r="N51" s="32">
        <v>6000</v>
      </c>
      <c r="O51" s="32"/>
      <c r="P51" s="41">
        <v>50525.4</v>
      </c>
      <c r="Q51" s="60">
        <v>0</v>
      </c>
      <c r="R51" s="60">
        <v>0</v>
      </c>
      <c r="S51" s="41">
        <f t="shared" si="9"/>
        <v>0</v>
      </c>
      <c r="T51" s="60">
        <v>0</v>
      </c>
      <c r="U51" s="60">
        <v>0</v>
      </c>
      <c r="V51" s="41">
        <f t="shared" si="2"/>
        <v>0</v>
      </c>
      <c r="W51" s="41">
        <v>50525.4</v>
      </c>
      <c r="X51" s="41">
        <v>48354.61</v>
      </c>
      <c r="Y51" s="41">
        <v>48354.61</v>
      </c>
      <c r="Z51" s="41">
        <v>48354.61</v>
      </c>
      <c r="AA51" s="54">
        <f t="shared" si="4"/>
        <v>95.703566918817074</v>
      </c>
      <c r="AB51" s="54">
        <f t="shared" si="5"/>
        <v>100</v>
      </c>
    </row>
    <row r="52" spans="1:28" ht="63.75" customHeight="1">
      <c r="A52" s="45" t="s">
        <v>135</v>
      </c>
      <c r="B52" s="19" t="s">
        <v>136</v>
      </c>
      <c r="C52" s="19" t="s">
        <v>13</v>
      </c>
      <c r="D52" s="19" t="s">
        <v>18</v>
      </c>
      <c r="E52" s="19" t="s">
        <v>10</v>
      </c>
      <c r="F52" s="19" t="s">
        <v>93</v>
      </c>
      <c r="G52" s="59"/>
      <c r="H52" s="59"/>
      <c r="I52" s="59"/>
      <c r="J52" s="59"/>
      <c r="K52" s="32">
        <v>275843.40000000002</v>
      </c>
      <c r="L52" s="32"/>
      <c r="M52" s="32">
        <f t="shared" si="10"/>
        <v>275843.40000000002</v>
      </c>
      <c r="N52" s="32">
        <v>5000</v>
      </c>
      <c r="O52" s="32"/>
      <c r="P52" s="41">
        <f t="shared" si="8"/>
        <v>5000</v>
      </c>
      <c r="Q52" s="60">
        <v>0</v>
      </c>
      <c r="R52" s="60">
        <v>0</v>
      </c>
      <c r="S52" s="41">
        <f t="shared" si="9"/>
        <v>0</v>
      </c>
      <c r="T52" s="60">
        <v>0</v>
      </c>
      <c r="U52" s="60"/>
      <c r="V52" s="41">
        <f t="shared" si="2"/>
        <v>0</v>
      </c>
      <c r="W52" s="41">
        <v>5000</v>
      </c>
      <c r="X52" s="41">
        <f>23.6+1.062+6.018</f>
        <v>30.680000000000003</v>
      </c>
      <c r="Y52" s="41">
        <f t="shared" ref="Y52:Z52" si="33">23.6+1.062+6.018</f>
        <v>30.680000000000003</v>
      </c>
      <c r="Z52" s="41">
        <f t="shared" si="33"/>
        <v>30.680000000000003</v>
      </c>
      <c r="AA52" s="54">
        <f t="shared" si="4"/>
        <v>0.61360000000000003</v>
      </c>
      <c r="AB52" s="54">
        <f t="shared" si="5"/>
        <v>100</v>
      </c>
    </row>
    <row r="53" spans="1:28" ht="26.25" customHeight="1">
      <c r="A53" s="107" t="s">
        <v>140</v>
      </c>
      <c r="B53" s="108"/>
      <c r="C53" s="108"/>
      <c r="D53" s="108"/>
      <c r="E53" s="61"/>
      <c r="F53" s="19"/>
      <c r="G53" s="59"/>
      <c r="H53" s="59"/>
      <c r="I53" s="59"/>
      <c r="J53" s="59"/>
      <c r="K53" s="32">
        <f>K54+K55</f>
        <v>12000</v>
      </c>
      <c r="L53" s="32">
        <f>L54+L55</f>
        <v>0</v>
      </c>
      <c r="M53" s="32">
        <f>M54+M55+M56+M57+M58+M59+M60+M61+M62+M63+M64+M65+M66+M67+M68+M69</f>
        <v>152040</v>
      </c>
      <c r="N53" s="32">
        <f t="shared" ref="N53:O53" si="34">N54+N55</f>
        <v>12000</v>
      </c>
      <c r="O53" s="32">
        <f t="shared" si="34"/>
        <v>0</v>
      </c>
      <c r="P53" s="41">
        <f t="shared" ref="P53:X53" si="35">P54+P55+P56+P57+P58+P59+P60+P61+P62+P63+P64+P65+P66+P67+P68+P69</f>
        <v>7520</v>
      </c>
      <c r="Q53" s="41">
        <f t="shared" si="35"/>
        <v>9960</v>
      </c>
      <c r="R53" s="41">
        <f t="shared" si="35"/>
        <v>6000</v>
      </c>
      <c r="S53" s="41">
        <f t="shared" si="35"/>
        <v>0</v>
      </c>
      <c r="T53" s="41">
        <f t="shared" si="35"/>
        <v>0</v>
      </c>
      <c r="U53" s="41">
        <f t="shared" si="35"/>
        <v>-6000</v>
      </c>
      <c r="V53" s="41">
        <f t="shared" si="35"/>
        <v>149400</v>
      </c>
      <c r="W53" s="41">
        <v>7520</v>
      </c>
      <c r="X53" s="41">
        <f t="shared" si="35"/>
        <v>0</v>
      </c>
      <c r="Y53" s="41">
        <f>Y54+Y55+Y56+Y57+Y58+Y59+Y60+Y61+Y62+Y63+Y64+Y65+Y66+Y67+Y68+Y69</f>
        <v>0</v>
      </c>
      <c r="Z53" s="41">
        <f t="shared" ref="Z53" si="36">Z54+Z55</f>
        <v>0</v>
      </c>
      <c r="AA53" s="54">
        <f t="shared" si="4"/>
        <v>0</v>
      </c>
      <c r="AB53" s="54">
        <v>0</v>
      </c>
    </row>
    <row r="54" spans="1:28" ht="141" customHeight="1">
      <c r="A54" s="45" t="s">
        <v>137</v>
      </c>
      <c r="B54" s="19" t="s">
        <v>138</v>
      </c>
      <c r="C54" s="19" t="s">
        <v>139</v>
      </c>
      <c r="D54" s="19" t="s">
        <v>18</v>
      </c>
      <c r="E54" s="19" t="s">
        <v>10</v>
      </c>
      <c r="F54" s="19" t="s">
        <v>54</v>
      </c>
      <c r="G54" s="59"/>
      <c r="H54" s="59"/>
      <c r="I54" s="59"/>
      <c r="J54" s="59"/>
      <c r="K54" s="32">
        <v>6000</v>
      </c>
      <c r="L54" s="32"/>
      <c r="M54" s="32">
        <v>7520</v>
      </c>
      <c r="N54" s="32">
        <v>6000</v>
      </c>
      <c r="O54" s="32"/>
      <c r="P54" s="41">
        <v>7520</v>
      </c>
      <c r="Q54" s="60">
        <v>0</v>
      </c>
      <c r="R54" s="60">
        <v>0</v>
      </c>
      <c r="S54" s="41">
        <f t="shared" si="9"/>
        <v>0</v>
      </c>
      <c r="T54" s="60">
        <v>0</v>
      </c>
      <c r="U54" s="60">
        <v>0</v>
      </c>
      <c r="V54" s="41">
        <f t="shared" si="2"/>
        <v>0</v>
      </c>
      <c r="W54" s="41">
        <v>7520</v>
      </c>
      <c r="X54" s="41">
        <v>0</v>
      </c>
      <c r="Y54" s="41">
        <v>0</v>
      </c>
      <c r="Z54" s="41">
        <v>0</v>
      </c>
      <c r="AA54" s="54">
        <f t="shared" si="4"/>
        <v>0</v>
      </c>
      <c r="AB54" s="54">
        <v>0</v>
      </c>
    </row>
    <row r="55" spans="1:28" ht="135" customHeight="1">
      <c r="A55" s="45" t="s">
        <v>220</v>
      </c>
      <c r="B55" s="37" t="s">
        <v>138</v>
      </c>
      <c r="C55" s="37" t="s">
        <v>139</v>
      </c>
      <c r="D55" s="37" t="s">
        <v>18</v>
      </c>
      <c r="E55" s="37" t="s">
        <v>10</v>
      </c>
      <c r="F55" s="37" t="s">
        <v>205</v>
      </c>
      <c r="G55" s="62"/>
      <c r="H55" s="62"/>
      <c r="I55" s="62"/>
      <c r="J55" s="62"/>
      <c r="K55" s="36">
        <v>6000</v>
      </c>
      <c r="L55" s="36"/>
      <c r="M55" s="36">
        <v>9960</v>
      </c>
      <c r="N55" s="36">
        <v>6000</v>
      </c>
      <c r="O55" s="36"/>
      <c r="P55" s="52">
        <v>0</v>
      </c>
      <c r="Q55" s="52">
        <f t="shared" ref="Q55" si="37">M55+P55</f>
        <v>9960</v>
      </c>
      <c r="R55" s="52">
        <f t="shared" ref="R55" si="38">N55+O55</f>
        <v>6000</v>
      </c>
      <c r="S55" s="63">
        <v>0</v>
      </c>
      <c r="T55" s="63">
        <v>0</v>
      </c>
      <c r="U55" s="52">
        <v>-6000</v>
      </c>
      <c r="V55" s="52">
        <v>9960</v>
      </c>
      <c r="W55" s="52">
        <v>0</v>
      </c>
      <c r="X55" s="41">
        <v>0</v>
      </c>
      <c r="Y55" s="41">
        <v>0</v>
      </c>
      <c r="Z55" s="41">
        <v>0</v>
      </c>
      <c r="AA55" s="54">
        <v>0</v>
      </c>
      <c r="AB55" s="54">
        <v>0</v>
      </c>
    </row>
    <row r="56" spans="1:28" ht="135" customHeight="1">
      <c r="A56" s="45" t="s">
        <v>204</v>
      </c>
      <c r="B56" s="37" t="s">
        <v>138</v>
      </c>
      <c r="C56" s="37" t="s">
        <v>139</v>
      </c>
      <c r="D56" s="37" t="s">
        <v>18</v>
      </c>
      <c r="E56" s="37" t="s">
        <v>10</v>
      </c>
      <c r="F56" s="37" t="s">
        <v>205</v>
      </c>
      <c r="G56" s="62"/>
      <c r="H56" s="62"/>
      <c r="I56" s="62"/>
      <c r="J56" s="62"/>
      <c r="K56" s="36"/>
      <c r="L56" s="36"/>
      <c r="M56" s="36">
        <f>Q56+V56</f>
        <v>9960</v>
      </c>
      <c r="N56" s="36"/>
      <c r="O56" s="36"/>
      <c r="P56" s="52">
        <v>0</v>
      </c>
      <c r="Q56" s="52"/>
      <c r="R56" s="52"/>
      <c r="S56" s="63"/>
      <c r="T56" s="63"/>
      <c r="U56" s="52"/>
      <c r="V56" s="52">
        <v>9960</v>
      </c>
      <c r="W56" s="41">
        <v>0</v>
      </c>
      <c r="X56" s="41">
        <v>0</v>
      </c>
      <c r="Y56" s="41">
        <v>0</v>
      </c>
      <c r="Z56" s="41">
        <v>0</v>
      </c>
      <c r="AA56" s="54">
        <v>0</v>
      </c>
      <c r="AB56" s="54">
        <v>0</v>
      </c>
    </row>
    <row r="57" spans="1:28" ht="159.75" customHeight="1">
      <c r="A57" s="45" t="s">
        <v>206</v>
      </c>
      <c r="B57" s="37" t="s">
        <v>138</v>
      </c>
      <c r="C57" s="37" t="s">
        <v>139</v>
      </c>
      <c r="D57" s="37" t="s">
        <v>18</v>
      </c>
      <c r="E57" s="37" t="s">
        <v>10</v>
      </c>
      <c r="F57" s="37" t="s">
        <v>205</v>
      </c>
      <c r="G57" s="62"/>
      <c r="H57" s="62"/>
      <c r="I57" s="62"/>
      <c r="J57" s="62"/>
      <c r="K57" s="36"/>
      <c r="L57" s="36"/>
      <c r="M57" s="36">
        <v>7520</v>
      </c>
      <c r="N57" s="36"/>
      <c r="O57" s="36"/>
      <c r="P57" s="52">
        <v>0</v>
      </c>
      <c r="Q57" s="52"/>
      <c r="R57" s="52"/>
      <c r="S57" s="63"/>
      <c r="T57" s="63"/>
      <c r="U57" s="52"/>
      <c r="V57" s="52">
        <v>9960</v>
      </c>
      <c r="W57" s="41">
        <v>0</v>
      </c>
      <c r="X57" s="41">
        <v>0</v>
      </c>
      <c r="Y57" s="41">
        <v>0</v>
      </c>
      <c r="Z57" s="41">
        <v>0</v>
      </c>
      <c r="AA57" s="54">
        <v>0</v>
      </c>
      <c r="AB57" s="54">
        <v>0</v>
      </c>
    </row>
    <row r="58" spans="1:28" ht="132.75" customHeight="1">
      <c r="A58" s="45" t="s">
        <v>207</v>
      </c>
      <c r="B58" s="37" t="s">
        <v>138</v>
      </c>
      <c r="C58" s="37" t="s">
        <v>139</v>
      </c>
      <c r="D58" s="37" t="s">
        <v>18</v>
      </c>
      <c r="E58" s="37" t="s">
        <v>10</v>
      </c>
      <c r="F58" s="37" t="s">
        <v>205</v>
      </c>
      <c r="G58" s="62"/>
      <c r="H58" s="62"/>
      <c r="I58" s="62"/>
      <c r="J58" s="62"/>
      <c r="K58" s="36"/>
      <c r="L58" s="36"/>
      <c r="M58" s="36">
        <v>9960</v>
      </c>
      <c r="N58" s="36"/>
      <c r="O58" s="36"/>
      <c r="P58" s="52">
        <v>0</v>
      </c>
      <c r="Q58" s="52"/>
      <c r="R58" s="52"/>
      <c r="S58" s="63"/>
      <c r="T58" s="63"/>
      <c r="U58" s="52"/>
      <c r="V58" s="52">
        <v>9960</v>
      </c>
      <c r="W58" s="41">
        <v>0</v>
      </c>
      <c r="X58" s="41">
        <v>0</v>
      </c>
      <c r="Y58" s="41">
        <v>0</v>
      </c>
      <c r="Z58" s="41">
        <v>0</v>
      </c>
      <c r="AA58" s="54">
        <v>0</v>
      </c>
      <c r="AB58" s="54">
        <v>0</v>
      </c>
    </row>
    <row r="59" spans="1:28" ht="140.25" customHeight="1">
      <c r="A59" s="45" t="s">
        <v>208</v>
      </c>
      <c r="B59" s="37" t="s">
        <v>138</v>
      </c>
      <c r="C59" s="37" t="s">
        <v>139</v>
      </c>
      <c r="D59" s="37" t="s">
        <v>18</v>
      </c>
      <c r="E59" s="37" t="s">
        <v>10</v>
      </c>
      <c r="F59" s="37" t="s">
        <v>205</v>
      </c>
      <c r="G59" s="62"/>
      <c r="H59" s="62"/>
      <c r="I59" s="62"/>
      <c r="J59" s="62"/>
      <c r="K59" s="36"/>
      <c r="L59" s="36"/>
      <c r="M59" s="36">
        <v>7520</v>
      </c>
      <c r="N59" s="36"/>
      <c r="O59" s="36"/>
      <c r="P59" s="52">
        <v>0</v>
      </c>
      <c r="Q59" s="52"/>
      <c r="R59" s="52"/>
      <c r="S59" s="63"/>
      <c r="T59" s="63"/>
      <c r="U59" s="52"/>
      <c r="V59" s="52">
        <v>9960</v>
      </c>
      <c r="W59" s="41">
        <v>0</v>
      </c>
      <c r="X59" s="41">
        <v>0</v>
      </c>
      <c r="Y59" s="41">
        <v>0</v>
      </c>
      <c r="Z59" s="41">
        <v>0</v>
      </c>
      <c r="AA59" s="54">
        <v>0</v>
      </c>
      <c r="AB59" s="54">
        <v>0</v>
      </c>
    </row>
    <row r="60" spans="1:28" ht="159.75" customHeight="1">
      <c r="A60" s="45" t="s">
        <v>209</v>
      </c>
      <c r="B60" s="37" t="s">
        <v>138</v>
      </c>
      <c r="C60" s="37" t="s">
        <v>139</v>
      </c>
      <c r="D60" s="37" t="s">
        <v>18</v>
      </c>
      <c r="E60" s="37" t="s">
        <v>10</v>
      </c>
      <c r="F60" s="37" t="s">
        <v>205</v>
      </c>
      <c r="G60" s="62"/>
      <c r="H60" s="62"/>
      <c r="I60" s="62"/>
      <c r="J60" s="62"/>
      <c r="K60" s="36"/>
      <c r="L60" s="36"/>
      <c r="M60" s="36">
        <f>Q60+V60</f>
        <v>9960</v>
      </c>
      <c r="N60" s="36"/>
      <c r="O60" s="36"/>
      <c r="P60" s="52">
        <v>0</v>
      </c>
      <c r="Q60" s="52"/>
      <c r="R60" s="52"/>
      <c r="S60" s="63"/>
      <c r="T60" s="63"/>
      <c r="U60" s="52"/>
      <c r="V60" s="52">
        <v>9960</v>
      </c>
      <c r="W60" s="41">
        <v>0</v>
      </c>
      <c r="X60" s="41">
        <v>0</v>
      </c>
      <c r="Y60" s="41">
        <v>0</v>
      </c>
      <c r="Z60" s="41">
        <v>0</v>
      </c>
      <c r="AA60" s="54">
        <v>0</v>
      </c>
      <c r="AB60" s="54">
        <v>0</v>
      </c>
    </row>
    <row r="61" spans="1:28" ht="135" customHeight="1">
      <c r="A61" s="45" t="s">
        <v>210</v>
      </c>
      <c r="B61" s="37" t="s">
        <v>138</v>
      </c>
      <c r="C61" s="37" t="s">
        <v>139</v>
      </c>
      <c r="D61" s="37" t="s">
        <v>18</v>
      </c>
      <c r="E61" s="37" t="s">
        <v>10</v>
      </c>
      <c r="F61" s="37" t="s">
        <v>205</v>
      </c>
      <c r="G61" s="62"/>
      <c r="H61" s="62"/>
      <c r="I61" s="62"/>
      <c r="J61" s="62"/>
      <c r="K61" s="36"/>
      <c r="L61" s="36"/>
      <c r="M61" s="36">
        <f>Q61+V61</f>
        <v>9960</v>
      </c>
      <c r="N61" s="36"/>
      <c r="O61" s="36"/>
      <c r="P61" s="52">
        <v>0</v>
      </c>
      <c r="Q61" s="52"/>
      <c r="R61" s="52"/>
      <c r="S61" s="63"/>
      <c r="T61" s="63"/>
      <c r="U61" s="52"/>
      <c r="V61" s="52">
        <v>9960</v>
      </c>
      <c r="W61" s="41">
        <v>0</v>
      </c>
      <c r="X61" s="41">
        <v>0</v>
      </c>
      <c r="Y61" s="41">
        <v>0</v>
      </c>
      <c r="Z61" s="41">
        <v>0</v>
      </c>
      <c r="AA61" s="54">
        <v>0</v>
      </c>
      <c r="AB61" s="54">
        <v>0</v>
      </c>
    </row>
    <row r="62" spans="1:28" ht="143.25" customHeight="1">
      <c r="A62" s="45" t="s">
        <v>211</v>
      </c>
      <c r="B62" s="37" t="s">
        <v>138</v>
      </c>
      <c r="C62" s="37" t="s">
        <v>139</v>
      </c>
      <c r="D62" s="37" t="s">
        <v>18</v>
      </c>
      <c r="E62" s="37" t="s">
        <v>10</v>
      </c>
      <c r="F62" s="37" t="s">
        <v>205</v>
      </c>
      <c r="G62" s="62"/>
      <c r="H62" s="62"/>
      <c r="I62" s="62"/>
      <c r="J62" s="62"/>
      <c r="K62" s="36"/>
      <c r="L62" s="36"/>
      <c r="M62" s="36">
        <v>9960</v>
      </c>
      <c r="N62" s="36"/>
      <c r="O62" s="36"/>
      <c r="P62" s="52">
        <v>0</v>
      </c>
      <c r="Q62" s="52"/>
      <c r="R62" s="52"/>
      <c r="S62" s="63"/>
      <c r="T62" s="63"/>
      <c r="U62" s="52"/>
      <c r="V62" s="52">
        <v>9960</v>
      </c>
      <c r="W62" s="41">
        <v>0</v>
      </c>
      <c r="X62" s="41">
        <v>0</v>
      </c>
      <c r="Y62" s="41">
        <v>0</v>
      </c>
      <c r="Z62" s="41">
        <v>0</v>
      </c>
      <c r="AA62" s="54">
        <v>0</v>
      </c>
      <c r="AB62" s="54">
        <v>0</v>
      </c>
    </row>
    <row r="63" spans="1:28" ht="138.75" customHeight="1">
      <c r="A63" s="45" t="s">
        <v>212</v>
      </c>
      <c r="B63" s="37" t="s">
        <v>138</v>
      </c>
      <c r="C63" s="37" t="s">
        <v>139</v>
      </c>
      <c r="D63" s="37" t="s">
        <v>18</v>
      </c>
      <c r="E63" s="37" t="s">
        <v>10</v>
      </c>
      <c r="F63" s="37" t="s">
        <v>213</v>
      </c>
      <c r="G63" s="62"/>
      <c r="H63" s="62"/>
      <c r="I63" s="62"/>
      <c r="J63" s="62"/>
      <c r="K63" s="36"/>
      <c r="L63" s="36"/>
      <c r="M63" s="36">
        <f t="shared" ref="M63:M69" si="39">Q63+V63</f>
        <v>9960</v>
      </c>
      <c r="N63" s="36"/>
      <c r="O63" s="36"/>
      <c r="P63" s="52">
        <v>0</v>
      </c>
      <c r="Q63" s="52"/>
      <c r="R63" s="52"/>
      <c r="S63" s="63"/>
      <c r="T63" s="63"/>
      <c r="U63" s="52"/>
      <c r="V63" s="52">
        <v>9960</v>
      </c>
      <c r="W63" s="41">
        <v>0</v>
      </c>
      <c r="X63" s="41">
        <v>0</v>
      </c>
      <c r="Y63" s="41">
        <v>0</v>
      </c>
      <c r="Z63" s="41">
        <v>0</v>
      </c>
      <c r="AA63" s="54">
        <v>0</v>
      </c>
      <c r="AB63" s="54">
        <v>0</v>
      </c>
    </row>
    <row r="64" spans="1:28" ht="135" customHeight="1">
      <c r="A64" s="45" t="s">
        <v>214</v>
      </c>
      <c r="B64" s="37" t="s">
        <v>138</v>
      </c>
      <c r="C64" s="37" t="s">
        <v>139</v>
      </c>
      <c r="D64" s="37" t="s">
        <v>18</v>
      </c>
      <c r="E64" s="37" t="s">
        <v>10</v>
      </c>
      <c r="F64" s="37" t="s">
        <v>213</v>
      </c>
      <c r="G64" s="62"/>
      <c r="H64" s="62"/>
      <c r="I64" s="62"/>
      <c r="J64" s="62"/>
      <c r="K64" s="36"/>
      <c r="L64" s="36"/>
      <c r="M64" s="36">
        <f t="shared" si="39"/>
        <v>9960</v>
      </c>
      <c r="N64" s="36"/>
      <c r="O64" s="36"/>
      <c r="P64" s="52">
        <v>0</v>
      </c>
      <c r="Q64" s="52"/>
      <c r="R64" s="52"/>
      <c r="S64" s="63"/>
      <c r="T64" s="63"/>
      <c r="U64" s="52"/>
      <c r="V64" s="52">
        <v>9960</v>
      </c>
      <c r="W64" s="41">
        <v>0</v>
      </c>
      <c r="X64" s="41">
        <v>0</v>
      </c>
      <c r="Y64" s="41">
        <v>0</v>
      </c>
      <c r="Z64" s="41">
        <v>0</v>
      </c>
      <c r="AA64" s="54">
        <v>0</v>
      </c>
      <c r="AB64" s="54">
        <v>0</v>
      </c>
    </row>
    <row r="65" spans="1:28" ht="138" customHeight="1">
      <c r="A65" s="45" t="s">
        <v>215</v>
      </c>
      <c r="B65" s="37" t="s">
        <v>138</v>
      </c>
      <c r="C65" s="37" t="s">
        <v>139</v>
      </c>
      <c r="D65" s="37" t="s">
        <v>18</v>
      </c>
      <c r="E65" s="37" t="s">
        <v>10</v>
      </c>
      <c r="F65" s="37" t="s">
        <v>213</v>
      </c>
      <c r="G65" s="62"/>
      <c r="H65" s="62"/>
      <c r="I65" s="62"/>
      <c r="J65" s="62"/>
      <c r="K65" s="36"/>
      <c r="L65" s="36"/>
      <c r="M65" s="36">
        <f t="shared" si="39"/>
        <v>9960</v>
      </c>
      <c r="N65" s="36"/>
      <c r="O65" s="36"/>
      <c r="P65" s="52">
        <v>0</v>
      </c>
      <c r="Q65" s="52"/>
      <c r="R65" s="52"/>
      <c r="S65" s="63"/>
      <c r="T65" s="63"/>
      <c r="U65" s="52"/>
      <c r="V65" s="52">
        <v>9960</v>
      </c>
      <c r="W65" s="41">
        <v>0</v>
      </c>
      <c r="X65" s="41">
        <v>0</v>
      </c>
      <c r="Y65" s="41">
        <v>0</v>
      </c>
      <c r="Z65" s="41">
        <v>0</v>
      </c>
      <c r="AA65" s="54">
        <v>0</v>
      </c>
      <c r="AB65" s="54">
        <v>0</v>
      </c>
    </row>
    <row r="66" spans="1:28" ht="135" customHeight="1">
      <c r="A66" s="45" t="s">
        <v>216</v>
      </c>
      <c r="B66" s="37" t="s">
        <v>138</v>
      </c>
      <c r="C66" s="37" t="s">
        <v>139</v>
      </c>
      <c r="D66" s="37" t="s">
        <v>18</v>
      </c>
      <c r="E66" s="37" t="s">
        <v>10</v>
      </c>
      <c r="F66" s="37" t="s">
        <v>213</v>
      </c>
      <c r="G66" s="62"/>
      <c r="H66" s="62"/>
      <c r="I66" s="62"/>
      <c r="J66" s="62"/>
      <c r="K66" s="36"/>
      <c r="L66" s="36"/>
      <c r="M66" s="36">
        <f t="shared" si="39"/>
        <v>9960</v>
      </c>
      <c r="N66" s="36"/>
      <c r="O66" s="36"/>
      <c r="P66" s="52">
        <v>0</v>
      </c>
      <c r="Q66" s="52"/>
      <c r="R66" s="52"/>
      <c r="S66" s="63"/>
      <c r="T66" s="63"/>
      <c r="U66" s="52"/>
      <c r="V66" s="52">
        <v>9960</v>
      </c>
      <c r="W66" s="41">
        <v>0</v>
      </c>
      <c r="X66" s="41">
        <v>0</v>
      </c>
      <c r="Y66" s="41">
        <v>0</v>
      </c>
      <c r="Z66" s="41">
        <v>0</v>
      </c>
      <c r="AA66" s="54">
        <v>0</v>
      </c>
      <c r="AB66" s="54">
        <v>0</v>
      </c>
    </row>
    <row r="67" spans="1:28" ht="138" customHeight="1">
      <c r="A67" s="45" t="s">
        <v>217</v>
      </c>
      <c r="B67" s="37" t="s">
        <v>138</v>
      </c>
      <c r="C67" s="37" t="s">
        <v>139</v>
      </c>
      <c r="D67" s="37" t="s">
        <v>18</v>
      </c>
      <c r="E67" s="37" t="s">
        <v>10</v>
      </c>
      <c r="F67" s="37" t="s">
        <v>213</v>
      </c>
      <c r="G67" s="62"/>
      <c r="H67" s="62"/>
      <c r="I67" s="62"/>
      <c r="J67" s="62"/>
      <c r="K67" s="36"/>
      <c r="L67" s="36"/>
      <c r="M67" s="36">
        <f t="shared" si="39"/>
        <v>9960</v>
      </c>
      <c r="N67" s="36"/>
      <c r="O67" s="36"/>
      <c r="P67" s="52">
        <v>0</v>
      </c>
      <c r="Q67" s="52"/>
      <c r="R67" s="52"/>
      <c r="S67" s="63"/>
      <c r="T67" s="63"/>
      <c r="U67" s="52"/>
      <c r="V67" s="52">
        <v>9960</v>
      </c>
      <c r="W67" s="41">
        <v>0</v>
      </c>
      <c r="X67" s="41">
        <v>0</v>
      </c>
      <c r="Y67" s="41">
        <v>0</v>
      </c>
      <c r="Z67" s="41">
        <v>0</v>
      </c>
      <c r="AA67" s="54">
        <v>0</v>
      </c>
      <c r="AB67" s="54">
        <v>0</v>
      </c>
    </row>
    <row r="68" spans="1:28" ht="144" customHeight="1">
      <c r="A68" s="45" t="s">
        <v>218</v>
      </c>
      <c r="B68" s="37" t="s">
        <v>138</v>
      </c>
      <c r="C68" s="37" t="s">
        <v>139</v>
      </c>
      <c r="D68" s="37" t="s">
        <v>18</v>
      </c>
      <c r="E68" s="37" t="s">
        <v>10</v>
      </c>
      <c r="F68" s="37" t="s">
        <v>213</v>
      </c>
      <c r="G68" s="62"/>
      <c r="H68" s="62"/>
      <c r="I68" s="62"/>
      <c r="J68" s="62"/>
      <c r="K68" s="36"/>
      <c r="L68" s="36"/>
      <c r="M68" s="36">
        <f t="shared" si="39"/>
        <v>9960</v>
      </c>
      <c r="N68" s="36"/>
      <c r="O68" s="36"/>
      <c r="P68" s="52">
        <v>0</v>
      </c>
      <c r="Q68" s="52"/>
      <c r="R68" s="52"/>
      <c r="S68" s="63"/>
      <c r="T68" s="63"/>
      <c r="U68" s="52"/>
      <c r="V68" s="52">
        <v>9960</v>
      </c>
      <c r="W68" s="41">
        <v>0</v>
      </c>
      <c r="X68" s="41">
        <v>0</v>
      </c>
      <c r="Y68" s="41">
        <v>0</v>
      </c>
      <c r="Z68" s="41">
        <v>0</v>
      </c>
      <c r="AA68" s="54">
        <v>0</v>
      </c>
      <c r="AB68" s="54">
        <v>0</v>
      </c>
    </row>
    <row r="69" spans="1:28" ht="132" customHeight="1">
      <c r="A69" s="45" t="s">
        <v>219</v>
      </c>
      <c r="B69" s="37" t="s">
        <v>138</v>
      </c>
      <c r="C69" s="37" t="s">
        <v>139</v>
      </c>
      <c r="D69" s="37" t="s">
        <v>18</v>
      </c>
      <c r="E69" s="37" t="s">
        <v>10</v>
      </c>
      <c r="F69" s="37" t="s">
        <v>213</v>
      </c>
      <c r="G69" s="62"/>
      <c r="H69" s="62"/>
      <c r="I69" s="62"/>
      <c r="J69" s="62"/>
      <c r="K69" s="36"/>
      <c r="L69" s="36"/>
      <c r="M69" s="36">
        <f t="shared" si="39"/>
        <v>9960</v>
      </c>
      <c r="N69" s="36"/>
      <c r="O69" s="36"/>
      <c r="P69" s="52">
        <v>0</v>
      </c>
      <c r="Q69" s="52"/>
      <c r="R69" s="52"/>
      <c r="S69" s="63"/>
      <c r="T69" s="63"/>
      <c r="U69" s="52"/>
      <c r="V69" s="52">
        <v>9960</v>
      </c>
      <c r="W69" s="41">
        <v>0</v>
      </c>
      <c r="X69" s="41">
        <v>0</v>
      </c>
      <c r="Y69" s="41">
        <v>0</v>
      </c>
      <c r="Z69" s="41">
        <v>0</v>
      </c>
      <c r="AA69" s="54">
        <v>0</v>
      </c>
      <c r="AB69" s="54">
        <v>0</v>
      </c>
    </row>
    <row r="70" spans="1:28" ht="148.5" customHeight="1">
      <c r="A70" s="45" t="s">
        <v>221</v>
      </c>
      <c r="B70" s="37"/>
      <c r="C70" s="37" t="s">
        <v>13</v>
      </c>
      <c r="D70" s="37" t="s">
        <v>18</v>
      </c>
      <c r="E70" s="37" t="s">
        <v>10</v>
      </c>
      <c r="F70" s="37" t="s">
        <v>54</v>
      </c>
      <c r="G70" s="62"/>
      <c r="H70" s="62"/>
      <c r="I70" s="62"/>
      <c r="J70" s="62"/>
      <c r="K70" s="36"/>
      <c r="L70" s="36"/>
      <c r="M70" s="36">
        <v>1425.2</v>
      </c>
      <c r="N70" s="36"/>
      <c r="O70" s="36"/>
      <c r="P70" s="52">
        <v>1425.2</v>
      </c>
      <c r="Q70" s="52"/>
      <c r="R70" s="52"/>
      <c r="S70" s="63"/>
      <c r="T70" s="63"/>
      <c r="U70" s="52"/>
      <c r="V70" s="52">
        <v>1425.2</v>
      </c>
      <c r="W70" s="52">
        <v>1425.2</v>
      </c>
      <c r="X70" s="41">
        <v>0</v>
      </c>
      <c r="Y70" s="41">
        <v>0</v>
      </c>
      <c r="Z70" s="41">
        <v>0</v>
      </c>
      <c r="AA70" s="54">
        <v>0</v>
      </c>
      <c r="AB70" s="54">
        <v>0</v>
      </c>
    </row>
    <row r="71" spans="1:28" ht="39.75" customHeight="1">
      <c r="A71" s="110" t="s">
        <v>60</v>
      </c>
      <c r="B71" s="110"/>
      <c r="C71" s="110"/>
      <c r="D71" s="110"/>
      <c r="E71" s="55"/>
      <c r="F71" s="55"/>
      <c r="G71" s="56">
        <f>SUM(G72:G77)</f>
        <v>255070.30000000002</v>
      </c>
      <c r="H71" s="56" t="e">
        <f>H72+#REF!+#REF!+H73+H77+#REF!+#REF!+#REF!+#REF!</f>
        <v>#REF!</v>
      </c>
      <c r="I71" s="56" t="e">
        <f>I72+#REF!+#REF!+I73+I77+#REF!+#REF!+#REF!+#REF!</f>
        <v>#REF!</v>
      </c>
      <c r="J71" s="56" t="e">
        <f>J72+#REF!+#REF!+J73+J77+#REF!+#REF!+#REF!+#REF!</f>
        <v>#REF!</v>
      </c>
      <c r="K71" s="32">
        <f>SUM(K72:K76)</f>
        <v>1690658</v>
      </c>
      <c r="L71" s="32">
        <f>SUM(L72:L76)</f>
        <v>338894.5</v>
      </c>
      <c r="M71" s="32">
        <f>M72+M73+M74+M75+M76</f>
        <v>2029552.5</v>
      </c>
      <c r="N71" s="32">
        <f>SUM(N72:N76)</f>
        <v>362492.6</v>
      </c>
      <c r="O71" s="32">
        <f t="shared" ref="O71" si="40">SUM(O72:O76)</f>
        <v>140800</v>
      </c>
      <c r="P71" s="41">
        <f>P72+P73+P74+P75+P76</f>
        <v>499282.6</v>
      </c>
      <c r="Q71" s="41">
        <f t="shared" ref="Q71:T71" si="41">SUM(Q72:Q76)</f>
        <v>347929</v>
      </c>
      <c r="R71" s="41">
        <f t="shared" ref="R71" si="42">SUM(R72:R76)</f>
        <v>79054.5</v>
      </c>
      <c r="S71" s="41">
        <f t="shared" si="9"/>
        <v>426983.5</v>
      </c>
      <c r="T71" s="41">
        <f t="shared" si="41"/>
        <v>294730.2</v>
      </c>
      <c r="U71" s="41">
        <f t="shared" ref="U71" si="43">SUM(U72:U76)</f>
        <v>0</v>
      </c>
      <c r="V71" s="41">
        <f t="shared" si="2"/>
        <v>294730.2</v>
      </c>
      <c r="W71" s="41">
        <v>499282.6</v>
      </c>
      <c r="X71" s="41">
        <f t="shared" ref="X71:Z71" si="44">X72+X73+X74+X75+X76</f>
        <v>117885.29065000001</v>
      </c>
      <c r="Y71" s="41">
        <f t="shared" si="44"/>
        <v>117885.29065000001</v>
      </c>
      <c r="Z71" s="41">
        <f t="shared" si="44"/>
        <v>117885.29065000001</v>
      </c>
      <c r="AA71" s="54">
        <f t="shared" si="4"/>
        <v>23.610935099681026</v>
      </c>
      <c r="AB71" s="54">
        <f t="shared" si="5"/>
        <v>100</v>
      </c>
    </row>
    <row r="72" spans="1:28" ht="187.5" customHeight="1">
      <c r="A72" s="34" t="s">
        <v>111</v>
      </c>
      <c r="B72" s="29" t="s">
        <v>112</v>
      </c>
      <c r="C72" s="19" t="s">
        <v>61</v>
      </c>
      <c r="D72" s="19" t="s">
        <v>6</v>
      </c>
      <c r="E72" s="19" t="s">
        <v>70</v>
      </c>
      <c r="F72" s="19" t="s">
        <v>55</v>
      </c>
      <c r="G72" s="32">
        <v>190401</v>
      </c>
      <c r="H72" s="32">
        <v>-33531.1</v>
      </c>
      <c r="I72" s="32">
        <f>G72+H72</f>
        <v>156869.9</v>
      </c>
      <c r="J72" s="32"/>
      <c r="K72" s="64">
        <v>1074428.8999999999</v>
      </c>
      <c r="L72" s="64"/>
      <c r="M72" s="32">
        <f t="shared" si="10"/>
        <v>1074428.8999999999</v>
      </c>
      <c r="N72" s="65">
        <v>183158.5</v>
      </c>
      <c r="O72" s="65"/>
      <c r="P72" s="41">
        <v>179148.5</v>
      </c>
      <c r="Q72" s="66">
        <v>191929</v>
      </c>
      <c r="R72" s="66"/>
      <c r="S72" s="41">
        <f t="shared" si="9"/>
        <v>191929</v>
      </c>
      <c r="T72" s="66">
        <v>199730.2</v>
      </c>
      <c r="U72" s="66"/>
      <c r="V72" s="41">
        <f t="shared" si="2"/>
        <v>199730.2</v>
      </c>
      <c r="W72" s="41">
        <v>179148.5</v>
      </c>
      <c r="X72" s="41">
        <v>29838.17</v>
      </c>
      <c r="Y72" s="41">
        <v>29838.17</v>
      </c>
      <c r="Z72" s="41">
        <v>29838.17</v>
      </c>
      <c r="AA72" s="54">
        <f t="shared" si="4"/>
        <v>16.655551120997384</v>
      </c>
      <c r="AB72" s="54">
        <f t="shared" si="5"/>
        <v>100</v>
      </c>
    </row>
    <row r="73" spans="1:28" ht="156" customHeight="1">
      <c r="A73" s="34" t="s">
        <v>113</v>
      </c>
      <c r="B73" s="19" t="s">
        <v>25</v>
      </c>
      <c r="C73" s="19" t="s">
        <v>45</v>
      </c>
      <c r="D73" s="19" t="s">
        <v>6</v>
      </c>
      <c r="E73" s="19" t="s">
        <v>36</v>
      </c>
      <c r="F73" s="67" t="s">
        <v>101</v>
      </c>
      <c r="G73" s="32">
        <v>30358.9</v>
      </c>
      <c r="H73" s="32"/>
      <c r="I73" s="32">
        <v>30358.9</v>
      </c>
      <c r="J73" s="32"/>
      <c r="K73" s="65">
        <v>25793.8</v>
      </c>
      <c r="L73" s="65"/>
      <c r="M73" s="32">
        <f t="shared" si="10"/>
        <v>25793.8</v>
      </c>
      <c r="N73" s="65">
        <v>21676.9</v>
      </c>
      <c r="O73" s="65"/>
      <c r="P73" s="41">
        <f t="shared" si="8"/>
        <v>21676.9</v>
      </c>
      <c r="Q73" s="41">
        <v>0</v>
      </c>
      <c r="R73" s="41">
        <v>0</v>
      </c>
      <c r="S73" s="41">
        <f t="shared" si="9"/>
        <v>0</v>
      </c>
      <c r="T73" s="41">
        <v>0</v>
      </c>
      <c r="U73" s="41">
        <v>0</v>
      </c>
      <c r="V73" s="41">
        <f t="shared" si="2"/>
        <v>0</v>
      </c>
      <c r="W73" s="41">
        <v>21676.9</v>
      </c>
      <c r="X73" s="41">
        <f>4241.259+3416.32569+0.29996</f>
        <v>7657.88465</v>
      </c>
      <c r="Y73" s="41">
        <f t="shared" ref="Y73:Z73" si="45">4241.259+3416.32569+0.29996</f>
        <v>7657.88465</v>
      </c>
      <c r="Z73" s="41">
        <f t="shared" si="45"/>
        <v>7657.88465</v>
      </c>
      <c r="AA73" s="54">
        <f t="shared" si="4"/>
        <v>35.327397598365081</v>
      </c>
      <c r="AB73" s="54">
        <f t="shared" si="5"/>
        <v>100</v>
      </c>
    </row>
    <row r="74" spans="1:28" ht="154.5" customHeight="1">
      <c r="A74" s="34" t="s">
        <v>114</v>
      </c>
      <c r="B74" s="19" t="s">
        <v>25</v>
      </c>
      <c r="C74" s="19" t="s">
        <v>45</v>
      </c>
      <c r="D74" s="19" t="s">
        <v>6</v>
      </c>
      <c r="E74" s="19" t="s">
        <v>36</v>
      </c>
      <c r="F74" s="67" t="s">
        <v>101</v>
      </c>
      <c r="G74" s="32">
        <v>17155.2</v>
      </c>
      <c r="H74" s="32"/>
      <c r="I74" s="32">
        <v>17155.2</v>
      </c>
      <c r="J74" s="32"/>
      <c r="K74" s="65">
        <v>9435.2999999999993</v>
      </c>
      <c r="L74" s="65"/>
      <c r="M74" s="32">
        <f t="shared" si="10"/>
        <v>9435.2999999999993</v>
      </c>
      <c r="N74" s="65">
        <v>7657.2</v>
      </c>
      <c r="O74" s="65"/>
      <c r="P74" s="41">
        <f t="shared" si="8"/>
        <v>7657.2</v>
      </c>
      <c r="Q74" s="41">
        <v>0</v>
      </c>
      <c r="R74" s="41">
        <v>0</v>
      </c>
      <c r="S74" s="41">
        <f t="shared" si="9"/>
        <v>0</v>
      </c>
      <c r="T74" s="41">
        <v>0</v>
      </c>
      <c r="U74" s="41">
        <v>0</v>
      </c>
      <c r="V74" s="41">
        <f t="shared" si="2"/>
        <v>0</v>
      </c>
      <c r="W74" s="41">
        <v>7657.2</v>
      </c>
      <c r="X74" s="41">
        <v>6581.9880000000003</v>
      </c>
      <c r="Y74" s="41">
        <v>6581.9880000000003</v>
      </c>
      <c r="Z74" s="41">
        <v>6581.9880000000003</v>
      </c>
      <c r="AA74" s="54">
        <f t="shared" si="4"/>
        <v>85.958157028678897</v>
      </c>
      <c r="AB74" s="54">
        <f t="shared" si="5"/>
        <v>100</v>
      </c>
    </row>
    <row r="75" spans="1:28" ht="144.75" customHeight="1">
      <c r="A75" s="34" t="s">
        <v>156</v>
      </c>
      <c r="B75" s="29" t="s">
        <v>155</v>
      </c>
      <c r="C75" s="29" t="s">
        <v>45</v>
      </c>
      <c r="D75" s="29" t="s">
        <v>6</v>
      </c>
      <c r="E75" s="29" t="s">
        <v>36</v>
      </c>
      <c r="F75" s="67" t="s">
        <v>26</v>
      </c>
      <c r="G75" s="68"/>
      <c r="H75" s="32"/>
      <c r="I75" s="32"/>
      <c r="J75" s="32"/>
      <c r="K75" s="65"/>
      <c r="L75" s="65">
        <v>338894.5</v>
      </c>
      <c r="M75" s="32">
        <f t="shared" si="10"/>
        <v>338894.5</v>
      </c>
      <c r="N75" s="65"/>
      <c r="O75" s="65">
        <v>140800</v>
      </c>
      <c r="P75" s="41">
        <f t="shared" si="8"/>
        <v>140800</v>
      </c>
      <c r="Q75" s="41"/>
      <c r="R75" s="41">
        <v>79054.5</v>
      </c>
      <c r="S75" s="41">
        <f t="shared" si="9"/>
        <v>79054.5</v>
      </c>
      <c r="T75" s="41">
        <v>0</v>
      </c>
      <c r="U75" s="41"/>
      <c r="V75" s="41"/>
      <c r="W75" s="41">
        <v>140800</v>
      </c>
      <c r="X75" s="41">
        <v>73807.248000000007</v>
      </c>
      <c r="Y75" s="41">
        <v>73807.248000000007</v>
      </c>
      <c r="Z75" s="41">
        <v>73807.248000000007</v>
      </c>
      <c r="AA75" s="54">
        <f t="shared" si="4"/>
        <v>52.419920454545455</v>
      </c>
      <c r="AB75" s="54">
        <f t="shared" si="5"/>
        <v>100</v>
      </c>
    </row>
    <row r="76" spans="1:28" ht="39.75" customHeight="1">
      <c r="A76" s="132" t="s">
        <v>249</v>
      </c>
      <c r="B76" s="133"/>
      <c r="C76" s="133"/>
      <c r="D76" s="133"/>
      <c r="E76" s="69"/>
      <c r="F76" s="69"/>
      <c r="G76" s="32"/>
      <c r="H76" s="32"/>
      <c r="I76" s="32"/>
      <c r="J76" s="32"/>
      <c r="K76" s="65">
        <f>K77</f>
        <v>581000</v>
      </c>
      <c r="L76" s="65">
        <f>L77</f>
        <v>0</v>
      </c>
      <c r="M76" s="32">
        <f t="shared" si="10"/>
        <v>581000</v>
      </c>
      <c r="N76" s="65">
        <f t="shared" ref="N76:U76" si="46">N77</f>
        <v>150000</v>
      </c>
      <c r="O76" s="65">
        <f t="shared" si="46"/>
        <v>0</v>
      </c>
      <c r="P76" s="41">
        <f t="shared" si="8"/>
        <v>150000</v>
      </c>
      <c r="Q76" s="66">
        <f t="shared" si="46"/>
        <v>156000</v>
      </c>
      <c r="R76" s="66">
        <f t="shared" si="46"/>
        <v>0</v>
      </c>
      <c r="S76" s="41">
        <f t="shared" si="9"/>
        <v>156000</v>
      </c>
      <c r="T76" s="66">
        <f t="shared" si="46"/>
        <v>95000</v>
      </c>
      <c r="U76" s="66">
        <f t="shared" si="46"/>
        <v>0</v>
      </c>
      <c r="V76" s="41">
        <f t="shared" si="2"/>
        <v>95000</v>
      </c>
      <c r="W76" s="41">
        <v>150000</v>
      </c>
      <c r="X76" s="41">
        <f>X77</f>
        <v>0</v>
      </c>
      <c r="Y76" s="41">
        <f t="shared" ref="Y76:Z76" si="47">Y77</f>
        <v>0</v>
      </c>
      <c r="Z76" s="41">
        <f t="shared" si="47"/>
        <v>0</v>
      </c>
      <c r="AA76" s="54">
        <f t="shared" si="4"/>
        <v>0</v>
      </c>
      <c r="AB76" s="54">
        <v>0</v>
      </c>
    </row>
    <row r="77" spans="1:28" ht="35.25" customHeight="1">
      <c r="A77" s="34" t="s">
        <v>102</v>
      </c>
      <c r="B77" s="19" t="s">
        <v>73</v>
      </c>
      <c r="C77" s="19" t="s">
        <v>72</v>
      </c>
      <c r="D77" s="19" t="s">
        <v>6</v>
      </c>
      <c r="E77" s="19" t="s">
        <v>36</v>
      </c>
      <c r="F77" s="67" t="s">
        <v>74</v>
      </c>
      <c r="G77" s="32">
        <v>17155.2</v>
      </c>
      <c r="H77" s="32"/>
      <c r="I77" s="32">
        <v>17155.2</v>
      </c>
      <c r="J77" s="32"/>
      <c r="K77" s="65">
        <v>581000</v>
      </c>
      <c r="L77" s="65"/>
      <c r="M77" s="32">
        <f t="shared" si="10"/>
        <v>581000</v>
      </c>
      <c r="N77" s="65">
        <v>150000</v>
      </c>
      <c r="O77" s="65"/>
      <c r="P77" s="41">
        <f t="shared" si="8"/>
        <v>150000</v>
      </c>
      <c r="Q77" s="41">
        <v>156000</v>
      </c>
      <c r="R77" s="41"/>
      <c r="S77" s="41">
        <f t="shared" si="9"/>
        <v>156000</v>
      </c>
      <c r="T77" s="41">
        <v>95000</v>
      </c>
      <c r="U77" s="41"/>
      <c r="V77" s="41">
        <f t="shared" si="2"/>
        <v>95000</v>
      </c>
      <c r="W77" s="41">
        <v>150000</v>
      </c>
      <c r="X77" s="41"/>
      <c r="Y77" s="41"/>
      <c r="Z77" s="41"/>
      <c r="AA77" s="54">
        <f t="shared" si="4"/>
        <v>0</v>
      </c>
      <c r="AB77" s="54">
        <v>0</v>
      </c>
    </row>
    <row r="78" spans="1:28" ht="32.25" customHeight="1">
      <c r="A78" s="110" t="s">
        <v>115</v>
      </c>
      <c r="B78" s="110"/>
      <c r="C78" s="110"/>
      <c r="D78" s="110"/>
      <c r="E78" s="69"/>
      <c r="F78" s="70"/>
      <c r="G78" s="32"/>
      <c r="H78" s="32"/>
      <c r="I78" s="32"/>
      <c r="J78" s="32"/>
      <c r="K78" s="65">
        <f>K79</f>
        <v>291567.3</v>
      </c>
      <c r="L78" s="65">
        <f>L79+L80</f>
        <v>2777777.8</v>
      </c>
      <c r="M78" s="32">
        <f>M79+M80+M81+M82+M83</f>
        <v>3293733.2999999993</v>
      </c>
      <c r="N78" s="65">
        <f t="shared" ref="N78" si="48">N79</f>
        <v>23512.400000000001</v>
      </c>
      <c r="O78" s="65">
        <f>O79+O80</f>
        <v>33333.300000000003</v>
      </c>
      <c r="P78" s="41">
        <f t="shared" ref="P78:Z78" si="49">P79+P80+P81+P82+P83</f>
        <v>167733.70000000001</v>
      </c>
      <c r="Q78" s="41">
        <f t="shared" si="49"/>
        <v>220000</v>
      </c>
      <c r="R78" s="41">
        <f t="shared" si="49"/>
        <v>0</v>
      </c>
      <c r="S78" s="41">
        <f t="shared" si="49"/>
        <v>0</v>
      </c>
      <c r="T78" s="41">
        <f t="shared" si="49"/>
        <v>0</v>
      </c>
      <c r="U78" s="41">
        <f t="shared" si="49"/>
        <v>91324.2</v>
      </c>
      <c r="V78" s="41">
        <f t="shared" si="49"/>
        <v>114388.15699999999</v>
      </c>
      <c r="W78" s="41">
        <v>167733.70000000001</v>
      </c>
      <c r="X78" s="41">
        <f t="shared" si="49"/>
        <v>887.91820000000007</v>
      </c>
      <c r="Y78" s="41">
        <f t="shared" si="49"/>
        <v>887.91820000000007</v>
      </c>
      <c r="Z78" s="41">
        <f t="shared" si="49"/>
        <v>878.91699999999992</v>
      </c>
      <c r="AA78" s="54">
        <f t="shared" si="4"/>
        <v>0.5239954761625123</v>
      </c>
      <c r="AB78" s="54">
        <f t="shared" ref="AB78" si="50">Z78/X78*100</f>
        <v>98.986257968357876</v>
      </c>
    </row>
    <row r="79" spans="1:28" ht="147" customHeight="1">
      <c r="A79" s="34" t="s">
        <v>117</v>
      </c>
      <c r="B79" s="19" t="s">
        <v>75</v>
      </c>
      <c r="C79" s="19" t="s">
        <v>20</v>
      </c>
      <c r="D79" s="19" t="s">
        <v>76</v>
      </c>
      <c r="E79" s="19" t="s">
        <v>116</v>
      </c>
      <c r="F79" s="67" t="s">
        <v>58</v>
      </c>
      <c r="G79" s="32"/>
      <c r="H79" s="32"/>
      <c r="I79" s="32"/>
      <c r="J79" s="32"/>
      <c r="K79" s="32">
        <v>291567.3</v>
      </c>
      <c r="L79" s="32"/>
      <c r="M79" s="32">
        <f t="shared" si="10"/>
        <v>291567.3</v>
      </c>
      <c r="N79" s="65">
        <v>23512.400000000001</v>
      </c>
      <c r="O79" s="65"/>
      <c r="P79" s="41">
        <f t="shared" si="8"/>
        <v>23512.400000000001</v>
      </c>
      <c r="Q79" s="41">
        <v>0</v>
      </c>
      <c r="R79" s="41">
        <v>0</v>
      </c>
      <c r="S79" s="41">
        <f t="shared" si="9"/>
        <v>0</v>
      </c>
      <c r="T79" s="41">
        <v>0</v>
      </c>
      <c r="U79" s="41">
        <v>0</v>
      </c>
      <c r="V79" s="41">
        <f t="shared" si="2"/>
        <v>0</v>
      </c>
      <c r="W79" s="41">
        <v>23512.400000000001</v>
      </c>
      <c r="X79" s="41"/>
      <c r="Y79" s="41"/>
      <c r="Z79" s="41"/>
      <c r="AA79" s="54">
        <f t="shared" si="4"/>
        <v>0</v>
      </c>
      <c r="AB79" s="54">
        <v>0</v>
      </c>
    </row>
    <row r="80" spans="1:28" ht="147" customHeight="1">
      <c r="A80" s="34" t="s">
        <v>170</v>
      </c>
      <c r="B80" s="19" t="s">
        <v>150</v>
      </c>
      <c r="C80" s="19" t="s">
        <v>61</v>
      </c>
      <c r="D80" s="19" t="s">
        <v>18</v>
      </c>
      <c r="E80" s="19" t="s">
        <v>10</v>
      </c>
      <c r="F80" s="67" t="s">
        <v>62</v>
      </c>
      <c r="G80" s="32"/>
      <c r="H80" s="32"/>
      <c r="I80" s="32"/>
      <c r="J80" s="32"/>
      <c r="K80" s="32"/>
      <c r="L80" s="32">
        <v>2777777.8</v>
      </c>
      <c r="M80" s="32">
        <f t="shared" si="10"/>
        <v>2777777.8</v>
      </c>
      <c r="N80" s="65"/>
      <c r="O80" s="65">
        <v>33333.300000000003</v>
      </c>
      <c r="P80" s="41">
        <f t="shared" si="8"/>
        <v>33333.300000000003</v>
      </c>
      <c r="Q80" s="41"/>
      <c r="R80" s="41"/>
      <c r="S80" s="41">
        <v>0</v>
      </c>
      <c r="T80" s="41">
        <v>0</v>
      </c>
      <c r="U80" s="41"/>
      <c r="V80" s="41"/>
      <c r="W80" s="41">
        <v>33333.300000000003</v>
      </c>
      <c r="X80" s="41"/>
      <c r="Y80" s="41"/>
      <c r="Z80" s="41"/>
      <c r="AA80" s="54">
        <f t="shared" si="4"/>
        <v>0</v>
      </c>
      <c r="AB80" s="54">
        <v>0</v>
      </c>
    </row>
    <row r="81" spans="1:32" ht="147" customHeight="1">
      <c r="A81" s="34" t="s">
        <v>222</v>
      </c>
      <c r="B81" s="37" t="s">
        <v>223</v>
      </c>
      <c r="C81" s="37" t="s">
        <v>224</v>
      </c>
      <c r="D81" s="37" t="s">
        <v>18</v>
      </c>
      <c r="E81" s="37" t="s">
        <v>10</v>
      </c>
      <c r="F81" s="71" t="s">
        <v>54</v>
      </c>
      <c r="G81" s="36"/>
      <c r="H81" s="36"/>
      <c r="I81" s="36"/>
      <c r="J81" s="36"/>
      <c r="K81" s="36"/>
      <c r="L81" s="36"/>
      <c r="M81" s="36">
        <v>110000</v>
      </c>
      <c r="N81" s="72"/>
      <c r="O81" s="72"/>
      <c r="P81" s="52">
        <v>110000</v>
      </c>
      <c r="Q81" s="73">
        <f t="shared" ref="Q81" si="51">M81+P81</f>
        <v>220000</v>
      </c>
      <c r="R81" s="52"/>
      <c r="S81" s="52"/>
      <c r="T81" s="52"/>
      <c r="U81" s="52">
        <v>91324.2</v>
      </c>
      <c r="V81" s="52"/>
      <c r="W81" s="52">
        <v>110000</v>
      </c>
      <c r="X81" s="52"/>
      <c r="Y81" s="52">
        <v>0</v>
      </c>
      <c r="Z81" s="52"/>
      <c r="AA81" s="52"/>
      <c r="AB81" s="54">
        <v>0</v>
      </c>
    </row>
    <row r="82" spans="1:32" ht="180.75" customHeight="1">
      <c r="A82" s="34" t="s">
        <v>225</v>
      </c>
      <c r="B82" s="37" t="s">
        <v>226</v>
      </c>
      <c r="C82" s="37" t="s">
        <v>227</v>
      </c>
      <c r="D82" s="37" t="s">
        <v>76</v>
      </c>
      <c r="E82" s="37" t="s">
        <v>228</v>
      </c>
      <c r="F82" s="71" t="s">
        <v>128</v>
      </c>
      <c r="G82" s="36"/>
      <c r="H82" s="36"/>
      <c r="I82" s="36"/>
      <c r="J82" s="36"/>
      <c r="K82" s="36"/>
      <c r="L82" s="36"/>
      <c r="M82" s="36">
        <v>3571.8</v>
      </c>
      <c r="N82" s="72"/>
      <c r="O82" s="72"/>
      <c r="P82" s="52">
        <v>333.4</v>
      </c>
      <c r="Q82" s="74"/>
      <c r="R82" s="52"/>
      <c r="S82" s="52"/>
      <c r="T82" s="52"/>
      <c r="U82" s="52"/>
      <c r="V82" s="73">
        <f>3238.4+333.357</f>
        <v>3571.7570000000001</v>
      </c>
      <c r="W82" s="52">
        <v>333.4</v>
      </c>
      <c r="X82" s="52">
        <v>333.35700000000003</v>
      </c>
      <c r="Y82" s="52">
        <v>333.35700000000003</v>
      </c>
      <c r="Z82" s="52">
        <v>333.35700000000003</v>
      </c>
      <c r="AA82" s="54">
        <f t="shared" ref="AA82:AA83" si="52">Z82/W82*100</f>
        <v>99.987102579484116</v>
      </c>
      <c r="AB82" s="54">
        <f t="shared" ref="AB82:AB108" si="53">Z82/X82*100</f>
        <v>100</v>
      </c>
    </row>
    <row r="83" spans="1:32" ht="152.25" customHeight="1">
      <c r="A83" s="34" t="s">
        <v>229</v>
      </c>
      <c r="B83" s="38" t="s">
        <v>230</v>
      </c>
      <c r="C83" s="37" t="s">
        <v>231</v>
      </c>
      <c r="D83" s="37" t="s">
        <v>76</v>
      </c>
      <c r="E83" s="37" t="s">
        <v>232</v>
      </c>
      <c r="F83" s="71" t="s">
        <v>233</v>
      </c>
      <c r="G83" s="36"/>
      <c r="H83" s="36"/>
      <c r="I83" s="36"/>
      <c r="J83" s="36"/>
      <c r="K83" s="36"/>
      <c r="L83" s="36"/>
      <c r="M83" s="36">
        <v>110816.4</v>
      </c>
      <c r="N83" s="72"/>
      <c r="O83" s="72"/>
      <c r="P83" s="52">
        <v>554.6</v>
      </c>
      <c r="Q83" s="73"/>
      <c r="R83" s="52"/>
      <c r="S83" s="52"/>
      <c r="T83" s="52"/>
      <c r="U83" s="52"/>
      <c r="V83" s="73">
        <v>110816.4</v>
      </c>
      <c r="W83" s="52">
        <v>554.6</v>
      </c>
      <c r="X83" s="52">
        <v>554.56119999999999</v>
      </c>
      <c r="Y83" s="52">
        <v>554.56119999999999</v>
      </c>
      <c r="Z83" s="52">
        <v>545.55999999999995</v>
      </c>
      <c r="AA83" s="54">
        <f t="shared" si="52"/>
        <v>98.369996393797322</v>
      </c>
      <c r="AB83" s="54">
        <f t="shared" si="53"/>
        <v>98.376878872881832</v>
      </c>
    </row>
    <row r="84" spans="1:32" ht="48.75" customHeight="1">
      <c r="A84" s="107" t="s">
        <v>77</v>
      </c>
      <c r="B84" s="108"/>
      <c r="C84" s="108"/>
      <c r="D84" s="109"/>
      <c r="E84" s="75"/>
      <c r="F84" s="75"/>
      <c r="G84" s="56" t="e">
        <f>#REF!+G86+G87</f>
        <v>#REF!</v>
      </c>
      <c r="H84" s="56" t="e">
        <f>H85+#REF!+H87</f>
        <v>#REF!</v>
      </c>
      <c r="I84" s="56" t="e">
        <f>I85+#REF!+I87+#REF!</f>
        <v>#REF!</v>
      </c>
      <c r="J84" s="56" t="e">
        <f>J85+#REF!+J87</f>
        <v>#REF!</v>
      </c>
      <c r="K84" s="56">
        <f>K85+K87</f>
        <v>209641.84999999998</v>
      </c>
      <c r="L84" s="56">
        <f>L85+L87+L91</f>
        <v>128914.7</v>
      </c>
      <c r="M84" s="32">
        <f>M85+M87+M91+M93</f>
        <v>337030.95</v>
      </c>
      <c r="N84" s="56">
        <f>N85+N87</f>
        <v>23312.7</v>
      </c>
      <c r="O84" s="56">
        <f>O85+O87+O91</f>
        <v>7010.2</v>
      </c>
      <c r="P84" s="41">
        <f t="shared" ref="P84:V84" si="54">P85+P87+P91+P93</f>
        <v>46101.399999999994</v>
      </c>
      <c r="Q84" s="41">
        <f t="shared" si="54"/>
        <v>36100</v>
      </c>
      <c r="R84" s="41">
        <f t="shared" si="54"/>
        <v>4010</v>
      </c>
      <c r="S84" s="41">
        <f t="shared" si="54"/>
        <v>23020</v>
      </c>
      <c r="T84" s="41">
        <f t="shared" si="54"/>
        <v>17800</v>
      </c>
      <c r="U84" s="41">
        <f t="shared" si="54"/>
        <v>0</v>
      </c>
      <c r="V84" s="41">
        <f t="shared" si="54"/>
        <v>17800</v>
      </c>
      <c r="W84" s="41">
        <v>46101.399999999994</v>
      </c>
      <c r="X84" s="41">
        <f t="shared" ref="X84:Z84" si="55">X85+X87+X91+X93</f>
        <v>30095.409209999998</v>
      </c>
      <c r="Y84" s="41">
        <f t="shared" si="55"/>
        <v>30095.409209999998</v>
      </c>
      <c r="Z84" s="41">
        <f t="shared" si="55"/>
        <v>30095.409209999998</v>
      </c>
      <c r="AA84" s="54">
        <f t="shared" si="4"/>
        <v>65.280900818630244</v>
      </c>
      <c r="AB84" s="54">
        <f t="shared" si="53"/>
        <v>100</v>
      </c>
    </row>
    <row r="85" spans="1:32" ht="23.25" customHeight="1">
      <c r="A85" s="110" t="s">
        <v>29</v>
      </c>
      <c r="B85" s="134"/>
      <c r="C85" s="134"/>
      <c r="D85" s="134"/>
      <c r="E85" s="75"/>
      <c r="F85" s="75"/>
      <c r="G85" s="56">
        <f>G86</f>
        <v>121674.15</v>
      </c>
      <c r="H85" s="56">
        <v>0</v>
      </c>
      <c r="I85" s="56">
        <f>I86</f>
        <v>121674.15</v>
      </c>
      <c r="J85" s="56">
        <v>0</v>
      </c>
      <c r="K85" s="56">
        <f>K86</f>
        <v>121674.15</v>
      </c>
      <c r="L85" s="56">
        <f>L86</f>
        <v>0</v>
      </c>
      <c r="M85" s="32">
        <f t="shared" si="10"/>
        <v>121674.15</v>
      </c>
      <c r="N85" s="56">
        <f>N86</f>
        <v>20000</v>
      </c>
      <c r="O85" s="56">
        <f t="shared" ref="O85" si="56">O86</f>
        <v>0</v>
      </c>
      <c r="P85" s="41">
        <f t="shared" si="8"/>
        <v>20000</v>
      </c>
      <c r="Q85" s="57">
        <f>Q86</f>
        <v>20000</v>
      </c>
      <c r="R85" s="57">
        <f>R86</f>
        <v>0</v>
      </c>
      <c r="S85" s="41">
        <f t="shared" si="9"/>
        <v>20000</v>
      </c>
      <c r="T85" s="57">
        <f>T86</f>
        <v>17800</v>
      </c>
      <c r="U85" s="57">
        <f>U86</f>
        <v>0</v>
      </c>
      <c r="V85" s="41">
        <f t="shared" si="2"/>
        <v>17800</v>
      </c>
      <c r="W85" s="41">
        <v>20000</v>
      </c>
      <c r="X85" s="41">
        <f>X86</f>
        <v>9645.2099999999991</v>
      </c>
      <c r="Y85" s="41">
        <f t="shared" ref="Y85:Z85" si="57">Y86</f>
        <v>9645.2099999999991</v>
      </c>
      <c r="Z85" s="41">
        <f t="shared" si="57"/>
        <v>9645.2099999999991</v>
      </c>
      <c r="AA85" s="54">
        <f t="shared" si="4"/>
        <v>48.226050000000001</v>
      </c>
      <c r="AB85" s="54">
        <f t="shared" si="53"/>
        <v>100</v>
      </c>
    </row>
    <row r="86" spans="1:32" ht="132.75" customHeight="1">
      <c r="A86" s="18" t="s">
        <v>97</v>
      </c>
      <c r="B86" s="19" t="s">
        <v>17</v>
      </c>
      <c r="C86" s="19" t="s">
        <v>20</v>
      </c>
      <c r="D86" s="19" t="s">
        <v>18</v>
      </c>
      <c r="E86" s="19" t="s">
        <v>40</v>
      </c>
      <c r="F86" s="19" t="s">
        <v>62</v>
      </c>
      <c r="G86" s="32">
        <v>121674.15</v>
      </c>
      <c r="H86" s="32">
        <v>0</v>
      </c>
      <c r="I86" s="32">
        <v>121674.15</v>
      </c>
      <c r="J86" s="32">
        <v>0</v>
      </c>
      <c r="K86" s="32">
        <v>121674.15</v>
      </c>
      <c r="L86" s="32"/>
      <c r="M86" s="32">
        <f t="shared" si="10"/>
        <v>121674.15</v>
      </c>
      <c r="N86" s="32">
        <v>20000</v>
      </c>
      <c r="O86" s="32"/>
      <c r="P86" s="41">
        <f t="shared" si="8"/>
        <v>20000</v>
      </c>
      <c r="Q86" s="41">
        <v>20000</v>
      </c>
      <c r="R86" s="41"/>
      <c r="S86" s="41">
        <f t="shared" si="9"/>
        <v>20000</v>
      </c>
      <c r="T86" s="41">
        <v>17800</v>
      </c>
      <c r="U86" s="41"/>
      <c r="V86" s="41">
        <f t="shared" si="2"/>
        <v>17800</v>
      </c>
      <c r="W86" s="41">
        <v>20000</v>
      </c>
      <c r="X86" s="41">
        <v>9645.2099999999991</v>
      </c>
      <c r="Y86" s="41">
        <v>9645.2099999999991</v>
      </c>
      <c r="Z86" s="41">
        <v>9645.2099999999991</v>
      </c>
      <c r="AA86" s="54">
        <f t="shared" si="4"/>
        <v>48.226050000000001</v>
      </c>
      <c r="AB86" s="54">
        <f t="shared" si="53"/>
        <v>100</v>
      </c>
      <c r="AC86" s="1"/>
      <c r="AD86" s="1"/>
      <c r="AE86" s="1"/>
      <c r="AF86" s="1"/>
    </row>
    <row r="87" spans="1:32" ht="24" customHeight="1" outlineLevel="1">
      <c r="A87" s="107" t="s">
        <v>63</v>
      </c>
      <c r="B87" s="108"/>
      <c r="C87" s="108"/>
      <c r="D87" s="109"/>
      <c r="E87" s="45"/>
      <c r="F87" s="45"/>
      <c r="G87" s="76">
        <f>SUM(G88:G90)</f>
        <v>29046.6</v>
      </c>
      <c r="H87" s="76">
        <f>H88+H90</f>
        <v>0</v>
      </c>
      <c r="I87" s="76">
        <f>I88+I90</f>
        <v>29046.6</v>
      </c>
      <c r="J87" s="76">
        <f>J88+J90</f>
        <v>0</v>
      </c>
      <c r="K87" s="76">
        <f>SUM(K88:K90)</f>
        <v>87967.7</v>
      </c>
      <c r="L87" s="76">
        <f>SUM(L88:L90)</f>
        <v>0</v>
      </c>
      <c r="M87" s="32">
        <f>M88+M89+M90</f>
        <v>77372.100000000006</v>
      </c>
      <c r="N87" s="76">
        <f>SUM(N88:N90)</f>
        <v>3312.7</v>
      </c>
      <c r="O87" s="76">
        <f t="shared" ref="O87" si="58">SUM(O88:O90)</f>
        <v>0</v>
      </c>
      <c r="P87" s="41">
        <f>P88+P89+P90</f>
        <v>15081.2</v>
      </c>
      <c r="Q87" s="77">
        <f>SUM(Q88:Q90)</f>
        <v>3020</v>
      </c>
      <c r="R87" s="77">
        <f>SUM(R88:R90)</f>
        <v>0</v>
      </c>
      <c r="S87" s="41">
        <f t="shared" si="9"/>
        <v>3020</v>
      </c>
      <c r="T87" s="77">
        <f>SUM(T88:T90)</f>
        <v>0</v>
      </c>
      <c r="U87" s="77">
        <f>SUM(U88:U90)</f>
        <v>0</v>
      </c>
      <c r="V87" s="41">
        <f t="shared" si="2"/>
        <v>0</v>
      </c>
      <c r="W87" s="41">
        <v>15081.2</v>
      </c>
      <c r="X87" s="41">
        <f>X88+X89+X90</f>
        <v>15081.2</v>
      </c>
      <c r="Y87" s="41">
        <f t="shared" ref="Y87:Z87" si="59">Y88+Y89+Y90</f>
        <v>15081.2</v>
      </c>
      <c r="Z87" s="41">
        <f t="shared" si="59"/>
        <v>15081.2</v>
      </c>
      <c r="AA87" s="54">
        <f t="shared" si="4"/>
        <v>100</v>
      </c>
      <c r="AB87" s="54">
        <f t="shared" si="53"/>
        <v>100</v>
      </c>
      <c r="AC87" s="1"/>
      <c r="AD87" s="1"/>
      <c r="AE87" s="1"/>
      <c r="AF87" s="1"/>
    </row>
    <row r="88" spans="1:32" ht="159.75" customHeight="1" outlineLevel="1">
      <c r="A88" s="34" t="s">
        <v>46</v>
      </c>
      <c r="B88" s="29" t="s">
        <v>68</v>
      </c>
      <c r="C88" s="19" t="s">
        <v>20</v>
      </c>
      <c r="D88" s="19" t="s">
        <v>11</v>
      </c>
      <c r="E88" s="19" t="s">
        <v>44</v>
      </c>
      <c r="F88" s="19" t="s">
        <v>28</v>
      </c>
      <c r="G88" s="76">
        <v>10900</v>
      </c>
      <c r="H88" s="76"/>
      <c r="I88" s="76">
        <f>G88+H88</f>
        <v>10900</v>
      </c>
      <c r="J88" s="76"/>
      <c r="K88" s="76">
        <f>I88+J88</f>
        <v>10900</v>
      </c>
      <c r="L88" s="76"/>
      <c r="M88" s="32">
        <f t="shared" si="10"/>
        <v>10900</v>
      </c>
      <c r="N88" s="32">
        <v>175</v>
      </c>
      <c r="O88" s="32"/>
      <c r="P88" s="41">
        <v>0</v>
      </c>
      <c r="Q88" s="60">
        <v>0</v>
      </c>
      <c r="R88" s="60">
        <v>0</v>
      </c>
      <c r="S88" s="41">
        <f t="shared" si="9"/>
        <v>0</v>
      </c>
      <c r="T88" s="60">
        <v>0</v>
      </c>
      <c r="U88" s="60">
        <v>0</v>
      </c>
      <c r="V88" s="41">
        <f t="shared" si="2"/>
        <v>0</v>
      </c>
      <c r="W88" s="41">
        <v>0</v>
      </c>
      <c r="X88" s="41"/>
      <c r="Y88" s="41"/>
      <c r="Z88" s="41"/>
      <c r="AA88" s="54">
        <v>0</v>
      </c>
      <c r="AB88" s="54">
        <v>0</v>
      </c>
      <c r="AC88" s="1"/>
      <c r="AD88" s="1"/>
      <c r="AE88" s="1"/>
      <c r="AF88" s="1"/>
    </row>
    <row r="89" spans="1:32" ht="158.25" customHeight="1" outlineLevel="1">
      <c r="A89" s="34" t="s">
        <v>171</v>
      </c>
      <c r="B89" s="29" t="s">
        <v>67</v>
      </c>
      <c r="C89" s="19" t="s">
        <v>20</v>
      </c>
      <c r="D89" s="19" t="s">
        <v>11</v>
      </c>
      <c r="E89" s="19" t="s">
        <v>38</v>
      </c>
      <c r="F89" s="19" t="s">
        <v>28</v>
      </c>
      <c r="G89" s="76"/>
      <c r="H89" s="76"/>
      <c r="I89" s="76"/>
      <c r="J89" s="76"/>
      <c r="K89" s="76">
        <v>18146.599999999999</v>
      </c>
      <c r="L89" s="76"/>
      <c r="M89" s="32">
        <f t="shared" si="10"/>
        <v>18146.599999999999</v>
      </c>
      <c r="N89" s="32">
        <v>407</v>
      </c>
      <c r="O89" s="32"/>
      <c r="P89" s="41">
        <v>0</v>
      </c>
      <c r="Q89" s="60">
        <v>0</v>
      </c>
      <c r="R89" s="60">
        <v>0</v>
      </c>
      <c r="S89" s="41">
        <f t="shared" si="9"/>
        <v>0</v>
      </c>
      <c r="T89" s="60">
        <v>0</v>
      </c>
      <c r="U89" s="60">
        <v>0</v>
      </c>
      <c r="V89" s="41">
        <f t="shared" si="2"/>
        <v>0</v>
      </c>
      <c r="W89" s="41">
        <v>0</v>
      </c>
      <c r="X89" s="41"/>
      <c r="Y89" s="41"/>
      <c r="Z89" s="41"/>
      <c r="AA89" s="54">
        <v>0</v>
      </c>
      <c r="AB89" s="54">
        <v>0</v>
      </c>
      <c r="AC89" s="1"/>
      <c r="AD89" s="1"/>
      <c r="AE89" s="1"/>
      <c r="AF89" s="1"/>
    </row>
    <row r="90" spans="1:32" ht="152.25" customHeight="1" outlineLevel="1">
      <c r="A90" s="34" t="s">
        <v>86</v>
      </c>
      <c r="B90" s="29" t="s">
        <v>66</v>
      </c>
      <c r="C90" s="19" t="s">
        <v>20</v>
      </c>
      <c r="D90" s="19" t="s">
        <v>11</v>
      </c>
      <c r="E90" s="19" t="s">
        <v>38</v>
      </c>
      <c r="F90" s="19" t="s">
        <v>26</v>
      </c>
      <c r="G90" s="76">
        <v>18146.599999999999</v>
      </c>
      <c r="H90" s="76"/>
      <c r="I90" s="76">
        <f>G90+H90</f>
        <v>18146.599999999999</v>
      </c>
      <c r="J90" s="76"/>
      <c r="K90" s="76">
        <v>58921.1</v>
      </c>
      <c r="L90" s="76"/>
      <c r="M90" s="32">
        <v>48325.5</v>
      </c>
      <c r="N90" s="32">
        <v>2730.7</v>
      </c>
      <c r="O90" s="32"/>
      <c r="P90" s="41">
        <v>15081.2</v>
      </c>
      <c r="Q90" s="60">
        <v>3020</v>
      </c>
      <c r="R90" s="60"/>
      <c r="S90" s="41">
        <f t="shared" si="9"/>
        <v>3020</v>
      </c>
      <c r="T90" s="60">
        <v>0</v>
      </c>
      <c r="U90" s="60">
        <v>0</v>
      </c>
      <c r="V90" s="41">
        <f t="shared" si="2"/>
        <v>0</v>
      </c>
      <c r="W90" s="41">
        <v>15081.2</v>
      </c>
      <c r="X90" s="41">
        <f>3312.7+11768.5</f>
        <v>15081.2</v>
      </c>
      <c r="Y90" s="41">
        <f t="shared" ref="Y90:Z90" si="60">3312.7+11768.5</f>
        <v>15081.2</v>
      </c>
      <c r="Z90" s="41">
        <f t="shared" si="60"/>
        <v>15081.2</v>
      </c>
      <c r="AA90" s="54">
        <f t="shared" si="4"/>
        <v>100</v>
      </c>
      <c r="AB90" s="54">
        <f t="shared" si="53"/>
        <v>100</v>
      </c>
      <c r="AC90" s="1"/>
      <c r="AD90" s="1"/>
      <c r="AE90" s="1"/>
      <c r="AF90" s="1"/>
    </row>
    <row r="91" spans="1:32" ht="23.25" customHeight="1" outlineLevel="1">
      <c r="A91" s="107" t="s">
        <v>151</v>
      </c>
      <c r="B91" s="108"/>
      <c r="C91" s="108"/>
      <c r="D91" s="109"/>
      <c r="E91" s="19"/>
      <c r="F91" s="19"/>
      <c r="G91" s="76"/>
      <c r="H91" s="76"/>
      <c r="I91" s="76"/>
      <c r="J91" s="76"/>
      <c r="K91" s="76"/>
      <c r="L91" s="76">
        <f>L92</f>
        <v>128914.7</v>
      </c>
      <c r="M91" s="76">
        <f t="shared" ref="M91:Z91" si="61">M92</f>
        <v>128914.7</v>
      </c>
      <c r="N91" s="76">
        <f t="shared" si="61"/>
        <v>0</v>
      </c>
      <c r="O91" s="76">
        <f t="shared" si="61"/>
        <v>7010.2</v>
      </c>
      <c r="P91" s="77">
        <f t="shared" si="61"/>
        <v>7010.2</v>
      </c>
      <c r="Q91" s="77">
        <f t="shared" si="61"/>
        <v>0</v>
      </c>
      <c r="R91" s="77">
        <f t="shared" si="61"/>
        <v>0</v>
      </c>
      <c r="S91" s="77">
        <f t="shared" si="61"/>
        <v>0</v>
      </c>
      <c r="T91" s="77">
        <f t="shared" si="61"/>
        <v>0</v>
      </c>
      <c r="U91" s="77">
        <f t="shared" si="61"/>
        <v>0</v>
      </c>
      <c r="V91" s="77">
        <f t="shared" si="61"/>
        <v>0</v>
      </c>
      <c r="W91" s="77">
        <v>7010.2</v>
      </c>
      <c r="X91" s="77">
        <f t="shared" si="61"/>
        <v>5368.9992099999999</v>
      </c>
      <c r="Y91" s="77">
        <f t="shared" si="61"/>
        <v>5368.9992099999999</v>
      </c>
      <c r="Z91" s="77">
        <f t="shared" si="61"/>
        <v>5368.9992099999999</v>
      </c>
      <c r="AA91" s="54">
        <f t="shared" si="4"/>
        <v>76.588388491055895</v>
      </c>
      <c r="AB91" s="54">
        <f t="shared" si="53"/>
        <v>100</v>
      </c>
      <c r="AC91" s="1"/>
      <c r="AD91" s="1"/>
      <c r="AE91" s="1"/>
      <c r="AF91" s="1"/>
    </row>
    <row r="92" spans="1:32" ht="137.25" customHeight="1" outlineLevel="1">
      <c r="A92" s="34" t="s">
        <v>152</v>
      </c>
      <c r="B92" s="29" t="s">
        <v>153</v>
      </c>
      <c r="C92" s="19" t="s">
        <v>20</v>
      </c>
      <c r="D92" s="19" t="s">
        <v>7</v>
      </c>
      <c r="E92" s="19" t="s">
        <v>38</v>
      </c>
      <c r="F92" s="19" t="s">
        <v>154</v>
      </c>
      <c r="G92" s="76"/>
      <c r="H92" s="76"/>
      <c r="I92" s="76"/>
      <c r="J92" s="76"/>
      <c r="K92" s="76"/>
      <c r="L92" s="76">
        <v>128914.7</v>
      </c>
      <c r="M92" s="32">
        <f t="shared" si="10"/>
        <v>128914.7</v>
      </c>
      <c r="N92" s="32"/>
      <c r="O92" s="32">
        <v>7010.2</v>
      </c>
      <c r="P92" s="41">
        <f t="shared" si="8"/>
        <v>7010.2</v>
      </c>
      <c r="Q92" s="60"/>
      <c r="R92" s="60"/>
      <c r="S92" s="41">
        <v>0</v>
      </c>
      <c r="T92" s="60">
        <v>0</v>
      </c>
      <c r="U92" s="60"/>
      <c r="V92" s="41"/>
      <c r="W92" s="41">
        <v>7010.2</v>
      </c>
      <c r="X92" s="41">
        <v>5368.9992099999999</v>
      </c>
      <c r="Y92" s="41">
        <v>5368.9992099999999</v>
      </c>
      <c r="Z92" s="41">
        <v>5368.9992099999999</v>
      </c>
      <c r="AA92" s="54">
        <f t="shared" si="4"/>
        <v>76.588388491055895</v>
      </c>
      <c r="AB92" s="54">
        <f t="shared" si="53"/>
        <v>100</v>
      </c>
      <c r="AC92" s="1"/>
      <c r="AD92" s="1"/>
      <c r="AE92" s="1"/>
      <c r="AF92" s="1"/>
    </row>
    <row r="93" spans="1:32" ht="38.25" customHeight="1" outlineLevel="1">
      <c r="A93" s="107" t="s">
        <v>234</v>
      </c>
      <c r="B93" s="108"/>
      <c r="C93" s="108"/>
      <c r="D93" s="109"/>
      <c r="E93" s="78"/>
      <c r="F93" s="37"/>
      <c r="G93" s="79"/>
      <c r="H93" s="79"/>
      <c r="I93" s="79"/>
      <c r="J93" s="79"/>
      <c r="K93" s="79"/>
      <c r="L93" s="79"/>
      <c r="M93" s="36">
        <f t="shared" ref="M93:O93" si="62">M94+M95+M96</f>
        <v>9070</v>
      </c>
      <c r="N93" s="36">
        <f t="shared" si="62"/>
        <v>0</v>
      </c>
      <c r="O93" s="36">
        <f t="shared" si="62"/>
        <v>0</v>
      </c>
      <c r="P93" s="52">
        <f>P94+P95+P96</f>
        <v>4010</v>
      </c>
      <c r="Q93" s="52">
        <f>M93+P93</f>
        <v>13080</v>
      </c>
      <c r="R93" s="52">
        <f t="shared" ref="R93:T93" si="63">R94+R95+R96</f>
        <v>4010</v>
      </c>
      <c r="S93" s="52">
        <f t="shared" si="63"/>
        <v>0</v>
      </c>
      <c r="T93" s="52">
        <f t="shared" si="63"/>
        <v>0</v>
      </c>
      <c r="U93" s="52"/>
      <c r="V93" s="52"/>
      <c r="W93" s="52">
        <v>4010</v>
      </c>
      <c r="X93" s="41"/>
      <c r="Y93" s="41"/>
      <c r="Z93" s="41"/>
      <c r="AA93" s="54"/>
      <c r="AB93" s="54">
        <v>0</v>
      </c>
      <c r="AC93" s="1"/>
      <c r="AD93" s="1"/>
      <c r="AE93" s="1"/>
      <c r="AF93" s="1"/>
    </row>
    <row r="94" spans="1:32" ht="144" customHeight="1" outlineLevel="1">
      <c r="A94" s="34" t="s">
        <v>235</v>
      </c>
      <c r="B94" s="38"/>
      <c r="C94" s="37" t="s">
        <v>13</v>
      </c>
      <c r="D94" s="37" t="s">
        <v>6</v>
      </c>
      <c r="E94" s="37" t="s">
        <v>70</v>
      </c>
      <c r="F94" s="37">
        <v>2018</v>
      </c>
      <c r="G94" s="79"/>
      <c r="H94" s="79"/>
      <c r="I94" s="79"/>
      <c r="J94" s="79"/>
      <c r="K94" s="79"/>
      <c r="L94" s="79"/>
      <c r="M94" s="36">
        <v>730</v>
      </c>
      <c r="N94" s="36"/>
      <c r="O94" s="36"/>
      <c r="P94" s="52">
        <v>730</v>
      </c>
      <c r="Q94" s="52">
        <f t="shared" ref="Q94:Q96" si="64">M94+P94</f>
        <v>1460</v>
      </c>
      <c r="R94" s="52">
        <v>730</v>
      </c>
      <c r="S94" s="63"/>
      <c r="T94" s="63"/>
      <c r="U94" s="52"/>
      <c r="V94" s="52"/>
      <c r="W94" s="52">
        <v>730</v>
      </c>
      <c r="X94" s="41"/>
      <c r="Y94" s="41"/>
      <c r="Z94" s="41"/>
      <c r="AA94" s="54"/>
      <c r="AB94" s="54">
        <v>0</v>
      </c>
      <c r="AC94" s="1"/>
      <c r="AD94" s="1"/>
      <c r="AE94" s="1"/>
      <c r="AF94" s="1"/>
    </row>
    <row r="95" spans="1:32" ht="144" customHeight="1" outlineLevel="1">
      <c r="A95" s="34" t="s">
        <v>236</v>
      </c>
      <c r="B95" s="38"/>
      <c r="C95" s="37" t="s">
        <v>13</v>
      </c>
      <c r="D95" s="37" t="s">
        <v>6</v>
      </c>
      <c r="E95" s="37" t="s">
        <v>70</v>
      </c>
      <c r="F95" s="37" t="s">
        <v>26</v>
      </c>
      <c r="G95" s="79"/>
      <c r="H95" s="79"/>
      <c r="I95" s="79"/>
      <c r="J95" s="79"/>
      <c r="K95" s="79"/>
      <c r="L95" s="79"/>
      <c r="M95" s="36">
        <v>1070</v>
      </c>
      <c r="N95" s="36"/>
      <c r="O95" s="36"/>
      <c r="P95" s="52">
        <v>1070</v>
      </c>
      <c r="Q95" s="52">
        <f t="shared" si="64"/>
        <v>2140</v>
      </c>
      <c r="R95" s="52">
        <v>1070</v>
      </c>
      <c r="S95" s="63"/>
      <c r="T95" s="63"/>
      <c r="U95" s="52"/>
      <c r="V95" s="52"/>
      <c r="W95" s="52">
        <v>1070</v>
      </c>
      <c r="X95" s="41"/>
      <c r="Y95" s="41"/>
      <c r="Z95" s="41"/>
      <c r="AA95" s="54"/>
      <c r="AB95" s="54">
        <v>0</v>
      </c>
      <c r="AC95" s="1"/>
      <c r="AD95" s="1"/>
      <c r="AE95" s="1"/>
      <c r="AF95" s="1"/>
    </row>
    <row r="96" spans="1:32" s="6" customFormat="1" ht="141.75" customHeight="1">
      <c r="A96" s="34" t="s">
        <v>237</v>
      </c>
      <c r="B96" s="80"/>
      <c r="C96" s="37" t="s">
        <v>13</v>
      </c>
      <c r="D96" s="37" t="s">
        <v>6</v>
      </c>
      <c r="E96" s="37" t="s">
        <v>70</v>
      </c>
      <c r="F96" s="37" t="s">
        <v>26</v>
      </c>
      <c r="G96" s="79"/>
      <c r="H96" s="79"/>
      <c r="I96" s="79"/>
      <c r="J96" s="79"/>
      <c r="K96" s="79"/>
      <c r="L96" s="79"/>
      <c r="M96" s="36">
        <v>7270</v>
      </c>
      <c r="N96" s="36"/>
      <c r="O96" s="36"/>
      <c r="P96" s="52">
        <v>2210</v>
      </c>
      <c r="Q96" s="52">
        <f t="shared" si="64"/>
        <v>9480</v>
      </c>
      <c r="R96" s="52">
        <v>2210</v>
      </c>
      <c r="S96" s="63"/>
      <c r="T96" s="63"/>
      <c r="U96" s="52"/>
      <c r="V96" s="52"/>
      <c r="W96" s="52">
        <v>2210</v>
      </c>
      <c r="X96" s="41"/>
      <c r="Y96" s="41"/>
      <c r="Z96" s="41"/>
      <c r="AA96" s="54"/>
      <c r="AB96" s="54">
        <v>0</v>
      </c>
    </row>
    <row r="97" spans="1:28" s="6" customFormat="1" ht="54.75" customHeight="1" outlineLevel="1">
      <c r="A97" s="110" t="s">
        <v>78</v>
      </c>
      <c r="B97" s="111"/>
      <c r="C97" s="111"/>
      <c r="D97" s="111"/>
      <c r="E97" s="81"/>
      <c r="F97" s="81"/>
      <c r="G97" s="82">
        <f t="shared" ref="G97:N97" si="65">SUM(G98:G100)</f>
        <v>515133</v>
      </c>
      <c r="H97" s="82">
        <f t="shared" si="65"/>
        <v>0</v>
      </c>
      <c r="I97" s="82">
        <f t="shared" si="65"/>
        <v>515133</v>
      </c>
      <c r="J97" s="82">
        <f t="shared" si="65"/>
        <v>-2505</v>
      </c>
      <c r="K97" s="32">
        <f>SUM(K98:K100)</f>
        <v>512635.89999999997</v>
      </c>
      <c r="L97" s="32">
        <f>SUM(L98:L100)</f>
        <v>0</v>
      </c>
      <c r="M97" s="32">
        <f>M98+M99+M100</f>
        <v>518221.89999999997</v>
      </c>
      <c r="N97" s="32">
        <f t="shared" si="65"/>
        <v>12588</v>
      </c>
      <c r="O97" s="32">
        <f t="shared" ref="O97" si="66">SUM(O98:O100)</f>
        <v>0</v>
      </c>
      <c r="P97" s="41">
        <f t="shared" ref="P97:Z97" si="67">P98+P99+P100</f>
        <v>18174</v>
      </c>
      <c r="Q97" s="41">
        <f t="shared" si="67"/>
        <v>56789.8</v>
      </c>
      <c r="R97" s="41">
        <f t="shared" si="67"/>
        <v>0</v>
      </c>
      <c r="S97" s="41">
        <f t="shared" si="67"/>
        <v>56789.8</v>
      </c>
      <c r="T97" s="41">
        <f t="shared" si="67"/>
        <v>164913.29999999999</v>
      </c>
      <c r="U97" s="41">
        <f t="shared" si="67"/>
        <v>0</v>
      </c>
      <c r="V97" s="41">
        <f t="shared" si="67"/>
        <v>164913.29999999999</v>
      </c>
      <c r="W97" s="41">
        <v>18174</v>
      </c>
      <c r="X97" s="41">
        <f t="shared" si="67"/>
        <v>2398.998</v>
      </c>
      <c r="Y97" s="41">
        <f t="shared" si="67"/>
        <v>2398.998</v>
      </c>
      <c r="Z97" s="41">
        <f t="shared" si="67"/>
        <v>2398.998</v>
      </c>
      <c r="AA97" s="54">
        <f t="shared" si="4"/>
        <v>13.200165070980521</v>
      </c>
      <c r="AB97" s="54">
        <f t="shared" si="53"/>
        <v>100</v>
      </c>
    </row>
    <row r="98" spans="1:28" s="6" customFormat="1" ht="135.75" customHeight="1" outlineLevel="1">
      <c r="A98" s="18" t="s">
        <v>83</v>
      </c>
      <c r="B98" s="67" t="s">
        <v>27</v>
      </c>
      <c r="C98" s="19" t="s">
        <v>5</v>
      </c>
      <c r="D98" s="19" t="s">
        <v>7</v>
      </c>
      <c r="E98" s="19" t="s">
        <v>10</v>
      </c>
      <c r="F98" s="19" t="s">
        <v>56</v>
      </c>
      <c r="G98" s="76">
        <v>345409</v>
      </c>
      <c r="H98" s="76"/>
      <c r="I98" s="76">
        <v>345409</v>
      </c>
      <c r="J98" s="76">
        <v>-1727</v>
      </c>
      <c r="K98" s="76">
        <f>I98+J98</f>
        <v>343682</v>
      </c>
      <c r="L98" s="76"/>
      <c r="M98" s="32">
        <v>349268</v>
      </c>
      <c r="N98" s="32">
        <v>11111.1</v>
      </c>
      <c r="O98" s="32"/>
      <c r="P98" s="41">
        <v>16697.099999999999</v>
      </c>
      <c r="Q98" s="60">
        <v>55508.9</v>
      </c>
      <c r="R98" s="60"/>
      <c r="S98" s="41">
        <f t="shared" si="9"/>
        <v>55508.9</v>
      </c>
      <c r="T98" s="60">
        <v>0</v>
      </c>
      <c r="U98" s="60">
        <v>0</v>
      </c>
      <c r="V98" s="41">
        <f t="shared" si="2"/>
        <v>0</v>
      </c>
      <c r="W98" s="41">
        <v>16697.099999999999</v>
      </c>
      <c r="X98" s="41">
        <v>2340.5169999999998</v>
      </c>
      <c r="Y98" s="41">
        <v>2340.5169999999998</v>
      </c>
      <c r="Z98" s="41">
        <v>2340.5169999999998</v>
      </c>
      <c r="AA98" s="54">
        <f t="shared" si="4"/>
        <v>14.017506033981949</v>
      </c>
      <c r="AB98" s="54">
        <f t="shared" si="53"/>
        <v>100</v>
      </c>
    </row>
    <row r="99" spans="1:28" s="6" customFormat="1" ht="136.5" customHeight="1" outlineLevel="1">
      <c r="A99" s="45" t="s">
        <v>118</v>
      </c>
      <c r="B99" s="83" t="s">
        <v>25</v>
      </c>
      <c r="C99" s="19" t="s">
        <v>5</v>
      </c>
      <c r="D99" s="19" t="s">
        <v>7</v>
      </c>
      <c r="E99" s="19" t="s">
        <v>10</v>
      </c>
      <c r="F99" s="19" t="s">
        <v>62</v>
      </c>
      <c r="G99" s="59">
        <v>167029.29999999999</v>
      </c>
      <c r="H99" s="59"/>
      <c r="I99" s="59">
        <v>167029.29999999999</v>
      </c>
      <c r="J99" s="59">
        <v>-835.2</v>
      </c>
      <c r="K99" s="59">
        <f>Q99+T99</f>
        <v>166194.19999999998</v>
      </c>
      <c r="L99" s="59"/>
      <c r="M99" s="32">
        <f t="shared" si="10"/>
        <v>166194.19999999998</v>
      </c>
      <c r="N99" s="32">
        <v>0</v>
      </c>
      <c r="O99" s="32">
        <v>0</v>
      </c>
      <c r="P99" s="41">
        <f t="shared" si="8"/>
        <v>0</v>
      </c>
      <c r="Q99" s="77">
        <v>1280.9000000000001</v>
      </c>
      <c r="R99" s="77"/>
      <c r="S99" s="41">
        <f t="shared" si="9"/>
        <v>1280.9000000000001</v>
      </c>
      <c r="T99" s="77">
        <v>164913.29999999999</v>
      </c>
      <c r="U99" s="77"/>
      <c r="V99" s="41">
        <f t="shared" si="2"/>
        <v>164913.29999999999</v>
      </c>
      <c r="W99" s="41">
        <v>0</v>
      </c>
      <c r="X99" s="41"/>
      <c r="Y99" s="41"/>
      <c r="Z99" s="41"/>
      <c r="AA99" s="54">
        <v>0</v>
      </c>
      <c r="AB99" s="54">
        <v>0</v>
      </c>
    </row>
    <row r="100" spans="1:28" s="6" customFormat="1" ht="251.25" customHeight="1">
      <c r="A100" s="45" t="s">
        <v>119</v>
      </c>
      <c r="B100" s="83" t="s">
        <v>25</v>
      </c>
      <c r="C100" s="19" t="s">
        <v>5</v>
      </c>
      <c r="D100" s="19" t="s">
        <v>7</v>
      </c>
      <c r="E100" s="19" t="s">
        <v>10</v>
      </c>
      <c r="F100" s="19" t="s">
        <v>15</v>
      </c>
      <c r="G100" s="59">
        <v>2694.7</v>
      </c>
      <c r="H100" s="59"/>
      <c r="I100" s="59">
        <v>2694.7</v>
      </c>
      <c r="J100" s="59">
        <v>57.2</v>
      </c>
      <c r="K100" s="59">
        <v>2759.7</v>
      </c>
      <c r="L100" s="59"/>
      <c r="M100" s="32">
        <f t="shared" si="10"/>
        <v>2759.7</v>
      </c>
      <c r="N100" s="32">
        <v>1476.9</v>
      </c>
      <c r="O100" s="32"/>
      <c r="P100" s="41">
        <f t="shared" si="8"/>
        <v>1476.9</v>
      </c>
      <c r="Q100" s="60">
        <v>0</v>
      </c>
      <c r="R100" s="60">
        <v>0</v>
      </c>
      <c r="S100" s="41">
        <f t="shared" si="9"/>
        <v>0</v>
      </c>
      <c r="T100" s="60">
        <v>0</v>
      </c>
      <c r="U100" s="60">
        <v>0</v>
      </c>
      <c r="V100" s="41">
        <f t="shared" si="2"/>
        <v>0</v>
      </c>
      <c r="W100" s="41">
        <v>1476.9</v>
      </c>
      <c r="X100" s="41">
        <v>58.481000000000002</v>
      </c>
      <c r="Y100" s="41">
        <v>58.481000000000002</v>
      </c>
      <c r="Z100" s="41">
        <v>58.481000000000002</v>
      </c>
      <c r="AA100" s="54">
        <f t="shared" ref="AA100" si="68">Z100/W100*100</f>
        <v>3.9597129121809198</v>
      </c>
      <c r="AB100" s="54">
        <f t="shared" ref="AB100" si="69">Z100/X100*100</f>
        <v>100</v>
      </c>
    </row>
    <row r="101" spans="1:28" s="6" customFormat="1" ht="67.5" customHeight="1" outlineLevel="1">
      <c r="A101" s="110" t="s">
        <v>79</v>
      </c>
      <c r="B101" s="111"/>
      <c r="C101" s="111"/>
      <c r="D101" s="111"/>
      <c r="E101" s="81"/>
      <c r="F101" s="81"/>
      <c r="G101" s="82" t="e">
        <f>G102+#REF!</f>
        <v>#REF!</v>
      </c>
      <c r="H101" s="82" t="e">
        <f>H102+#REF!</f>
        <v>#REF!</v>
      </c>
      <c r="I101" s="82" t="e">
        <f>I102+#REF!+I103</f>
        <v>#REF!</v>
      </c>
      <c r="J101" s="82" t="e">
        <f>J102+#REF!+J103</f>
        <v>#REF!</v>
      </c>
      <c r="K101" s="82">
        <f>K102+K103</f>
        <v>192899.20000000001</v>
      </c>
      <c r="L101" s="82">
        <f>L102+L103</f>
        <v>0</v>
      </c>
      <c r="M101" s="32">
        <f t="shared" si="10"/>
        <v>192899.20000000001</v>
      </c>
      <c r="N101" s="82">
        <f>N102+N103</f>
        <v>106045.2</v>
      </c>
      <c r="O101" s="82">
        <f t="shared" ref="O101" si="70">O102+O103</f>
        <v>0</v>
      </c>
      <c r="P101" s="41">
        <f t="shared" si="8"/>
        <v>106045.2</v>
      </c>
      <c r="Q101" s="84">
        <f>Q102+Q103</f>
        <v>10000</v>
      </c>
      <c r="R101" s="84">
        <f>R102+R103</f>
        <v>0</v>
      </c>
      <c r="S101" s="41">
        <f t="shared" si="9"/>
        <v>10000</v>
      </c>
      <c r="T101" s="84">
        <f>T102+T103</f>
        <v>0</v>
      </c>
      <c r="U101" s="84">
        <f>U102+U103</f>
        <v>0</v>
      </c>
      <c r="V101" s="41">
        <f t="shared" si="2"/>
        <v>0</v>
      </c>
      <c r="W101" s="41">
        <v>106045.2</v>
      </c>
      <c r="X101" s="41">
        <f>X102+X103</f>
        <v>16264.211000000001</v>
      </c>
      <c r="Y101" s="41">
        <f t="shared" ref="Y101:Z101" si="71">Y102+Y103</f>
        <v>16264.211000000001</v>
      </c>
      <c r="Z101" s="41">
        <f t="shared" si="71"/>
        <v>16264.211000000001</v>
      </c>
      <c r="AA101" s="54">
        <f t="shared" si="4"/>
        <v>15.337055331122956</v>
      </c>
      <c r="AB101" s="54">
        <f t="shared" si="53"/>
        <v>100</v>
      </c>
    </row>
    <row r="102" spans="1:28" s="6" customFormat="1" ht="170.25" customHeight="1" outlineLevel="1">
      <c r="A102" s="53" t="s">
        <v>120</v>
      </c>
      <c r="B102" s="19" t="s">
        <v>30</v>
      </c>
      <c r="C102" s="19" t="s">
        <v>20</v>
      </c>
      <c r="D102" s="19" t="s">
        <v>18</v>
      </c>
      <c r="E102" s="19" t="s">
        <v>41</v>
      </c>
      <c r="F102" s="19" t="s">
        <v>26</v>
      </c>
      <c r="G102" s="59">
        <v>63797.7</v>
      </c>
      <c r="H102" s="59"/>
      <c r="I102" s="59">
        <v>63797.7</v>
      </c>
      <c r="J102" s="59"/>
      <c r="K102" s="59">
        <v>63797.7</v>
      </c>
      <c r="L102" s="59"/>
      <c r="M102" s="32">
        <f t="shared" si="10"/>
        <v>63797.7</v>
      </c>
      <c r="N102" s="32">
        <v>33133.199999999997</v>
      </c>
      <c r="O102" s="32"/>
      <c r="P102" s="41">
        <f t="shared" si="8"/>
        <v>33133.199999999997</v>
      </c>
      <c r="Q102" s="41">
        <v>10000</v>
      </c>
      <c r="R102" s="41"/>
      <c r="S102" s="41">
        <f t="shared" si="9"/>
        <v>10000</v>
      </c>
      <c r="T102" s="60">
        <v>0</v>
      </c>
      <c r="U102" s="60">
        <v>0</v>
      </c>
      <c r="V102" s="41">
        <f t="shared" si="2"/>
        <v>0</v>
      </c>
      <c r="W102" s="41">
        <v>33133.199999999997</v>
      </c>
      <c r="X102" s="41">
        <v>9446.19</v>
      </c>
      <c r="Y102" s="41">
        <v>9446.19</v>
      </c>
      <c r="Z102" s="41">
        <v>9446.19</v>
      </c>
      <c r="AA102" s="54">
        <f t="shared" si="4"/>
        <v>28.509742493933583</v>
      </c>
      <c r="AB102" s="54">
        <f t="shared" si="53"/>
        <v>100</v>
      </c>
    </row>
    <row r="103" spans="1:28" s="6" customFormat="1" ht="100.5" customHeight="1">
      <c r="A103" s="18" t="s">
        <v>122</v>
      </c>
      <c r="B103" s="19" t="s">
        <v>49</v>
      </c>
      <c r="C103" s="19" t="s">
        <v>20</v>
      </c>
      <c r="D103" s="19" t="s">
        <v>18</v>
      </c>
      <c r="E103" s="19" t="s">
        <v>50</v>
      </c>
      <c r="F103" s="19" t="s">
        <v>54</v>
      </c>
      <c r="G103" s="59">
        <v>0</v>
      </c>
      <c r="H103" s="59">
        <v>129101.46</v>
      </c>
      <c r="I103" s="59"/>
      <c r="J103" s="59">
        <v>129101.5</v>
      </c>
      <c r="K103" s="59">
        <f>I103+J103</f>
        <v>129101.5</v>
      </c>
      <c r="L103" s="59"/>
      <c r="M103" s="32">
        <f t="shared" si="10"/>
        <v>129101.5</v>
      </c>
      <c r="N103" s="59">
        <v>72912</v>
      </c>
      <c r="O103" s="59"/>
      <c r="P103" s="41">
        <f t="shared" si="8"/>
        <v>72912</v>
      </c>
      <c r="Q103" s="60">
        <v>0</v>
      </c>
      <c r="R103" s="60">
        <v>0</v>
      </c>
      <c r="S103" s="41">
        <f t="shared" si="9"/>
        <v>0</v>
      </c>
      <c r="T103" s="60">
        <v>0</v>
      </c>
      <c r="U103" s="60">
        <v>0</v>
      </c>
      <c r="V103" s="41">
        <f t="shared" si="2"/>
        <v>0</v>
      </c>
      <c r="W103" s="41">
        <v>72912</v>
      </c>
      <c r="X103" s="41">
        <f>6252.925+565.096</f>
        <v>6818.0210000000006</v>
      </c>
      <c r="Y103" s="41">
        <f t="shared" ref="Y103:Z103" si="72">6252.925+565.096</f>
        <v>6818.0210000000006</v>
      </c>
      <c r="Z103" s="41">
        <f t="shared" si="72"/>
        <v>6818.0210000000006</v>
      </c>
      <c r="AA103" s="54">
        <f t="shared" si="4"/>
        <v>9.3510272657450084</v>
      </c>
      <c r="AB103" s="54">
        <f t="shared" si="53"/>
        <v>100</v>
      </c>
    </row>
    <row r="104" spans="1:28" s="6" customFormat="1" ht="57.75" customHeight="1">
      <c r="A104" s="110" t="s">
        <v>80</v>
      </c>
      <c r="B104" s="111"/>
      <c r="C104" s="111"/>
      <c r="D104" s="111"/>
      <c r="E104" s="81"/>
      <c r="F104" s="81"/>
      <c r="G104" s="82">
        <f>G105</f>
        <v>82464.67</v>
      </c>
      <c r="H104" s="82">
        <f>H105</f>
        <v>0</v>
      </c>
      <c r="I104" s="82">
        <f>G104+H104</f>
        <v>82464.67</v>
      </c>
      <c r="J104" s="82">
        <f>J105</f>
        <v>0</v>
      </c>
      <c r="K104" s="82">
        <f>K105</f>
        <v>98595.09</v>
      </c>
      <c r="L104" s="82">
        <f>L105</f>
        <v>0</v>
      </c>
      <c r="M104" s="32">
        <f t="shared" si="10"/>
        <v>98595.09</v>
      </c>
      <c r="N104" s="82">
        <f>N105</f>
        <v>2310</v>
      </c>
      <c r="O104" s="82">
        <f t="shared" ref="O104" si="73">O105</f>
        <v>0</v>
      </c>
      <c r="P104" s="41">
        <f t="shared" si="8"/>
        <v>2310</v>
      </c>
      <c r="Q104" s="84">
        <f>Q105</f>
        <v>3840</v>
      </c>
      <c r="R104" s="84">
        <f>R105</f>
        <v>0</v>
      </c>
      <c r="S104" s="41">
        <f t="shared" si="9"/>
        <v>3840</v>
      </c>
      <c r="T104" s="84">
        <f>T105</f>
        <v>0</v>
      </c>
      <c r="U104" s="84">
        <f>U105</f>
        <v>0</v>
      </c>
      <c r="V104" s="41">
        <f t="shared" si="2"/>
        <v>0</v>
      </c>
      <c r="W104" s="41">
        <v>2310</v>
      </c>
      <c r="X104" s="41">
        <f>X105</f>
        <v>1981.6687199999999</v>
      </c>
      <c r="Y104" s="41">
        <f t="shared" ref="Y104:Z104" si="74">Y105</f>
        <v>1981.6687199999999</v>
      </c>
      <c r="Z104" s="41">
        <f t="shared" si="74"/>
        <v>1981.6687199999999</v>
      </c>
      <c r="AA104" s="54">
        <f t="shared" si="4"/>
        <v>85.786524675324671</v>
      </c>
      <c r="AB104" s="54">
        <f t="shared" si="53"/>
        <v>100</v>
      </c>
    </row>
    <row r="105" spans="1:28" s="6" customFormat="1" ht="220.5" customHeight="1">
      <c r="A105" s="88" t="s">
        <v>172</v>
      </c>
      <c r="B105" s="19" t="s">
        <v>65</v>
      </c>
      <c r="C105" s="19" t="s">
        <v>20</v>
      </c>
      <c r="D105" s="19" t="s">
        <v>11</v>
      </c>
      <c r="E105" s="19" t="s">
        <v>98</v>
      </c>
      <c r="F105" s="19" t="s">
        <v>105</v>
      </c>
      <c r="G105" s="59">
        <v>82464.67</v>
      </c>
      <c r="H105" s="59"/>
      <c r="I105" s="59">
        <v>82464.67</v>
      </c>
      <c r="J105" s="59"/>
      <c r="K105" s="59">
        <v>98595.09</v>
      </c>
      <c r="L105" s="59"/>
      <c r="M105" s="32">
        <f t="shared" si="10"/>
        <v>98595.09</v>
      </c>
      <c r="N105" s="32">
        <v>2310</v>
      </c>
      <c r="O105" s="32"/>
      <c r="P105" s="41">
        <f t="shared" si="8"/>
        <v>2310</v>
      </c>
      <c r="Q105" s="41">
        <v>3840</v>
      </c>
      <c r="R105" s="41"/>
      <c r="S105" s="41">
        <f t="shared" si="9"/>
        <v>3840</v>
      </c>
      <c r="T105" s="60">
        <v>0</v>
      </c>
      <c r="U105" s="60">
        <v>0</v>
      </c>
      <c r="V105" s="41">
        <f t="shared" si="2"/>
        <v>0</v>
      </c>
      <c r="W105" s="41">
        <v>2310</v>
      </c>
      <c r="X105" s="41">
        <v>1981.6687199999999</v>
      </c>
      <c r="Y105" s="41">
        <v>1981.6687199999999</v>
      </c>
      <c r="Z105" s="41">
        <v>1981.6687199999999</v>
      </c>
      <c r="AA105" s="54">
        <f t="shared" ref="AA105:AA108" si="75">Z105/W105*100</f>
        <v>85.786524675324671</v>
      </c>
      <c r="AB105" s="54">
        <f t="shared" si="53"/>
        <v>100</v>
      </c>
    </row>
    <row r="106" spans="1:28" s="6" customFormat="1" ht="41.25" customHeight="1">
      <c r="A106" s="110" t="s">
        <v>157</v>
      </c>
      <c r="B106" s="110"/>
      <c r="C106" s="110"/>
      <c r="D106" s="110"/>
      <c r="E106" s="19"/>
      <c r="F106" s="19"/>
      <c r="G106" s="59"/>
      <c r="H106" s="59"/>
      <c r="I106" s="59"/>
      <c r="J106" s="59"/>
      <c r="K106" s="59">
        <f>K107</f>
        <v>0</v>
      </c>
      <c r="L106" s="59">
        <f t="shared" ref="L106:O106" si="76">L107</f>
        <v>295051.8</v>
      </c>
      <c r="M106" s="59">
        <f>M107+M108</f>
        <v>489978.3</v>
      </c>
      <c r="N106" s="59">
        <f t="shared" si="76"/>
        <v>0</v>
      </c>
      <c r="O106" s="59">
        <f t="shared" si="76"/>
        <v>122307.8</v>
      </c>
      <c r="P106" s="60">
        <f>P107+P108</f>
        <v>122307.8</v>
      </c>
      <c r="Q106" s="60">
        <f t="shared" ref="Q106:T106" si="77">Q107+Q108</f>
        <v>0</v>
      </c>
      <c r="R106" s="60">
        <f t="shared" si="77"/>
        <v>0</v>
      </c>
      <c r="S106" s="60">
        <f t="shared" si="77"/>
        <v>0</v>
      </c>
      <c r="T106" s="60">
        <f t="shared" si="77"/>
        <v>0</v>
      </c>
      <c r="U106" s="85"/>
      <c r="V106" s="86"/>
      <c r="W106" s="60">
        <v>122307.8</v>
      </c>
      <c r="X106" s="60">
        <f>X107+X108</f>
        <v>29916.28139</v>
      </c>
      <c r="Y106" s="60">
        <f t="shared" ref="Y106:Z106" si="78">Y107+Y108</f>
        <v>29916.28139</v>
      </c>
      <c r="Z106" s="60">
        <f t="shared" si="78"/>
        <v>29916.28139</v>
      </c>
      <c r="AA106" s="54">
        <f t="shared" si="75"/>
        <v>24.459831171846766</v>
      </c>
      <c r="AB106" s="54">
        <f t="shared" si="53"/>
        <v>100</v>
      </c>
    </row>
    <row r="107" spans="1:28" s="6" customFormat="1" ht="173.25" customHeight="1">
      <c r="A107" s="18" t="s">
        <v>160</v>
      </c>
      <c r="B107" s="19" t="s">
        <v>161</v>
      </c>
      <c r="C107" s="19" t="s">
        <v>158</v>
      </c>
      <c r="D107" s="19" t="s">
        <v>11</v>
      </c>
      <c r="E107" s="19" t="s">
        <v>159</v>
      </c>
      <c r="F107" s="19" t="s">
        <v>54</v>
      </c>
      <c r="G107" s="59"/>
      <c r="H107" s="59"/>
      <c r="I107" s="59"/>
      <c r="J107" s="59"/>
      <c r="K107" s="59"/>
      <c r="L107" s="59">
        <f>122307.8+172744</f>
        <v>295051.8</v>
      </c>
      <c r="M107" s="32">
        <f t="shared" si="10"/>
        <v>295051.8</v>
      </c>
      <c r="N107" s="32"/>
      <c r="O107" s="32">
        <f>64616.5+57691.3</f>
        <v>122307.8</v>
      </c>
      <c r="P107" s="41">
        <v>57691.3</v>
      </c>
      <c r="Q107" s="41"/>
      <c r="R107" s="41"/>
      <c r="S107" s="41">
        <v>0</v>
      </c>
      <c r="T107" s="60">
        <v>0</v>
      </c>
      <c r="U107" s="85"/>
      <c r="V107" s="86"/>
      <c r="W107" s="41">
        <v>57691.3</v>
      </c>
      <c r="X107" s="41">
        <v>14986.46839</v>
      </c>
      <c r="Y107" s="41">
        <v>14986.46839</v>
      </c>
      <c r="Z107" s="41">
        <v>14986.46839</v>
      </c>
      <c r="AA107" s="54">
        <f t="shared" si="75"/>
        <v>25.976998940914836</v>
      </c>
      <c r="AB107" s="54">
        <f t="shared" si="53"/>
        <v>100</v>
      </c>
    </row>
    <row r="108" spans="1:28" s="6" customFormat="1" ht="168" customHeight="1">
      <c r="A108" s="18" t="s">
        <v>174</v>
      </c>
      <c r="B108" s="19" t="s">
        <v>175</v>
      </c>
      <c r="C108" s="19" t="s">
        <v>176</v>
      </c>
      <c r="D108" s="19" t="s">
        <v>7</v>
      </c>
      <c r="E108" s="19" t="s">
        <v>10</v>
      </c>
      <c r="F108" s="19" t="s">
        <v>54</v>
      </c>
      <c r="G108" s="59"/>
      <c r="H108" s="59"/>
      <c r="I108" s="59"/>
      <c r="J108" s="59"/>
      <c r="K108" s="59"/>
      <c r="L108" s="59"/>
      <c r="M108" s="32">
        <v>194926.5</v>
      </c>
      <c r="N108" s="32"/>
      <c r="O108" s="32"/>
      <c r="P108" s="41">
        <v>64616.5</v>
      </c>
      <c r="Q108" s="41"/>
      <c r="R108" s="41"/>
      <c r="S108" s="41">
        <v>0</v>
      </c>
      <c r="T108" s="60">
        <v>0</v>
      </c>
      <c r="U108" s="85"/>
      <c r="V108" s="86"/>
      <c r="W108" s="41">
        <v>64616.5</v>
      </c>
      <c r="X108" s="41">
        <v>14929.813</v>
      </c>
      <c r="Y108" s="41">
        <v>14929.813</v>
      </c>
      <c r="Z108" s="41">
        <v>14929.813</v>
      </c>
      <c r="AA108" s="54">
        <f t="shared" si="75"/>
        <v>23.105264135321473</v>
      </c>
      <c r="AB108" s="54">
        <f t="shared" si="53"/>
        <v>100</v>
      </c>
    </row>
    <row r="109" spans="1:28" s="6" customFormat="1" ht="17.25" customHeight="1">
      <c r="A109" s="112" t="s">
        <v>184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3"/>
      <c r="V109" s="113"/>
      <c r="W109" s="113"/>
      <c r="X109" s="113"/>
      <c r="Y109" s="113"/>
      <c r="Z109" s="113"/>
      <c r="AA109" s="113"/>
      <c r="AB109" s="113"/>
    </row>
    <row r="110" spans="1:28" s="6" customFormat="1" ht="15.7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5"/>
      <c r="X110" s="5"/>
      <c r="Y110" s="5"/>
      <c r="Z110" s="5"/>
      <c r="AA110" s="5"/>
    </row>
    <row r="111" spans="1:28" s="6" customFormat="1" ht="15.7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5"/>
      <c r="X111" s="5"/>
      <c r="Y111" s="5"/>
      <c r="Z111" s="5"/>
      <c r="AA111" s="5"/>
    </row>
    <row r="112" spans="1:28" s="6" customFormat="1" ht="15.7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5"/>
      <c r="X112" s="5"/>
      <c r="Y112" s="5"/>
      <c r="Z112" s="5"/>
      <c r="AA112" s="5"/>
    </row>
    <row r="113" spans="1:27" s="6" customFormat="1" ht="36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5"/>
      <c r="V113" s="15"/>
      <c r="W113" s="5"/>
      <c r="X113" s="5"/>
      <c r="Y113" s="5"/>
      <c r="Z113" s="5"/>
      <c r="AA113" s="5"/>
    </row>
    <row r="114" spans="1:27" s="6" customFormat="1" ht="30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5"/>
      <c r="V114" s="15"/>
      <c r="W114" s="5"/>
      <c r="X114" s="5"/>
      <c r="Y114" s="5"/>
      <c r="Z114" s="5"/>
      <c r="AA114" s="5"/>
    </row>
    <row r="115" spans="1:27" s="6" customFormat="1" ht="15.7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5"/>
      <c r="X115" s="5"/>
      <c r="Y115" s="5"/>
      <c r="Z115" s="5"/>
      <c r="AA115" s="5"/>
    </row>
    <row r="116" spans="1:27" s="6" customFormat="1" ht="16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5"/>
      <c r="X116" s="5"/>
      <c r="Y116" s="5"/>
      <c r="Z116" s="5"/>
      <c r="AA116" s="5"/>
    </row>
    <row r="117" spans="1:27" s="6" customFormat="1" ht="15.7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5"/>
      <c r="X117" s="5"/>
      <c r="Y117" s="5"/>
      <c r="Z117" s="5"/>
      <c r="AA117" s="5"/>
    </row>
    <row r="118" spans="1:27" s="6" customFormat="1" ht="15.7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5"/>
      <c r="X118" s="5"/>
      <c r="Y118" s="5"/>
      <c r="Z118" s="5"/>
      <c r="AA118" s="5"/>
    </row>
    <row r="119" spans="1:27" s="6" customFormat="1" ht="15.7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5"/>
      <c r="X119" s="5"/>
      <c r="Y119" s="5"/>
      <c r="Z119" s="5"/>
      <c r="AA119" s="5"/>
    </row>
    <row r="120" spans="1:27" ht="15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8"/>
      <c r="R120" s="8"/>
      <c r="S120" s="8"/>
      <c r="T120" s="4"/>
      <c r="U120" s="4"/>
      <c r="V120" s="4"/>
    </row>
    <row r="121" spans="1:27" ht="15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2"/>
      <c r="X121" s="2"/>
      <c r="Y121" s="2"/>
      <c r="Z121" s="2"/>
      <c r="AA121" s="2"/>
    </row>
    <row r="122" spans="1:27" ht="15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2"/>
      <c r="X122" s="2"/>
      <c r="Y122" s="2"/>
      <c r="Z122" s="2"/>
      <c r="AA122" s="2"/>
    </row>
  </sheetData>
  <mergeCells count="57">
    <mergeCell ref="A71:D71"/>
    <mergeCell ref="A76:D76"/>
    <mergeCell ref="A78:D78"/>
    <mergeCell ref="A85:D85"/>
    <mergeCell ref="A87:D87"/>
    <mergeCell ref="A53:D53"/>
    <mergeCell ref="A3:AB3"/>
    <mergeCell ref="B5:B6"/>
    <mergeCell ref="C5:C6"/>
    <mergeCell ref="A4:T4"/>
    <mergeCell ref="N5:N6"/>
    <mergeCell ref="A12:D12"/>
    <mergeCell ref="A5:A6"/>
    <mergeCell ref="A23:D23"/>
    <mergeCell ref="F5:F6"/>
    <mergeCell ref="D5:D6"/>
    <mergeCell ref="E5:E6"/>
    <mergeCell ref="A37:D37"/>
    <mergeCell ref="A43:D43"/>
    <mergeCell ref="A50:D50"/>
    <mergeCell ref="A27:D27"/>
    <mergeCell ref="W1:AB1"/>
    <mergeCell ref="W5:W6"/>
    <mergeCell ref="X5:X6"/>
    <mergeCell ref="Y5:Y6"/>
    <mergeCell ref="Z5:Z6"/>
    <mergeCell ref="AA5:AB5"/>
    <mergeCell ref="A2:AB2"/>
    <mergeCell ref="G5:G6"/>
    <mergeCell ref="J5:J6"/>
    <mergeCell ref="K5:K6"/>
    <mergeCell ref="H5:H6"/>
    <mergeCell ref="A114:T114"/>
    <mergeCell ref="A113:T113"/>
    <mergeCell ref="A84:D84"/>
    <mergeCell ref="A91:D91"/>
    <mergeCell ref="A93:D93"/>
    <mergeCell ref="A97:D97"/>
    <mergeCell ref="A101:D101"/>
    <mergeCell ref="A104:D104"/>
    <mergeCell ref="A106:D106"/>
    <mergeCell ref="A109:AB109"/>
    <mergeCell ref="A26:D26"/>
    <mergeCell ref="S5:S6"/>
    <mergeCell ref="U5:U6"/>
    <mergeCell ref="V5:V6"/>
    <mergeCell ref="M5:M6"/>
    <mergeCell ref="L5:L6"/>
    <mergeCell ref="T5:T6"/>
    <mergeCell ref="Q5:Q6"/>
    <mergeCell ref="O5:O6"/>
    <mergeCell ref="A8:D8"/>
    <mergeCell ref="R5:R6"/>
    <mergeCell ref="A11:D11"/>
    <mergeCell ref="P5:P6"/>
    <mergeCell ref="A20:D20"/>
    <mergeCell ref="I5:I6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48" fitToHeight="25" orientation="landscape" r:id="rId1"/>
  <headerFooter>
    <oddFooter>&amp;C&amp;P</oddFooter>
  </headerFooter>
  <rowBreaks count="1" manualBreakCount="1">
    <brk id="10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2018-07-20T06:25:27Z</cp:lastPrinted>
  <dcterms:created xsi:type="dcterms:W3CDTF">2014-05-08T06:25:05Z</dcterms:created>
  <dcterms:modified xsi:type="dcterms:W3CDTF">2018-10-22T13:10:06Z</dcterms:modified>
</cp:coreProperties>
</file>