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200" windowHeight="11595" tabRatio="535"/>
  </bookViews>
  <sheets>
    <sheet name="Лист1" sheetId="2" r:id="rId1"/>
  </sheets>
  <definedNames>
    <definedName name="_xlnm._FilterDatabase" localSheetId="0" hidden="1">Лист1!$A$7:$T$169</definedName>
    <definedName name="_xlnm.Print_Titles" localSheetId="0">Лист1!$7:$9</definedName>
    <definedName name="_xlnm.Print_Area" localSheetId="0">Лист1!$A$1:$AS$181</definedName>
  </definedNames>
  <calcPr calcId="125725"/>
</workbook>
</file>

<file path=xl/calcChain.xml><?xml version="1.0" encoding="utf-8"?>
<calcChain xmlns="http://schemas.openxmlformats.org/spreadsheetml/2006/main">
  <c r="AB29" i="2"/>
  <c r="AS113"/>
  <c r="AP113"/>
  <c r="AK113"/>
  <c r="AC113"/>
  <c r="AR101"/>
  <c r="AO101"/>
  <c r="AJ101"/>
  <c r="AB101"/>
  <c r="AB146" l="1"/>
  <c r="AO114" l="1"/>
  <c r="AC178" l="1"/>
  <c r="AK178"/>
  <c r="AS178"/>
  <c r="AP178"/>
  <c r="AR177"/>
  <c r="AR10" s="1"/>
  <c r="AO177"/>
  <c r="AO10" s="1"/>
  <c r="AJ177"/>
  <c r="AK177" s="1"/>
  <c r="AB177"/>
  <c r="AC177" s="1"/>
  <c r="AS177" l="1"/>
  <c r="AP177"/>
  <c r="AJ168"/>
  <c r="AK155"/>
  <c r="AC155"/>
  <c r="AJ146"/>
  <c r="AJ125"/>
  <c r="AB125"/>
  <c r="AB124" s="1"/>
  <c r="AS112"/>
  <c r="AP112"/>
  <c r="AK112"/>
  <c r="AC112"/>
  <c r="AJ137" l="1"/>
  <c r="AJ124" s="1"/>
  <c r="AJ75"/>
  <c r="AB12"/>
  <c r="AB11" s="1"/>
  <c r="AJ54"/>
  <c r="AJ29" s="1"/>
  <c r="AJ12"/>
  <c r="AJ11" s="1"/>
  <c r="AS154"/>
  <c r="AS74"/>
  <c r="AP74"/>
  <c r="AK154"/>
  <c r="AC29"/>
  <c r="AA78"/>
  <c r="AI76"/>
  <c r="AA119"/>
  <c r="X54"/>
  <c r="X22"/>
  <c r="X168" l="1"/>
  <c r="X141"/>
  <c r="X125"/>
  <c r="X124" s="1"/>
  <c r="AF91"/>
  <c r="AM91" s="1"/>
  <c r="AQ91" s="1"/>
  <c r="AS91" s="1"/>
  <c r="S91"/>
  <c r="AE91" s="1"/>
  <c r="AL91" s="1"/>
  <c r="AP91" s="1"/>
  <c r="N91"/>
  <c r="R91" s="1"/>
  <c r="Z91" s="1"/>
  <c r="AD91" s="1"/>
  <c r="AK91" s="1"/>
  <c r="I91"/>
  <c r="M91" s="1"/>
  <c r="Y91" s="1"/>
  <c r="AC91" s="1"/>
  <c r="X34"/>
  <c r="AA54"/>
  <c r="AI146" l="1"/>
  <c r="X146"/>
  <c r="AL154"/>
  <c r="AP154" s="1"/>
  <c r="Y154"/>
  <c r="AC154" s="1"/>
  <c r="AA146"/>
  <c r="AN12"/>
  <c r="AI12"/>
  <c r="AA12"/>
  <c r="X12"/>
  <c r="X11" s="1"/>
  <c r="AQ21"/>
  <c r="AS21" s="1"/>
  <c r="AQ20"/>
  <c r="AS20" s="1"/>
  <c r="AL21"/>
  <c r="AP21" s="1"/>
  <c r="AL20"/>
  <c r="AP20" s="1"/>
  <c r="AD21"/>
  <c r="AK21" s="1"/>
  <c r="Y21"/>
  <c r="AC21" s="1"/>
  <c r="AN75"/>
  <c r="AI75"/>
  <c r="AA75"/>
  <c r="X75"/>
  <c r="AQ100"/>
  <c r="AS100" s="1"/>
  <c r="AL100"/>
  <c r="AP100" s="1"/>
  <c r="AD100"/>
  <c r="AK100" s="1"/>
  <c r="Y100"/>
  <c r="AC100" s="1"/>
  <c r="AQ64"/>
  <c r="AS64" s="1"/>
  <c r="AQ63"/>
  <c r="AS63" s="1"/>
  <c r="AL64"/>
  <c r="AP64" s="1"/>
  <c r="AL63"/>
  <c r="AP63" s="1"/>
  <c r="AD64"/>
  <c r="AK64" s="1"/>
  <c r="Y64"/>
  <c r="AC64" s="1"/>
  <c r="AN54"/>
  <c r="AI54"/>
  <c r="AN30"/>
  <c r="AI30"/>
  <c r="AQ53"/>
  <c r="AS53" s="1"/>
  <c r="AL53"/>
  <c r="AP53" s="1"/>
  <c r="AD53"/>
  <c r="AK53" s="1"/>
  <c r="Y53"/>
  <c r="AC53" s="1"/>
  <c r="X30"/>
  <c r="X29" l="1"/>
  <c r="AN29"/>
  <c r="AI29"/>
  <c r="AI141"/>
  <c r="AI125"/>
  <c r="AI124" s="1"/>
  <c r="X114"/>
  <c r="AI114"/>
  <c r="AN22"/>
  <c r="AN11" s="1"/>
  <c r="AI22"/>
  <c r="AI11" s="1"/>
  <c r="AI168"/>
  <c r="AD20"/>
  <c r="AK20" s="1"/>
  <c r="Y20"/>
  <c r="AC20" s="1"/>
  <c r="AD63"/>
  <c r="AK63" s="1"/>
  <c r="Y63"/>
  <c r="AC63" s="1"/>
  <c r="AA65"/>
  <c r="X65"/>
  <c r="AD74"/>
  <c r="AK74" s="1"/>
  <c r="Y74"/>
  <c r="AC74" s="1"/>
  <c r="AA125"/>
  <c r="AA124" s="1"/>
  <c r="AA38"/>
  <c r="AA34"/>
  <c r="AA22"/>
  <c r="AA11" s="1"/>
  <c r="AA168"/>
  <c r="AA141"/>
  <c r="AA114"/>
  <c r="AN101"/>
  <c r="AI101"/>
  <c r="AA101"/>
  <c r="X101"/>
  <c r="AQ111"/>
  <c r="AS111" s="1"/>
  <c r="AL111"/>
  <c r="AP111" s="1"/>
  <c r="AD111"/>
  <c r="AK111" s="1"/>
  <c r="Y111"/>
  <c r="AC111" s="1"/>
  <c r="AQ110"/>
  <c r="AS110" s="1"/>
  <c r="AL110"/>
  <c r="AP110" s="1"/>
  <c r="AD110"/>
  <c r="AK110" s="1"/>
  <c r="Y110"/>
  <c r="AC110" s="1"/>
  <c r="AA30" l="1"/>
  <c r="AA29" s="1"/>
  <c r="X10"/>
  <c r="AN10"/>
  <c r="AI10"/>
  <c r="AA10"/>
  <c r="AQ176"/>
  <c r="AS176" s="1"/>
  <c r="AQ175"/>
  <c r="AS175" s="1"/>
  <c r="AQ174"/>
  <c r="AS174" s="1"/>
  <c r="AQ173"/>
  <c r="AS173" s="1"/>
  <c r="AQ167"/>
  <c r="AS167" s="1"/>
  <c r="AQ166"/>
  <c r="AS166" s="1"/>
  <c r="AQ163"/>
  <c r="AS163" s="1"/>
  <c r="AQ162"/>
  <c r="AS162" s="1"/>
  <c r="AQ153"/>
  <c r="AS153" s="1"/>
  <c r="AQ99"/>
  <c r="AS99" s="1"/>
  <c r="AQ73"/>
  <c r="AS73" s="1"/>
  <c r="AQ19"/>
  <c r="AS19" s="1"/>
  <c r="AL176"/>
  <c r="AP176" s="1"/>
  <c r="AL175"/>
  <c r="AP175" s="1"/>
  <c r="AL174"/>
  <c r="AP174" s="1"/>
  <c r="AL173"/>
  <c r="AP173" s="1"/>
  <c r="AL167"/>
  <c r="AP167" s="1"/>
  <c r="AL166"/>
  <c r="AP166" s="1"/>
  <c r="AL163"/>
  <c r="AP163" s="1"/>
  <c r="AL162"/>
  <c r="AP162" s="1"/>
  <c r="AL153"/>
  <c r="AP153" s="1"/>
  <c r="AL99"/>
  <c r="AP99" s="1"/>
  <c r="AL73"/>
  <c r="AP73" s="1"/>
  <c r="AL19"/>
  <c r="AP19" s="1"/>
  <c r="Y175"/>
  <c r="AC175" s="1"/>
  <c r="Y99"/>
  <c r="AC99" s="1"/>
  <c r="Y49"/>
  <c r="AC49" s="1"/>
  <c r="W168"/>
  <c r="W114"/>
  <c r="W75"/>
  <c r="W54"/>
  <c r="W29" s="1"/>
  <c r="W12"/>
  <c r="W11" s="1"/>
  <c r="Z176"/>
  <c r="AD176" s="1"/>
  <c r="AK176" s="1"/>
  <c r="Z175"/>
  <c r="AD175" s="1"/>
  <c r="AK175" s="1"/>
  <c r="Z174"/>
  <c r="AD174" s="1"/>
  <c r="AK174" s="1"/>
  <c r="Z173"/>
  <c r="AD173" s="1"/>
  <c r="AK173" s="1"/>
  <c r="Z99"/>
  <c r="AD99" s="1"/>
  <c r="AK99" s="1"/>
  <c r="Z40"/>
  <c r="AD40" s="1"/>
  <c r="AK40" s="1"/>
  <c r="Q172"/>
  <c r="W10" l="1"/>
  <c r="M176"/>
  <c r="Y176" s="1"/>
  <c r="AC176" s="1"/>
  <c r="M174"/>
  <c r="Y174" s="1"/>
  <c r="AC174" s="1"/>
  <c r="M173"/>
  <c r="Y173" s="1"/>
  <c r="AC173" s="1"/>
  <c r="AM172"/>
  <c r="AQ172" s="1"/>
  <c r="AS172" s="1"/>
  <c r="AH172"/>
  <c r="AG172"/>
  <c r="AF172"/>
  <c r="AE172"/>
  <c r="AL172" s="1"/>
  <c r="AP172" s="1"/>
  <c r="V172"/>
  <c r="U172"/>
  <c r="T172"/>
  <c r="S172"/>
  <c r="R172"/>
  <c r="Z172" s="1"/>
  <c r="AD172" s="1"/>
  <c r="AK172" s="1"/>
  <c r="P172"/>
  <c r="O172"/>
  <c r="N172"/>
  <c r="Q13"/>
  <c r="M172" l="1"/>
  <c r="Y172" s="1"/>
  <c r="AC172" s="1"/>
  <c r="Q166"/>
  <c r="Q32"/>
  <c r="Q23"/>
  <c r="Q38"/>
  <c r="AG12" l="1"/>
  <c r="V12"/>
  <c r="L12"/>
  <c r="AG54"/>
  <c r="V54"/>
  <c r="V29" s="1"/>
  <c r="L54"/>
  <c r="AG75"/>
  <c r="V75"/>
  <c r="L75"/>
  <c r="AG114"/>
  <c r="V114"/>
  <c r="AG141"/>
  <c r="V141"/>
  <c r="L141"/>
  <c r="L146"/>
  <c r="AG164"/>
  <c r="V164"/>
  <c r="Q164"/>
  <c r="L164"/>
  <c r="AG160"/>
  <c r="V160"/>
  <c r="Q160"/>
  <c r="L160"/>
  <c r="R163"/>
  <c r="Z163" s="1"/>
  <c r="AD163" s="1"/>
  <c r="AK163" s="1"/>
  <c r="M163"/>
  <c r="Y163" s="1"/>
  <c r="AC163" s="1"/>
  <c r="R162"/>
  <c r="Z162" s="1"/>
  <c r="AD162" s="1"/>
  <c r="AK162" s="1"/>
  <c r="M162"/>
  <c r="Y162" s="1"/>
  <c r="AC162" s="1"/>
  <c r="Q12"/>
  <c r="R73" l="1"/>
  <c r="Z73" s="1"/>
  <c r="AD73" s="1"/>
  <c r="AK73" s="1"/>
  <c r="M73"/>
  <c r="Y73" s="1"/>
  <c r="AC73" s="1"/>
  <c r="AG66"/>
  <c r="AG65" s="1"/>
  <c r="V66"/>
  <c r="V65" s="1"/>
  <c r="Q66"/>
  <c r="Q65" s="1"/>
  <c r="L66"/>
  <c r="L65" s="1"/>
  <c r="AG146"/>
  <c r="V146"/>
  <c r="Q146"/>
  <c r="M153"/>
  <c r="Y153" s="1"/>
  <c r="AC153" s="1"/>
  <c r="R153"/>
  <c r="Z153" s="1"/>
  <c r="AD153" s="1"/>
  <c r="AK153" s="1"/>
  <c r="AM152"/>
  <c r="AQ152" s="1"/>
  <c r="AS152" s="1"/>
  <c r="AE152"/>
  <c r="AL152" s="1"/>
  <c r="AP152" s="1"/>
  <c r="R152"/>
  <c r="Z152" s="1"/>
  <c r="AD152" s="1"/>
  <c r="AK152" s="1"/>
  <c r="M152"/>
  <c r="Y152" s="1"/>
  <c r="AC152" s="1"/>
  <c r="Q77"/>
  <c r="Q76"/>
  <c r="Q119"/>
  <c r="Q114" s="1"/>
  <c r="Q34"/>
  <c r="Q55"/>
  <c r="Q54" s="1"/>
  <c r="Q44"/>
  <c r="Q37"/>
  <c r="AM52"/>
  <c r="AQ52" s="1"/>
  <c r="AS52" s="1"/>
  <c r="AM50"/>
  <c r="AQ50" s="1"/>
  <c r="AS50" s="1"/>
  <c r="AE52"/>
  <c r="AL52" s="1"/>
  <c r="AP52" s="1"/>
  <c r="AE50"/>
  <c r="AL50" s="1"/>
  <c r="AP50" s="1"/>
  <c r="R52"/>
  <c r="Z52" s="1"/>
  <c r="AD52" s="1"/>
  <c r="AK52" s="1"/>
  <c r="R50"/>
  <c r="Z50" s="1"/>
  <c r="AD50" s="1"/>
  <c r="AK50" s="1"/>
  <c r="M52"/>
  <c r="Y52" s="1"/>
  <c r="AC52" s="1"/>
  <c r="M50"/>
  <c r="Y50" s="1"/>
  <c r="AC50" s="1"/>
  <c r="AM41"/>
  <c r="AQ41" s="1"/>
  <c r="AS41" s="1"/>
  <c r="AE41"/>
  <c r="AL41" s="1"/>
  <c r="AP41" s="1"/>
  <c r="R41"/>
  <c r="Z41" s="1"/>
  <c r="AD41" s="1"/>
  <c r="AK41" s="1"/>
  <c r="M41"/>
  <c r="Y41" s="1"/>
  <c r="AC41" s="1"/>
  <c r="Q36"/>
  <c r="Q33"/>
  <c r="Q31"/>
  <c r="AM62"/>
  <c r="AQ62" s="1"/>
  <c r="AS62" s="1"/>
  <c r="AE62"/>
  <c r="AL62" s="1"/>
  <c r="AP62" s="1"/>
  <c r="R62"/>
  <c r="Z62" s="1"/>
  <c r="AD62" s="1"/>
  <c r="AK62" s="1"/>
  <c r="M62"/>
  <c r="Y62" s="1"/>
  <c r="AC62" s="1"/>
  <c r="L114"/>
  <c r="Q142"/>
  <c r="Q141" s="1"/>
  <c r="R167"/>
  <c r="Z167" s="1"/>
  <c r="AD167" s="1"/>
  <c r="AK167" s="1"/>
  <c r="R166"/>
  <c r="Z166" s="1"/>
  <c r="AD166" s="1"/>
  <c r="AK166" s="1"/>
  <c r="M167"/>
  <c r="Y167" s="1"/>
  <c r="AC167" s="1"/>
  <c r="M166"/>
  <c r="Y166" s="1"/>
  <c r="AC166" s="1"/>
  <c r="AG168"/>
  <c r="V168"/>
  <c r="L168"/>
  <c r="Q168"/>
  <c r="R19"/>
  <c r="Z19" s="1"/>
  <c r="AD19" s="1"/>
  <c r="AK19" s="1"/>
  <c r="M19"/>
  <c r="Y19" s="1"/>
  <c r="AC19" s="1"/>
  <c r="Q75" l="1"/>
  <c r="Q30"/>
  <c r="Q29" s="1"/>
  <c r="Q22"/>
  <c r="AG131"/>
  <c r="AG124" s="1"/>
  <c r="V131"/>
  <c r="V124" s="1"/>
  <c r="Q131"/>
  <c r="L131"/>
  <c r="L124" s="1"/>
  <c r="Q135"/>
  <c r="AG26"/>
  <c r="V26"/>
  <c r="Q26"/>
  <c r="L26"/>
  <c r="AG24"/>
  <c r="V24"/>
  <c r="Q24"/>
  <c r="L24"/>
  <c r="AG22"/>
  <c r="AG11" s="1"/>
  <c r="V22"/>
  <c r="L22"/>
  <c r="AM171"/>
  <c r="AQ171" s="1"/>
  <c r="AS171" s="1"/>
  <c r="AM170"/>
  <c r="AQ170" s="1"/>
  <c r="AS170" s="1"/>
  <c r="AM165"/>
  <c r="AQ165" s="1"/>
  <c r="AS165" s="1"/>
  <c r="AM164"/>
  <c r="AQ164" s="1"/>
  <c r="AS164" s="1"/>
  <c r="AM159"/>
  <c r="AQ159" s="1"/>
  <c r="AS159" s="1"/>
  <c r="AM158"/>
  <c r="AQ158" s="1"/>
  <c r="AS158" s="1"/>
  <c r="AM145"/>
  <c r="AQ145" s="1"/>
  <c r="AS145" s="1"/>
  <c r="AM123"/>
  <c r="AQ123" s="1"/>
  <c r="AS123" s="1"/>
  <c r="AM108"/>
  <c r="AQ108" s="1"/>
  <c r="AS108" s="1"/>
  <c r="AM107"/>
  <c r="AQ107" s="1"/>
  <c r="AS107" s="1"/>
  <c r="AM106"/>
  <c r="AQ106" s="1"/>
  <c r="AS106" s="1"/>
  <c r="AM105"/>
  <c r="AQ105" s="1"/>
  <c r="AS105" s="1"/>
  <c r="AM98"/>
  <c r="AQ98" s="1"/>
  <c r="AS98" s="1"/>
  <c r="AM72"/>
  <c r="AQ72" s="1"/>
  <c r="AS72" s="1"/>
  <c r="AM71"/>
  <c r="AQ71" s="1"/>
  <c r="AS71" s="1"/>
  <c r="AM69"/>
  <c r="AQ69" s="1"/>
  <c r="AS69" s="1"/>
  <c r="AM68"/>
  <c r="AQ68" s="1"/>
  <c r="AS68" s="1"/>
  <c r="AM61"/>
  <c r="AQ61" s="1"/>
  <c r="AS61" s="1"/>
  <c r="AM60"/>
  <c r="AQ60" s="1"/>
  <c r="AS60" s="1"/>
  <c r="AM28"/>
  <c r="AQ28" s="1"/>
  <c r="AS28" s="1"/>
  <c r="AE171"/>
  <c r="AL171" s="1"/>
  <c r="AP171" s="1"/>
  <c r="AE170"/>
  <c r="AL170" s="1"/>
  <c r="AP170" s="1"/>
  <c r="AE165"/>
  <c r="AL165" s="1"/>
  <c r="AP165" s="1"/>
  <c r="AE164"/>
  <c r="AL164" s="1"/>
  <c r="AP164" s="1"/>
  <c r="AE159"/>
  <c r="AL159" s="1"/>
  <c r="AP159" s="1"/>
  <c r="AE158"/>
  <c r="AL158" s="1"/>
  <c r="AP158" s="1"/>
  <c r="AE123"/>
  <c r="AL123" s="1"/>
  <c r="AP123" s="1"/>
  <c r="AE108"/>
  <c r="AL108" s="1"/>
  <c r="AP108" s="1"/>
  <c r="AE107"/>
  <c r="AL107" s="1"/>
  <c r="AP107" s="1"/>
  <c r="AE106"/>
  <c r="AL106" s="1"/>
  <c r="AP106" s="1"/>
  <c r="AE105"/>
  <c r="AL105" s="1"/>
  <c r="AP105" s="1"/>
  <c r="AE98"/>
  <c r="AL98" s="1"/>
  <c r="AP98" s="1"/>
  <c r="AE72"/>
  <c r="AL72" s="1"/>
  <c r="AP72" s="1"/>
  <c r="AE71"/>
  <c r="AL71" s="1"/>
  <c r="AP71" s="1"/>
  <c r="AE69"/>
  <c r="AL69" s="1"/>
  <c r="AP69" s="1"/>
  <c r="AE68"/>
  <c r="AL68" s="1"/>
  <c r="AP68" s="1"/>
  <c r="AE61"/>
  <c r="AL61" s="1"/>
  <c r="AP61" s="1"/>
  <c r="AE60"/>
  <c r="AL60" s="1"/>
  <c r="AP60" s="1"/>
  <c r="AE27"/>
  <c r="AL27" s="1"/>
  <c r="AP27" s="1"/>
  <c r="AE18"/>
  <c r="AL18" s="1"/>
  <c r="AP18" s="1"/>
  <c r="R159"/>
  <c r="Z159" s="1"/>
  <c r="AD159" s="1"/>
  <c r="AK159" s="1"/>
  <c r="R108"/>
  <c r="Z108" s="1"/>
  <c r="AD108" s="1"/>
  <c r="AK108" s="1"/>
  <c r="R107"/>
  <c r="Z107" s="1"/>
  <c r="AD107" s="1"/>
  <c r="AK107" s="1"/>
  <c r="R106"/>
  <c r="Z106" s="1"/>
  <c r="AD106" s="1"/>
  <c r="AK106" s="1"/>
  <c r="R61"/>
  <c r="Z61" s="1"/>
  <c r="AD61" s="1"/>
  <c r="AK61" s="1"/>
  <c r="M159"/>
  <c r="Y159" s="1"/>
  <c r="AC159" s="1"/>
  <c r="M108"/>
  <c r="Y108" s="1"/>
  <c r="AC108" s="1"/>
  <c r="M107"/>
  <c r="Y107" s="1"/>
  <c r="AC107" s="1"/>
  <c r="M106"/>
  <c r="Y106" s="1"/>
  <c r="AC106" s="1"/>
  <c r="M61"/>
  <c r="Y61" s="1"/>
  <c r="AC61" s="1"/>
  <c r="K76"/>
  <c r="V11" l="1"/>
  <c r="V10" s="1"/>
  <c r="Q124"/>
  <c r="L11"/>
  <c r="Q11"/>
  <c r="K55"/>
  <c r="H30"/>
  <c r="Q10" l="1"/>
  <c r="N72"/>
  <c r="R72" s="1"/>
  <c r="Z72" s="1"/>
  <c r="AD72" s="1"/>
  <c r="AK72" s="1"/>
  <c r="I72"/>
  <c r="M72" s="1"/>
  <c r="Y72" s="1"/>
  <c r="AC72" s="1"/>
  <c r="P169"/>
  <c r="U169"/>
  <c r="U12"/>
  <c r="U11" s="1"/>
  <c r="K118"/>
  <c r="S28"/>
  <c r="AE28" s="1"/>
  <c r="AL28" s="1"/>
  <c r="AP28" s="1"/>
  <c r="K34"/>
  <c r="I28"/>
  <c r="M28" s="1"/>
  <c r="Y28" s="1"/>
  <c r="AC28" s="1"/>
  <c r="N28"/>
  <c r="R28" s="1"/>
  <c r="Z28" s="1"/>
  <c r="AD28" s="1"/>
  <c r="AK28" s="1"/>
  <c r="N98"/>
  <c r="R98" s="1"/>
  <c r="Z98" s="1"/>
  <c r="AD98" s="1"/>
  <c r="AK98" s="1"/>
  <c r="I98"/>
  <c r="M98" s="1"/>
  <c r="Y98" s="1"/>
  <c r="AC98" s="1"/>
  <c r="N171" l="1"/>
  <c r="R171" s="1"/>
  <c r="Z171" s="1"/>
  <c r="AD171" s="1"/>
  <c r="AK171" s="1"/>
  <c r="K170"/>
  <c r="N170" s="1"/>
  <c r="R170" s="1"/>
  <c r="Z170" s="1"/>
  <c r="AD170" s="1"/>
  <c r="AK170" s="1"/>
  <c r="I171"/>
  <c r="M171" s="1"/>
  <c r="Y171" s="1"/>
  <c r="AC171" s="1"/>
  <c r="H170"/>
  <c r="I170" s="1"/>
  <c r="M170" s="1"/>
  <c r="Y170" s="1"/>
  <c r="AC170" s="1"/>
  <c r="N123" l="1"/>
  <c r="R123" s="1"/>
  <c r="Z123" s="1"/>
  <c r="AD123" s="1"/>
  <c r="I123"/>
  <c r="M123" s="1"/>
  <c r="Y123" s="1"/>
  <c r="AJ123" l="1"/>
  <c r="AJ114" s="1"/>
  <c r="AJ10" s="1"/>
  <c r="AK123"/>
  <c r="AB123"/>
  <c r="AB114" s="1"/>
  <c r="AB10" s="1"/>
  <c r="U114"/>
  <c r="P114"/>
  <c r="H114"/>
  <c r="K164"/>
  <c r="N164" s="1"/>
  <c r="R164" s="1"/>
  <c r="Z164" s="1"/>
  <c r="AD164" s="1"/>
  <c r="AK164" s="1"/>
  <c r="H164"/>
  <c r="U160"/>
  <c r="P160"/>
  <c r="K160"/>
  <c r="H160"/>
  <c r="AC123" l="1"/>
  <c r="I164"/>
  <c r="M164" s="1"/>
  <c r="Y164" s="1"/>
  <c r="AC164" s="1"/>
  <c r="N165"/>
  <c r="R165" s="1"/>
  <c r="Z165" s="1"/>
  <c r="AD165" s="1"/>
  <c r="AK165" s="1"/>
  <c r="I165"/>
  <c r="M165" s="1"/>
  <c r="Y165" s="1"/>
  <c r="AC165" s="1"/>
  <c r="K156" l="1"/>
  <c r="H156"/>
  <c r="N158"/>
  <c r="R158" s="1"/>
  <c r="Z158" s="1"/>
  <c r="AD158" s="1"/>
  <c r="AK158" s="1"/>
  <c r="I158"/>
  <c r="M158" s="1"/>
  <c r="Y158" s="1"/>
  <c r="AC158" s="1"/>
  <c r="AF140"/>
  <c r="AM140" s="1"/>
  <c r="AQ140" s="1"/>
  <c r="AS140" s="1"/>
  <c r="S140"/>
  <c r="AE140" s="1"/>
  <c r="AL140" s="1"/>
  <c r="AP140" s="1"/>
  <c r="N140"/>
  <c r="R140" s="1"/>
  <c r="Z140" s="1"/>
  <c r="AD140" s="1"/>
  <c r="AK140" s="1"/>
  <c r="I140"/>
  <c r="M140" s="1"/>
  <c r="Y140" s="1"/>
  <c r="AC140" s="1"/>
  <c r="H54" l="1"/>
  <c r="H29" s="1"/>
  <c r="K54"/>
  <c r="N60"/>
  <c r="R60" s="1"/>
  <c r="Z60" s="1"/>
  <c r="AD60" s="1"/>
  <c r="AK60" s="1"/>
  <c r="I60"/>
  <c r="M60" s="1"/>
  <c r="Y60" s="1"/>
  <c r="AC60" s="1"/>
  <c r="U101" l="1"/>
  <c r="P101"/>
  <c r="K101"/>
  <c r="H101"/>
  <c r="AF109"/>
  <c r="AM109" s="1"/>
  <c r="AQ109" s="1"/>
  <c r="AS109" s="1"/>
  <c r="S109"/>
  <c r="AE109" s="1"/>
  <c r="AL109" s="1"/>
  <c r="AP109" s="1"/>
  <c r="N109"/>
  <c r="R109" s="1"/>
  <c r="Z109" s="1"/>
  <c r="AD109" s="1"/>
  <c r="AK109" s="1"/>
  <c r="I109"/>
  <c r="M109" s="1"/>
  <c r="Y109" s="1"/>
  <c r="AC109" s="1"/>
  <c r="I105"/>
  <c r="M105" s="1"/>
  <c r="Y105" s="1"/>
  <c r="AC105" s="1"/>
  <c r="N105"/>
  <c r="R105" s="1"/>
  <c r="Z105" s="1"/>
  <c r="AD105" s="1"/>
  <c r="AK105" s="1"/>
  <c r="K68" l="1"/>
  <c r="H68"/>
  <c r="N69"/>
  <c r="I69"/>
  <c r="N68" l="1"/>
  <c r="R68" s="1"/>
  <c r="Z68" s="1"/>
  <c r="AD68" s="1"/>
  <c r="AK68" s="1"/>
  <c r="R69"/>
  <c r="Z69" s="1"/>
  <c r="AD69" s="1"/>
  <c r="AK69" s="1"/>
  <c r="I68"/>
  <c r="M68" s="1"/>
  <c r="Y68" s="1"/>
  <c r="AC68" s="1"/>
  <c r="M69"/>
  <c r="Y69" s="1"/>
  <c r="AC69" s="1"/>
  <c r="AF59"/>
  <c r="AM59" s="1"/>
  <c r="AQ59" s="1"/>
  <c r="AS59" s="1"/>
  <c r="S59"/>
  <c r="AE59" s="1"/>
  <c r="AL59" s="1"/>
  <c r="AP59" s="1"/>
  <c r="N59"/>
  <c r="R59" s="1"/>
  <c r="Z59" s="1"/>
  <c r="AD59" s="1"/>
  <c r="AK59" s="1"/>
  <c r="I59"/>
  <c r="M59" s="1"/>
  <c r="Y59" s="1"/>
  <c r="AC59" s="1"/>
  <c r="K142"/>
  <c r="K141" s="1"/>
  <c r="S145"/>
  <c r="AE145" s="1"/>
  <c r="AL145" s="1"/>
  <c r="AP145" s="1"/>
  <c r="N145"/>
  <c r="R145" s="1"/>
  <c r="Z145" s="1"/>
  <c r="AD145" s="1"/>
  <c r="AK145" s="1"/>
  <c r="I145"/>
  <c r="M145" s="1"/>
  <c r="Y145" s="1"/>
  <c r="AC145" s="1"/>
  <c r="G141"/>
  <c r="H141"/>
  <c r="K116"/>
  <c r="K114" s="1"/>
  <c r="N71" l="1"/>
  <c r="R71" s="1"/>
  <c r="Z71" s="1"/>
  <c r="AD71" s="1"/>
  <c r="AK71" s="1"/>
  <c r="I71"/>
  <c r="M71" s="1"/>
  <c r="Y71" s="1"/>
  <c r="AC71" s="1"/>
  <c r="I80" l="1"/>
  <c r="M80" s="1"/>
  <c r="Y80" s="1"/>
  <c r="AC80" s="1"/>
  <c r="AF80"/>
  <c r="AM80" s="1"/>
  <c r="AQ80" s="1"/>
  <c r="AS80" s="1"/>
  <c r="S80"/>
  <c r="AE80" s="1"/>
  <c r="AL80" s="1"/>
  <c r="AP80" s="1"/>
  <c r="N80"/>
  <c r="R80" s="1"/>
  <c r="Z80" s="1"/>
  <c r="AD80" s="1"/>
  <c r="AK80" s="1"/>
  <c r="K37" l="1"/>
  <c r="P30" l="1"/>
  <c r="U54" l="1"/>
  <c r="P54"/>
  <c r="P29" s="1"/>
  <c r="U66"/>
  <c r="U65" s="1"/>
  <c r="P81"/>
  <c r="P75" s="1"/>
  <c r="U81"/>
  <c r="U75" s="1"/>
  <c r="U125"/>
  <c r="U127"/>
  <c r="P131"/>
  <c r="U131"/>
  <c r="U135"/>
  <c r="U137"/>
  <c r="U141"/>
  <c r="P141"/>
  <c r="P146"/>
  <c r="K146"/>
  <c r="U146"/>
  <c r="U156"/>
  <c r="U168"/>
  <c r="AF55"/>
  <c r="AM55" s="1"/>
  <c r="AQ55" s="1"/>
  <c r="AS55" s="1"/>
  <c r="AF56"/>
  <c r="AM56" s="1"/>
  <c r="AQ56" s="1"/>
  <c r="AS56" s="1"/>
  <c r="AF57"/>
  <c r="AM57" s="1"/>
  <c r="AQ57" s="1"/>
  <c r="AS57" s="1"/>
  <c r="AF58"/>
  <c r="AM58" s="1"/>
  <c r="AQ58" s="1"/>
  <c r="AS58" s="1"/>
  <c r="AF67"/>
  <c r="AM67" s="1"/>
  <c r="AQ67" s="1"/>
  <c r="AS67" s="1"/>
  <c r="AF70"/>
  <c r="AM70" s="1"/>
  <c r="AQ70" s="1"/>
  <c r="AS70" s="1"/>
  <c r="AF76"/>
  <c r="AM76" s="1"/>
  <c r="AQ76" s="1"/>
  <c r="AS76" s="1"/>
  <c r="AF78"/>
  <c r="AM78" s="1"/>
  <c r="AQ78" s="1"/>
  <c r="AS78" s="1"/>
  <c r="AF79"/>
  <c r="AM79" s="1"/>
  <c r="AQ79" s="1"/>
  <c r="AS79" s="1"/>
  <c r="AF82"/>
  <c r="AM82" s="1"/>
  <c r="AQ82" s="1"/>
  <c r="AS82" s="1"/>
  <c r="AF83"/>
  <c r="AM83" s="1"/>
  <c r="AQ83" s="1"/>
  <c r="AS83" s="1"/>
  <c r="AF84"/>
  <c r="AM84" s="1"/>
  <c r="AQ84" s="1"/>
  <c r="AS84" s="1"/>
  <c r="AF85"/>
  <c r="AM85" s="1"/>
  <c r="AQ85" s="1"/>
  <c r="AS85" s="1"/>
  <c r="AF86"/>
  <c r="AM86" s="1"/>
  <c r="AQ86" s="1"/>
  <c r="AS86" s="1"/>
  <c r="AF87"/>
  <c r="AM87" s="1"/>
  <c r="AQ87" s="1"/>
  <c r="AS87" s="1"/>
  <c r="AF88"/>
  <c r="AM88" s="1"/>
  <c r="AQ88" s="1"/>
  <c r="AS88" s="1"/>
  <c r="AF89"/>
  <c r="AM89" s="1"/>
  <c r="AQ89" s="1"/>
  <c r="AS89" s="1"/>
  <c r="AF90"/>
  <c r="AM90" s="1"/>
  <c r="AQ90" s="1"/>
  <c r="AS90" s="1"/>
  <c r="AF92"/>
  <c r="AM92" s="1"/>
  <c r="AQ92" s="1"/>
  <c r="AS92" s="1"/>
  <c r="AF93"/>
  <c r="AM93" s="1"/>
  <c r="AQ93" s="1"/>
  <c r="AS93" s="1"/>
  <c r="AF94"/>
  <c r="AM94" s="1"/>
  <c r="AQ94" s="1"/>
  <c r="AS94" s="1"/>
  <c r="AF95"/>
  <c r="AM95" s="1"/>
  <c r="AQ95" s="1"/>
  <c r="AS95" s="1"/>
  <c r="AF96"/>
  <c r="AM96" s="1"/>
  <c r="AQ96" s="1"/>
  <c r="AS96" s="1"/>
  <c r="AF97"/>
  <c r="AM97" s="1"/>
  <c r="AQ97" s="1"/>
  <c r="AS97" s="1"/>
  <c r="AF102"/>
  <c r="AM102" s="1"/>
  <c r="AQ102" s="1"/>
  <c r="AS102" s="1"/>
  <c r="AF103"/>
  <c r="AM103" s="1"/>
  <c r="AQ103" s="1"/>
  <c r="AS103" s="1"/>
  <c r="AF104"/>
  <c r="AM104" s="1"/>
  <c r="AQ104" s="1"/>
  <c r="AS104" s="1"/>
  <c r="AF115"/>
  <c r="AM115" s="1"/>
  <c r="AQ115" s="1"/>
  <c r="AS115" s="1"/>
  <c r="AF116"/>
  <c r="AM116" s="1"/>
  <c r="AQ116" s="1"/>
  <c r="AS116" s="1"/>
  <c r="AF117"/>
  <c r="AM117" s="1"/>
  <c r="AQ117" s="1"/>
  <c r="AS117" s="1"/>
  <c r="AF118"/>
  <c r="AM118" s="1"/>
  <c r="AQ118" s="1"/>
  <c r="AS118" s="1"/>
  <c r="AF119"/>
  <c r="AM119" s="1"/>
  <c r="AQ119" s="1"/>
  <c r="AS119" s="1"/>
  <c r="AF120"/>
  <c r="AM120" s="1"/>
  <c r="AQ120" s="1"/>
  <c r="AS120" s="1"/>
  <c r="AF121"/>
  <c r="AM121" s="1"/>
  <c r="AQ121" s="1"/>
  <c r="AS121" s="1"/>
  <c r="AF122"/>
  <c r="AM122" s="1"/>
  <c r="AQ122" s="1"/>
  <c r="AS122" s="1"/>
  <c r="AF126"/>
  <c r="AM126" s="1"/>
  <c r="AQ126" s="1"/>
  <c r="AS126" s="1"/>
  <c r="AF128"/>
  <c r="AM128" s="1"/>
  <c r="AQ128" s="1"/>
  <c r="AS128" s="1"/>
  <c r="AF129"/>
  <c r="AM129" s="1"/>
  <c r="AQ129" s="1"/>
  <c r="AS129" s="1"/>
  <c r="AF130"/>
  <c r="AM130" s="1"/>
  <c r="AQ130" s="1"/>
  <c r="AS130" s="1"/>
  <c r="AF132"/>
  <c r="AM132" s="1"/>
  <c r="AQ132" s="1"/>
  <c r="AS132" s="1"/>
  <c r="AF133"/>
  <c r="AM133" s="1"/>
  <c r="AQ133" s="1"/>
  <c r="AS133" s="1"/>
  <c r="AF134"/>
  <c r="AM134" s="1"/>
  <c r="AQ134" s="1"/>
  <c r="AS134" s="1"/>
  <c r="AF136"/>
  <c r="AM136" s="1"/>
  <c r="AQ136" s="1"/>
  <c r="AS136" s="1"/>
  <c r="AF138"/>
  <c r="AM138" s="1"/>
  <c r="AQ138" s="1"/>
  <c r="AS138" s="1"/>
  <c r="AF139"/>
  <c r="AM139" s="1"/>
  <c r="AQ139" s="1"/>
  <c r="AS139" s="1"/>
  <c r="AF142"/>
  <c r="AM142" s="1"/>
  <c r="AQ142" s="1"/>
  <c r="AS142" s="1"/>
  <c r="AF143"/>
  <c r="AM143" s="1"/>
  <c r="AQ143" s="1"/>
  <c r="AS143" s="1"/>
  <c r="AF144"/>
  <c r="AM144" s="1"/>
  <c r="AQ144" s="1"/>
  <c r="AS144" s="1"/>
  <c r="AF147"/>
  <c r="AM147" s="1"/>
  <c r="AQ147" s="1"/>
  <c r="AS147" s="1"/>
  <c r="AF148"/>
  <c r="AM148" s="1"/>
  <c r="AQ148" s="1"/>
  <c r="AS148" s="1"/>
  <c r="AF149"/>
  <c r="AM149" s="1"/>
  <c r="AQ149" s="1"/>
  <c r="AS149" s="1"/>
  <c r="AF150"/>
  <c r="AM150" s="1"/>
  <c r="AQ150" s="1"/>
  <c r="AS150" s="1"/>
  <c r="AF151"/>
  <c r="AM151" s="1"/>
  <c r="AQ151" s="1"/>
  <c r="AS151" s="1"/>
  <c r="AF157"/>
  <c r="AM157" s="1"/>
  <c r="AQ157" s="1"/>
  <c r="AS157" s="1"/>
  <c r="AF161"/>
  <c r="AM161" s="1"/>
  <c r="AQ161" s="1"/>
  <c r="AS161" s="1"/>
  <c r="AF169"/>
  <c r="AM169" s="1"/>
  <c r="AQ169" s="1"/>
  <c r="AS169" s="1"/>
  <c r="AF13"/>
  <c r="AM13" s="1"/>
  <c r="AQ13" s="1"/>
  <c r="AS13" s="1"/>
  <c r="AF14"/>
  <c r="AM14" s="1"/>
  <c r="AQ14" s="1"/>
  <c r="AS14" s="1"/>
  <c r="AF15"/>
  <c r="AM15" s="1"/>
  <c r="AQ15" s="1"/>
  <c r="AS15" s="1"/>
  <c r="AF16"/>
  <c r="AM16" s="1"/>
  <c r="AQ16" s="1"/>
  <c r="AS16" s="1"/>
  <c r="AF17"/>
  <c r="AM17" s="1"/>
  <c r="AQ17" s="1"/>
  <c r="AS17" s="1"/>
  <c r="AF18"/>
  <c r="AM18" s="1"/>
  <c r="AQ18" s="1"/>
  <c r="AS18" s="1"/>
  <c r="AF23"/>
  <c r="AM23" s="1"/>
  <c r="AQ23" s="1"/>
  <c r="AS23" s="1"/>
  <c r="AF25"/>
  <c r="AM25" s="1"/>
  <c r="AQ25" s="1"/>
  <c r="AS25" s="1"/>
  <c r="AF26"/>
  <c r="AM26" s="1"/>
  <c r="AQ26" s="1"/>
  <c r="AS26" s="1"/>
  <c r="AF27"/>
  <c r="AM27" s="1"/>
  <c r="AQ27" s="1"/>
  <c r="AS27" s="1"/>
  <c r="U30"/>
  <c r="AF31"/>
  <c r="AM31" s="1"/>
  <c r="AQ31" s="1"/>
  <c r="AS31" s="1"/>
  <c r="AF32"/>
  <c r="AM32" s="1"/>
  <c r="AQ32" s="1"/>
  <c r="AS32" s="1"/>
  <c r="AF33"/>
  <c r="AM33" s="1"/>
  <c r="AQ33" s="1"/>
  <c r="AS33" s="1"/>
  <c r="AF34"/>
  <c r="AM34" s="1"/>
  <c r="AQ34" s="1"/>
  <c r="AS34" s="1"/>
  <c r="AF35"/>
  <c r="AM35" s="1"/>
  <c r="AQ35" s="1"/>
  <c r="AS35" s="1"/>
  <c r="AF36"/>
  <c r="AM36" s="1"/>
  <c r="AQ36" s="1"/>
  <c r="AS36" s="1"/>
  <c r="AF37"/>
  <c r="AM37" s="1"/>
  <c r="AQ37" s="1"/>
  <c r="AS37" s="1"/>
  <c r="AF38"/>
  <c r="AM38" s="1"/>
  <c r="AQ38" s="1"/>
  <c r="AS38" s="1"/>
  <c r="AF39"/>
  <c r="AM39" s="1"/>
  <c r="AQ39" s="1"/>
  <c r="AS39" s="1"/>
  <c r="AF40"/>
  <c r="AM40" s="1"/>
  <c r="AQ40" s="1"/>
  <c r="AS40" s="1"/>
  <c r="AF42"/>
  <c r="AM42" s="1"/>
  <c r="AQ42" s="1"/>
  <c r="AS42" s="1"/>
  <c r="AF43"/>
  <c r="AM43" s="1"/>
  <c r="AQ43" s="1"/>
  <c r="AS43" s="1"/>
  <c r="AF44"/>
  <c r="AM44" s="1"/>
  <c r="AQ44" s="1"/>
  <c r="AS44" s="1"/>
  <c r="AF45"/>
  <c r="AM45" s="1"/>
  <c r="AQ45" s="1"/>
  <c r="AS45" s="1"/>
  <c r="AF46"/>
  <c r="AM46" s="1"/>
  <c r="AQ46" s="1"/>
  <c r="AS46" s="1"/>
  <c r="AF47"/>
  <c r="AM47" s="1"/>
  <c r="AQ47" s="1"/>
  <c r="AS47" s="1"/>
  <c r="AF48"/>
  <c r="AM48" s="1"/>
  <c r="AQ48" s="1"/>
  <c r="AS48" s="1"/>
  <c r="AF49"/>
  <c r="AM49" s="1"/>
  <c r="AQ49" s="1"/>
  <c r="AS49" s="1"/>
  <c r="AF51"/>
  <c r="AG51" s="1"/>
  <c r="AG30" s="1"/>
  <c r="AG29" s="1"/>
  <c r="AG10" s="1"/>
  <c r="K30"/>
  <c r="K29" s="1"/>
  <c r="S39"/>
  <c r="AE39" s="1"/>
  <c r="AL39" s="1"/>
  <c r="AP39" s="1"/>
  <c r="S40"/>
  <c r="S42"/>
  <c r="AE42" s="1"/>
  <c r="AL42" s="1"/>
  <c r="AP42" s="1"/>
  <c r="S43"/>
  <c r="AE43" s="1"/>
  <c r="AL43" s="1"/>
  <c r="AP43" s="1"/>
  <c r="S44"/>
  <c r="AE44" s="1"/>
  <c r="AL44" s="1"/>
  <c r="AP44" s="1"/>
  <c r="S45"/>
  <c r="AE45" s="1"/>
  <c r="AL45" s="1"/>
  <c r="AP45" s="1"/>
  <c r="S46"/>
  <c r="AE46" s="1"/>
  <c r="AL46" s="1"/>
  <c r="AP46" s="1"/>
  <c r="S47"/>
  <c r="AE47" s="1"/>
  <c r="AL47" s="1"/>
  <c r="AP47" s="1"/>
  <c r="S48"/>
  <c r="AE48" s="1"/>
  <c r="AL48" s="1"/>
  <c r="AP48" s="1"/>
  <c r="S49"/>
  <c r="AE49" s="1"/>
  <c r="AL49" s="1"/>
  <c r="AP49" s="1"/>
  <c r="S51"/>
  <c r="AE51" s="1"/>
  <c r="AL51" s="1"/>
  <c r="AP51" s="1"/>
  <c r="N70"/>
  <c r="R70" s="1"/>
  <c r="Z70" s="1"/>
  <c r="AD70" s="1"/>
  <c r="AK70" s="1"/>
  <c r="S70"/>
  <c r="AE70" s="1"/>
  <c r="AL70" s="1"/>
  <c r="AP70" s="1"/>
  <c r="I70"/>
  <c r="M70" s="1"/>
  <c r="Y70" s="1"/>
  <c r="AC70" s="1"/>
  <c r="S122"/>
  <c r="AE122" s="1"/>
  <c r="AL122" s="1"/>
  <c r="AP122" s="1"/>
  <c r="N122"/>
  <c r="R122" s="1"/>
  <c r="Z122" s="1"/>
  <c r="AD122" s="1"/>
  <c r="AK122" s="1"/>
  <c r="I122"/>
  <c r="M122" s="1"/>
  <c r="Y122" s="1"/>
  <c r="AC122" s="1"/>
  <c r="V40" l="1"/>
  <c r="AE40" s="1"/>
  <c r="AL40" s="1"/>
  <c r="AP40" s="1"/>
  <c r="AM51"/>
  <c r="AQ51" s="1"/>
  <c r="AS51" s="1"/>
  <c r="U29"/>
  <c r="AF30"/>
  <c r="U124"/>
  <c r="I118"/>
  <c r="M118" s="1"/>
  <c r="Y118" s="1"/>
  <c r="AC118" s="1"/>
  <c r="I116"/>
  <c r="M116" s="1"/>
  <c r="Y116" s="1"/>
  <c r="AC116" s="1"/>
  <c r="S97"/>
  <c r="AE97" s="1"/>
  <c r="AL97" s="1"/>
  <c r="AP97" s="1"/>
  <c r="N97"/>
  <c r="R97" s="1"/>
  <c r="Z97" s="1"/>
  <c r="AD97" s="1"/>
  <c r="AK97" s="1"/>
  <c r="I97"/>
  <c r="M97" s="1"/>
  <c r="Y97" s="1"/>
  <c r="AC97" s="1"/>
  <c r="N27"/>
  <c r="R27" s="1"/>
  <c r="Z27" s="1"/>
  <c r="AD27" s="1"/>
  <c r="AK27" s="1"/>
  <c r="H12"/>
  <c r="I27"/>
  <c r="M27" s="1"/>
  <c r="Y27" s="1"/>
  <c r="AC27" s="1"/>
  <c r="O26"/>
  <c r="S26" s="1"/>
  <c r="AE26" s="1"/>
  <c r="AL26" s="1"/>
  <c r="AP26" s="1"/>
  <c r="K26"/>
  <c r="J26"/>
  <c r="H26"/>
  <c r="G26"/>
  <c r="K12"/>
  <c r="N18"/>
  <c r="R18" s="1"/>
  <c r="Z18" s="1"/>
  <c r="AD18" s="1"/>
  <c r="AK18" s="1"/>
  <c r="J12"/>
  <c r="I18"/>
  <c r="M18" s="1"/>
  <c r="Y18" s="1"/>
  <c r="AC18" s="1"/>
  <c r="G30"/>
  <c r="O12"/>
  <c r="S17"/>
  <c r="AE17" s="1"/>
  <c r="AL17" s="1"/>
  <c r="AP17" s="1"/>
  <c r="N17"/>
  <c r="R17" s="1"/>
  <c r="Z17" s="1"/>
  <c r="AD17" s="1"/>
  <c r="AK17" s="1"/>
  <c r="I17"/>
  <c r="M17" s="1"/>
  <c r="Y17" s="1"/>
  <c r="AC17" s="1"/>
  <c r="G12"/>
  <c r="U10" l="1"/>
  <c r="AM30"/>
  <c r="AQ30" s="1"/>
  <c r="AS30" s="1"/>
  <c r="I26"/>
  <c r="M26" s="1"/>
  <c r="Y26" s="1"/>
  <c r="AC26" s="1"/>
  <c r="N12"/>
  <c r="R12" s="1"/>
  <c r="Z12" s="1"/>
  <c r="AD12" s="1"/>
  <c r="AK12" s="1"/>
  <c r="N26"/>
  <c r="R26" s="1"/>
  <c r="Z26" s="1"/>
  <c r="AD26" s="1"/>
  <c r="AK26" s="1"/>
  <c r="I12"/>
  <c r="M12" s="1"/>
  <c r="Y12" s="1"/>
  <c r="AC12" s="1"/>
  <c r="N39" l="1"/>
  <c r="R39" s="1"/>
  <c r="Z39" s="1"/>
  <c r="AD39" s="1"/>
  <c r="AK39" s="1"/>
  <c r="N40"/>
  <c r="N42"/>
  <c r="R42" s="1"/>
  <c r="Z42" s="1"/>
  <c r="AD42" s="1"/>
  <c r="AK42" s="1"/>
  <c r="N43"/>
  <c r="R43" s="1"/>
  <c r="Z43" s="1"/>
  <c r="AD43" s="1"/>
  <c r="AK43" s="1"/>
  <c r="N44"/>
  <c r="R44" s="1"/>
  <c r="Z44" s="1"/>
  <c r="AD44" s="1"/>
  <c r="AK44" s="1"/>
  <c r="N45"/>
  <c r="R45" s="1"/>
  <c r="Z45" s="1"/>
  <c r="AD45" s="1"/>
  <c r="AK45" s="1"/>
  <c r="N46"/>
  <c r="R46" s="1"/>
  <c r="Z46" s="1"/>
  <c r="AD46" s="1"/>
  <c r="AK46" s="1"/>
  <c r="N47"/>
  <c r="R47" s="1"/>
  <c r="Z47" s="1"/>
  <c r="AD47" s="1"/>
  <c r="AK47" s="1"/>
  <c r="N48"/>
  <c r="R48" s="1"/>
  <c r="Z48" s="1"/>
  <c r="AD48" s="1"/>
  <c r="AK48" s="1"/>
  <c r="N49"/>
  <c r="R49" s="1"/>
  <c r="Z49" s="1"/>
  <c r="AD49" s="1"/>
  <c r="AK49" s="1"/>
  <c r="N51"/>
  <c r="R51" s="1"/>
  <c r="Z51" s="1"/>
  <c r="AD51" s="1"/>
  <c r="AK51" s="1"/>
  <c r="I39"/>
  <c r="M39" s="1"/>
  <c r="Y39" s="1"/>
  <c r="AC39" s="1"/>
  <c r="I40"/>
  <c r="I42"/>
  <c r="M42" s="1"/>
  <c r="Y42" s="1"/>
  <c r="AC42" s="1"/>
  <c r="I43"/>
  <c r="M43" s="1"/>
  <c r="Y43" s="1"/>
  <c r="AC43" s="1"/>
  <c r="I44"/>
  <c r="M44" s="1"/>
  <c r="Y44" s="1"/>
  <c r="AC44" s="1"/>
  <c r="I45"/>
  <c r="M45" s="1"/>
  <c r="Y45" s="1"/>
  <c r="AC45" s="1"/>
  <c r="I46"/>
  <c r="M46" s="1"/>
  <c r="Y46" s="1"/>
  <c r="AC46" s="1"/>
  <c r="I47"/>
  <c r="M47" s="1"/>
  <c r="Y47" s="1"/>
  <c r="AC47" s="1"/>
  <c r="I48"/>
  <c r="M48" s="1"/>
  <c r="Y48" s="1"/>
  <c r="AC48" s="1"/>
  <c r="I49"/>
  <c r="I51"/>
  <c r="M51" s="1"/>
  <c r="Y51" s="1"/>
  <c r="AC51" s="1"/>
  <c r="L40" l="1"/>
  <c r="L30" s="1"/>
  <c r="L29" s="1"/>
  <c r="L10" s="1"/>
  <c r="P12"/>
  <c r="P22"/>
  <c r="P24"/>
  <c r="P66"/>
  <c r="P65" s="1"/>
  <c r="P125"/>
  <c r="P127"/>
  <c r="P135"/>
  <c r="P137"/>
  <c r="P156"/>
  <c r="P168"/>
  <c r="S13"/>
  <c r="AE13" s="1"/>
  <c r="AL13" s="1"/>
  <c r="AP13" s="1"/>
  <c r="S14"/>
  <c r="AE14" s="1"/>
  <c r="AL14" s="1"/>
  <c r="AP14" s="1"/>
  <c r="S15"/>
  <c r="AE15" s="1"/>
  <c r="AL15" s="1"/>
  <c r="AP15" s="1"/>
  <c r="S16"/>
  <c r="AE16" s="1"/>
  <c r="AL16" s="1"/>
  <c r="AP16" s="1"/>
  <c r="S23"/>
  <c r="AE23" s="1"/>
  <c r="AL23" s="1"/>
  <c r="AP23" s="1"/>
  <c r="S25"/>
  <c r="AE25" s="1"/>
  <c r="AL25" s="1"/>
  <c r="AP25" s="1"/>
  <c r="S31"/>
  <c r="AE31" s="1"/>
  <c r="AL31" s="1"/>
  <c r="AP31" s="1"/>
  <c r="S32"/>
  <c r="AE32" s="1"/>
  <c r="AL32" s="1"/>
  <c r="AP32" s="1"/>
  <c r="S33"/>
  <c r="AE33" s="1"/>
  <c r="AL33" s="1"/>
  <c r="AP33" s="1"/>
  <c r="S34"/>
  <c r="AE34" s="1"/>
  <c r="AL34" s="1"/>
  <c r="AP34" s="1"/>
  <c r="S35"/>
  <c r="AE35" s="1"/>
  <c r="AL35" s="1"/>
  <c r="AP35" s="1"/>
  <c r="S36"/>
  <c r="AE36" s="1"/>
  <c r="AL36" s="1"/>
  <c r="AP36" s="1"/>
  <c r="S37"/>
  <c r="AE37" s="1"/>
  <c r="AL37" s="1"/>
  <c r="AP37" s="1"/>
  <c r="S38"/>
  <c r="AE38" s="1"/>
  <c r="AL38" s="1"/>
  <c r="AP38" s="1"/>
  <c r="S55"/>
  <c r="AE55" s="1"/>
  <c r="AL55" s="1"/>
  <c r="AP55" s="1"/>
  <c r="S56"/>
  <c r="AE56" s="1"/>
  <c r="AL56" s="1"/>
  <c r="AP56" s="1"/>
  <c r="S57"/>
  <c r="AE57" s="1"/>
  <c r="AL57" s="1"/>
  <c r="AP57" s="1"/>
  <c r="S58"/>
  <c r="AE58" s="1"/>
  <c r="AL58" s="1"/>
  <c r="AP58" s="1"/>
  <c r="S67"/>
  <c r="AE67" s="1"/>
  <c r="AL67" s="1"/>
  <c r="AP67" s="1"/>
  <c r="S76"/>
  <c r="AE76" s="1"/>
  <c r="AL76" s="1"/>
  <c r="AP76" s="1"/>
  <c r="S77"/>
  <c r="AE77" s="1"/>
  <c r="AL77" s="1"/>
  <c r="AP77" s="1"/>
  <c r="S78"/>
  <c r="AE78" s="1"/>
  <c r="AL78" s="1"/>
  <c r="AP78" s="1"/>
  <c r="S79"/>
  <c r="AE79" s="1"/>
  <c r="AL79" s="1"/>
  <c r="AP79" s="1"/>
  <c r="S82"/>
  <c r="AE82" s="1"/>
  <c r="AL82" s="1"/>
  <c r="AP82" s="1"/>
  <c r="S83"/>
  <c r="AE83" s="1"/>
  <c r="AL83" s="1"/>
  <c r="AP83" s="1"/>
  <c r="S84"/>
  <c r="AE84" s="1"/>
  <c r="AL84" s="1"/>
  <c r="AP84" s="1"/>
  <c r="S85"/>
  <c r="AE85" s="1"/>
  <c r="AL85" s="1"/>
  <c r="AP85" s="1"/>
  <c r="S86"/>
  <c r="AE86" s="1"/>
  <c r="AL86" s="1"/>
  <c r="AP86" s="1"/>
  <c r="S87"/>
  <c r="AE87" s="1"/>
  <c r="AL87" s="1"/>
  <c r="AP87" s="1"/>
  <c r="S88"/>
  <c r="AE88" s="1"/>
  <c r="AL88" s="1"/>
  <c r="AP88" s="1"/>
  <c r="S89"/>
  <c r="AE89" s="1"/>
  <c r="AL89" s="1"/>
  <c r="AP89" s="1"/>
  <c r="S90"/>
  <c r="AE90" s="1"/>
  <c r="AL90" s="1"/>
  <c r="AP90" s="1"/>
  <c r="S92"/>
  <c r="AE92" s="1"/>
  <c r="AL92" s="1"/>
  <c r="AP92" s="1"/>
  <c r="S93"/>
  <c r="AE93" s="1"/>
  <c r="AL93" s="1"/>
  <c r="AP93" s="1"/>
  <c r="S94"/>
  <c r="AE94" s="1"/>
  <c r="AL94" s="1"/>
  <c r="AP94" s="1"/>
  <c r="S95"/>
  <c r="AE95" s="1"/>
  <c r="AL95" s="1"/>
  <c r="AP95" s="1"/>
  <c r="S96"/>
  <c r="AE96" s="1"/>
  <c r="AL96" s="1"/>
  <c r="AP96" s="1"/>
  <c r="S102"/>
  <c r="AE102" s="1"/>
  <c r="AL102" s="1"/>
  <c r="AP102" s="1"/>
  <c r="S103"/>
  <c r="AE103" s="1"/>
  <c r="AL103" s="1"/>
  <c r="AP103" s="1"/>
  <c r="S104"/>
  <c r="AE104" s="1"/>
  <c r="AL104" s="1"/>
  <c r="AP104" s="1"/>
  <c r="S115"/>
  <c r="AE115" s="1"/>
  <c r="AL115" s="1"/>
  <c r="AP115" s="1"/>
  <c r="S116"/>
  <c r="AE116" s="1"/>
  <c r="AL116" s="1"/>
  <c r="AP116" s="1"/>
  <c r="S117"/>
  <c r="AE117" s="1"/>
  <c r="AL117" s="1"/>
  <c r="AP117" s="1"/>
  <c r="S118"/>
  <c r="AE118" s="1"/>
  <c r="AL118" s="1"/>
  <c r="AP118" s="1"/>
  <c r="S119"/>
  <c r="AE119" s="1"/>
  <c r="AL119" s="1"/>
  <c r="AP119" s="1"/>
  <c r="S120"/>
  <c r="AE120" s="1"/>
  <c r="AL120" s="1"/>
  <c r="AP120" s="1"/>
  <c r="S121"/>
  <c r="AE121" s="1"/>
  <c r="AL121" s="1"/>
  <c r="AP121" s="1"/>
  <c r="S126"/>
  <c r="AE126" s="1"/>
  <c r="AL126" s="1"/>
  <c r="AP126" s="1"/>
  <c r="S128"/>
  <c r="AE128" s="1"/>
  <c r="AL128" s="1"/>
  <c r="AP128" s="1"/>
  <c r="S129"/>
  <c r="AE129" s="1"/>
  <c r="AL129" s="1"/>
  <c r="AP129" s="1"/>
  <c r="S130"/>
  <c r="AE130" s="1"/>
  <c r="AL130" s="1"/>
  <c r="AP130" s="1"/>
  <c r="S132"/>
  <c r="AE132" s="1"/>
  <c r="AL132" s="1"/>
  <c r="AP132" s="1"/>
  <c r="S133"/>
  <c r="AE133" s="1"/>
  <c r="AL133" s="1"/>
  <c r="AP133" s="1"/>
  <c r="S134"/>
  <c r="AE134" s="1"/>
  <c r="AL134" s="1"/>
  <c r="AP134" s="1"/>
  <c r="S136"/>
  <c r="AE136" s="1"/>
  <c r="AL136" s="1"/>
  <c r="AP136" s="1"/>
  <c r="S138"/>
  <c r="AE138" s="1"/>
  <c r="AL138" s="1"/>
  <c r="AP138" s="1"/>
  <c r="S139"/>
  <c r="AE139" s="1"/>
  <c r="AL139" s="1"/>
  <c r="AP139" s="1"/>
  <c r="S142"/>
  <c r="AE142" s="1"/>
  <c r="AL142" s="1"/>
  <c r="AP142" s="1"/>
  <c r="S143"/>
  <c r="AE143" s="1"/>
  <c r="AL143" s="1"/>
  <c r="AP143" s="1"/>
  <c r="S144"/>
  <c r="AE144" s="1"/>
  <c r="AL144" s="1"/>
  <c r="AP144" s="1"/>
  <c r="S147"/>
  <c r="AE147" s="1"/>
  <c r="AL147" s="1"/>
  <c r="AP147" s="1"/>
  <c r="S148"/>
  <c r="AE148" s="1"/>
  <c r="AL148" s="1"/>
  <c r="AP148" s="1"/>
  <c r="S149"/>
  <c r="AE149" s="1"/>
  <c r="AL149" s="1"/>
  <c r="AP149" s="1"/>
  <c r="S150"/>
  <c r="AE150" s="1"/>
  <c r="AL150" s="1"/>
  <c r="AP150" s="1"/>
  <c r="S151"/>
  <c r="AE151" s="1"/>
  <c r="AL151" s="1"/>
  <c r="AP151" s="1"/>
  <c r="S157"/>
  <c r="AE157" s="1"/>
  <c r="AL157" s="1"/>
  <c r="AP157" s="1"/>
  <c r="S161"/>
  <c r="AE161" s="1"/>
  <c r="AL161" s="1"/>
  <c r="AP161" s="1"/>
  <c r="S169"/>
  <c r="AE169" s="1"/>
  <c r="AL169" s="1"/>
  <c r="AP169" s="1"/>
  <c r="K168"/>
  <c r="K137"/>
  <c r="K135"/>
  <c r="K131"/>
  <c r="K127"/>
  <c r="K125"/>
  <c r="K22"/>
  <c r="K24"/>
  <c r="K66"/>
  <c r="K81"/>
  <c r="K75" s="1"/>
  <c r="N13"/>
  <c r="R13" s="1"/>
  <c r="Z13" s="1"/>
  <c r="AD13" s="1"/>
  <c r="AK13" s="1"/>
  <c r="N14"/>
  <c r="R14" s="1"/>
  <c r="Z14" s="1"/>
  <c r="AD14" s="1"/>
  <c r="AK14" s="1"/>
  <c r="N15"/>
  <c r="R15" s="1"/>
  <c r="Z15" s="1"/>
  <c r="AD15" s="1"/>
  <c r="AK15" s="1"/>
  <c r="N16"/>
  <c r="R16" s="1"/>
  <c r="Z16" s="1"/>
  <c r="AD16" s="1"/>
  <c r="AK16" s="1"/>
  <c r="N23"/>
  <c r="R23" s="1"/>
  <c r="Z23" s="1"/>
  <c r="AD23" s="1"/>
  <c r="AK23" s="1"/>
  <c r="N25"/>
  <c r="R25" s="1"/>
  <c r="Z25" s="1"/>
  <c r="AD25" s="1"/>
  <c r="AK25" s="1"/>
  <c r="N31"/>
  <c r="R31" s="1"/>
  <c r="Z31" s="1"/>
  <c r="AD31" s="1"/>
  <c r="AK31" s="1"/>
  <c r="N32"/>
  <c r="R32" s="1"/>
  <c r="Z32" s="1"/>
  <c r="AD32" s="1"/>
  <c r="AK32" s="1"/>
  <c r="N33"/>
  <c r="R33" s="1"/>
  <c r="Z33" s="1"/>
  <c r="AD33" s="1"/>
  <c r="AK33" s="1"/>
  <c r="N34"/>
  <c r="R34" s="1"/>
  <c r="Z34" s="1"/>
  <c r="AD34" s="1"/>
  <c r="AK34" s="1"/>
  <c r="N35"/>
  <c r="R35" s="1"/>
  <c r="Z35" s="1"/>
  <c r="AD35" s="1"/>
  <c r="AK35" s="1"/>
  <c r="N36"/>
  <c r="R36" s="1"/>
  <c r="Z36" s="1"/>
  <c r="AD36" s="1"/>
  <c r="AK36" s="1"/>
  <c r="N37"/>
  <c r="R37" s="1"/>
  <c r="Z37" s="1"/>
  <c r="AD37" s="1"/>
  <c r="AK37" s="1"/>
  <c r="N38"/>
  <c r="R38" s="1"/>
  <c r="Z38" s="1"/>
  <c r="AD38" s="1"/>
  <c r="AK38" s="1"/>
  <c r="N56"/>
  <c r="R56" s="1"/>
  <c r="Z56" s="1"/>
  <c r="AD56" s="1"/>
  <c r="AK56" s="1"/>
  <c r="N57"/>
  <c r="R57" s="1"/>
  <c r="Z57" s="1"/>
  <c r="AD57" s="1"/>
  <c r="AK57" s="1"/>
  <c r="N58"/>
  <c r="R58" s="1"/>
  <c r="Z58" s="1"/>
  <c r="AD58" s="1"/>
  <c r="AK58" s="1"/>
  <c r="N67"/>
  <c r="R67" s="1"/>
  <c r="Z67" s="1"/>
  <c r="AD67" s="1"/>
  <c r="AK67" s="1"/>
  <c r="N76"/>
  <c r="R76" s="1"/>
  <c r="Z76" s="1"/>
  <c r="AD76" s="1"/>
  <c r="AK76" s="1"/>
  <c r="N78"/>
  <c r="R78" s="1"/>
  <c r="Z78" s="1"/>
  <c r="AD78" s="1"/>
  <c r="AK78" s="1"/>
  <c r="N79"/>
  <c r="R79" s="1"/>
  <c r="Z79" s="1"/>
  <c r="AD79" s="1"/>
  <c r="AK79" s="1"/>
  <c r="N82"/>
  <c r="R82" s="1"/>
  <c r="Z82" s="1"/>
  <c r="AD82" s="1"/>
  <c r="AK82" s="1"/>
  <c r="N83"/>
  <c r="R83" s="1"/>
  <c r="Z83" s="1"/>
  <c r="AD83" s="1"/>
  <c r="AK83" s="1"/>
  <c r="N84"/>
  <c r="R84" s="1"/>
  <c r="Z84" s="1"/>
  <c r="AD84" s="1"/>
  <c r="AK84" s="1"/>
  <c r="N85"/>
  <c r="R85" s="1"/>
  <c r="Z85" s="1"/>
  <c r="AD85" s="1"/>
  <c r="AK85" s="1"/>
  <c r="N86"/>
  <c r="R86" s="1"/>
  <c r="Z86" s="1"/>
  <c r="AD86" s="1"/>
  <c r="AK86" s="1"/>
  <c r="N87"/>
  <c r="R87" s="1"/>
  <c r="Z87" s="1"/>
  <c r="AD87" s="1"/>
  <c r="AK87" s="1"/>
  <c r="N88"/>
  <c r="R88" s="1"/>
  <c r="Z88" s="1"/>
  <c r="AD88" s="1"/>
  <c r="AK88" s="1"/>
  <c r="N89"/>
  <c r="R89" s="1"/>
  <c r="Z89" s="1"/>
  <c r="AD89" s="1"/>
  <c r="AK89" s="1"/>
  <c r="N90"/>
  <c r="R90" s="1"/>
  <c r="Z90" s="1"/>
  <c r="AD90" s="1"/>
  <c r="AK90" s="1"/>
  <c r="N92"/>
  <c r="R92" s="1"/>
  <c r="Z92" s="1"/>
  <c r="AD92" s="1"/>
  <c r="AK92" s="1"/>
  <c r="N93"/>
  <c r="R93" s="1"/>
  <c r="Z93" s="1"/>
  <c r="AD93" s="1"/>
  <c r="AK93" s="1"/>
  <c r="N94"/>
  <c r="R94" s="1"/>
  <c r="Z94" s="1"/>
  <c r="AD94" s="1"/>
  <c r="AK94" s="1"/>
  <c r="N95"/>
  <c r="R95" s="1"/>
  <c r="Z95" s="1"/>
  <c r="AD95" s="1"/>
  <c r="AK95" s="1"/>
  <c r="N96"/>
  <c r="R96" s="1"/>
  <c r="Z96" s="1"/>
  <c r="AD96" s="1"/>
  <c r="AK96" s="1"/>
  <c r="N102"/>
  <c r="R102" s="1"/>
  <c r="Z102" s="1"/>
  <c r="AD102" s="1"/>
  <c r="AK102" s="1"/>
  <c r="N103"/>
  <c r="R103" s="1"/>
  <c r="Z103" s="1"/>
  <c r="AD103" s="1"/>
  <c r="AK103" s="1"/>
  <c r="N104"/>
  <c r="R104" s="1"/>
  <c r="Z104" s="1"/>
  <c r="AD104" s="1"/>
  <c r="AK104" s="1"/>
  <c r="N115"/>
  <c r="R115" s="1"/>
  <c r="Z115" s="1"/>
  <c r="AD115" s="1"/>
  <c r="AK115" s="1"/>
  <c r="N116"/>
  <c r="R116" s="1"/>
  <c r="Z116" s="1"/>
  <c r="AD116" s="1"/>
  <c r="AK116" s="1"/>
  <c r="N117"/>
  <c r="R117" s="1"/>
  <c r="Z117" s="1"/>
  <c r="AD117" s="1"/>
  <c r="AK117" s="1"/>
  <c r="N118"/>
  <c r="R118" s="1"/>
  <c r="Z118" s="1"/>
  <c r="AD118" s="1"/>
  <c r="AK118" s="1"/>
  <c r="N119"/>
  <c r="R119" s="1"/>
  <c r="Z119" s="1"/>
  <c r="AD119" s="1"/>
  <c r="AK119" s="1"/>
  <c r="N120"/>
  <c r="R120" s="1"/>
  <c r="Z120" s="1"/>
  <c r="AD120" s="1"/>
  <c r="AK120" s="1"/>
  <c r="N121"/>
  <c r="R121" s="1"/>
  <c r="Z121" s="1"/>
  <c r="AD121" s="1"/>
  <c r="AK121" s="1"/>
  <c r="N126"/>
  <c r="R126" s="1"/>
  <c r="Z126" s="1"/>
  <c r="AD126" s="1"/>
  <c r="AK126" s="1"/>
  <c r="N128"/>
  <c r="R128" s="1"/>
  <c r="Z128" s="1"/>
  <c r="AD128" s="1"/>
  <c r="AK128" s="1"/>
  <c r="N129"/>
  <c r="R129" s="1"/>
  <c r="Z129" s="1"/>
  <c r="AD129" s="1"/>
  <c r="AK129" s="1"/>
  <c r="N130"/>
  <c r="R130" s="1"/>
  <c r="Z130" s="1"/>
  <c r="AD130" s="1"/>
  <c r="AK130" s="1"/>
  <c r="N132"/>
  <c r="R132" s="1"/>
  <c r="Z132" s="1"/>
  <c r="AD132" s="1"/>
  <c r="AK132" s="1"/>
  <c r="N133"/>
  <c r="R133" s="1"/>
  <c r="Z133" s="1"/>
  <c r="AD133" s="1"/>
  <c r="AK133" s="1"/>
  <c r="N134"/>
  <c r="R134" s="1"/>
  <c r="Z134" s="1"/>
  <c r="AD134" s="1"/>
  <c r="AK134" s="1"/>
  <c r="N138"/>
  <c r="R138" s="1"/>
  <c r="Z138" s="1"/>
  <c r="AD138" s="1"/>
  <c r="AK138" s="1"/>
  <c r="N139"/>
  <c r="R139" s="1"/>
  <c r="Z139" s="1"/>
  <c r="AD139" s="1"/>
  <c r="AK139" s="1"/>
  <c r="N143"/>
  <c r="R143" s="1"/>
  <c r="Z143" s="1"/>
  <c r="AD143" s="1"/>
  <c r="AK143" s="1"/>
  <c r="N144"/>
  <c r="R144" s="1"/>
  <c r="Z144" s="1"/>
  <c r="AD144" s="1"/>
  <c r="AK144" s="1"/>
  <c r="N147"/>
  <c r="R147" s="1"/>
  <c r="Z147" s="1"/>
  <c r="AD147" s="1"/>
  <c r="AK147" s="1"/>
  <c r="N148"/>
  <c r="R148" s="1"/>
  <c r="Z148" s="1"/>
  <c r="AD148" s="1"/>
  <c r="AK148" s="1"/>
  <c r="N150"/>
  <c r="R150" s="1"/>
  <c r="Z150" s="1"/>
  <c r="AD150" s="1"/>
  <c r="AK150" s="1"/>
  <c r="N151"/>
  <c r="R151" s="1"/>
  <c r="Z151" s="1"/>
  <c r="AD151" s="1"/>
  <c r="AK151" s="1"/>
  <c r="N157"/>
  <c r="R157" s="1"/>
  <c r="Z157" s="1"/>
  <c r="AD157" s="1"/>
  <c r="AK157" s="1"/>
  <c r="N161"/>
  <c r="R161" s="1"/>
  <c r="Z161" s="1"/>
  <c r="AD161" s="1"/>
  <c r="AK161" s="1"/>
  <c r="N169"/>
  <c r="R169" s="1"/>
  <c r="Z169" s="1"/>
  <c r="AD169" s="1"/>
  <c r="AK169" s="1"/>
  <c r="H168"/>
  <c r="H146"/>
  <c r="H137"/>
  <c r="H135"/>
  <c r="H131"/>
  <c r="H127"/>
  <c r="H125"/>
  <c r="H81"/>
  <c r="H75" s="1"/>
  <c r="H66"/>
  <c r="H24"/>
  <c r="H22"/>
  <c r="I23"/>
  <c r="M23" s="1"/>
  <c r="Y23" s="1"/>
  <c r="AC23" s="1"/>
  <c r="I25"/>
  <c r="M25" s="1"/>
  <c r="Y25" s="1"/>
  <c r="AC25" s="1"/>
  <c r="I31"/>
  <c r="M31" s="1"/>
  <c r="Y31" s="1"/>
  <c r="I32"/>
  <c r="M32" s="1"/>
  <c r="Y32" s="1"/>
  <c r="AC32" s="1"/>
  <c r="I33"/>
  <c r="M33" s="1"/>
  <c r="Y33" s="1"/>
  <c r="AC33" s="1"/>
  <c r="I34"/>
  <c r="M34" s="1"/>
  <c r="Y34" s="1"/>
  <c r="AC34" s="1"/>
  <c r="I35"/>
  <c r="M35" s="1"/>
  <c r="Y35" s="1"/>
  <c r="AC35" s="1"/>
  <c r="I36"/>
  <c r="M36" s="1"/>
  <c r="Y36" s="1"/>
  <c r="AC36" s="1"/>
  <c r="I37"/>
  <c r="M37" s="1"/>
  <c r="Y37" s="1"/>
  <c r="AC37" s="1"/>
  <c r="I38"/>
  <c r="M38" s="1"/>
  <c r="Y38" s="1"/>
  <c r="AC38" s="1"/>
  <c r="I55"/>
  <c r="M55" s="1"/>
  <c r="Y55" s="1"/>
  <c r="AC55" s="1"/>
  <c r="I56"/>
  <c r="M56" s="1"/>
  <c r="Y56" s="1"/>
  <c r="AC56" s="1"/>
  <c r="I57"/>
  <c r="M57" s="1"/>
  <c r="Y57" s="1"/>
  <c r="AC57" s="1"/>
  <c r="I58"/>
  <c r="M58" s="1"/>
  <c r="Y58" s="1"/>
  <c r="AC58" s="1"/>
  <c r="I67"/>
  <c r="M67" s="1"/>
  <c r="Y67" s="1"/>
  <c r="AC67" s="1"/>
  <c r="I76"/>
  <c r="M76" s="1"/>
  <c r="Y76" s="1"/>
  <c r="AC76" s="1"/>
  <c r="I77"/>
  <c r="M77" s="1"/>
  <c r="Y77" s="1"/>
  <c r="AC77" s="1"/>
  <c r="I78"/>
  <c r="M78" s="1"/>
  <c r="Y78" s="1"/>
  <c r="AC78" s="1"/>
  <c r="I79"/>
  <c r="M79" s="1"/>
  <c r="Y79" s="1"/>
  <c r="AC79" s="1"/>
  <c r="I82"/>
  <c r="M82" s="1"/>
  <c r="Y82" s="1"/>
  <c r="AC82" s="1"/>
  <c r="I83"/>
  <c r="M83" s="1"/>
  <c r="Y83" s="1"/>
  <c r="AC83" s="1"/>
  <c r="I84"/>
  <c r="M84" s="1"/>
  <c r="Y84" s="1"/>
  <c r="AC84" s="1"/>
  <c r="I85"/>
  <c r="M85" s="1"/>
  <c r="Y85" s="1"/>
  <c r="AC85" s="1"/>
  <c r="I86"/>
  <c r="M86" s="1"/>
  <c r="Y86" s="1"/>
  <c r="AC86" s="1"/>
  <c r="I87"/>
  <c r="M87" s="1"/>
  <c r="Y87" s="1"/>
  <c r="AC87" s="1"/>
  <c r="I88"/>
  <c r="M88" s="1"/>
  <c r="Y88" s="1"/>
  <c r="AC88" s="1"/>
  <c r="I89"/>
  <c r="M89" s="1"/>
  <c r="Y89" s="1"/>
  <c r="AC89" s="1"/>
  <c r="I90"/>
  <c r="M90" s="1"/>
  <c r="Y90" s="1"/>
  <c r="AC90" s="1"/>
  <c r="I92"/>
  <c r="M92" s="1"/>
  <c r="Y92" s="1"/>
  <c r="AC92" s="1"/>
  <c r="I93"/>
  <c r="M93" s="1"/>
  <c r="Y93" s="1"/>
  <c r="AC93" s="1"/>
  <c r="I94"/>
  <c r="M94" s="1"/>
  <c r="Y94" s="1"/>
  <c r="AC94" s="1"/>
  <c r="I95"/>
  <c r="M95" s="1"/>
  <c r="Y95" s="1"/>
  <c r="AC95" s="1"/>
  <c r="I96"/>
  <c r="M96" s="1"/>
  <c r="Y96" s="1"/>
  <c r="AC96" s="1"/>
  <c r="I102"/>
  <c r="M102" s="1"/>
  <c r="Y102" s="1"/>
  <c r="AC102" s="1"/>
  <c r="I103"/>
  <c r="M103" s="1"/>
  <c r="Y103" s="1"/>
  <c r="AC103" s="1"/>
  <c r="I104"/>
  <c r="M104" s="1"/>
  <c r="Y104" s="1"/>
  <c r="AC104" s="1"/>
  <c r="I115"/>
  <c r="M115" s="1"/>
  <c r="Y115" s="1"/>
  <c r="AC115" s="1"/>
  <c r="I117"/>
  <c r="M117" s="1"/>
  <c r="Y117" s="1"/>
  <c r="AC117" s="1"/>
  <c r="I119"/>
  <c r="M119" s="1"/>
  <c r="Y119" s="1"/>
  <c r="AC119" s="1"/>
  <c r="I120"/>
  <c r="M120" s="1"/>
  <c r="Y120" s="1"/>
  <c r="AC120" s="1"/>
  <c r="I121"/>
  <c r="M121" s="1"/>
  <c r="Y121" s="1"/>
  <c r="AC121" s="1"/>
  <c r="I126"/>
  <c r="M126" s="1"/>
  <c r="Y126" s="1"/>
  <c r="AC126" s="1"/>
  <c r="I128"/>
  <c r="M128" s="1"/>
  <c r="Y128" s="1"/>
  <c r="AC128" s="1"/>
  <c r="I129"/>
  <c r="M129" s="1"/>
  <c r="Y129" s="1"/>
  <c r="AC129" s="1"/>
  <c r="I130"/>
  <c r="M130" s="1"/>
  <c r="Y130" s="1"/>
  <c r="AC130" s="1"/>
  <c r="I132"/>
  <c r="M132" s="1"/>
  <c r="Y132" s="1"/>
  <c r="AC132" s="1"/>
  <c r="I133"/>
  <c r="M133" s="1"/>
  <c r="Y133" s="1"/>
  <c r="AC133" s="1"/>
  <c r="I134"/>
  <c r="M134" s="1"/>
  <c r="Y134" s="1"/>
  <c r="AC134" s="1"/>
  <c r="I136"/>
  <c r="M136" s="1"/>
  <c r="Y136" s="1"/>
  <c r="AC136" s="1"/>
  <c r="I138"/>
  <c r="M138" s="1"/>
  <c r="Y138" s="1"/>
  <c r="AC138" s="1"/>
  <c r="I139"/>
  <c r="M139" s="1"/>
  <c r="Y139" s="1"/>
  <c r="AC139" s="1"/>
  <c r="I142"/>
  <c r="M142" s="1"/>
  <c r="Y142" s="1"/>
  <c r="AC142" s="1"/>
  <c r="I143"/>
  <c r="M143" s="1"/>
  <c r="Y143" s="1"/>
  <c r="AC143" s="1"/>
  <c r="I144"/>
  <c r="M144" s="1"/>
  <c r="Y144" s="1"/>
  <c r="AC144" s="1"/>
  <c r="I147"/>
  <c r="M147" s="1"/>
  <c r="Y147" s="1"/>
  <c r="AC147" s="1"/>
  <c r="I148"/>
  <c r="M148" s="1"/>
  <c r="Y148" s="1"/>
  <c r="AC148" s="1"/>
  <c r="I149"/>
  <c r="M149" s="1"/>
  <c r="Y149" s="1"/>
  <c r="AC149" s="1"/>
  <c r="I150"/>
  <c r="M150" s="1"/>
  <c r="Y150" s="1"/>
  <c r="AC150" s="1"/>
  <c r="I151"/>
  <c r="M151" s="1"/>
  <c r="Y151" s="1"/>
  <c r="AC151" s="1"/>
  <c r="I157"/>
  <c r="M157" s="1"/>
  <c r="Y157" s="1"/>
  <c r="AC157" s="1"/>
  <c r="I161"/>
  <c r="M161" s="1"/>
  <c r="Y161" s="1"/>
  <c r="AC161" s="1"/>
  <c r="I169"/>
  <c r="M169" s="1"/>
  <c r="Y169" s="1"/>
  <c r="AC169" s="1"/>
  <c r="I14"/>
  <c r="M14" s="1"/>
  <c r="Y14" s="1"/>
  <c r="AC14" s="1"/>
  <c r="I15"/>
  <c r="M15" s="1"/>
  <c r="Y15" s="1"/>
  <c r="AC15" s="1"/>
  <c r="I16"/>
  <c r="M16" s="1"/>
  <c r="Y16" s="1"/>
  <c r="AC16" s="1"/>
  <c r="I13"/>
  <c r="M13" s="1"/>
  <c r="Y13" s="1"/>
  <c r="AC13" s="1"/>
  <c r="Y30" l="1"/>
  <c r="AC30" s="1"/>
  <c r="AC31"/>
  <c r="M40"/>
  <c r="Y40" s="1"/>
  <c r="AC40" s="1"/>
  <c r="K124"/>
  <c r="P11"/>
  <c r="K11"/>
  <c r="H11"/>
  <c r="H124"/>
  <c r="N30"/>
  <c r="R30" s="1"/>
  <c r="Z30" s="1"/>
  <c r="AD30" s="1"/>
  <c r="AK30" s="1"/>
  <c r="K65"/>
  <c r="H65"/>
  <c r="P124"/>
  <c r="S30"/>
  <c r="AE30" s="1"/>
  <c r="AL30" s="1"/>
  <c r="AP30" s="1"/>
  <c r="S12"/>
  <c r="AE12" s="1"/>
  <c r="AL12" s="1"/>
  <c r="AP12" s="1"/>
  <c r="G131"/>
  <c r="I131" s="1"/>
  <c r="M131" s="1"/>
  <c r="Y131" s="1"/>
  <c r="AC131" s="1"/>
  <c r="K10" l="1"/>
  <c r="H10"/>
  <c r="P10"/>
  <c r="J142"/>
  <c r="N142" l="1"/>
  <c r="R142" s="1"/>
  <c r="Z142" s="1"/>
  <c r="AD142" s="1"/>
  <c r="AK142" s="1"/>
  <c r="J141"/>
  <c r="T131"/>
  <c r="AF131" s="1"/>
  <c r="AM131" s="1"/>
  <c r="AQ131" s="1"/>
  <c r="AS131" s="1"/>
  <c r="T77"/>
  <c r="AF77" s="1"/>
  <c r="AM77" s="1"/>
  <c r="AQ77" s="1"/>
  <c r="AS77" s="1"/>
  <c r="J77"/>
  <c r="N77" s="1"/>
  <c r="R77" s="1"/>
  <c r="Z77" s="1"/>
  <c r="AD77" s="1"/>
  <c r="AK77" s="1"/>
  <c r="J55"/>
  <c r="N55" s="1"/>
  <c r="R55" s="1"/>
  <c r="Z55" s="1"/>
  <c r="AD55" s="1"/>
  <c r="AK55" s="1"/>
  <c r="G114" l="1"/>
  <c r="I114" s="1"/>
  <c r="M114" s="1"/>
  <c r="Y114" s="1"/>
  <c r="AC114" s="1"/>
  <c r="J136" l="1"/>
  <c r="N136" s="1"/>
  <c r="R136" s="1"/>
  <c r="Z136" s="1"/>
  <c r="AD136" s="1"/>
  <c r="AK136" s="1"/>
  <c r="O114" l="1"/>
  <c r="S114" s="1"/>
  <c r="AE114" s="1"/>
  <c r="AL114" s="1"/>
  <c r="AP114" s="1"/>
  <c r="T114"/>
  <c r="AF114" s="1"/>
  <c r="AM114" s="1"/>
  <c r="AQ114" s="1"/>
  <c r="AS114" s="1"/>
  <c r="J114"/>
  <c r="N114" s="1"/>
  <c r="R114" s="1"/>
  <c r="Z114" s="1"/>
  <c r="AD114" s="1"/>
  <c r="AK114" s="1"/>
  <c r="O146" l="1"/>
  <c r="S146" s="1"/>
  <c r="AE146" s="1"/>
  <c r="AL146" s="1"/>
  <c r="AP146" s="1"/>
  <c r="T146"/>
  <c r="AF146" s="1"/>
  <c r="AM146" s="1"/>
  <c r="AQ146" s="1"/>
  <c r="AS146" s="1"/>
  <c r="G146"/>
  <c r="I146" s="1"/>
  <c r="M146" s="1"/>
  <c r="Y146" s="1"/>
  <c r="AC146" s="1"/>
  <c r="J66"/>
  <c r="O66"/>
  <c r="S66" s="1"/>
  <c r="AE66" s="1"/>
  <c r="AL66" s="1"/>
  <c r="AP66" s="1"/>
  <c r="T66"/>
  <c r="AF66" s="1"/>
  <c r="AM66" s="1"/>
  <c r="AQ66" s="1"/>
  <c r="AS66" s="1"/>
  <c r="G66"/>
  <c r="G65" s="1"/>
  <c r="N66" l="1"/>
  <c r="J65"/>
  <c r="I66"/>
  <c r="J127"/>
  <c r="N127" s="1"/>
  <c r="R127" s="1"/>
  <c r="Z127" s="1"/>
  <c r="AD127" s="1"/>
  <c r="AK127" s="1"/>
  <c r="O127"/>
  <c r="S127" s="1"/>
  <c r="AE127" s="1"/>
  <c r="AL127" s="1"/>
  <c r="AP127" s="1"/>
  <c r="T127"/>
  <c r="AF127" s="1"/>
  <c r="AM127" s="1"/>
  <c r="AQ127" s="1"/>
  <c r="AS127" s="1"/>
  <c r="G127"/>
  <c r="I127" s="1"/>
  <c r="M127" s="1"/>
  <c r="Y127" s="1"/>
  <c r="AC127" s="1"/>
  <c r="J149"/>
  <c r="N65" l="1"/>
  <c r="R65" s="1"/>
  <c r="Z65" s="1"/>
  <c r="AD65" s="1"/>
  <c r="AK65" s="1"/>
  <c r="R66"/>
  <c r="Z66" s="1"/>
  <c r="AD66" s="1"/>
  <c r="AK66" s="1"/>
  <c r="I65"/>
  <c r="M65" s="1"/>
  <c r="Y65" s="1"/>
  <c r="AC65" s="1"/>
  <c r="M66"/>
  <c r="Y66" s="1"/>
  <c r="AC66" s="1"/>
  <c r="J146"/>
  <c r="N146" s="1"/>
  <c r="R146" s="1"/>
  <c r="Z146" s="1"/>
  <c r="AD146" s="1"/>
  <c r="AK146" s="1"/>
  <c r="N149"/>
  <c r="R149" s="1"/>
  <c r="Z149" s="1"/>
  <c r="AD149" s="1"/>
  <c r="AK149" s="1"/>
  <c r="J168" l="1"/>
  <c r="N168" s="1"/>
  <c r="R168" s="1"/>
  <c r="Z168" s="1"/>
  <c r="AD168" s="1"/>
  <c r="AK168" s="1"/>
  <c r="O168"/>
  <c r="S168" s="1"/>
  <c r="AE168" s="1"/>
  <c r="AL168" s="1"/>
  <c r="AP168" s="1"/>
  <c r="T168"/>
  <c r="AF168" s="1"/>
  <c r="AM168" s="1"/>
  <c r="AQ168" s="1"/>
  <c r="AS168" s="1"/>
  <c r="G168"/>
  <c r="I168" s="1"/>
  <c r="M168" s="1"/>
  <c r="Y168" s="1"/>
  <c r="AC168" s="1"/>
  <c r="J137" l="1"/>
  <c r="N137" s="1"/>
  <c r="R137" s="1"/>
  <c r="Z137" s="1"/>
  <c r="AD137" s="1"/>
  <c r="AK137" s="1"/>
  <c r="O137"/>
  <c r="S137" s="1"/>
  <c r="AE137" s="1"/>
  <c r="AL137" s="1"/>
  <c r="AP137" s="1"/>
  <c r="T137"/>
  <c r="AF137" s="1"/>
  <c r="AM137" s="1"/>
  <c r="AQ137" s="1"/>
  <c r="AS137" s="1"/>
  <c r="G137"/>
  <c r="I137" s="1"/>
  <c r="M137" s="1"/>
  <c r="Y137" s="1"/>
  <c r="AC137" s="1"/>
  <c r="J101"/>
  <c r="N101" s="1"/>
  <c r="R101" s="1"/>
  <c r="Z101" s="1"/>
  <c r="AD101" s="1"/>
  <c r="AK101" s="1"/>
  <c r="O101"/>
  <c r="S101" s="1"/>
  <c r="AE101" s="1"/>
  <c r="AL101" s="1"/>
  <c r="AP101" s="1"/>
  <c r="T101"/>
  <c r="AF101" s="1"/>
  <c r="AM101" s="1"/>
  <c r="AQ101" s="1"/>
  <c r="AS101" s="1"/>
  <c r="G101"/>
  <c r="I101" s="1"/>
  <c r="M101" s="1"/>
  <c r="Y101" s="1"/>
  <c r="AC101" s="1"/>
  <c r="G24" l="1"/>
  <c r="I24" s="1"/>
  <c r="M24" s="1"/>
  <c r="Y24" s="1"/>
  <c r="AC24" s="1"/>
  <c r="O24"/>
  <c r="S24" s="1"/>
  <c r="AE24" s="1"/>
  <c r="AL24" s="1"/>
  <c r="AP24" s="1"/>
  <c r="T24"/>
  <c r="AF24" s="1"/>
  <c r="AM24" s="1"/>
  <c r="AQ24" s="1"/>
  <c r="AS24" s="1"/>
  <c r="J24"/>
  <c r="N24" s="1"/>
  <c r="R24" s="1"/>
  <c r="Z24" s="1"/>
  <c r="AD24" s="1"/>
  <c r="AK24" s="1"/>
  <c r="T12" l="1"/>
  <c r="AF12" s="1"/>
  <c r="AM12" s="1"/>
  <c r="AQ12" s="1"/>
  <c r="AS12" s="1"/>
  <c r="G81" l="1"/>
  <c r="G135"/>
  <c r="I135" s="1"/>
  <c r="M135" s="1"/>
  <c r="Y135" s="1"/>
  <c r="AC135" s="1"/>
  <c r="J131"/>
  <c r="N131" s="1"/>
  <c r="R131" s="1"/>
  <c r="Z131" s="1"/>
  <c r="AD131" s="1"/>
  <c r="AK131" s="1"/>
  <c r="I30"/>
  <c r="M30" s="1"/>
  <c r="G75" l="1"/>
  <c r="I75" s="1"/>
  <c r="M75" s="1"/>
  <c r="Y75" s="1"/>
  <c r="AC75" s="1"/>
  <c r="I81"/>
  <c r="M81" s="1"/>
  <c r="Y81" s="1"/>
  <c r="AC81" s="1"/>
  <c r="T65"/>
  <c r="AF65" s="1"/>
  <c r="AM65" s="1"/>
  <c r="AQ65" s="1"/>
  <c r="AS65" s="1"/>
  <c r="O65"/>
  <c r="S65" s="1"/>
  <c r="AE65" s="1"/>
  <c r="AL65" s="1"/>
  <c r="AP65" s="1"/>
  <c r="O131"/>
  <c r="S131" s="1"/>
  <c r="AE131" s="1"/>
  <c r="AL131" s="1"/>
  <c r="AP131" s="1"/>
  <c r="O135"/>
  <c r="S135" s="1"/>
  <c r="AE135" s="1"/>
  <c r="AL135" s="1"/>
  <c r="AP135" s="1"/>
  <c r="T135"/>
  <c r="AF135" s="1"/>
  <c r="AM135" s="1"/>
  <c r="AQ135" s="1"/>
  <c r="AS135" s="1"/>
  <c r="J135"/>
  <c r="N135" s="1"/>
  <c r="R135" s="1"/>
  <c r="Z135" s="1"/>
  <c r="AD135" s="1"/>
  <c r="AK135" s="1"/>
  <c r="O160"/>
  <c r="S160" s="1"/>
  <c r="AE160" s="1"/>
  <c r="AL160" s="1"/>
  <c r="AP160" s="1"/>
  <c r="T160"/>
  <c r="AF160" s="1"/>
  <c r="AM160" s="1"/>
  <c r="AQ160" s="1"/>
  <c r="AS160" s="1"/>
  <c r="O81"/>
  <c r="O54"/>
  <c r="S54" s="1"/>
  <c r="AE54" s="1"/>
  <c r="AL54" s="1"/>
  <c r="AP54" s="1"/>
  <c r="T81"/>
  <c r="J81"/>
  <c r="T75" l="1"/>
  <c r="AF75" s="1"/>
  <c r="AM75" s="1"/>
  <c r="AQ75" s="1"/>
  <c r="AS75" s="1"/>
  <c r="AF81"/>
  <c r="AM81" s="1"/>
  <c r="AQ81" s="1"/>
  <c r="AS81" s="1"/>
  <c r="O75"/>
  <c r="S75" s="1"/>
  <c r="AE75" s="1"/>
  <c r="AL75" s="1"/>
  <c r="AP75" s="1"/>
  <c r="S81"/>
  <c r="AE81" s="1"/>
  <c r="AL81" s="1"/>
  <c r="AP81" s="1"/>
  <c r="J75"/>
  <c r="N75" s="1"/>
  <c r="R75" s="1"/>
  <c r="Z75" s="1"/>
  <c r="AD75" s="1"/>
  <c r="AK75" s="1"/>
  <c r="N81"/>
  <c r="R81" s="1"/>
  <c r="Z81" s="1"/>
  <c r="AD81" s="1"/>
  <c r="AK81" s="1"/>
  <c r="O156"/>
  <c r="S156" s="1"/>
  <c r="AE156" s="1"/>
  <c r="AL156" s="1"/>
  <c r="AP156" s="1"/>
  <c r="T156"/>
  <c r="AF156" s="1"/>
  <c r="AM156" s="1"/>
  <c r="AQ156" s="1"/>
  <c r="AS156" s="1"/>
  <c r="O125"/>
  <c r="S125" s="1"/>
  <c r="AE125" s="1"/>
  <c r="AL125" s="1"/>
  <c r="AP125" s="1"/>
  <c r="J30"/>
  <c r="G22"/>
  <c r="J22"/>
  <c r="N22" l="1"/>
  <c r="R22" s="1"/>
  <c r="Z22" s="1"/>
  <c r="AD22" s="1"/>
  <c r="AK22" s="1"/>
  <c r="J11"/>
  <c r="I22"/>
  <c r="M22" s="1"/>
  <c r="Y22" s="1"/>
  <c r="AC22" s="1"/>
  <c r="G11"/>
  <c r="O124"/>
  <c r="S124" s="1"/>
  <c r="AE124" s="1"/>
  <c r="AL124" s="1"/>
  <c r="AP124" s="1"/>
  <c r="N141" l="1"/>
  <c r="R141" s="1"/>
  <c r="Z141" s="1"/>
  <c r="AD141" s="1"/>
  <c r="AK141" s="1"/>
  <c r="T141"/>
  <c r="AF141" s="1"/>
  <c r="AM141" s="1"/>
  <c r="AQ141" s="1"/>
  <c r="AS141" s="1"/>
  <c r="N11" l="1"/>
  <c r="R11" s="1"/>
  <c r="Z11" s="1"/>
  <c r="AD11" s="1"/>
  <c r="AK11" s="1"/>
  <c r="T22"/>
  <c r="AF22" s="1"/>
  <c r="AM22" s="1"/>
  <c r="AQ22" s="1"/>
  <c r="AS22" s="1"/>
  <c r="O22"/>
  <c r="S22" s="1"/>
  <c r="AE22" s="1"/>
  <c r="AL22" s="1"/>
  <c r="AP22" s="1"/>
  <c r="J54"/>
  <c r="N54" l="1"/>
  <c r="R54" s="1"/>
  <c r="Z54" s="1"/>
  <c r="AD54" s="1"/>
  <c r="AK54" s="1"/>
  <c r="J29"/>
  <c r="J160"/>
  <c r="N160" s="1"/>
  <c r="R160" s="1"/>
  <c r="Z160" s="1"/>
  <c r="AD160" s="1"/>
  <c r="AK160" s="1"/>
  <c r="G160"/>
  <c r="I160" s="1"/>
  <c r="M160" s="1"/>
  <c r="Y160" s="1"/>
  <c r="AC160" s="1"/>
  <c r="T11" l="1"/>
  <c r="O30"/>
  <c r="AF11" l="1"/>
  <c r="AM11" s="1"/>
  <c r="AQ11" s="1"/>
  <c r="AS11" s="1"/>
  <c r="O29"/>
  <c r="S29" s="1"/>
  <c r="AE29" s="1"/>
  <c r="AL29" s="1"/>
  <c r="AP29" s="1"/>
  <c r="O141"/>
  <c r="S141" s="1"/>
  <c r="AE141" s="1"/>
  <c r="AL141" s="1"/>
  <c r="AP141" s="1"/>
  <c r="O11" l="1"/>
  <c r="S11" s="1"/>
  <c r="AE11" s="1"/>
  <c r="AL11" s="1"/>
  <c r="AP11" s="1"/>
  <c r="O10" l="1"/>
  <c r="S10" s="1"/>
  <c r="AE10" s="1"/>
  <c r="AL10" s="1"/>
  <c r="AP10" s="1"/>
  <c r="T30"/>
  <c r="T54"/>
  <c r="AF54" s="1"/>
  <c r="AM54" s="1"/>
  <c r="AQ54" s="1"/>
  <c r="AS54" s="1"/>
  <c r="G54"/>
  <c r="I54" l="1"/>
  <c r="M54" s="1"/>
  <c r="Y54" s="1"/>
  <c r="AC54" s="1"/>
  <c r="G29"/>
  <c r="I29" s="1"/>
  <c r="M29" s="1"/>
  <c r="I11" l="1"/>
  <c r="M11" s="1"/>
  <c r="Y11" s="1"/>
  <c r="AC11" s="1"/>
  <c r="J125" l="1"/>
  <c r="T125"/>
  <c r="G125"/>
  <c r="I125" s="1"/>
  <c r="M125" s="1"/>
  <c r="Y125" s="1"/>
  <c r="AC125" s="1"/>
  <c r="J156"/>
  <c r="N156" s="1"/>
  <c r="R156" s="1"/>
  <c r="Z156" s="1"/>
  <c r="AD156" s="1"/>
  <c r="AK156" s="1"/>
  <c r="G156"/>
  <c r="I156" s="1"/>
  <c r="M156" s="1"/>
  <c r="Y156" s="1"/>
  <c r="AC156" s="1"/>
  <c r="T124" l="1"/>
  <c r="AF124" s="1"/>
  <c r="AM124" s="1"/>
  <c r="AQ124" s="1"/>
  <c r="AS124" s="1"/>
  <c r="AF125"/>
  <c r="AM125" s="1"/>
  <c r="AQ125" s="1"/>
  <c r="AS125" s="1"/>
  <c r="J124"/>
  <c r="N124" s="1"/>
  <c r="R124" s="1"/>
  <c r="Z124" s="1"/>
  <c r="AD124" s="1"/>
  <c r="AK124" s="1"/>
  <c r="N125"/>
  <c r="R125" s="1"/>
  <c r="Z125" s="1"/>
  <c r="AD125" s="1"/>
  <c r="AK125" s="1"/>
  <c r="I141"/>
  <c r="M141" s="1"/>
  <c r="Y141" s="1"/>
  <c r="AC141" s="1"/>
  <c r="G124"/>
  <c r="I124" s="1"/>
  <c r="M124" s="1"/>
  <c r="Y124" s="1"/>
  <c r="AC124" s="1"/>
  <c r="N29"/>
  <c r="R29" s="1"/>
  <c r="Z29" s="1"/>
  <c r="AD29" s="1"/>
  <c r="AK29" s="1"/>
  <c r="T29"/>
  <c r="AF29" l="1"/>
  <c r="AM29" s="1"/>
  <c r="AQ29" s="1"/>
  <c r="AS29" s="1"/>
  <c r="T10"/>
  <c r="AF10" s="1"/>
  <c r="AM10" s="1"/>
  <c r="AQ10" s="1"/>
  <c r="AS10" s="1"/>
  <c r="G10"/>
  <c r="I10" s="1"/>
  <c r="M10" s="1"/>
  <c r="Y10" s="1"/>
  <c r="AC10" s="1"/>
  <c r="J10"/>
  <c r="N10" s="1"/>
  <c r="R10" s="1"/>
  <c r="Z10" s="1"/>
  <c r="AD10" s="1"/>
  <c r="AK10" s="1"/>
</calcChain>
</file>

<file path=xl/sharedStrings.xml><?xml version="1.0" encoding="utf-8"?>
<sst xmlns="http://schemas.openxmlformats.org/spreadsheetml/2006/main" count="892" uniqueCount="385">
  <si>
    <t>Прогнозная мощность                                                              (прогнозный прирост мощности)</t>
  </si>
  <si>
    <t>Наименование заказчика по объектам государственной (муниципальной) собственности</t>
  </si>
  <si>
    <t>Наименование главного распорядителя бюджетных средств</t>
  </si>
  <si>
    <t xml:space="preserve">Наименование объекта                                                                    </t>
  </si>
  <si>
    <t>Форма расходования бюджетных средств, направление                  инвестирования</t>
  </si>
  <si>
    <t xml:space="preserve">бюджетные инвестиции в объекты государственной собственности Архангельской области, строительство </t>
  </si>
  <si>
    <t>министерство транспорта Архангельской области</t>
  </si>
  <si>
    <t xml:space="preserve">министерство строительства и архитектуры Архангельской области </t>
  </si>
  <si>
    <t xml:space="preserve">ВСЕГО по областной адресной инвестиционной программе, в том числе:                                                                                                                                                                                </t>
  </si>
  <si>
    <t xml:space="preserve"> ГКУ Архангельской области "ГУКС"</t>
  </si>
  <si>
    <t>министерство топливно-энергетического комплекса и жилищно-коммунального хозяйства Архангельской области</t>
  </si>
  <si>
    <t>Прогнозный срок                                                            (начало / окончание)</t>
  </si>
  <si>
    <t xml:space="preserve">бюджетные инвестиции в объекты государственной собственности Архангельской области, проектирование и строительство </t>
  </si>
  <si>
    <t>ГКУ Архангельской области "ГУКС"</t>
  </si>
  <si>
    <t>2017 / 2019</t>
  </si>
  <si>
    <t>120 мест</t>
  </si>
  <si>
    <t>министерство строительства и архитектуры Архангельской области</t>
  </si>
  <si>
    <t>1. Муниципальные дошкольные образовательные организации муниципальных образований Архангельской области, в том числе:</t>
  </si>
  <si>
    <t>субсидии на софинансирование капитальных вложений в объекты муниципальной собственности, строительство</t>
  </si>
  <si>
    <t>2. Общеобразовательные организации и профессиональные образовательные организации в Архангельской области, в том числе:</t>
  </si>
  <si>
    <t>240 мест</t>
  </si>
  <si>
    <t>-</t>
  </si>
  <si>
    <t>2018 / 2019</t>
  </si>
  <si>
    <t>853,63 м</t>
  </si>
  <si>
    <t>1. Развитие сети учреждений культурно-досугового типа в сельской местности</t>
  </si>
  <si>
    <t>государственное казенное учреждение Архангельской области "Главное управление капитального строительства"                                                                                                (далее – ГКУ Архангельской области "ГУКС")</t>
  </si>
  <si>
    <t>администрация муниципального образования "Город Архангельск"</t>
  </si>
  <si>
    <t>администрация муниципального образования "Вельский муниципальный район"</t>
  </si>
  <si>
    <t>администрация муниципального образования "Вилегодский муниципальный район"</t>
  </si>
  <si>
    <t>администрация муниципального образования "Котлас"</t>
  </si>
  <si>
    <t>субсидии на софинансирование капитальных вложений в объекты муниципальной собственности, проектирование и строительство</t>
  </si>
  <si>
    <t>администрация муниципального образования "Северодвинск"</t>
  </si>
  <si>
    <t>Общий объем капитальных вложений за счет всех источников,              тыс. рублей</t>
  </si>
  <si>
    <t>62 жилых дома                                                                                                                      (166 663,6 кв. м)</t>
  </si>
  <si>
    <t>2018 / 2021</t>
  </si>
  <si>
    <t>2016 / 2019</t>
  </si>
  <si>
    <t xml:space="preserve">бюджетные инвестиции в объекты государственной собственности Архангельской области, реконструкция </t>
  </si>
  <si>
    <t>2018 / 2020</t>
  </si>
  <si>
    <t>2. Развитие газификации в сельской местности</t>
  </si>
  <si>
    <t>протяженность сетей газоснабжения –                                                                   11 км</t>
  </si>
  <si>
    <t>2,6 км</t>
  </si>
  <si>
    <t xml:space="preserve">государственное казенное учреждение Архангельской области "Дорожное агентство "Архангельскавтодор" </t>
  </si>
  <si>
    <t>субсидии на софинансирование капитальных вложений в объекты муниципальной собственности, приобретение</t>
  </si>
  <si>
    <t>2017 / 2020</t>
  </si>
  <si>
    <t>агентство по развитию Соловецкого архипелага Архангельской области</t>
  </si>
  <si>
    <t>280 мест</t>
  </si>
  <si>
    <t>администрация муниципального образования                                                       "Город Архангельск"</t>
  </si>
  <si>
    <t>администрация муниципального образования "Приморский муниципальный район"</t>
  </si>
  <si>
    <t>2015 / 2020</t>
  </si>
  <si>
    <t>1) строительство центра культурного развития на 120 мест в с. Ильинско-Подомское Вилегодского района Архангельской области*</t>
  </si>
  <si>
    <t>администрация муниципального образования                                              "Мирный"</t>
  </si>
  <si>
    <t>15 коек</t>
  </si>
  <si>
    <t>2014 / 2021</t>
  </si>
  <si>
    <t>2014 / 2019</t>
  </si>
  <si>
    <t>1. Строительство больницы на 15 коек с поликлиникой на 100 посещений, Обозерский филиал ГБУЗ АО "Плесецкая ЦРБ"</t>
  </si>
  <si>
    <t>протяженность дороги – 21,725 км (2019 год – 6,3 км, 2021 год – 15,425 км)</t>
  </si>
  <si>
    <t>1. Футбольное поле и беговые дорожки на стадионе "Салют", расположенном по адресу: г. Котлас, пр. Мира, 45*</t>
  </si>
  <si>
    <t>250 мест</t>
  </si>
  <si>
    <t>860 мест</t>
  </si>
  <si>
    <t>администрация муниципального образования "Шенкурский муниципальный район"</t>
  </si>
  <si>
    <t>2. Строительство больницы в пос. Березник Виноградовского района Архангельской области</t>
  </si>
  <si>
    <t>45 коек</t>
  </si>
  <si>
    <t xml:space="preserve">20 посещений в смену </t>
  </si>
  <si>
    <t xml:space="preserve">бюджетные инвестиции в объекты государственной собственности Архангельской области, приобретение </t>
  </si>
  <si>
    <t>68 675,0 кв. м</t>
  </si>
  <si>
    <t>90 мест</t>
  </si>
  <si>
    <t>1,622 км</t>
  </si>
  <si>
    <t>администрации муниципальных образований Архангельской области</t>
  </si>
  <si>
    <t>администрация муниципального образования "Пинежский муниципальный район"</t>
  </si>
  <si>
    <t>администрация муниципального образования "Мирный"</t>
  </si>
  <si>
    <t xml:space="preserve">300 квартир                                                     </t>
  </si>
  <si>
    <t>2016 / 2021</t>
  </si>
  <si>
    <t>220 мест</t>
  </si>
  <si>
    <t>1. Укрепление правого берега реки Северная Двина в Соломбальском территориальном округе г. Архангельска на участке от улицы Маяковского до улицы Кедрова (I этап, 1 подэтап)</t>
  </si>
  <si>
    <t>2. Укрепление правого берега реки Северная Двина в Соломбальском территориальном округе г. Архангельска на участке                                                                                         от ул. Маяковского до ул. Кедрова (I этап, 2 подэтап и II этап)</t>
  </si>
  <si>
    <t>2019 / 2020</t>
  </si>
  <si>
    <t>1) строительство 300-квартирного дома по пр. Московскому                                                                                                                                                           в г. Архангельске</t>
  </si>
  <si>
    <t>иные межбюджетные трансферты на софинансирование капитальных вложений в объекты муниципальной собственности, строительство</t>
  </si>
  <si>
    <t>125 мест</t>
  </si>
  <si>
    <t>Общий (предельный) объем бюджетных ассигнований областного бюджета на 2020 год,                тыс. рублей</t>
  </si>
  <si>
    <t>Общий (предельный) объем бюджетных ассигнований областного бюджета на 2021 год,                                                         тыс. рублей</t>
  </si>
  <si>
    <t>4. Развитие сети плоскостных спортивных сооружений в сельской местности</t>
  </si>
  <si>
    <t>1)  фельдшерско-акушерский пункт в дер. Шиловская Вельского района Архангельской области</t>
  </si>
  <si>
    <t>2) фельдшерско-акушерский пункт в пос. Квазеньга Устьянского района Архангельской области</t>
  </si>
  <si>
    <t>3) фельдшерско-акушерский пункт в пос. Лайский Док Приморского района Архангельской области</t>
  </si>
  <si>
    <t>4) фельдшерско-акушерский пункт в дер. Никифоровская Шенкурского района Архангельской области</t>
  </si>
  <si>
    <t>5) фельдшерско-акушерский пункт в пос. Гринево Коношского района Архангельской области</t>
  </si>
  <si>
    <t>6) фельдшерско-акушерский пункт в дер. Нагорская Устьянского района Архангельской области</t>
  </si>
  <si>
    <t>7) фельдшерско-акушерский пункт в пос. Советский Устьянского района Архангельской области</t>
  </si>
  <si>
    <t>8) фельдшерско-акушерский пункт в дер. Гридино Няндомского района Архангельской области</t>
  </si>
  <si>
    <t>9) фельдшерско-акушерский пункт на ж/д ст. Бурачиха Няндомского района Архангельской области</t>
  </si>
  <si>
    <t>11) фельдшерско-акушерский пункт в дер. Верхняя Золотица Приморского района Архангельской области</t>
  </si>
  <si>
    <t>12) фельдшерско-акушерский пункт в дер. Усачевская Каргопольского района Архангельской области</t>
  </si>
  <si>
    <t>13) фельдшерско-акушерский пункт в с. Павловск Вилегодского района Архангельской области</t>
  </si>
  <si>
    <t>14) фельдшерско-акушерский пункт в дер. Летняя Золотица Приморского района Архангельской области</t>
  </si>
  <si>
    <t>15) фельдшерско-акушерский пункт в пос. Летнеозерский Плесецкого района Архангельской области</t>
  </si>
  <si>
    <t>2019 / 2019</t>
  </si>
  <si>
    <t>2020 / 2020</t>
  </si>
  <si>
    <t>6) детский сад на 220 мест в с. Карпогоры Пинежского района*</t>
  </si>
  <si>
    <t>7) детский сад на 220 мест в округе Варавино-Фактория города Архангельска*</t>
  </si>
  <si>
    <t>1. Обеспечение устойчивого сокращения непригодного для проживания жилищного фонда</t>
  </si>
  <si>
    <t>1) средняя общеобразовательная школа с эстетическим уклоном на 240 мест в пос. Ерцево Коношского района</t>
  </si>
  <si>
    <t>4) строительство школы на 90 учащихся в с. Долгощелье Мезенского района Архангельской области*</t>
  </si>
  <si>
    <t>2015 / 2019</t>
  </si>
  <si>
    <t>8) детский сад на 120 мест в п. Каменка МО "Мезенский муниципальный район"*</t>
  </si>
  <si>
    <t>1) детский сад на 120 мест в пос. Катунино Приморского района                                                                                                       Архангельской области*</t>
  </si>
  <si>
    <t>3. Развитие сети фельдшерско-акушерских пунктов и/или офисов врача общей практики в сельской местности</t>
  </si>
  <si>
    <t>2019 / -</t>
  </si>
  <si>
    <t>3. Реконструкция аэропортового комплекса "Соловки", о. Соловецкий, Архангельская область</t>
  </si>
  <si>
    <t>Общий (предельный) объем бюджетных ассигнований областного бюджета на                                                           2019 год,                                                 тыс. рублей</t>
  </si>
  <si>
    <t>5. Развитие сети автомобильных дорог, ведущих к общественно значимым объектам сельских населенных пунктов, объектам производства и переработки сельскохозяйственной продукции</t>
  </si>
  <si>
    <t xml:space="preserve">бюджетные инвестиции в объекты государственной собственности Архангельской области, проектирование и реконструкция </t>
  </si>
  <si>
    <t>протяженность дороги – 11,811 км (2019 год – 4,566 км, 2020 год – 7,245 км)</t>
  </si>
  <si>
    <t>1. Здание специального учреждения УФМС в г. Архангельске</t>
  </si>
  <si>
    <t>30 человек</t>
  </si>
  <si>
    <t>производительность КОС до 1000 куб. м / сутки, 10 КНС, 11,04 км сетей водоотведения</t>
  </si>
  <si>
    <t xml:space="preserve">бюджетные инвестиции в объекты государственной собственности Архангельской области,                                       приобретение </t>
  </si>
  <si>
    <t xml:space="preserve">бюджетные инвестиции в объекты государственной собственности Архангельской области,                                                                                                    приобретение </t>
  </si>
  <si>
    <t>3. Лечебно-диагностический корпус ГБУЗ Архангельской области "Архангельская областная детская клиническая больница 
им. П.Г. Выжлецова"</t>
  </si>
  <si>
    <t>1) газопровод высокого, среднего и низкого давления в МО "Аргуновское" Вельского района Архангельской области (2 очередь)</t>
  </si>
  <si>
    <t>2013 / 2020</t>
  </si>
  <si>
    <t>2) обеспечение объектами инженерной инфраструктуры                                                                                                                                                        300-квартирного дома по пр. Московскому в г. Архангельске</t>
  </si>
  <si>
    <t>180 коек</t>
  </si>
  <si>
    <t>2011 / -</t>
  </si>
  <si>
    <t>2) газопровод высокого, среднего и низкого давления в МО "Аргуновское" Вельского района Архангельской области (3 очередь)</t>
  </si>
  <si>
    <t>1. Создание комплекса обеспечивающей инфраструктуры туристско-рекреационных кластеров на территории Архангельской области, в том числе:</t>
  </si>
  <si>
    <t>4. Привязка проекта и строительство здания корпуса Мезенской центральной районной больницы</t>
  </si>
  <si>
    <t>5. Приобретение фельдшерско-акушерских пунктов в отдаленных населенных пунктах Архангельской области, в том числе:</t>
  </si>
  <si>
    <t>3. Физкультурно-оздоровительный комплекс в Архангельске (Строительство физкультурно-оздоровительного комплекса в территориальном округе Варавино-Фактория муниципального образования "Город Архангельск")*</t>
  </si>
  <si>
    <t>2. Строительство тренажера для спортивного скалолазания                                                                                  (скалодрома) в г. Северодвинске*</t>
  </si>
  <si>
    <t>10 коек</t>
  </si>
  <si>
    <t>12 квартир</t>
  </si>
  <si>
    <t>2020 / 2021</t>
  </si>
  <si>
    <t>5. Строительство многоквартирного жилищного фонда для расселения из ветхого и аварийного жилищного фонда поселка Соловецкий, включая расселение из монастырских памятников истории и культуры, проведение оценки воздействия на объект всемирного наследия ЮНЕСКО</t>
  </si>
  <si>
    <t>2021 / 2021</t>
  </si>
  <si>
    <t>3) фельдшерско-акушерский пункт в с. Долгощелье Мезенского района Архангельской области</t>
  </si>
  <si>
    <t>2019 / 2021</t>
  </si>
  <si>
    <t>1) строительство школы на 860 мест в г. Котласе*</t>
  </si>
  <si>
    <t>агентство по спорту Архангельской области</t>
  </si>
  <si>
    <t>3) реконструкция зданий жилищного фонда (устройство вентилируемых фасадов многоквартирных домов) в г. Мирный Архангельской области</t>
  </si>
  <si>
    <t>4) реконструкция городских автомобильных дорог                                                (ул. Неделина, ул. Гагарина, ул. Ломоносова, ул. Овчинникова, ул. Мира, ул. Степанченко) в г. Мирный Архангельской области</t>
  </si>
  <si>
    <t>2) фельдшерско-акушерский пункт в пос. Зеленый Бор Вельского района Архангельской области</t>
  </si>
  <si>
    <t>4. Физкультурно-оздоровительный комплекс с универсальным игровым залом  42 х 24 м по адресу: Архангельская обл., г. Северодвинск,                                              о. Ягры, пр. Машиностроителей*</t>
  </si>
  <si>
    <t>V.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транспортной системы Архангельской области (2014 – 2024 годы)"</t>
  </si>
  <si>
    <t>VII.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"Устойчивое развитие сельских территорий Архангельской области (2014 – 2021 годы)"</t>
  </si>
  <si>
    <t>4. Строительство здания участковой больницы на 40 посещений и стационаром на 10 коек в поселке Соловецкий, корректировка проектно-сметной документации, экспертиза проекта, проведение оценки воздействия на объект всемирного наследия ЮНЕСКО</t>
  </si>
  <si>
    <t>2. Комплексное освоение территории VI – VII микрорайонов с целью развития жилищного строительства в г. Архангельске</t>
  </si>
  <si>
    <t>1) детский сад на 280 мест в 7 микрорайоне территориального округа Майская горка города Архангельска*</t>
  </si>
  <si>
    <t>3. Комплексное освоение территории 7 и 10 кварталов Южного района с целью развития жилищного строительства в г. Котласе</t>
  </si>
  <si>
    <t>2) детский сад на 125 мест в Соломбальском территориальном округе                                                                                            города Архангельска*</t>
  </si>
  <si>
    <t>3) детский сад на 280 мест в 6 микрорайоне территориального округа Майская горка города Архангельска*</t>
  </si>
  <si>
    <t>5) детский сад на 280 мест в квартале 162 г. Северодвинска*</t>
  </si>
  <si>
    <t xml:space="preserve">1) реконструкция мостового перехода через реку Вага на участке км 2 + 067 автомобильной дороги Вельск – Шангалы                                                        </t>
  </si>
  <si>
    <t>протяженность дороги – 560 м,                                    в том числе мост – 172,77 м</t>
  </si>
  <si>
    <t xml:space="preserve">1. Реконструкция автомобильной дороги Усть-Ваеньга – Осиново – Фалюки (до дер. Задориха) на участке км 43 + 500 – км 63 + 000 </t>
  </si>
  <si>
    <t>2. Строительство  мостового перехода через реку Сельменьга на автомобильной дороге Усть-Ваеньга – Осиново – Фалюки (до дер. Задориха) в Виноградовском районе Архангельской области</t>
  </si>
  <si>
    <t>протяженность дороги – 642,18 м, в том числе мост – 81,3 м</t>
  </si>
  <si>
    <t>3. Реконструкция проспекта Ленинградского от улицы Первомайской                                                                                                                               до улицы Смольный Буян в городе Архангельске</t>
  </si>
  <si>
    <t>протяженность сетей водоснабжения –                                                                       14,4 км</t>
  </si>
  <si>
    <t>3) строительство школы на 860 мест в территориальном округе Варавино-Фактория г. Архангельска*</t>
  </si>
  <si>
    <t>протяженность сетей газопровода – 7,5 км</t>
  </si>
  <si>
    <t>3) газораспределительная сеть дер. Куимиха Котласского района Архангельской области (газификация ул. Рябиновая, ул. Полевая, ул. Сиреневая, ул. Строительная)</t>
  </si>
  <si>
    <t>администрация муниципального образования "Котласский муниципальный район"</t>
  </si>
  <si>
    <t>1) фельдшерско-акушерский пункт в деревне Погост муниципального образования "Емецкое" Холмогорского района Архангельской области</t>
  </si>
  <si>
    <t>администрация муниципального образования "Няндомский муниципальный район"</t>
  </si>
  <si>
    <t xml:space="preserve">1) разработка проектной документации на реконструкцию автомобильной дороги Усть-Ваеньга – Осиново – Фалюки на участке км 85 – км 97 в Виноградовском районе Архангельской области </t>
  </si>
  <si>
    <t>45 человек в смену</t>
  </si>
  <si>
    <t>18 человек в смену</t>
  </si>
  <si>
    <t>67 человек в смену</t>
  </si>
  <si>
    <t>483,9 кв. м</t>
  </si>
  <si>
    <t>5. Приобретение административного здания, расположенного по адресу: Архангельская область, г. Няндома, ул. Труда, д. 5, стр. 8</t>
  </si>
  <si>
    <t>расселение                                                               370,85 тыс. кв. м аварийного жилищного фонда</t>
  </si>
  <si>
    <t xml:space="preserve">             ___________________________</t>
  </si>
  <si>
    <t>1. Предоставление доступного и комфортного жилья 60 процентам семей, проживающих в Архангельской области и желающих улучшить свои жилищные условия, включая граждан – членов жилищно-строительных кооперативов, и ветеранам Великой Отечественной войны (строительство и приобретение жилья,  в том числе для использования в качестве маневренного жилищного фонда, и объектов инженерной инфраструктуры), в том числе:</t>
  </si>
  <si>
    <t>протяженность сетей газопровода – 2,1 км</t>
  </si>
  <si>
    <t>размеры площадки – 44 × 26 м</t>
  </si>
  <si>
    <t>2) строительство  автомобильной дороги к селу Ненокса от автодороги "Северодвинск – Онега"*</t>
  </si>
  <si>
    <t>64 человека в смену</t>
  </si>
  <si>
    <t>1. Строительство и реконструкция системы водоснабжения поселка Соловецкий, корректировка проектно-сметной документации, экспертиза проекта*</t>
  </si>
  <si>
    <t>2. Строительство канализационных сетей и коллекторов, канализационных очистных сооружений поселка Соловецкий, корректировка проектно-сметной документации, экспертиза проекта*</t>
  </si>
  <si>
    <t>Предлагаемые изменений</t>
  </si>
  <si>
    <t>1. Строительство и реконструкция системы водоснабжения поселка Соловецкий, корректировка проектно-сметной документации, экспертиза проекта</t>
  </si>
  <si>
    <t>2. Строительство канализационных сетей и коллекторов, канализационных очистных сооружений поселка Соловецкий, корректировка проектно-сметной документации, экспертиза проекта</t>
  </si>
  <si>
    <r>
      <t>535 м</t>
    </r>
    <r>
      <rPr>
        <vertAlign val="superscript"/>
        <sz val="11"/>
        <color indexed="8"/>
        <rFont val="Times New Roman"/>
        <family val="1"/>
        <charset val="204"/>
      </rPr>
      <t>3</t>
    </r>
    <r>
      <rPr>
        <sz val="11"/>
        <color indexed="8"/>
        <rFont val="Times New Roman"/>
        <family val="1"/>
        <charset val="204"/>
      </rPr>
      <t xml:space="preserve"> / сутки</t>
    </r>
  </si>
  <si>
    <t>5) реконструкция водопроводных очистных сооружений в пос. Сия Пинежского района</t>
  </si>
  <si>
    <t>2009 / 2019</t>
  </si>
  <si>
    <t>251,8 кв. м</t>
  </si>
  <si>
    <t>бюджетные инвестиции в объекты государственной собственности Архангельской области,  приобретение</t>
  </si>
  <si>
    <t>4. Обеспечение земельных участков, предоставляемых многодетным семьям и жилищно-строительным кооперативам, созданным многодетными семьями, для индивидуального жилищного строительства и ведения личного подсобного хозяйства, объектами инженерной инфраструктуры</t>
  </si>
  <si>
    <t>64 земельных                 участка</t>
  </si>
  <si>
    <t>администрация муниципального образования                                                       "Город Новодвинск"</t>
  </si>
  <si>
    <t>1) строительство инженерной инфраструктуры (водоснабжение)                                                              к земельным участкам для строительства индивидуальных жилых домов многодетным семьям в районе ул. Южная, д. 19, г. Новодвинск. Строительство водопровода*</t>
  </si>
  <si>
    <t>субсидии на софинансирование капитальных вложений в объекты муниципальной собственности / иные межбюджетные трансферты на софинансирование капитальных вложений в объекты муниципальной собственности, строительство</t>
  </si>
  <si>
    <t>6. Проектирование и строительство здания офиса врача общей практики на территории 29-го лесозавода города Архангельска</t>
  </si>
  <si>
    <t>2018 / -</t>
  </si>
  <si>
    <t>1 проект</t>
  </si>
  <si>
    <t>4 306,5 кв. м</t>
  </si>
  <si>
    <t>2017 / -</t>
  </si>
  <si>
    <t>60 мест</t>
  </si>
  <si>
    <t>администрация муниципального образования "Онежский муниципальный район"</t>
  </si>
  <si>
    <t>9) детский сад на 280 мест в округе Варавино-Фактория города Архангельска*</t>
  </si>
  <si>
    <t>10) детский сад на 280 мест в Октябрьском округе города Архангельска*</t>
  </si>
  <si>
    <t>2015 / -</t>
  </si>
  <si>
    <t>администрация муниципального образования "Виноградовский муниципальный район"</t>
  </si>
  <si>
    <t>субсидии на софинансирование капитальных вложений в объекты муниципальной собственности, реконструкция</t>
  </si>
  <si>
    <t>3. Реконструкция здания ГАОУ ДПО "Архангельский областной институт открытого образования"</t>
  </si>
  <si>
    <t>бюджетные инвестиции в объекты государственной собственности Архангельской области, подготовка обоснования инвестиций и проведение его технологического и ценового аудита</t>
  </si>
  <si>
    <t>4) детский сад на 280 мест в г. Котласе Архангельской области по пр. Мира, д. 24а*</t>
  </si>
  <si>
    <t>2. Реализация проекта "Остров Ломоносова"</t>
  </si>
  <si>
    <t xml:space="preserve">1) многофункциональный культурно-образовательный центр в селе Ломоносово
</t>
  </si>
  <si>
    <t>1604,2 кв.м</t>
  </si>
  <si>
    <t>Субсидии на осуществление капитальных вложений в объекты капитального строительства государственной собственности государственным унитарным предприятиям</t>
  </si>
  <si>
    <t>государственное унитарное предприятие Архангельской области «Фонд имущества и инвестиций»</t>
  </si>
  <si>
    <t>субсидии на софинансирование капитальных вложений в объекты муниципальной собственности,  строительство</t>
  </si>
  <si>
    <t>5. Реконструкция моста через Никольское устье Северной Двины в г. Северодвинске</t>
  </si>
  <si>
    <t xml:space="preserve">4. Приобретение земельного участка и здания столовой № 10 в пос. Кизема Устьянского района для нужд государственного бюджетного общеобразовательного учреждения Архангельской области "Киземская специальная (коррекционная) общеобразовательная школа-интернат" </t>
  </si>
  <si>
    <t>субсидии на осуществление  капитальных вложений 
в объекты
капитального строительства государственной собственности  Архангельской
области,                 приобретение</t>
  </si>
  <si>
    <t>государственное бюджетное общеобразовательное учреждение Архангельской области "Киземская специальная (коррекционная) общеобразовательная школа-интернат"</t>
  </si>
  <si>
    <t>протяженность дороги – 2,916 км, в том числе мост – 185,8 м</t>
  </si>
  <si>
    <t>субсидии на софинансирование капитальных вложений в объекты муниципальной собственности, проектирование и реконструкция</t>
  </si>
  <si>
    <t>субсидии на софинансирование капитальных вложений в объекты муниципальной собственности</t>
  </si>
  <si>
    <t>7. Строительство комплекса по переработке и размещению отходов производства и потребления в поселке Соловецкий, корректировка проектно-сметной документации, экспертиза проекта*</t>
  </si>
  <si>
    <t>1. Приобретение здания для ГБУ АО "Центр социальной адаптации для лиц без определенного места жительства и занятий"</t>
  </si>
  <si>
    <t>571,4 кв. м</t>
  </si>
  <si>
    <t>субсидии на осуществление капитальных вложений в приобретение объектов недвижимого имущества в государственную собственность</t>
  </si>
  <si>
    <t>министерство труда, занятости и социального развития Архангельской области</t>
  </si>
  <si>
    <t xml:space="preserve"> ГБУ АО "Центр социальной адаптации для лиц без определенного места жительства и занятий"</t>
  </si>
  <si>
    <r>
      <t>46,66 тыс. м</t>
    </r>
    <r>
      <rPr>
        <vertAlign val="superscript"/>
        <sz val="11"/>
        <rFont val="Times New Roman"/>
        <family val="1"/>
        <charset val="204"/>
      </rPr>
      <t>3</t>
    </r>
  </si>
  <si>
    <t xml:space="preserve">136 кв. м жилых площадей
</t>
  </si>
  <si>
    <t>министерство здравоохранения Архангельской области</t>
  </si>
  <si>
    <t>администрация муниципального образования "Лешуконский муниципальный район"</t>
  </si>
  <si>
    <t>7. Приобретение служебного жилья для медицинских работников ГБУЗ Архангельской области «Лешуконская центральная районная больница» в с. Лешуконское Лешуконского района</t>
  </si>
  <si>
    <t>министерство имущественных отношений
 Архангельской области</t>
  </si>
  <si>
    <t>2. Корректировка проектной документации для строительства здания фондохранилища государственного бюджетного учреждения культуры Архангельской области "Государственное музейное объединение "Художественная культура Русского Севера" в г. Архангельске для сохранения музейного фонда Российской Федерации</t>
  </si>
  <si>
    <t>3. Реконструкция крыши культурно-досугового центра в пос. Березник Виноградовского района</t>
  </si>
  <si>
    <t>министерство культуры Архангельской области</t>
  </si>
  <si>
    <t>4. Приобретение здания для размещения библиотеки, расположенного по адресу: Архангельская область, Пинежский район, с. Карпогоры, ул. Федора Абрамова, д. 30</t>
  </si>
  <si>
    <t xml:space="preserve">6)  приобретение 4 жилых помещений 
в муниципальном образовании "Город Архангельск" </t>
  </si>
  <si>
    <t>администрация муниципального образования                                                                                                                                   "Мезенский  муниципальный район"</t>
  </si>
  <si>
    <t>2) строительство средней общеобразовательной школы на 250 учащихся с блоком временного проживания на 50 человек в с. Ровдино Шенкурского района*</t>
  </si>
  <si>
    <t>субсидии на софинансирование приобретения объектов недвижимого имущества в муниципальную собственность</t>
  </si>
  <si>
    <t>4. Корректировка проектной документации и строительство объекта "Пристройка к зданию хирургического корпуса государственного бюджетного учреждения здравоохранения Архангельской области "Мезенская центральная районная больница"</t>
  </si>
  <si>
    <t>4. Автомобильная дорога "Восточное шоссе" в г. Котласе (погашение кредиторской задолженности)</t>
  </si>
  <si>
    <t>6. Разработка (приобретение) проектной документации по объекту "Реконструкция аэропортового комплекса "Соловки", о. Соловецкий, Архангельская область"</t>
  </si>
  <si>
    <t>1 тыс. кв. м</t>
  </si>
  <si>
    <t>министерство агропромышлен-ного комплекса и торговли Архангельской области</t>
  </si>
  <si>
    <t>1) устройство поля для мини-футбола с искусственным покрытием, расположенного по адресу: Архангельская область, Няндомский район,                                        п. Шалакуша, ул. Заводская, 10*</t>
  </si>
  <si>
    <t>2. Приобретение здания насосной станции на о. Хайнозеро, водопровода напорного магистрального Л в Онежском муниципальном районе в государственную (муниципальную) собственность</t>
  </si>
  <si>
    <t>министерство образования и науки Архангельской области</t>
  </si>
  <si>
    <t>6. Обеспечение жильем в сельской местности специалистов сельскохозяйственных товаропроизводителей</t>
  </si>
  <si>
    <t>2019 / 2025</t>
  </si>
  <si>
    <t>Предлагаемые изменения</t>
  </si>
  <si>
    <t>2016 / 2020</t>
  </si>
  <si>
    <t>7) обеспечение объектами инженерной инфраструктуры и наружного пожаротушения земельных участков, предоставляемых для расселения аварийного жилья, а также выполнение комплекса работ по созданию инфраструктуры, необходимой для полноценного функционирования объекта</t>
  </si>
  <si>
    <t>2015 / 2017</t>
  </si>
  <si>
    <t>2. Строительство (создание "под ключ") многоквартирных домов, приобретение жилых помещений в многоквартирных домах для расселения многоквартирных домов, признанных аварийными                                                                                                                                 до 1 января 2012 года в связи с физическим износом и подлежащих сносу или реконструкции</t>
  </si>
  <si>
    <t xml:space="preserve">76 848 кв. м                                             жилых площадей
</t>
  </si>
  <si>
    <t>бюджетные инвестиции в объекты государственной собственности Архангельской области, строительство / приобретение</t>
  </si>
  <si>
    <t>3. Строительство многоквартирных домов, приобретение жилых помещений в многоквартирных домах для расселения многоквартирных домов, признанных аварийными до 1 января 2012 года в связи                                                                                                                        с физическим износом и подлежащих сносу или реконструкции</t>
  </si>
  <si>
    <t>4 724,2 кв. м                                         жилых площадей</t>
  </si>
  <si>
    <t xml:space="preserve">бюджетные инвестиции в объекты государственной собственности Архангельской области, строительство / приобретение </t>
  </si>
  <si>
    <t>2018 / 2018</t>
  </si>
  <si>
    <t>320 мест</t>
  </si>
  <si>
    <t>администрация муниципального образования                                                                                                                                   "Вилегодский  муниципальный район"</t>
  </si>
  <si>
    <t>субсидии на осуществление капитальных вложений в объекты капитального строительства государственной собственности Архангельской области, приобретение</t>
  </si>
  <si>
    <t xml:space="preserve">государственное бюджетное учреждение Архангельской области "Архангельский государственный архив" </t>
  </si>
  <si>
    <t>расселение                                                               19,33 тыс. кв. м аварийного жилищного фонда</t>
  </si>
  <si>
    <t>расселение                                                               16,66 тыс. кв. м аварийного жилищного фонда</t>
  </si>
  <si>
    <t>3. Осуществление функций авторского и археологического надзора, возмещение затрат, понесенных в ходе проведения надзоров, корректировка проектно-сметной документации и проведение проверки достоверности определения сметной стоимости, а также проведение экспертиз по объекту "Укрепление правого берега реки Северная Двина в Соломбальском территориальном округе г. Архангельска на участке от ул. Маяковского до ул. Кедрова (I этап, 1 подэтап, I этап,                                                                                                                                                                          2 подэтап и II этап)</t>
  </si>
  <si>
    <t>XV. Государственная программа Архангельской области "Развитие местного самоуправления в Архангельской области и государственная поддержка социально ориентированных некоммерческих организаций (2014 – 2021 годы)"</t>
  </si>
  <si>
    <t>1 395,7                                                                                                                  куб. м / сутки</t>
  </si>
  <si>
    <t>8,2 км</t>
  </si>
  <si>
    <t>3. Выполнение работ на основании муниципальных контрактов, предметом которых является одновременно выполнение работ по проектированию, строительству и вводу в эксплуатацию объектов капитального строительства, приобретение жилых помещений 
в многоквартирных домах для расселения многоквартирных домов, признанных аварийными до 1 января 2017 года в связи с физическим износом и подлежащих сносу или реконструкции*</t>
  </si>
  <si>
    <t xml:space="preserve">15 посещений в смену </t>
  </si>
  <si>
    <t>ГБУЗ Архангельской области "Плесецкая центральная районная больница"</t>
  </si>
  <si>
    <t>4. Выполнение инженерных изысканий, разработка обоснования инвестиций и проведение ценового и технологического аудита по мероприятию "Укрепление берега Белого моря в пос. Пертоминске Приморского района"</t>
  </si>
  <si>
    <t>258,6 кв. м</t>
  </si>
  <si>
    <t>5. Начальная общеобразовательная школа на 320 учащихся                                                            в с. Ильинско-Подомское Вилегодского района                                                     Архангельской области*</t>
  </si>
  <si>
    <t>9 человек</t>
  </si>
  <si>
    <t>772,2 кв. м</t>
  </si>
  <si>
    <t>5356,7 кв. м</t>
  </si>
  <si>
    <t>274 кв. м</t>
  </si>
  <si>
    <t>администрация муниципального образования                                                        "Сельское поселение Соловецкое"</t>
  </si>
  <si>
    <t>1. Перевод жилищного фонда города Мирный Архангельской области на природный газ (перевод на природный газ жилых домов по ул. Ленина, 21, 23, 25, 26, 27, 28, 29, 30, 37, 41; ул. Пушкина, 5, 7, 9, 11, 15, 4, 6; ул. Овчинникова, 3, 4, 5, 6, 7, 8, 10, 15, 19, 22, 26; ул. Мира, 4, 6, 8, 10, 12, 16; ул. Неделина, 4, 6, 8, 16, 14, 22, 24, 26, 30; ул. Гагарина, 1, 3, 5, 7, 9, 11, 12, 13, 14, 14а, 16;  ул. Чайковского, 2, 4, 5, 6, 8, 10, 12, 14; ул. Ломоносова, 9, 9а, 11, 13)</t>
  </si>
  <si>
    <t>1 863 квартиры</t>
  </si>
  <si>
    <t>2. Выполнение работ по проектированию, строительству и вводу в эксплуатацию объектов капитального строительства для расселения многоквартирных домов, признанных аварийными до 1 января 2017 года 
в связи с физическим износом и подлежащих сносу или реконструкции</t>
  </si>
  <si>
    <t xml:space="preserve">1. Строительство многоквартирных домов, приобретение жилых помещений в многоквартирных домах и выплата выкупной цены собственникам жилых помещений для расселения многоквартирных домов, признанных аварийными до 1 января 2012 года в связи с физическим износом и подлежащих сносу или реконструкции (за счет остатка на 01.01.2019 средств областного бюджета) </t>
  </si>
  <si>
    <t>2015 / 2021</t>
  </si>
  <si>
    <t xml:space="preserve">       ___________________________</t>
  </si>
  <si>
    <t>5. Формирование государственного жилищного фонда для предоставления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 в соответствии со статьей 109.1 Жилищного кодекса Российской Федерации</t>
  </si>
  <si>
    <t xml:space="preserve">6. Спортивный зал ГБНОУ АО "АГЛ имени М.В. Ломоносова" по адресу г. Архангельск, набережная Северной Двины, д. 25 </t>
  </si>
  <si>
    <t>производительность КОС до 1 000 куб. м / сутки, 10 КНС, 11,04 км сетей водоотведения</t>
  </si>
  <si>
    <t>104,5 кв. м,
7 400 м</t>
  </si>
  <si>
    <t>4. Проектирование и строительство автомобильной дороги Заболотье – Сольвычегодск – Яренск на участке Фоминская – Слободчиково, в том числе мост</t>
  </si>
  <si>
    <t>10) детский сад на 280 мест в территориальном округе Майская горка г. Архангельска*</t>
  </si>
  <si>
    <t>11) детский сад на 220 мест в микрорайоне Южный г. Котласа*</t>
  </si>
  <si>
    <t>12) детский сад на 220 мест в г. Вельске*</t>
  </si>
  <si>
    <t>13) детский сад на 220 мест в г. Мезени*</t>
  </si>
  <si>
    <t>14) детский сад на 60 мест в г. Няндома*</t>
  </si>
  <si>
    <t>15) детский сад на 60 мест в пос. Боброво Приморского района*</t>
  </si>
  <si>
    <t>16) детский сад на 120 мест в пос. Малошуйка Онежского района*</t>
  </si>
  <si>
    <t>17) детский сад на 60 мест в дер. Курцево Котласского района*</t>
  </si>
  <si>
    <t>18) детский сад на 280 мест в 167 квартале города Северодвинска Архангельской области*</t>
  </si>
  <si>
    <t>19) детский сад на 280 мест по ул. Первомайской территориального округа Майская горка г. Архангельска*</t>
  </si>
  <si>
    <t>19) детский сад на 280 мест в Ломоносовском округе города Архангельска*</t>
  </si>
  <si>
    <t>18) детский сад на 280 мест в Соломбальском округе города Архангельска*</t>
  </si>
  <si>
    <t>8а</t>
  </si>
  <si>
    <t>7а</t>
  </si>
  <si>
    <t>9а</t>
  </si>
  <si>
    <t>10а</t>
  </si>
  <si>
    <t>бюджетные инвестиции в объекты государственной собственности Архангельской области, проектирование и реконструкция</t>
  </si>
  <si>
    <t>протяженность дороги – 1,65 км</t>
  </si>
  <si>
    <t>2016 / 2022</t>
  </si>
  <si>
    <t>6. Пристройка сценическо-зрительного комплекса к основному зданию и реконструкция существующего здания Архангельского областного театра кукол по адресу: г. Архангельск, просп. Троицкий, д. 5</t>
  </si>
  <si>
    <t>330 мест</t>
  </si>
  <si>
    <t>2015 / 2018</t>
  </si>
  <si>
    <t>6. Строительство школы-сада в правобережной части г. Каргополя по ул. Чеснокова, 12б</t>
  </si>
  <si>
    <t>200 мест</t>
  </si>
  <si>
    <t>администрация муниципального образования                                                                                                                                   "Каргопольский  муниципальный район"</t>
  </si>
  <si>
    <t>2013 / 2017</t>
  </si>
  <si>
    <t>20 квартир</t>
  </si>
  <si>
    <t>2011 / 2020</t>
  </si>
  <si>
    <t xml:space="preserve">20) детский сад на 220 мест в пос. Урдома Ленского района
</t>
  </si>
  <si>
    <t>7. Пристройка к зданию школы в пос. Приводино Котласского района</t>
  </si>
  <si>
    <t xml:space="preserve">9. Больница на 16 стационарных коек и 7 коек дневного стационара в пос. Урдома Ленского района
</t>
  </si>
  <si>
    <t>16 коек</t>
  </si>
  <si>
    <t>7. Крытый универсальный легкоатлетический манеж в г. Архангельске</t>
  </si>
  <si>
    <t>1. Начальная школа на 320 мест в с. Яренск (строительство "под ключ")</t>
  </si>
  <si>
    <t>2. Физкультурно-оздоровительный комплекс в с. Яренск (проектирование, строительство)</t>
  </si>
  <si>
    <t>10) фельдшерско-акушерский пункт в дер. Луда Приморского района Архангельской области</t>
  </si>
  <si>
    <t>8. Лыжная база в г. Северодвинске Архангельской области</t>
  </si>
  <si>
    <t>100 человек в смену</t>
  </si>
  <si>
    <t>3. Реконструкция системы водоснабжения в с. Яренск</t>
  </si>
  <si>
    <t>Общий (предельный) объем бюджетных ассигнований областного бюджета на               2020 год,                тыс. рублей</t>
  </si>
  <si>
    <t>Общий (предельный) объем бюджетных ассигнований областного бюджета на       2021 год,                                                         тыс. рублей</t>
  </si>
  <si>
    <r>
      <t>объем нагрузки
на сети – 
7,37 м</t>
    </r>
    <r>
      <rPr>
        <vertAlign val="superscript"/>
        <sz val="11"/>
        <color indexed="8"/>
        <rFont val="Times New Roman"/>
        <family val="1"/>
        <charset val="204"/>
      </rPr>
      <t xml:space="preserve">3 </t>
    </r>
    <r>
      <rPr>
        <sz val="11"/>
        <color indexed="8"/>
        <rFont val="Times New Roman"/>
        <family val="1"/>
        <charset val="204"/>
      </rPr>
      <t>/ час</t>
    </r>
  </si>
  <si>
    <r>
      <t>сети: водоснабжения – 113 м</t>
    </r>
    <r>
      <rPr>
        <vertAlign val="superscript"/>
        <sz val="11"/>
        <color theme="1"/>
        <rFont val="Times New Roman"/>
        <family val="1"/>
        <charset val="204"/>
      </rPr>
      <t xml:space="preserve">3 </t>
    </r>
    <r>
      <rPr>
        <sz val="11"/>
        <color theme="1"/>
        <rFont val="Times New Roman"/>
        <family val="1"/>
        <charset val="204"/>
      </rPr>
      <t>/ час; теплоснабжения – 7,1 Гкал / час; электроснабжения – 3562 кВА</t>
    </r>
  </si>
  <si>
    <t>8) завершение строительства 20-квартирного жилого дома в МО "Няндомский муниципальный район", мкр. Каргополь-2, г. Няндома</t>
  </si>
  <si>
    <t>2500 куб. м / сутки</t>
  </si>
  <si>
    <t xml:space="preserve">9) канализационные очистные сооружения мощностью до 2500 куб. м / сутки с трассами напорного коллектора в пос. Приводино
Котласского района
</t>
  </si>
  <si>
    <t>8. Приобретение фельдшерско-акушерского пункта в пос. Поча Плесецкого района Архангельской области</t>
  </si>
  <si>
    <t>6. Разработка проектной документации на реконструкцию мостового перехода через реку Вождеромка на км 60+464 автомобильной дороги Архангельск – Белогорский – Пинега – Кимжа – Мезень</t>
  </si>
  <si>
    <t>7. Обеспечение земельных участков дорожной инфраструктурой для строительства многоквартирных домов в VII жилом районе (ул. Стрелковая – ул. Карпогорская, длиной 1650 м)</t>
  </si>
  <si>
    <t>XII. Адресная программа Архангельской области "Переселение граждан из аварийного жилищного фонда" на 2013 – 2018 годы</t>
  </si>
  <si>
    <t>XI. Адресная программа Архангельской области "Переселение граждан из аварийного жилищного фонда на 2019 – 2025 годы"</t>
  </si>
  <si>
    <t xml:space="preserve">            * Условием предоставления субсидий бюджетам муниципальных образований Архангельской области на софинансирование объектов программы, по которым они являются заказчиками, является централизация закупок в соответствии с частью 7 статьи 26 Федерального закона от 5 апреля 2013 года № 44-ФЗ "О контрактной системе в сфере закупок товаров, работ, услуг для обеспечения государственных и муниципальных нужд".</t>
  </si>
  <si>
    <t>Предлагаемые изменения в областную адресную инвестиционную программу на 2019 год и на плановый период 2020 и 2021 годов</t>
  </si>
  <si>
    <t>Общий объем капитальных вложений за счет всех источников с учетом изменений,              тыс. рублей</t>
  </si>
  <si>
    <t>Предлагаемые   изменения</t>
  </si>
  <si>
    <t>Общий (предельный) объем бюджетных ассигнований областного бюджета на                                                           2019 год с учетом изменений,                                                 тыс. рублей</t>
  </si>
  <si>
    <t>Общий (предельный) объем бюджетных ассигнований областного бюджета на               2020 год с учетом изменений,                тыс. рублей</t>
  </si>
  <si>
    <t>Общий (предельный) объем бюджетных ассигнований областного бюджета на       2021 год с учетом изменений,                                                         тыс. рублей</t>
  </si>
  <si>
    <r>
      <t xml:space="preserve">бюджетные инвестиции в объекты государственной собственности Архангельской области, </t>
    </r>
    <r>
      <rPr>
        <b/>
        <sz val="11"/>
        <color indexed="8"/>
        <rFont val="Times New Roman"/>
        <family val="1"/>
        <charset val="204"/>
      </rPr>
      <t xml:space="preserve">проектирование </t>
    </r>
    <r>
      <rPr>
        <sz val="11"/>
        <color indexed="8"/>
        <rFont val="Times New Roman"/>
        <family val="1"/>
        <charset val="204"/>
      </rPr>
      <t xml:space="preserve">и строительство </t>
    </r>
  </si>
  <si>
    <r>
      <t>2018 /</t>
    </r>
    <r>
      <rPr>
        <b/>
        <sz val="11"/>
        <color indexed="8"/>
        <rFont val="Times New Roman"/>
        <family val="1"/>
        <charset val="204"/>
      </rPr>
      <t xml:space="preserve"> 2020</t>
    </r>
  </si>
  <si>
    <r>
      <t xml:space="preserve">2019 / </t>
    </r>
    <r>
      <rPr>
        <b/>
        <sz val="11"/>
        <color indexed="8"/>
        <rFont val="Times New Roman"/>
        <family val="1"/>
        <charset val="204"/>
      </rPr>
      <t>2020</t>
    </r>
  </si>
  <si>
    <r>
      <rPr>
        <b/>
        <sz val="11"/>
        <color indexed="8"/>
        <rFont val="Times New Roman"/>
        <family val="1"/>
        <charset val="204"/>
      </rPr>
      <t>2020</t>
    </r>
    <r>
      <rPr>
        <sz val="11"/>
        <color indexed="8"/>
        <rFont val="Times New Roman"/>
        <family val="1"/>
        <charset val="204"/>
      </rPr>
      <t xml:space="preserve"> / 2021</t>
    </r>
  </si>
  <si>
    <r>
      <t xml:space="preserve">бюджетные инвестиции в объекты государственной собственности Архангельской области, </t>
    </r>
    <r>
      <rPr>
        <b/>
        <sz val="11"/>
        <color indexed="8"/>
        <rFont val="Times New Roman"/>
        <family val="1"/>
        <charset val="204"/>
      </rPr>
      <t>проектирование</t>
    </r>
    <r>
      <rPr>
        <sz val="11"/>
        <color indexed="8"/>
        <rFont val="Times New Roman"/>
        <family val="1"/>
        <charset val="204"/>
      </rPr>
      <t xml:space="preserve"> и строительство </t>
    </r>
  </si>
  <si>
    <t>5. Приобретение здания ВЗ с пристройкой по адресу: г. Архангельск, ул. Добролюбова, д. 1, корп. 1</t>
  </si>
  <si>
    <t>8. Строительство автодороги по пр. Мира на участке от ул. Ушинского до объездной автомобильной дороги "Котлас-Коряжма, км 0 - км 41</t>
  </si>
  <si>
    <t>администрация муниципального образования "Котлос"</t>
  </si>
  <si>
    <t>протяженность дороги – 1,38 км</t>
  </si>
  <si>
    <t>Строительство объекта «Пожарное депо ГКУ «ОГПС-21»                                                                                                                 на 4 автомашины в г. Сольвычегодске Котласского района</t>
  </si>
  <si>
    <t>4 автомобиля</t>
  </si>
  <si>
    <t>2013 / -</t>
  </si>
  <si>
    <t>9. Многоцелевой физкультурно-оздоровительный объект                                                                     (хоккейная арена «Ледовый дворец») в г. Коряжма</t>
  </si>
  <si>
    <t>9. Строительство окружной дороги (соединение ул. Окружной с ул. Юбилейной) в г. Северодвинске» (1-й этап строительства)</t>
  </si>
  <si>
    <t>2020-2022</t>
  </si>
  <si>
    <t>протяженность дороги – 1,077 км</t>
  </si>
  <si>
    <t>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"Обеспечение качественным, доступным жильем и объектами инженерной инфраструктуры населения Архангельской области</t>
  </si>
  <si>
    <t>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"Развитие образования и науки Архангельской области"</t>
  </si>
  <si>
    <t>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"Культура Русского Севера"</t>
  </si>
  <si>
    <t>IV. Государственная программа Архангельской области                                                                                                                                                                        "Развитие здравоохранения Архангельской области"</t>
  </si>
  <si>
    <t>VI.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инфраструктуры Соловецкого архипелага"</t>
  </si>
  <si>
    <t>VIII.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"Охрана окружающей среды, воспроизводство и использование природных ресурсов Архангельской области"</t>
  </si>
  <si>
    <t>IX.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"Патриотическое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области"</t>
  </si>
  <si>
    <t>X. Государственная программа Архангельской области                                                                                                                                                                        "Развитие энергетики и жилищно-коммунального хозяйства Архангельской области"</t>
  </si>
  <si>
    <t>XIII.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"Обеспечение общественного порядка, профилактика преступности, коррупции, терроризма, экстремизма и незаконного потребления наркотических средств и психотропных веществ  в Архангельской области"</t>
  </si>
  <si>
    <t>XIV. Государственная программа Архангельской области "Социальная поддержка граждан в Архангельской области"</t>
  </si>
  <si>
    <t>XVI. Государственная программа Архангельской области "Защита населения и территорий Архангельской области от чрезвычайных ситуаций, обеспечения пожарной безопасности и безопасности на водных объектах"</t>
  </si>
  <si>
    <t>8б</t>
  </si>
  <si>
    <t>9б</t>
  </si>
  <si>
    <t>10б</t>
  </si>
  <si>
    <t>7б</t>
  </si>
  <si>
    <t>к пояснительной записке</t>
  </si>
  <si>
    <t>Приложение № 11</t>
  </si>
</sst>
</file>

<file path=xl/styles.xml><?xml version="1.0" encoding="utf-8"?>
<styleSheet xmlns="http://schemas.openxmlformats.org/spreadsheetml/2006/main">
  <numFmts count="6">
    <numFmt numFmtId="164" formatCode="_-* #,##0.00_р_._-;\-* #,##0.00_р_._-;_-* &quot;-&quot;??_р_._-;_-@_-"/>
    <numFmt numFmtId="165" formatCode="_-* #,##0.0_р_._-;\-* #,##0.0_р_._-;_-* &quot;-&quot;??_р_._-;_-@_-"/>
    <numFmt numFmtId="166" formatCode="_-* #,##0.0\ _₽_-;\-* #,##0.0\ _₽_-;_-* &quot;-&quot;?\ _₽_-;_-@_-"/>
    <numFmt numFmtId="167" formatCode="_-* #,##0.0_р_._-;\-* #,##0.0_р_._-;_-* &quot;-&quot;?_р_._-;_-@_-"/>
    <numFmt numFmtId="168" formatCode="#,##0.0"/>
    <numFmt numFmtId="169" formatCode="0.0"/>
  </numFmts>
  <fonts count="2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i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vertAlign val="superscript"/>
      <sz val="11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73">
    <xf numFmtId="0" fontId="0" fillId="0" borderId="0" xfId="0"/>
    <xf numFmtId="0" fontId="0" fillId="0" borderId="0" xfId="0" applyFont="1" applyFill="1" applyBorder="1"/>
    <xf numFmtId="0" fontId="0" fillId="0" borderId="0" xfId="0" applyFont="1" applyFill="1"/>
    <xf numFmtId="0" fontId="2" fillId="0" borderId="0" xfId="0" applyFont="1" applyFill="1" applyBorder="1" applyAlignment="1"/>
    <xf numFmtId="0" fontId="2" fillId="0" borderId="0" xfId="0" applyFont="1" applyFill="1" applyAlignment="1"/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/>
    <xf numFmtId="0" fontId="4" fillId="0" borderId="0" xfId="0" applyFont="1" applyFill="1"/>
    <xf numFmtId="0" fontId="4" fillId="0" borderId="0" xfId="0" applyFont="1" applyFill="1" applyBorder="1"/>
    <xf numFmtId="0" fontId="0" fillId="0" borderId="1" xfId="0" applyFont="1" applyFill="1" applyBorder="1"/>
    <xf numFmtId="166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/>
    <xf numFmtId="165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Alignment="1"/>
    <xf numFmtId="0" fontId="0" fillId="0" borderId="0" xfId="0" applyFont="1" applyFill="1" applyBorder="1" applyAlignment="1"/>
    <xf numFmtId="0" fontId="10" fillId="0" borderId="0" xfId="0" applyFont="1" applyFill="1"/>
    <xf numFmtId="166" fontId="2" fillId="0" borderId="1" xfId="0" applyNumberFormat="1" applyFont="1" applyFill="1" applyBorder="1" applyAlignment="1">
      <alignment horizontal="center" vertical="center" wrapText="1"/>
    </xf>
    <xf numFmtId="167" fontId="2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vertical="center"/>
    </xf>
    <xf numFmtId="166" fontId="8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166" fontId="10" fillId="0" borderId="1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/>
    <xf numFmtId="0" fontId="8" fillId="2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vertical="center" wrapText="1"/>
    </xf>
    <xf numFmtId="165" fontId="10" fillId="2" borderId="1" xfId="1" applyNumberFormat="1" applyFont="1" applyFill="1" applyBorder="1" applyAlignment="1">
      <alignment horizontal="center" vertical="center"/>
    </xf>
    <xf numFmtId="168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69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164" fontId="10" fillId="2" borderId="1" xfId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165" fontId="18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/>
    </xf>
    <xf numFmtId="165" fontId="2" fillId="2" borderId="1" xfId="0" applyNumberFormat="1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/>
    </xf>
    <xf numFmtId="165" fontId="8" fillId="2" borderId="1" xfId="1" applyNumberFormat="1" applyFont="1" applyFill="1" applyBorder="1" applyAlignment="1">
      <alignment horizontal="center" vertical="center" wrapText="1"/>
    </xf>
    <xf numFmtId="168" fontId="2" fillId="2" borderId="1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left" vertical="center" wrapText="1"/>
    </xf>
    <xf numFmtId="165" fontId="2" fillId="2" borderId="1" xfId="2" applyNumberFormat="1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8" fontId="10" fillId="2" borderId="1" xfId="0" applyNumberFormat="1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168" fontId="10" fillId="2" borderId="9" xfId="0" applyNumberFormat="1" applyFont="1" applyFill="1" applyBorder="1" applyAlignment="1">
      <alignment horizontal="center" vertical="center"/>
    </xf>
    <xf numFmtId="165" fontId="2" fillId="2" borderId="9" xfId="2" applyNumberFormat="1" applyFont="1" applyFill="1" applyBorder="1" applyAlignment="1">
      <alignment vertical="center"/>
    </xf>
    <xf numFmtId="165" fontId="10" fillId="2" borderId="9" xfId="1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165" fontId="2" fillId="2" borderId="9" xfId="0" applyNumberFormat="1" applyFont="1" applyFill="1" applyBorder="1" applyAlignment="1">
      <alignment vertical="center" wrapText="1"/>
    </xf>
    <xf numFmtId="165" fontId="2" fillId="2" borderId="9" xfId="1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5" fontId="2" fillId="2" borderId="1" xfId="1" applyNumberFormat="1" applyFont="1" applyFill="1" applyBorder="1" applyAlignment="1">
      <alignment horizontal="right" vertical="center"/>
    </xf>
    <xf numFmtId="165" fontId="2" fillId="2" borderId="1" xfId="2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/>
    </xf>
    <xf numFmtId="165" fontId="8" fillId="2" borderId="1" xfId="1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65" fontId="2" fillId="2" borderId="1" xfId="0" applyNumberFormat="1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4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165" fontId="18" fillId="2" borderId="1" xfId="2" applyNumberFormat="1" applyFont="1" applyFill="1" applyBorder="1" applyAlignment="1">
      <alignment vertical="center"/>
    </xf>
    <xf numFmtId="166" fontId="18" fillId="2" borderId="1" xfId="0" applyNumberFormat="1" applyFont="1" applyFill="1" applyBorder="1" applyAlignment="1">
      <alignment horizontal="center" vertical="center"/>
    </xf>
    <xf numFmtId="165" fontId="18" fillId="2" borderId="1" xfId="1" applyNumberFormat="1" applyFont="1" applyFill="1" applyBorder="1" applyAlignment="1">
      <alignment horizontal="center" vertical="center"/>
    </xf>
    <xf numFmtId="165" fontId="8" fillId="2" borderId="1" xfId="2" applyNumberFormat="1" applyFont="1" applyFill="1" applyBorder="1" applyAlignment="1">
      <alignment vertical="center"/>
    </xf>
    <xf numFmtId="168" fontId="2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/>
    </xf>
    <xf numFmtId="169" fontId="10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5" fontId="2" fillId="0" borderId="1" xfId="2" applyNumberFormat="1" applyFont="1" applyFill="1" applyBorder="1" applyAlignment="1">
      <alignment vertical="center"/>
    </xf>
    <xf numFmtId="165" fontId="21" fillId="0" borderId="1" xfId="1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vertical="center"/>
    </xf>
    <xf numFmtId="165" fontId="2" fillId="0" borderId="1" xfId="1" applyNumberFormat="1" applyFont="1" applyFill="1" applyBorder="1" applyAlignment="1">
      <alignment vertical="center"/>
    </xf>
    <xf numFmtId="165" fontId="2" fillId="0" borderId="1" xfId="0" applyNumberFormat="1" applyFont="1" applyFill="1" applyBorder="1" applyAlignment="1">
      <alignment horizontal="left" vertical="center"/>
    </xf>
    <xf numFmtId="165" fontId="2" fillId="0" borderId="1" xfId="1" applyNumberFormat="1" applyFont="1" applyFill="1" applyBorder="1" applyAlignment="1">
      <alignment horizontal="center" vertical="center"/>
    </xf>
    <xf numFmtId="166" fontId="18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165" fontId="10" fillId="0" borderId="1" xfId="0" applyNumberFormat="1" applyFont="1" applyFill="1" applyBorder="1" applyAlignment="1">
      <alignment vertical="center"/>
    </xf>
    <xf numFmtId="169" fontId="10" fillId="0" borderId="1" xfId="0" applyNumberFormat="1" applyFont="1" applyFill="1" applyBorder="1" applyAlignment="1">
      <alignment vertical="center"/>
    </xf>
    <xf numFmtId="165" fontId="2" fillId="0" borderId="1" xfId="1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0" borderId="0" xfId="0" applyFill="1" applyBorder="1" applyAlignment="1"/>
    <xf numFmtId="0" fontId="10" fillId="2" borderId="1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2" fillId="2" borderId="2" xfId="0" applyNumberFormat="1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8" fillId="2" borderId="2" xfId="0" applyNumberFormat="1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vertical="center" wrapText="1"/>
    </xf>
    <xf numFmtId="0" fontId="8" fillId="2" borderId="3" xfId="0" applyNumberFormat="1" applyFont="1" applyFill="1" applyBorder="1" applyAlignment="1">
      <alignment horizontal="left" vertical="center" wrapText="1"/>
    </xf>
    <xf numFmtId="0" fontId="8" fillId="2" borderId="4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2" fillId="2" borderId="3" xfId="0" applyNumberFormat="1" applyFont="1" applyFill="1" applyBorder="1" applyAlignment="1">
      <alignment horizontal="left" vertical="center" wrapText="1"/>
    </xf>
    <xf numFmtId="0" fontId="2" fillId="2" borderId="4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">
    <cellStyle name="Обычный" xfId="0" builtinId="0"/>
    <cellStyle name="Финансовый" xfId="1" builtinId="3"/>
    <cellStyle name="Финансовый 2" xfId="2"/>
    <cellStyle name="Финансовый 2 2" xfId="3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AU189"/>
  <sheetViews>
    <sheetView showGridLines="0" tabSelected="1" view="pageBreakPreview" zoomScale="68" zoomScaleNormal="100" zoomScaleSheetLayoutView="68" workbookViewId="0">
      <selection activeCell="AR2" sqref="AR2"/>
    </sheetView>
  </sheetViews>
  <sheetFormatPr defaultRowHeight="15" outlineLevelRow="1"/>
  <cols>
    <col min="1" max="1" width="67.42578125" style="2" customWidth="1"/>
    <col min="2" max="2" width="19.85546875" style="2" customWidth="1"/>
    <col min="3" max="3" width="22" style="2" customWidth="1"/>
    <col min="4" max="4" width="16.5703125" style="2" customWidth="1"/>
    <col min="5" max="5" width="23.85546875" style="2" customWidth="1"/>
    <col min="6" max="6" width="12.28515625" style="2" customWidth="1"/>
    <col min="7" max="9" width="17" style="2" hidden="1" customWidth="1"/>
    <col min="10" max="14" width="15.85546875" style="2" hidden="1" customWidth="1"/>
    <col min="15" max="20" width="15" style="2" hidden="1" customWidth="1"/>
    <col min="21" max="24" width="15.7109375" style="1" hidden="1" customWidth="1"/>
    <col min="25" max="25" width="15.7109375" style="1" customWidth="1"/>
    <col min="26" max="27" width="15.7109375" style="1" hidden="1" customWidth="1"/>
    <col min="28" max="30" width="15.7109375" style="1" customWidth="1"/>
    <col min="31" max="31" width="14.42578125" style="1" hidden="1" customWidth="1"/>
    <col min="32" max="32" width="15.28515625" style="1" hidden="1" customWidth="1"/>
    <col min="33" max="33" width="15.85546875" style="1" hidden="1" customWidth="1"/>
    <col min="34" max="34" width="9.140625" style="1" hidden="1" customWidth="1"/>
    <col min="35" max="35" width="15.85546875" style="1" hidden="1" customWidth="1"/>
    <col min="36" max="38" width="15.85546875" style="1" customWidth="1"/>
    <col min="39" max="40" width="14.85546875" style="2" hidden="1" customWidth="1"/>
    <col min="41" max="42" width="14.85546875" style="2" customWidth="1"/>
    <col min="43" max="44" width="15.42578125" style="2" customWidth="1"/>
    <col min="45" max="45" width="15" style="2" customWidth="1"/>
    <col min="46" max="16384" width="9.140625" style="2"/>
  </cols>
  <sheetData>
    <row r="1" spans="1:45">
      <c r="AL1" s="20"/>
      <c r="AQ1" s="20"/>
      <c r="AR1" s="20" t="s">
        <v>384</v>
      </c>
    </row>
    <row r="2" spans="1:45">
      <c r="AL2" s="20"/>
      <c r="AQ2" s="20"/>
      <c r="AR2" s="20" t="s">
        <v>383</v>
      </c>
    </row>
    <row r="3" spans="1:45" s="18" customFormat="1">
      <c r="U3" s="19"/>
      <c r="V3" s="19"/>
      <c r="W3" s="19"/>
      <c r="X3" s="19"/>
      <c r="Y3" s="19"/>
      <c r="Z3" s="19"/>
      <c r="AA3" s="19"/>
      <c r="AB3" s="19"/>
      <c r="AC3" s="19"/>
      <c r="AD3" s="19"/>
      <c r="AE3" s="20"/>
      <c r="AF3" s="19"/>
      <c r="AG3" s="20"/>
      <c r="AH3" s="19"/>
      <c r="AI3" s="19"/>
      <c r="AJ3" s="19"/>
      <c r="AK3" s="19"/>
      <c r="AL3" s="19"/>
      <c r="AQ3" s="19"/>
    </row>
    <row r="4" spans="1:45" s="18" customFormat="1" ht="6.75" customHeight="1"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20"/>
      <c r="AH4" s="19"/>
      <c r="AI4" s="19"/>
      <c r="AJ4" s="19"/>
      <c r="AK4" s="19"/>
      <c r="AL4" s="19"/>
    </row>
    <row r="5" spans="1:45" ht="26.25" customHeight="1">
      <c r="A5" s="135" t="s">
        <v>346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</row>
    <row r="6" spans="1:45" ht="10.5" customHeight="1">
      <c r="A6" s="139"/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</row>
    <row r="7" spans="1:45" ht="68.25" customHeight="1">
      <c r="A7" s="133" t="s">
        <v>3</v>
      </c>
      <c r="B7" s="133" t="s">
        <v>0</v>
      </c>
      <c r="C7" s="133" t="s">
        <v>4</v>
      </c>
      <c r="D7" s="133" t="s">
        <v>2</v>
      </c>
      <c r="E7" s="133" t="s">
        <v>1</v>
      </c>
      <c r="F7" s="133" t="s">
        <v>11</v>
      </c>
      <c r="G7" s="133" t="s">
        <v>32</v>
      </c>
      <c r="H7" s="172" t="s">
        <v>180</v>
      </c>
      <c r="I7" s="133" t="s">
        <v>32</v>
      </c>
      <c r="J7" s="133" t="s">
        <v>109</v>
      </c>
      <c r="K7" s="172" t="s">
        <v>180</v>
      </c>
      <c r="L7" s="136" t="s">
        <v>251</v>
      </c>
      <c r="M7" s="133" t="s">
        <v>32</v>
      </c>
      <c r="N7" s="133" t="s">
        <v>109</v>
      </c>
      <c r="O7" s="133" t="s">
        <v>79</v>
      </c>
      <c r="P7" s="172" t="s">
        <v>180</v>
      </c>
      <c r="Q7" s="136" t="s">
        <v>251</v>
      </c>
      <c r="R7" s="133" t="s">
        <v>109</v>
      </c>
      <c r="S7" s="133" t="s">
        <v>79</v>
      </c>
      <c r="T7" s="133" t="s">
        <v>80</v>
      </c>
      <c r="U7" s="172" t="s">
        <v>180</v>
      </c>
      <c r="V7" s="136" t="s">
        <v>251</v>
      </c>
      <c r="W7" s="136" t="s">
        <v>251</v>
      </c>
      <c r="X7" s="136" t="s">
        <v>251</v>
      </c>
      <c r="Y7" s="133" t="s">
        <v>32</v>
      </c>
      <c r="Z7" s="133" t="s">
        <v>109</v>
      </c>
      <c r="AA7" s="136" t="s">
        <v>251</v>
      </c>
      <c r="AB7" s="136" t="s">
        <v>348</v>
      </c>
      <c r="AC7" s="133" t="s">
        <v>347</v>
      </c>
      <c r="AD7" s="133" t="s">
        <v>109</v>
      </c>
      <c r="AE7" s="133" t="s">
        <v>79</v>
      </c>
      <c r="AF7" s="133" t="s">
        <v>80</v>
      </c>
      <c r="AG7" s="136" t="s">
        <v>251</v>
      </c>
      <c r="AH7" s="136"/>
      <c r="AI7" s="136" t="s">
        <v>251</v>
      </c>
      <c r="AJ7" s="136" t="s">
        <v>348</v>
      </c>
      <c r="AK7" s="133" t="s">
        <v>349</v>
      </c>
      <c r="AL7" s="133" t="s">
        <v>333</v>
      </c>
      <c r="AM7" s="133" t="s">
        <v>80</v>
      </c>
      <c r="AN7" s="136" t="s">
        <v>251</v>
      </c>
      <c r="AO7" s="136" t="s">
        <v>348</v>
      </c>
      <c r="AP7" s="133" t="s">
        <v>350</v>
      </c>
      <c r="AQ7" s="133" t="s">
        <v>334</v>
      </c>
      <c r="AR7" s="136" t="s">
        <v>348</v>
      </c>
      <c r="AS7" s="133" t="s">
        <v>351</v>
      </c>
    </row>
    <row r="8" spans="1:45" ht="98.25" customHeight="1">
      <c r="A8" s="133"/>
      <c r="B8" s="133"/>
      <c r="C8" s="134"/>
      <c r="D8" s="134"/>
      <c r="E8" s="134"/>
      <c r="F8" s="134"/>
      <c r="G8" s="134"/>
      <c r="H8" s="172"/>
      <c r="I8" s="134"/>
      <c r="J8" s="134"/>
      <c r="K8" s="172"/>
      <c r="L8" s="137"/>
      <c r="M8" s="134"/>
      <c r="N8" s="134"/>
      <c r="O8" s="134"/>
      <c r="P8" s="172"/>
      <c r="Q8" s="137"/>
      <c r="R8" s="134"/>
      <c r="S8" s="134"/>
      <c r="T8" s="134"/>
      <c r="U8" s="172"/>
      <c r="V8" s="137"/>
      <c r="W8" s="137"/>
      <c r="X8" s="137"/>
      <c r="Y8" s="134"/>
      <c r="Z8" s="134"/>
      <c r="AA8" s="137"/>
      <c r="AB8" s="137"/>
      <c r="AC8" s="134"/>
      <c r="AD8" s="134"/>
      <c r="AE8" s="134"/>
      <c r="AF8" s="134"/>
      <c r="AG8" s="137"/>
      <c r="AH8" s="137"/>
      <c r="AI8" s="137"/>
      <c r="AJ8" s="137"/>
      <c r="AK8" s="134"/>
      <c r="AL8" s="134"/>
      <c r="AM8" s="134"/>
      <c r="AN8" s="137"/>
      <c r="AO8" s="137"/>
      <c r="AP8" s="134"/>
      <c r="AQ8" s="134"/>
      <c r="AR8" s="137"/>
      <c r="AS8" s="134"/>
    </row>
    <row r="9" spans="1:45" ht="15" customHeight="1">
      <c r="A9" s="5">
        <v>1</v>
      </c>
      <c r="B9" s="5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7</v>
      </c>
      <c r="I9" s="6">
        <v>7</v>
      </c>
      <c r="J9" s="6">
        <v>8</v>
      </c>
      <c r="K9" s="6">
        <v>8</v>
      </c>
      <c r="L9" s="6">
        <v>7</v>
      </c>
      <c r="M9" s="6">
        <v>7</v>
      </c>
      <c r="N9" s="6">
        <v>8</v>
      </c>
      <c r="O9" s="6">
        <v>9</v>
      </c>
      <c r="P9" s="6">
        <v>9</v>
      </c>
      <c r="Q9" s="6">
        <v>8</v>
      </c>
      <c r="R9" s="6">
        <v>8</v>
      </c>
      <c r="S9" s="6">
        <v>9</v>
      </c>
      <c r="T9" s="6">
        <v>10</v>
      </c>
      <c r="U9" s="11"/>
      <c r="V9" s="6">
        <v>9</v>
      </c>
      <c r="W9" s="6" t="s">
        <v>306</v>
      </c>
      <c r="X9" s="6" t="s">
        <v>307</v>
      </c>
      <c r="Y9" s="6">
        <v>7</v>
      </c>
      <c r="Z9" s="6">
        <v>8</v>
      </c>
      <c r="AA9" s="6" t="s">
        <v>306</v>
      </c>
      <c r="AB9" s="6" t="s">
        <v>307</v>
      </c>
      <c r="AC9" s="6" t="s">
        <v>382</v>
      </c>
      <c r="AD9" s="6">
        <v>8</v>
      </c>
      <c r="AE9" s="6">
        <v>9</v>
      </c>
      <c r="AF9" s="6">
        <v>10</v>
      </c>
      <c r="AG9" s="6">
        <v>10</v>
      </c>
      <c r="AH9" s="6">
        <v>10</v>
      </c>
      <c r="AI9" s="6" t="s">
        <v>308</v>
      </c>
      <c r="AJ9" s="6" t="s">
        <v>306</v>
      </c>
      <c r="AK9" s="6" t="s">
        <v>379</v>
      </c>
      <c r="AL9" s="6">
        <v>9</v>
      </c>
      <c r="AM9" s="6">
        <v>10</v>
      </c>
      <c r="AN9" s="6" t="s">
        <v>309</v>
      </c>
      <c r="AO9" s="6" t="s">
        <v>308</v>
      </c>
      <c r="AP9" s="6" t="s">
        <v>380</v>
      </c>
      <c r="AQ9" s="6">
        <v>10</v>
      </c>
      <c r="AR9" s="6" t="s">
        <v>309</v>
      </c>
      <c r="AS9" s="6" t="s">
        <v>381</v>
      </c>
    </row>
    <row r="10" spans="1:45" ht="21.75" customHeight="1">
      <c r="A10" s="167" t="s">
        <v>8</v>
      </c>
      <c r="B10" s="171"/>
      <c r="C10" s="171"/>
      <c r="D10" s="171"/>
      <c r="E10" s="99"/>
      <c r="F10" s="99"/>
      <c r="G10" s="7">
        <f>G11+G29+G65+G75+G101+G124+G141+G146+G156+G114+G160+G168</f>
        <v>45737722.545999996</v>
      </c>
      <c r="H10" s="7">
        <f>H11+H29+H65+H75+H101+H124+H141+H146+H156+H114+H160+H168+H164+H170</f>
        <v>5901869.1251000008</v>
      </c>
      <c r="I10" s="7">
        <f>G10+H10</f>
        <v>51639591.671099998</v>
      </c>
      <c r="J10" s="7">
        <f>J11+J29+J65+J75+J101+J124+J141+J146+J156+J114+J160+J168</f>
        <v>1902475.63</v>
      </c>
      <c r="K10" s="7">
        <f>K11+K29+K65+K75+K101+K124+K141+K146+K156+K114+K160+K168+K164+K170</f>
        <v>539671.78999999992</v>
      </c>
      <c r="L10" s="7">
        <f>L11+L29+L65+L75+L101+L114+L124+L141+L146+L156+L160+L168+L164+L170</f>
        <v>5725621.7870300002</v>
      </c>
      <c r="M10" s="7">
        <f>I10+L10+M99+M172</f>
        <v>58695835.39813</v>
      </c>
      <c r="N10" s="7">
        <f>J10+K10</f>
        <v>2442147.42</v>
      </c>
      <c r="O10" s="7">
        <f>O11+O29+O65+O75+O101+O124+O141+O146+O156+O114+O160+O168</f>
        <v>1445473.7000000002</v>
      </c>
      <c r="P10" s="7">
        <f>P11+P29+P65+P75+P101+P124+P141+P146+P156+P114+P160+P168+P164+P170</f>
        <v>122689.78</v>
      </c>
      <c r="Q10" s="7">
        <f>Q11+Q29+Q65+Q75+Q101+Q114+Q124+Q141+Q146+Q156+Q160+Q168+Q164+Q170</f>
        <v>245723.58231999996</v>
      </c>
      <c r="R10" s="7">
        <f>N10+Q10+R99+R172-1494.35</f>
        <v>2806007.5923200003</v>
      </c>
      <c r="S10" s="7">
        <f>O10+P10</f>
        <v>1568163.4800000002</v>
      </c>
      <c r="T10" s="7">
        <f>T11+T29+T65+T75+T101+T124+T141+T146+T156+T114+T160+T168</f>
        <v>1012485.6</v>
      </c>
      <c r="U10" s="7">
        <f>U11+U29+U65+U75+U101+U124+U141+U146+U156+U114+U160+U168+U164+U170</f>
        <v>76237.200000000012</v>
      </c>
      <c r="V10" s="7">
        <f>V11+V29+V65+V75+V101+V114+V124+V141+V146+V156+V160+V168+V164+V170</f>
        <v>1000</v>
      </c>
      <c r="W10" s="7">
        <f>W11+W29+W75+W114+W168</f>
        <v>0</v>
      </c>
      <c r="X10" s="7">
        <f>X11+X29+X65+X75+X101+X114+X124+X141+X146+X156+X160+X164+X168+X170+X172</f>
        <v>2898536.0000000005</v>
      </c>
      <c r="Y10" s="7">
        <f>M10+X10</f>
        <v>61594371.39813</v>
      </c>
      <c r="Z10" s="7">
        <f>R10+W10</f>
        <v>2806007.5923200003</v>
      </c>
      <c r="AA10" s="7">
        <f>AA11+AA29+AA65+AA75+AA101+AA114+AA124+AA141+AA146+AA156+AA160+AA164+AA168+AA170+AA172</f>
        <v>-115447.1</v>
      </c>
      <c r="AB10" s="7">
        <f>AB11+AB29+AB114+AB124+AB101+AB146+AB177+AB75</f>
        <v>938435.1</v>
      </c>
      <c r="AC10" s="7">
        <f>Y10+AB10</f>
        <v>62532806.498130001</v>
      </c>
      <c r="AD10" s="7">
        <f>Z10+AA10</f>
        <v>2690560.4923200002</v>
      </c>
      <c r="AE10" s="7">
        <f>S10+V10+AE172</f>
        <v>2084663.4800000002</v>
      </c>
      <c r="AF10" s="12">
        <f t="shared" ref="AF10:AF27" si="0">T10+U10</f>
        <v>1088722.8</v>
      </c>
      <c r="AG10" s="7">
        <f>AG11+AG29+AG65+AG75+AG101+AG114+AG124+AG141+AG146+AG156+AG160+AG168+AG164+AG170</f>
        <v>1000</v>
      </c>
      <c r="AH10" s="11"/>
      <c r="AI10" s="7">
        <f>AI11+AI29+AI65+AI75+AI101+AI114+AI124+AI141+AI146+AI156+AI160+AI164+AI168+AI170+AI172</f>
        <v>429100</v>
      </c>
      <c r="AJ10" s="7">
        <f>AJ11+AJ29+AJ65+AJ75+AJ101+AJ114+AJ124+AJ146+AJ168+AJ177</f>
        <v>-38954.15</v>
      </c>
      <c r="AK10" s="7">
        <f>AD10+AJ10</f>
        <v>2651606.3423200003</v>
      </c>
      <c r="AL10" s="27">
        <f>AE10+AI10</f>
        <v>2513763.4800000004</v>
      </c>
      <c r="AM10" s="27">
        <f>AF10+AG10+AM172</f>
        <v>1780252</v>
      </c>
      <c r="AN10" s="7">
        <f>AN11+AN29+AN65+AN75+AN101+AN114+AN124+AN141+AN146+AN156+AN160+AN164+AN168+AN170+AN172</f>
        <v>745700</v>
      </c>
      <c r="AO10" s="7">
        <f>AO11+AO29+AO114+AO124+AO101+AO146+AO177</f>
        <v>97101.4</v>
      </c>
      <c r="AP10" s="7">
        <f>AL10+AO10</f>
        <v>2610864.8800000004</v>
      </c>
      <c r="AQ10" s="27">
        <f>AM10+AN10</f>
        <v>2525952</v>
      </c>
      <c r="AR10" s="7">
        <f>AR11+AR29+AR114+AR124+AR101+AR146+AR177</f>
        <v>20000</v>
      </c>
      <c r="AS10" s="27">
        <f>AQ10+AR10</f>
        <v>2545952</v>
      </c>
    </row>
    <row r="11" spans="1:45" ht="40.5" customHeight="1">
      <c r="A11" s="167" t="s">
        <v>368</v>
      </c>
      <c r="B11" s="168"/>
      <c r="C11" s="168"/>
      <c r="D11" s="168"/>
      <c r="E11" s="30"/>
      <c r="F11" s="30"/>
      <c r="G11" s="7">
        <f>G12+G22+G24+G26</f>
        <v>6506813.5</v>
      </c>
      <c r="H11" s="7">
        <f>H12+H22+H24+H26+H28</f>
        <v>477071.5</v>
      </c>
      <c r="I11" s="7">
        <f>G11+H11</f>
        <v>6983885</v>
      </c>
      <c r="J11" s="7">
        <f>J12+J22+J24+J26</f>
        <v>193665.5</v>
      </c>
      <c r="K11" s="7">
        <f>K12+K22+K24+K26+K28</f>
        <v>142549.1</v>
      </c>
      <c r="L11" s="7">
        <f>L12+L22+L24+L26+L28</f>
        <v>270769.59999999998</v>
      </c>
      <c r="M11" s="7">
        <f t="shared" ref="M11:M86" si="1">I11+L11</f>
        <v>7254654.5999999996</v>
      </c>
      <c r="N11" s="7">
        <f t="shared" ref="N11:N126" si="2">J11+K11</f>
        <v>336214.6</v>
      </c>
      <c r="O11" s="7">
        <f>O12+O22+O24</f>
        <v>142866.6</v>
      </c>
      <c r="P11" s="7">
        <f>P12+P22+P24+P26+P28</f>
        <v>15757.7</v>
      </c>
      <c r="Q11" s="7">
        <f>Q12+Q22+Q24+Q26+Q28</f>
        <v>-141740.90000000002</v>
      </c>
      <c r="R11" s="7">
        <f t="shared" ref="R11:R86" si="3">N11+Q11</f>
        <v>194473.69999999995</v>
      </c>
      <c r="S11" s="7">
        <f t="shared" ref="S11:S126" si="4">O11+P11</f>
        <v>158624.30000000002</v>
      </c>
      <c r="T11" s="7">
        <f>T12+T22+T24</f>
        <v>200686.2</v>
      </c>
      <c r="U11" s="7">
        <f>U12+U22+U24+U26+U28</f>
        <v>-91606.2</v>
      </c>
      <c r="V11" s="7">
        <f>V12+V22+V24+V26+V28</f>
        <v>0</v>
      </c>
      <c r="W11" s="7">
        <f>W12</f>
        <v>-23200</v>
      </c>
      <c r="X11" s="7">
        <f>X12+X22+X24+X26+X28</f>
        <v>627779.70000000007</v>
      </c>
      <c r="Y11" s="7">
        <f t="shared" ref="Y11:Y80" si="5">M11+X11</f>
        <v>7882434.2999999998</v>
      </c>
      <c r="Z11" s="7">
        <f t="shared" ref="Z11:Z80" si="6">R11+W11</f>
        <v>171273.69999999995</v>
      </c>
      <c r="AA11" s="7">
        <f>AA12+AA22+AA24+AA26+AA28</f>
        <v>6524</v>
      </c>
      <c r="AB11" s="7">
        <f>AB12</f>
        <v>-59108.5</v>
      </c>
      <c r="AC11" s="7">
        <f t="shared" ref="AC11:AC74" si="7">Y11+AB11</f>
        <v>7823325.7999999998</v>
      </c>
      <c r="AD11" s="7">
        <f t="shared" ref="AD11:AD80" si="8">Z11+AA11</f>
        <v>177797.69999999995</v>
      </c>
      <c r="AE11" s="7">
        <f t="shared" ref="AE11:AE85" si="9">S11+V11</f>
        <v>158624.30000000002</v>
      </c>
      <c r="AF11" s="12">
        <f t="shared" si="0"/>
        <v>109080.00000000001</v>
      </c>
      <c r="AG11" s="7">
        <f>AG12+AG22+AG24+AG26+AG28</f>
        <v>0</v>
      </c>
      <c r="AH11" s="11"/>
      <c r="AI11" s="7">
        <f>AI12+AI22+AI24+AI26+AI28</f>
        <v>249600</v>
      </c>
      <c r="AJ11" s="7">
        <f>AJ12</f>
        <v>45976.3</v>
      </c>
      <c r="AK11" s="7">
        <f t="shared" ref="AK11:AK74" si="10">AD11+AJ11</f>
        <v>223773.99999999994</v>
      </c>
      <c r="AL11" s="27">
        <f t="shared" ref="AL11:AL80" si="11">AE11+AI11</f>
        <v>408224.30000000005</v>
      </c>
      <c r="AM11" s="27">
        <f t="shared" ref="AM11:AM86" si="12">AF11+AG11</f>
        <v>109080.00000000001</v>
      </c>
      <c r="AN11" s="7">
        <f>AN12+AN22+AN24+AN26+AN28</f>
        <v>333100</v>
      </c>
      <c r="AO11" s="7"/>
      <c r="AP11" s="7">
        <f t="shared" ref="AP11:AP74" si="13">AL11+AO11</f>
        <v>408224.30000000005</v>
      </c>
      <c r="AQ11" s="27">
        <f>AM11+AN11</f>
        <v>442180</v>
      </c>
      <c r="AR11" s="27"/>
      <c r="AS11" s="27">
        <f t="shared" ref="AS11:AS74" si="14">AQ11+AR11</f>
        <v>442180</v>
      </c>
    </row>
    <row r="12" spans="1:45" ht="69.75" customHeight="1">
      <c r="A12" s="141" t="s">
        <v>173</v>
      </c>
      <c r="B12" s="142"/>
      <c r="C12" s="142"/>
      <c r="D12" s="143"/>
      <c r="E12" s="21"/>
      <c r="F12" s="22"/>
      <c r="G12" s="7">
        <f>SUM(G13:G17)</f>
        <v>5573137.2000000002</v>
      </c>
      <c r="H12" s="7">
        <f>SUM(H13:H18)</f>
        <v>75985.5</v>
      </c>
      <c r="I12" s="7">
        <f>G12+H12</f>
        <v>5649122.7000000002</v>
      </c>
      <c r="J12" s="7">
        <f>SUM(J13:J18)</f>
        <v>173541.19999999998</v>
      </c>
      <c r="K12" s="7">
        <f>SUM(K13:K18)</f>
        <v>128515.2</v>
      </c>
      <c r="L12" s="7">
        <f>L13+L14+L15+L16+L17+L18+L19</f>
        <v>270769.59999999998</v>
      </c>
      <c r="M12" s="7">
        <f t="shared" si="1"/>
        <v>5919892.2999999998</v>
      </c>
      <c r="N12" s="7">
        <f>J12+K12</f>
        <v>302056.39999999997</v>
      </c>
      <c r="O12" s="7">
        <f>O13+O14+O15+O16+O17</f>
        <v>142866.6</v>
      </c>
      <c r="P12" s="7">
        <f>P13+P14+P15+P16</f>
        <v>-28393.8</v>
      </c>
      <c r="Q12" s="7">
        <f>Q13+Q14+Q15+Q16+Q17+Q18+Q19</f>
        <v>-161677.6</v>
      </c>
      <c r="R12" s="7">
        <f t="shared" si="3"/>
        <v>140378.79999999996</v>
      </c>
      <c r="S12" s="7">
        <f t="shared" si="4"/>
        <v>114472.8</v>
      </c>
      <c r="T12" s="7">
        <f>T13+T14+T15+T16</f>
        <v>200686.2</v>
      </c>
      <c r="U12" s="7">
        <f>U13+U14+U15+U16</f>
        <v>-91606.2</v>
      </c>
      <c r="V12" s="7">
        <f>V13+V14+V15+V16+V17+V18+V19</f>
        <v>0</v>
      </c>
      <c r="W12" s="7">
        <f>W13</f>
        <v>-23200</v>
      </c>
      <c r="X12" s="7">
        <f>X13+X14+X15+X16+X17+X18+X19+X20+X21</f>
        <v>624052.80000000005</v>
      </c>
      <c r="Y12" s="7">
        <f t="shared" si="5"/>
        <v>6543945.0999999996</v>
      </c>
      <c r="Z12" s="7">
        <f t="shared" si="6"/>
        <v>117178.79999999996</v>
      </c>
      <c r="AA12" s="7">
        <f>AA13+AA14+AA15+AA16+AA17+AA18+AA19+AA20+AA21</f>
        <v>2797.1000000000004</v>
      </c>
      <c r="AB12" s="7">
        <f>AB15+AB17</f>
        <v>-59108.5</v>
      </c>
      <c r="AC12" s="7">
        <f t="shared" si="7"/>
        <v>6484836.5999999996</v>
      </c>
      <c r="AD12" s="7">
        <f t="shared" si="8"/>
        <v>119975.89999999997</v>
      </c>
      <c r="AE12" s="7">
        <f t="shared" si="9"/>
        <v>114472.8</v>
      </c>
      <c r="AF12" s="12">
        <f t="shared" si="0"/>
        <v>109080.00000000001</v>
      </c>
      <c r="AG12" s="7">
        <f>AG13+AG14+AG15+AG16+AG17+AG18+AG19</f>
        <v>0</v>
      </c>
      <c r="AH12" s="11"/>
      <c r="AI12" s="7">
        <f>AI13+AI14+AI15+AI16+AI17+AI18+AI19+AI20+AI21</f>
        <v>249600</v>
      </c>
      <c r="AJ12" s="7">
        <f>AJ15+AJ17</f>
        <v>45976.3</v>
      </c>
      <c r="AK12" s="7">
        <f t="shared" si="10"/>
        <v>165952.19999999995</v>
      </c>
      <c r="AL12" s="27">
        <f t="shared" si="11"/>
        <v>364072.8</v>
      </c>
      <c r="AM12" s="27">
        <f t="shared" si="12"/>
        <v>109080.00000000001</v>
      </c>
      <c r="AN12" s="7">
        <f>AN13+AN14+AN15+AN16+AN17+AN18+AN19+AN20+AN21</f>
        <v>333100</v>
      </c>
      <c r="AO12" s="7"/>
      <c r="AP12" s="7">
        <f t="shared" si="13"/>
        <v>364072.8</v>
      </c>
      <c r="AQ12" s="27">
        <f>AM12+AN12</f>
        <v>442180</v>
      </c>
      <c r="AR12" s="27"/>
      <c r="AS12" s="27">
        <f t="shared" si="14"/>
        <v>442180</v>
      </c>
    </row>
    <row r="13" spans="1:45" ht="139.5" customHeight="1">
      <c r="A13" s="17" t="s">
        <v>76</v>
      </c>
      <c r="B13" s="15" t="s">
        <v>70</v>
      </c>
      <c r="C13" s="16" t="s">
        <v>5</v>
      </c>
      <c r="D13" s="16" t="s">
        <v>7</v>
      </c>
      <c r="E13" s="16" t="s">
        <v>25</v>
      </c>
      <c r="F13" s="16" t="s">
        <v>252</v>
      </c>
      <c r="G13" s="7">
        <v>499363.4</v>
      </c>
      <c r="H13" s="7"/>
      <c r="I13" s="7">
        <f>G13+H13</f>
        <v>499363.4</v>
      </c>
      <c r="J13" s="23">
        <v>109723.5</v>
      </c>
      <c r="K13" s="23">
        <v>120000</v>
      </c>
      <c r="L13" s="23"/>
      <c r="M13" s="7">
        <f t="shared" si="1"/>
        <v>499363.4</v>
      </c>
      <c r="N13" s="7">
        <f t="shared" si="2"/>
        <v>229723.5</v>
      </c>
      <c r="O13" s="7">
        <v>82456.600000000006</v>
      </c>
      <c r="P13" s="7">
        <v>-28393.8</v>
      </c>
      <c r="Q13" s="7">
        <f>-165066.3+6049.9-4229.2-0.1</f>
        <v>-163245.70000000001</v>
      </c>
      <c r="R13" s="7">
        <f t="shared" si="3"/>
        <v>66477.799999999988</v>
      </c>
      <c r="S13" s="7">
        <f t="shared" si="4"/>
        <v>54062.8</v>
      </c>
      <c r="T13" s="7">
        <v>91606.2</v>
      </c>
      <c r="U13" s="24">
        <v>-91606.2</v>
      </c>
      <c r="V13" s="24"/>
      <c r="W13" s="24">
        <v>-23200</v>
      </c>
      <c r="X13" s="24"/>
      <c r="Y13" s="7">
        <f t="shared" si="5"/>
        <v>499363.4</v>
      </c>
      <c r="Z13" s="7">
        <f t="shared" si="6"/>
        <v>43277.799999999988</v>
      </c>
      <c r="AA13" s="7"/>
      <c r="AB13" s="7"/>
      <c r="AC13" s="7">
        <f t="shared" si="7"/>
        <v>499363.4</v>
      </c>
      <c r="AD13" s="7">
        <f t="shared" si="8"/>
        <v>43277.799999999988</v>
      </c>
      <c r="AE13" s="7">
        <f t="shared" si="9"/>
        <v>54062.8</v>
      </c>
      <c r="AF13" s="12">
        <f t="shared" si="0"/>
        <v>0</v>
      </c>
      <c r="AG13" s="11"/>
      <c r="AH13" s="11"/>
      <c r="AI13" s="31"/>
      <c r="AJ13" s="31"/>
      <c r="AK13" s="7">
        <f t="shared" si="10"/>
        <v>43277.799999999988</v>
      </c>
      <c r="AL13" s="27">
        <f t="shared" si="11"/>
        <v>54062.8</v>
      </c>
      <c r="AM13" s="27">
        <f t="shared" si="12"/>
        <v>0</v>
      </c>
      <c r="AN13" s="27"/>
      <c r="AO13" s="27"/>
      <c r="AP13" s="7">
        <f t="shared" si="13"/>
        <v>54062.8</v>
      </c>
      <c r="AQ13" s="27">
        <f t="shared" ref="AQ13:AQ80" si="15">AM13+AN13</f>
        <v>0</v>
      </c>
      <c r="AR13" s="27"/>
      <c r="AS13" s="27">
        <f t="shared" si="14"/>
        <v>0</v>
      </c>
    </row>
    <row r="14" spans="1:45" ht="108.75" customHeight="1">
      <c r="A14" s="102" t="s">
        <v>121</v>
      </c>
      <c r="B14" s="106" t="s">
        <v>335</v>
      </c>
      <c r="C14" s="99" t="s">
        <v>5</v>
      </c>
      <c r="D14" s="99" t="s">
        <v>7</v>
      </c>
      <c r="E14" s="99" t="s">
        <v>13</v>
      </c>
      <c r="F14" s="99" t="s">
        <v>14</v>
      </c>
      <c r="G14" s="7">
        <v>22273.7</v>
      </c>
      <c r="H14" s="7"/>
      <c r="I14" s="7">
        <f t="shared" ref="I14:I131" si="16">G14+H14</f>
        <v>22273.7</v>
      </c>
      <c r="J14" s="7">
        <v>4998.8</v>
      </c>
      <c r="K14" s="7">
        <v>4771.5</v>
      </c>
      <c r="L14" s="7"/>
      <c r="M14" s="7">
        <f t="shared" si="1"/>
        <v>22273.7</v>
      </c>
      <c r="N14" s="7">
        <f t="shared" si="2"/>
        <v>9770.2999999999993</v>
      </c>
      <c r="O14" s="7">
        <v>0</v>
      </c>
      <c r="P14" s="7"/>
      <c r="Q14" s="7"/>
      <c r="R14" s="7">
        <f t="shared" si="3"/>
        <v>9770.2999999999993</v>
      </c>
      <c r="S14" s="7">
        <f t="shared" si="4"/>
        <v>0</v>
      </c>
      <c r="T14" s="7">
        <v>0</v>
      </c>
      <c r="U14" s="13"/>
      <c r="V14" s="13"/>
      <c r="W14" s="13"/>
      <c r="X14" s="13"/>
      <c r="Y14" s="7">
        <f t="shared" si="5"/>
        <v>22273.7</v>
      </c>
      <c r="Z14" s="7">
        <f t="shared" si="6"/>
        <v>9770.2999999999993</v>
      </c>
      <c r="AA14" s="7">
        <v>-4883.3999999999996</v>
      </c>
      <c r="AB14" s="7"/>
      <c r="AC14" s="7">
        <f t="shared" si="7"/>
        <v>22273.7</v>
      </c>
      <c r="AD14" s="7">
        <f t="shared" si="8"/>
        <v>4886.8999999999996</v>
      </c>
      <c r="AE14" s="7">
        <f t="shared" si="9"/>
        <v>0</v>
      </c>
      <c r="AF14" s="12">
        <f t="shared" si="0"/>
        <v>0</v>
      </c>
      <c r="AG14" s="11"/>
      <c r="AH14" s="11"/>
      <c r="AI14" s="31"/>
      <c r="AJ14" s="31"/>
      <c r="AK14" s="7">
        <f t="shared" si="10"/>
        <v>4886.8999999999996</v>
      </c>
      <c r="AL14" s="27">
        <f t="shared" si="11"/>
        <v>0</v>
      </c>
      <c r="AM14" s="27">
        <f t="shared" si="12"/>
        <v>0</v>
      </c>
      <c r="AN14" s="27"/>
      <c r="AO14" s="27"/>
      <c r="AP14" s="7">
        <f t="shared" si="13"/>
        <v>0</v>
      </c>
      <c r="AQ14" s="27">
        <f t="shared" si="15"/>
        <v>0</v>
      </c>
      <c r="AR14" s="27"/>
      <c r="AS14" s="27">
        <f t="shared" si="14"/>
        <v>0</v>
      </c>
    </row>
    <row r="15" spans="1:45" ht="112.5" customHeight="1">
      <c r="A15" s="102" t="s">
        <v>139</v>
      </c>
      <c r="B15" s="99" t="s">
        <v>33</v>
      </c>
      <c r="C15" s="99" t="s">
        <v>18</v>
      </c>
      <c r="D15" s="99" t="s">
        <v>7</v>
      </c>
      <c r="E15" s="99" t="s">
        <v>69</v>
      </c>
      <c r="F15" s="99" t="s">
        <v>52</v>
      </c>
      <c r="G15" s="7">
        <v>4237022.4000000004</v>
      </c>
      <c r="H15" s="7"/>
      <c r="I15" s="7">
        <f t="shared" si="16"/>
        <v>4237022.4000000004</v>
      </c>
      <c r="J15" s="23">
        <v>52050</v>
      </c>
      <c r="K15" s="23"/>
      <c r="L15" s="23"/>
      <c r="M15" s="7">
        <f t="shared" si="1"/>
        <v>4237022.4000000004</v>
      </c>
      <c r="N15" s="7">
        <f t="shared" si="2"/>
        <v>52050</v>
      </c>
      <c r="O15" s="7">
        <v>60410</v>
      </c>
      <c r="P15" s="7"/>
      <c r="Q15" s="7"/>
      <c r="R15" s="7">
        <f t="shared" si="3"/>
        <v>52050</v>
      </c>
      <c r="S15" s="7">
        <f t="shared" si="4"/>
        <v>60410</v>
      </c>
      <c r="T15" s="25">
        <v>109080</v>
      </c>
      <c r="U15" s="13"/>
      <c r="V15" s="13"/>
      <c r="W15" s="13"/>
      <c r="X15" s="13"/>
      <c r="Y15" s="7">
        <f t="shared" si="5"/>
        <v>4237022.4000000004</v>
      </c>
      <c r="Z15" s="7">
        <f t="shared" si="6"/>
        <v>52050</v>
      </c>
      <c r="AA15" s="7"/>
      <c r="AB15" s="7"/>
      <c r="AC15" s="7">
        <f t="shared" si="7"/>
        <v>4237022.4000000004</v>
      </c>
      <c r="AD15" s="7">
        <f t="shared" si="8"/>
        <v>52050</v>
      </c>
      <c r="AE15" s="7">
        <f t="shared" si="9"/>
        <v>60410</v>
      </c>
      <c r="AF15" s="12">
        <f t="shared" si="0"/>
        <v>109080</v>
      </c>
      <c r="AG15" s="11"/>
      <c r="AH15" s="11"/>
      <c r="AI15" s="31"/>
      <c r="AJ15" s="24">
        <v>46670</v>
      </c>
      <c r="AK15" s="7">
        <f t="shared" si="10"/>
        <v>98720</v>
      </c>
      <c r="AL15" s="27">
        <f t="shared" si="11"/>
        <v>60410</v>
      </c>
      <c r="AM15" s="27">
        <f t="shared" si="12"/>
        <v>109080</v>
      </c>
      <c r="AN15" s="27"/>
      <c r="AO15" s="27"/>
      <c r="AP15" s="7">
        <f t="shared" si="13"/>
        <v>60410</v>
      </c>
      <c r="AQ15" s="27">
        <f t="shared" si="15"/>
        <v>109080</v>
      </c>
      <c r="AR15" s="27"/>
      <c r="AS15" s="27">
        <f t="shared" si="14"/>
        <v>109080</v>
      </c>
    </row>
    <row r="16" spans="1:45" ht="112.5" customHeight="1">
      <c r="A16" s="102" t="s">
        <v>140</v>
      </c>
      <c r="B16" s="99" t="s">
        <v>40</v>
      </c>
      <c r="C16" s="99" t="s">
        <v>18</v>
      </c>
      <c r="D16" s="99" t="s">
        <v>7</v>
      </c>
      <c r="E16" s="99" t="s">
        <v>69</v>
      </c>
      <c r="F16" s="99" t="s">
        <v>53</v>
      </c>
      <c r="G16" s="14">
        <v>814477.7</v>
      </c>
      <c r="H16" s="14"/>
      <c r="I16" s="7">
        <f t="shared" si="16"/>
        <v>814477.7</v>
      </c>
      <c r="J16" s="23">
        <v>6768.9</v>
      </c>
      <c r="K16" s="23"/>
      <c r="L16" s="23"/>
      <c r="M16" s="7">
        <f t="shared" si="1"/>
        <v>814477.7</v>
      </c>
      <c r="N16" s="7">
        <f t="shared" si="2"/>
        <v>6768.9</v>
      </c>
      <c r="O16" s="7">
        <v>0</v>
      </c>
      <c r="P16" s="7"/>
      <c r="Q16" s="7"/>
      <c r="R16" s="7">
        <f t="shared" si="3"/>
        <v>6768.9</v>
      </c>
      <c r="S16" s="7">
        <f t="shared" si="4"/>
        <v>0</v>
      </c>
      <c r="T16" s="25">
        <v>0</v>
      </c>
      <c r="U16" s="13"/>
      <c r="V16" s="13"/>
      <c r="W16" s="13"/>
      <c r="X16" s="13"/>
      <c r="Y16" s="7">
        <f t="shared" si="5"/>
        <v>814477.7</v>
      </c>
      <c r="Z16" s="7">
        <f t="shared" si="6"/>
        <v>6768.9</v>
      </c>
      <c r="AA16" s="7"/>
      <c r="AB16" s="7"/>
      <c r="AC16" s="7">
        <f t="shared" si="7"/>
        <v>814477.7</v>
      </c>
      <c r="AD16" s="7">
        <f t="shared" si="8"/>
        <v>6768.9</v>
      </c>
      <c r="AE16" s="7">
        <f t="shared" si="9"/>
        <v>0</v>
      </c>
      <c r="AF16" s="12">
        <f t="shared" si="0"/>
        <v>0</v>
      </c>
      <c r="AG16" s="11"/>
      <c r="AH16" s="11"/>
      <c r="AI16" s="31"/>
      <c r="AJ16" s="31"/>
      <c r="AK16" s="7">
        <f t="shared" si="10"/>
        <v>6768.9</v>
      </c>
      <c r="AL16" s="27">
        <f t="shared" si="11"/>
        <v>0</v>
      </c>
      <c r="AM16" s="27">
        <f t="shared" si="12"/>
        <v>0</v>
      </c>
      <c r="AN16" s="27"/>
      <c r="AO16" s="27"/>
      <c r="AP16" s="7">
        <f t="shared" si="13"/>
        <v>0</v>
      </c>
      <c r="AQ16" s="27">
        <f t="shared" si="15"/>
        <v>0</v>
      </c>
      <c r="AR16" s="27"/>
      <c r="AS16" s="27">
        <f t="shared" si="14"/>
        <v>0</v>
      </c>
    </row>
    <row r="17" spans="1:45" ht="113.25" customHeight="1">
      <c r="A17" s="102" t="s">
        <v>184</v>
      </c>
      <c r="B17" s="99" t="s">
        <v>183</v>
      </c>
      <c r="C17" s="99" t="s">
        <v>18</v>
      </c>
      <c r="D17" s="99" t="s">
        <v>7</v>
      </c>
      <c r="E17" s="99" t="s">
        <v>68</v>
      </c>
      <c r="F17" s="99" t="s">
        <v>185</v>
      </c>
      <c r="G17" s="14"/>
      <c r="H17" s="14">
        <v>59108.5</v>
      </c>
      <c r="I17" s="7">
        <f>G17+H17</f>
        <v>59108.5</v>
      </c>
      <c r="J17" s="23"/>
      <c r="K17" s="23">
        <v>693.7</v>
      </c>
      <c r="L17" s="23"/>
      <c r="M17" s="7">
        <f t="shared" si="1"/>
        <v>59108.5</v>
      </c>
      <c r="N17" s="7">
        <f>J17+K17</f>
        <v>693.7</v>
      </c>
      <c r="O17" s="7"/>
      <c r="P17" s="7"/>
      <c r="Q17" s="7"/>
      <c r="R17" s="7">
        <f t="shared" si="3"/>
        <v>693.7</v>
      </c>
      <c r="S17" s="7">
        <f>O17+P17</f>
        <v>0</v>
      </c>
      <c r="T17" s="25"/>
      <c r="U17" s="13"/>
      <c r="V17" s="13"/>
      <c r="W17" s="13"/>
      <c r="X17" s="13"/>
      <c r="Y17" s="7">
        <f t="shared" si="5"/>
        <v>59108.5</v>
      </c>
      <c r="Z17" s="7">
        <f t="shared" si="6"/>
        <v>693.7</v>
      </c>
      <c r="AA17" s="7"/>
      <c r="AB17" s="7">
        <v>-59108.5</v>
      </c>
      <c r="AC17" s="7">
        <f t="shared" si="7"/>
        <v>0</v>
      </c>
      <c r="AD17" s="7">
        <f t="shared" si="8"/>
        <v>693.7</v>
      </c>
      <c r="AE17" s="7">
        <f t="shared" si="9"/>
        <v>0</v>
      </c>
      <c r="AF17" s="12">
        <f t="shared" si="0"/>
        <v>0</v>
      </c>
      <c r="AG17" s="11"/>
      <c r="AH17" s="11"/>
      <c r="AI17" s="31"/>
      <c r="AJ17" s="31">
        <v>-693.7</v>
      </c>
      <c r="AK17" s="7">
        <f t="shared" si="10"/>
        <v>0</v>
      </c>
      <c r="AL17" s="27">
        <f t="shared" si="11"/>
        <v>0</v>
      </c>
      <c r="AM17" s="27">
        <f t="shared" si="12"/>
        <v>0</v>
      </c>
      <c r="AN17" s="27"/>
      <c r="AO17" s="27"/>
      <c r="AP17" s="7">
        <f t="shared" si="13"/>
        <v>0</v>
      </c>
      <c r="AQ17" s="27">
        <f t="shared" si="15"/>
        <v>0</v>
      </c>
      <c r="AR17" s="27"/>
      <c r="AS17" s="27">
        <f t="shared" si="14"/>
        <v>0</v>
      </c>
    </row>
    <row r="18" spans="1:45" ht="105" customHeight="1">
      <c r="A18" s="17" t="s">
        <v>237</v>
      </c>
      <c r="B18" s="15" t="s">
        <v>186</v>
      </c>
      <c r="C18" s="16" t="s">
        <v>187</v>
      </c>
      <c r="D18" s="16" t="s">
        <v>7</v>
      </c>
      <c r="E18" s="99" t="s">
        <v>13</v>
      </c>
      <c r="F18" s="16" t="s">
        <v>22</v>
      </c>
      <c r="G18" s="14"/>
      <c r="H18" s="14">
        <v>16877</v>
      </c>
      <c r="I18" s="7">
        <f>G18+H18</f>
        <v>16877</v>
      </c>
      <c r="J18" s="23"/>
      <c r="K18" s="23">
        <v>3050</v>
      </c>
      <c r="L18" s="23"/>
      <c r="M18" s="7">
        <f t="shared" si="1"/>
        <v>16877</v>
      </c>
      <c r="N18" s="7">
        <f>J18+K18</f>
        <v>3050</v>
      </c>
      <c r="O18" s="7"/>
      <c r="P18" s="7"/>
      <c r="Q18" s="7"/>
      <c r="R18" s="7">
        <f t="shared" si="3"/>
        <v>3050</v>
      </c>
      <c r="S18" s="7">
        <v>0</v>
      </c>
      <c r="T18" s="25"/>
      <c r="U18" s="13"/>
      <c r="V18" s="13"/>
      <c r="W18" s="13"/>
      <c r="X18" s="13"/>
      <c r="Y18" s="7">
        <f t="shared" si="5"/>
        <v>16877</v>
      </c>
      <c r="Z18" s="7">
        <f t="shared" si="6"/>
        <v>3050</v>
      </c>
      <c r="AA18" s="7"/>
      <c r="AB18" s="7"/>
      <c r="AC18" s="7">
        <f t="shared" si="7"/>
        <v>16877</v>
      </c>
      <c r="AD18" s="7">
        <f t="shared" si="8"/>
        <v>3050</v>
      </c>
      <c r="AE18" s="7">
        <f t="shared" si="9"/>
        <v>0</v>
      </c>
      <c r="AF18" s="12">
        <f t="shared" si="0"/>
        <v>0</v>
      </c>
      <c r="AG18" s="11"/>
      <c r="AH18" s="11"/>
      <c r="AI18" s="31"/>
      <c r="AJ18" s="31"/>
      <c r="AK18" s="7">
        <f t="shared" si="10"/>
        <v>3050</v>
      </c>
      <c r="AL18" s="27">
        <f t="shared" si="11"/>
        <v>0</v>
      </c>
      <c r="AM18" s="27">
        <f t="shared" si="12"/>
        <v>0</v>
      </c>
      <c r="AN18" s="27"/>
      <c r="AO18" s="27"/>
      <c r="AP18" s="7">
        <f t="shared" si="13"/>
        <v>0</v>
      </c>
      <c r="AQ18" s="27">
        <f t="shared" si="15"/>
        <v>0</v>
      </c>
      <c r="AR18" s="27"/>
      <c r="AS18" s="27">
        <f t="shared" si="14"/>
        <v>0</v>
      </c>
    </row>
    <row r="19" spans="1:45" ht="116.25" customHeight="1">
      <c r="A19" s="102" t="s">
        <v>253</v>
      </c>
      <c r="B19" s="26" t="s">
        <v>336</v>
      </c>
      <c r="C19" s="99" t="s">
        <v>5</v>
      </c>
      <c r="D19" s="16" t="s">
        <v>7</v>
      </c>
      <c r="E19" s="99" t="s">
        <v>13</v>
      </c>
      <c r="F19" s="16" t="s">
        <v>254</v>
      </c>
      <c r="G19" s="14"/>
      <c r="H19" s="14"/>
      <c r="I19" s="7"/>
      <c r="J19" s="23"/>
      <c r="K19" s="23"/>
      <c r="L19" s="23">
        <v>270769.59999999998</v>
      </c>
      <c r="M19" s="7">
        <f t="shared" si="1"/>
        <v>270769.59999999998</v>
      </c>
      <c r="N19" s="7"/>
      <c r="O19" s="7"/>
      <c r="P19" s="7"/>
      <c r="Q19" s="7">
        <v>1568.1</v>
      </c>
      <c r="R19" s="7">
        <f t="shared" si="3"/>
        <v>1568.1</v>
      </c>
      <c r="S19" s="7"/>
      <c r="T19" s="25"/>
      <c r="U19" s="13"/>
      <c r="V19" s="13"/>
      <c r="W19" s="13"/>
      <c r="X19" s="13"/>
      <c r="Y19" s="7">
        <f t="shared" si="5"/>
        <v>270769.59999999998</v>
      </c>
      <c r="Z19" s="7">
        <f t="shared" si="6"/>
        <v>1568.1</v>
      </c>
      <c r="AA19" s="7"/>
      <c r="AB19" s="7"/>
      <c r="AC19" s="7">
        <f t="shared" si="7"/>
        <v>270769.59999999998</v>
      </c>
      <c r="AD19" s="7">
        <f t="shared" si="8"/>
        <v>1568.1</v>
      </c>
      <c r="AE19" s="7">
        <v>0</v>
      </c>
      <c r="AF19" s="12"/>
      <c r="AG19" s="11"/>
      <c r="AH19" s="11"/>
      <c r="AI19" s="31"/>
      <c r="AJ19" s="31"/>
      <c r="AK19" s="7">
        <f t="shared" si="10"/>
        <v>1568.1</v>
      </c>
      <c r="AL19" s="27">
        <f t="shared" si="11"/>
        <v>0</v>
      </c>
      <c r="AM19" s="27">
        <v>0</v>
      </c>
      <c r="AN19" s="27"/>
      <c r="AO19" s="27"/>
      <c r="AP19" s="7">
        <f t="shared" si="13"/>
        <v>0</v>
      </c>
      <c r="AQ19" s="27">
        <f t="shared" si="15"/>
        <v>0</v>
      </c>
      <c r="AR19" s="27"/>
      <c r="AS19" s="27">
        <f t="shared" si="14"/>
        <v>0</v>
      </c>
    </row>
    <row r="20" spans="1:45" ht="129" customHeight="1">
      <c r="A20" s="107" t="s">
        <v>337</v>
      </c>
      <c r="B20" s="26" t="s">
        <v>320</v>
      </c>
      <c r="C20" s="127" t="s">
        <v>352</v>
      </c>
      <c r="D20" s="16" t="s">
        <v>7</v>
      </c>
      <c r="E20" s="99" t="s">
        <v>13</v>
      </c>
      <c r="F20" s="16" t="s">
        <v>321</v>
      </c>
      <c r="G20" s="14"/>
      <c r="H20" s="14"/>
      <c r="I20" s="7"/>
      <c r="J20" s="23"/>
      <c r="K20" s="23"/>
      <c r="L20" s="23"/>
      <c r="M20" s="7"/>
      <c r="N20" s="7"/>
      <c r="O20" s="7"/>
      <c r="P20" s="7"/>
      <c r="Q20" s="7"/>
      <c r="R20" s="7"/>
      <c r="S20" s="7"/>
      <c r="T20" s="25"/>
      <c r="U20" s="13"/>
      <c r="V20" s="13"/>
      <c r="W20" s="13"/>
      <c r="X20" s="24">
        <v>41352.800000000003</v>
      </c>
      <c r="Y20" s="7">
        <f t="shared" si="5"/>
        <v>41352.800000000003</v>
      </c>
      <c r="Z20" s="7"/>
      <c r="AA20" s="7">
        <v>3000</v>
      </c>
      <c r="AB20" s="7"/>
      <c r="AC20" s="7">
        <f t="shared" si="7"/>
        <v>41352.800000000003</v>
      </c>
      <c r="AD20" s="7">
        <f t="shared" si="8"/>
        <v>3000</v>
      </c>
      <c r="AE20" s="7"/>
      <c r="AF20" s="12"/>
      <c r="AG20" s="11"/>
      <c r="AH20" s="11"/>
      <c r="AI20" s="31"/>
      <c r="AJ20" s="31"/>
      <c r="AK20" s="7">
        <f t="shared" si="10"/>
        <v>3000</v>
      </c>
      <c r="AL20" s="27">
        <f t="shared" si="11"/>
        <v>0</v>
      </c>
      <c r="AM20" s="27"/>
      <c r="AN20" s="27"/>
      <c r="AO20" s="27"/>
      <c r="AP20" s="7">
        <f t="shared" si="13"/>
        <v>0</v>
      </c>
      <c r="AQ20" s="27">
        <f t="shared" si="15"/>
        <v>0</v>
      </c>
      <c r="AR20" s="27"/>
      <c r="AS20" s="27">
        <f t="shared" si="14"/>
        <v>0</v>
      </c>
    </row>
    <row r="21" spans="1:45" ht="116.25" customHeight="1">
      <c r="A21" s="107" t="s">
        <v>339</v>
      </c>
      <c r="B21" s="26" t="s">
        <v>338</v>
      </c>
      <c r="C21" s="99" t="s">
        <v>12</v>
      </c>
      <c r="D21" s="16" t="s">
        <v>7</v>
      </c>
      <c r="E21" s="99" t="s">
        <v>13</v>
      </c>
      <c r="F21" s="16" t="s">
        <v>132</v>
      </c>
      <c r="G21" s="14"/>
      <c r="H21" s="14"/>
      <c r="I21" s="7"/>
      <c r="J21" s="23"/>
      <c r="K21" s="23"/>
      <c r="L21" s="23"/>
      <c r="M21" s="7"/>
      <c r="N21" s="7"/>
      <c r="O21" s="7"/>
      <c r="P21" s="7"/>
      <c r="Q21" s="7"/>
      <c r="R21" s="7"/>
      <c r="S21" s="7"/>
      <c r="T21" s="25"/>
      <c r="U21" s="13"/>
      <c r="V21" s="13"/>
      <c r="W21" s="13"/>
      <c r="X21" s="24">
        <v>582700</v>
      </c>
      <c r="Y21" s="7">
        <f t="shared" si="5"/>
        <v>582700</v>
      </c>
      <c r="Z21" s="7"/>
      <c r="AA21" s="7">
        <v>4680.5</v>
      </c>
      <c r="AB21" s="7"/>
      <c r="AC21" s="7">
        <f t="shared" si="7"/>
        <v>582700</v>
      </c>
      <c r="AD21" s="7">
        <f t="shared" si="8"/>
        <v>4680.5</v>
      </c>
      <c r="AE21" s="7"/>
      <c r="AF21" s="12"/>
      <c r="AG21" s="11"/>
      <c r="AH21" s="11"/>
      <c r="AI21" s="24">
        <v>249600</v>
      </c>
      <c r="AJ21" s="24"/>
      <c r="AK21" s="7">
        <f t="shared" si="10"/>
        <v>4680.5</v>
      </c>
      <c r="AL21" s="27">
        <f t="shared" si="11"/>
        <v>249600</v>
      </c>
      <c r="AM21" s="27"/>
      <c r="AN21" s="27">
        <v>333100</v>
      </c>
      <c r="AO21" s="27"/>
      <c r="AP21" s="7">
        <f t="shared" si="13"/>
        <v>249600</v>
      </c>
      <c r="AQ21" s="27">
        <f t="shared" si="15"/>
        <v>333100</v>
      </c>
      <c r="AR21" s="27"/>
      <c r="AS21" s="27">
        <f t="shared" si="14"/>
        <v>333100</v>
      </c>
    </row>
    <row r="22" spans="1:45" ht="36" customHeight="1">
      <c r="A22" s="141" t="s">
        <v>146</v>
      </c>
      <c r="B22" s="145"/>
      <c r="C22" s="145"/>
      <c r="D22" s="146"/>
      <c r="E22" s="99"/>
      <c r="F22" s="99"/>
      <c r="G22" s="7">
        <f>G23</f>
        <v>216748.6</v>
      </c>
      <c r="H22" s="7">
        <f>H23</f>
        <v>0</v>
      </c>
      <c r="I22" s="7">
        <f t="shared" si="16"/>
        <v>216748.6</v>
      </c>
      <c r="J22" s="7">
        <f>J23</f>
        <v>9942.2000000000007</v>
      </c>
      <c r="K22" s="7">
        <f>K23</f>
        <v>7558.3</v>
      </c>
      <c r="L22" s="7">
        <f>L23</f>
        <v>0</v>
      </c>
      <c r="M22" s="7">
        <f t="shared" si="1"/>
        <v>216748.6</v>
      </c>
      <c r="N22" s="7">
        <f t="shared" si="2"/>
        <v>17500.5</v>
      </c>
      <c r="O22" s="7">
        <f>O23</f>
        <v>0</v>
      </c>
      <c r="P22" s="7">
        <f>P23</f>
        <v>0</v>
      </c>
      <c r="Q22" s="7">
        <f>Q23</f>
        <v>19936.699999999997</v>
      </c>
      <c r="R22" s="7">
        <f t="shared" si="3"/>
        <v>37437.199999999997</v>
      </c>
      <c r="S22" s="7">
        <f t="shared" si="4"/>
        <v>0</v>
      </c>
      <c r="T22" s="7">
        <f>T23</f>
        <v>0</v>
      </c>
      <c r="U22" s="13"/>
      <c r="V22" s="7">
        <f>V23</f>
        <v>0</v>
      </c>
      <c r="W22" s="7"/>
      <c r="X22" s="7">
        <f>X23</f>
        <v>3726.9</v>
      </c>
      <c r="Y22" s="7">
        <f t="shared" si="5"/>
        <v>220475.5</v>
      </c>
      <c r="Z22" s="7">
        <f t="shared" si="6"/>
        <v>37437.199999999997</v>
      </c>
      <c r="AA22" s="7">
        <f>AA23</f>
        <v>3726.9</v>
      </c>
      <c r="AB22" s="7"/>
      <c r="AC22" s="7">
        <f t="shared" si="7"/>
        <v>220475.5</v>
      </c>
      <c r="AD22" s="7">
        <f t="shared" si="8"/>
        <v>41164.1</v>
      </c>
      <c r="AE22" s="7">
        <f t="shared" si="9"/>
        <v>0</v>
      </c>
      <c r="AF22" s="12">
        <f t="shared" si="0"/>
        <v>0</v>
      </c>
      <c r="AG22" s="7">
        <f>AG23</f>
        <v>0</v>
      </c>
      <c r="AH22" s="11"/>
      <c r="AI22" s="7">
        <f>AI23</f>
        <v>0</v>
      </c>
      <c r="AJ22" s="7"/>
      <c r="AK22" s="7">
        <f t="shared" si="10"/>
        <v>41164.1</v>
      </c>
      <c r="AL22" s="27">
        <f t="shared" si="11"/>
        <v>0</v>
      </c>
      <c r="AM22" s="27">
        <f t="shared" si="12"/>
        <v>0</v>
      </c>
      <c r="AN22" s="7">
        <f>AN23</f>
        <v>0</v>
      </c>
      <c r="AO22" s="7"/>
      <c r="AP22" s="7">
        <f t="shared" si="13"/>
        <v>0</v>
      </c>
      <c r="AQ22" s="27">
        <f t="shared" si="15"/>
        <v>0</v>
      </c>
      <c r="AR22" s="27"/>
      <c r="AS22" s="27">
        <f t="shared" si="14"/>
        <v>0</v>
      </c>
    </row>
    <row r="23" spans="1:45" ht="111.75" customHeight="1">
      <c r="A23" s="104" t="s">
        <v>147</v>
      </c>
      <c r="B23" s="32" t="s">
        <v>45</v>
      </c>
      <c r="C23" s="33" t="s">
        <v>18</v>
      </c>
      <c r="D23" s="33" t="s">
        <v>16</v>
      </c>
      <c r="E23" s="33" t="s">
        <v>26</v>
      </c>
      <c r="F23" s="33" t="s">
        <v>22</v>
      </c>
      <c r="G23" s="34">
        <v>216748.6</v>
      </c>
      <c r="H23" s="34"/>
      <c r="I23" s="34">
        <f t="shared" si="16"/>
        <v>216748.6</v>
      </c>
      <c r="J23" s="34">
        <v>9942.2000000000007</v>
      </c>
      <c r="K23" s="34">
        <v>7558.3</v>
      </c>
      <c r="L23" s="34"/>
      <c r="M23" s="34">
        <f t="shared" si="1"/>
        <v>216748.6</v>
      </c>
      <c r="N23" s="34">
        <f t="shared" si="2"/>
        <v>17500.5</v>
      </c>
      <c r="O23" s="34">
        <v>0</v>
      </c>
      <c r="P23" s="34"/>
      <c r="Q23" s="34">
        <f>11901.6+2840.2+5194.9</f>
        <v>19936.699999999997</v>
      </c>
      <c r="R23" s="34">
        <f t="shared" si="3"/>
        <v>37437.199999999997</v>
      </c>
      <c r="S23" s="34">
        <f t="shared" si="4"/>
        <v>0</v>
      </c>
      <c r="T23" s="34">
        <v>0</v>
      </c>
      <c r="U23" s="35"/>
      <c r="V23" s="35"/>
      <c r="W23" s="35"/>
      <c r="X23" s="34">
        <v>3726.9</v>
      </c>
      <c r="Y23" s="7">
        <f t="shared" si="5"/>
        <v>220475.5</v>
      </c>
      <c r="Z23" s="7">
        <f t="shared" si="6"/>
        <v>37437.199999999997</v>
      </c>
      <c r="AA23" s="7">
        <v>3726.9</v>
      </c>
      <c r="AB23" s="7"/>
      <c r="AC23" s="7">
        <f t="shared" si="7"/>
        <v>220475.5</v>
      </c>
      <c r="AD23" s="7">
        <f t="shared" si="8"/>
        <v>41164.1</v>
      </c>
      <c r="AE23" s="7">
        <f t="shared" si="9"/>
        <v>0</v>
      </c>
      <c r="AF23" s="12">
        <f t="shared" si="0"/>
        <v>0</v>
      </c>
      <c r="AG23" s="11"/>
      <c r="AH23" s="11"/>
      <c r="AI23" s="31"/>
      <c r="AJ23" s="31"/>
      <c r="AK23" s="7">
        <f t="shared" si="10"/>
        <v>41164.1</v>
      </c>
      <c r="AL23" s="27">
        <f t="shared" si="11"/>
        <v>0</v>
      </c>
      <c r="AM23" s="27">
        <f t="shared" si="12"/>
        <v>0</v>
      </c>
      <c r="AN23" s="27"/>
      <c r="AO23" s="27"/>
      <c r="AP23" s="7">
        <f t="shared" si="13"/>
        <v>0</v>
      </c>
      <c r="AQ23" s="27">
        <f t="shared" si="15"/>
        <v>0</v>
      </c>
      <c r="AR23" s="27"/>
      <c r="AS23" s="27">
        <f t="shared" si="14"/>
        <v>0</v>
      </c>
    </row>
    <row r="24" spans="1:45" ht="36.75" customHeight="1">
      <c r="A24" s="147" t="s">
        <v>148</v>
      </c>
      <c r="B24" s="169"/>
      <c r="C24" s="169"/>
      <c r="D24" s="170"/>
      <c r="E24" s="33"/>
      <c r="F24" s="33"/>
      <c r="G24" s="34">
        <f>SUM(G25:G25)</f>
        <v>716927.7</v>
      </c>
      <c r="H24" s="34">
        <f>SUM(H25:H25)</f>
        <v>345409</v>
      </c>
      <c r="I24" s="34">
        <f t="shared" si="16"/>
        <v>1062336.7</v>
      </c>
      <c r="J24" s="34">
        <f>SUM(J25:J25)</f>
        <v>10182.1</v>
      </c>
      <c r="K24" s="34">
        <f>SUM(K25:K25)</f>
        <v>0</v>
      </c>
      <c r="L24" s="34">
        <f>L25</f>
        <v>0</v>
      </c>
      <c r="M24" s="34">
        <f t="shared" si="1"/>
        <v>1062336.7</v>
      </c>
      <c r="N24" s="34">
        <f t="shared" si="2"/>
        <v>10182.1</v>
      </c>
      <c r="O24" s="34">
        <f>SUM(O25:O25)</f>
        <v>0</v>
      </c>
      <c r="P24" s="34">
        <f>SUM(P25:P25)</f>
        <v>0</v>
      </c>
      <c r="Q24" s="34">
        <f>Q25</f>
        <v>0</v>
      </c>
      <c r="R24" s="34">
        <f t="shared" si="3"/>
        <v>10182.1</v>
      </c>
      <c r="S24" s="34">
        <f t="shared" si="4"/>
        <v>0</v>
      </c>
      <c r="T24" s="34">
        <f>SUM(T25:T25)</f>
        <v>0</v>
      </c>
      <c r="U24" s="35"/>
      <c r="V24" s="34">
        <f>V25</f>
        <v>0</v>
      </c>
      <c r="W24" s="34"/>
      <c r="X24" s="34"/>
      <c r="Y24" s="7">
        <f t="shared" si="5"/>
        <v>1062336.7</v>
      </c>
      <c r="Z24" s="7">
        <f t="shared" si="6"/>
        <v>10182.1</v>
      </c>
      <c r="AA24" s="7"/>
      <c r="AB24" s="7"/>
      <c r="AC24" s="7">
        <f t="shared" si="7"/>
        <v>1062336.7</v>
      </c>
      <c r="AD24" s="7">
        <f t="shared" si="8"/>
        <v>10182.1</v>
      </c>
      <c r="AE24" s="7">
        <f t="shared" si="9"/>
        <v>0</v>
      </c>
      <c r="AF24" s="12">
        <f t="shared" si="0"/>
        <v>0</v>
      </c>
      <c r="AG24" s="7">
        <f>AG25</f>
        <v>0</v>
      </c>
      <c r="AH24" s="11"/>
      <c r="AI24" s="31"/>
      <c r="AJ24" s="31"/>
      <c r="AK24" s="7">
        <f t="shared" si="10"/>
        <v>10182.1</v>
      </c>
      <c r="AL24" s="27">
        <f t="shared" si="11"/>
        <v>0</v>
      </c>
      <c r="AM24" s="27">
        <f t="shared" si="12"/>
        <v>0</v>
      </c>
      <c r="AN24" s="27"/>
      <c r="AO24" s="27"/>
      <c r="AP24" s="7">
        <f t="shared" si="13"/>
        <v>0</v>
      </c>
      <c r="AQ24" s="27">
        <f t="shared" si="15"/>
        <v>0</v>
      </c>
      <c r="AR24" s="27"/>
      <c r="AS24" s="27">
        <f t="shared" si="14"/>
        <v>0</v>
      </c>
    </row>
    <row r="25" spans="1:45" ht="113.25" customHeight="1">
      <c r="A25" s="36" t="s">
        <v>137</v>
      </c>
      <c r="B25" s="37" t="s">
        <v>58</v>
      </c>
      <c r="C25" s="33" t="s">
        <v>18</v>
      </c>
      <c r="D25" s="37" t="s">
        <v>7</v>
      </c>
      <c r="E25" s="33" t="s">
        <v>29</v>
      </c>
      <c r="F25" s="37" t="s">
        <v>136</v>
      </c>
      <c r="G25" s="34">
        <v>716927.7</v>
      </c>
      <c r="H25" s="34">
        <v>345409</v>
      </c>
      <c r="I25" s="34">
        <f t="shared" si="16"/>
        <v>1062336.7</v>
      </c>
      <c r="J25" s="34">
        <v>10182.1</v>
      </c>
      <c r="K25" s="34"/>
      <c r="L25" s="34"/>
      <c r="M25" s="34">
        <f t="shared" si="1"/>
        <v>1062336.7</v>
      </c>
      <c r="N25" s="34">
        <f t="shared" si="2"/>
        <v>10182.1</v>
      </c>
      <c r="O25" s="34">
        <v>0</v>
      </c>
      <c r="P25" s="34"/>
      <c r="Q25" s="34"/>
      <c r="R25" s="34">
        <f t="shared" si="3"/>
        <v>10182.1</v>
      </c>
      <c r="S25" s="34">
        <f t="shared" si="4"/>
        <v>0</v>
      </c>
      <c r="T25" s="34">
        <v>0</v>
      </c>
      <c r="U25" s="35"/>
      <c r="V25" s="35"/>
      <c r="W25" s="35"/>
      <c r="X25" s="35"/>
      <c r="Y25" s="7">
        <f t="shared" si="5"/>
        <v>1062336.7</v>
      </c>
      <c r="Z25" s="7">
        <f t="shared" si="6"/>
        <v>10182.1</v>
      </c>
      <c r="AA25" s="7"/>
      <c r="AB25" s="7"/>
      <c r="AC25" s="7">
        <f t="shared" si="7"/>
        <v>1062336.7</v>
      </c>
      <c r="AD25" s="7">
        <f t="shared" si="8"/>
        <v>10182.1</v>
      </c>
      <c r="AE25" s="7">
        <f t="shared" si="9"/>
        <v>0</v>
      </c>
      <c r="AF25" s="12">
        <f t="shared" si="0"/>
        <v>0</v>
      </c>
      <c r="AG25" s="11"/>
      <c r="AH25" s="11"/>
      <c r="AI25" s="31"/>
      <c r="AJ25" s="31"/>
      <c r="AK25" s="7">
        <f t="shared" si="10"/>
        <v>10182.1</v>
      </c>
      <c r="AL25" s="27">
        <f t="shared" si="11"/>
        <v>0</v>
      </c>
      <c r="AM25" s="27">
        <f t="shared" si="12"/>
        <v>0</v>
      </c>
      <c r="AN25" s="27"/>
      <c r="AO25" s="27"/>
      <c r="AP25" s="7">
        <f t="shared" si="13"/>
        <v>0</v>
      </c>
      <c r="AQ25" s="27">
        <f t="shared" si="15"/>
        <v>0</v>
      </c>
      <c r="AR25" s="27"/>
      <c r="AS25" s="27">
        <f t="shared" si="14"/>
        <v>0</v>
      </c>
    </row>
    <row r="26" spans="1:45" ht="53.25" customHeight="1">
      <c r="A26" s="144" t="s">
        <v>188</v>
      </c>
      <c r="B26" s="144"/>
      <c r="C26" s="144"/>
      <c r="D26" s="144"/>
      <c r="E26" s="33"/>
      <c r="F26" s="37"/>
      <c r="G26" s="34">
        <f>G27</f>
        <v>0</v>
      </c>
      <c r="H26" s="34">
        <f>H27</f>
        <v>11525.5</v>
      </c>
      <c r="I26" s="34">
        <f>G26+H26</f>
        <v>11525.5</v>
      </c>
      <c r="J26" s="34">
        <f>J27</f>
        <v>0</v>
      </c>
      <c r="K26" s="34">
        <f>K27</f>
        <v>6475.6</v>
      </c>
      <c r="L26" s="34">
        <f>L27</f>
        <v>0</v>
      </c>
      <c r="M26" s="34">
        <f t="shared" si="1"/>
        <v>11525.5</v>
      </c>
      <c r="N26" s="34">
        <f>J26+K26</f>
        <v>6475.6</v>
      </c>
      <c r="O26" s="34">
        <f>O27</f>
        <v>0</v>
      </c>
      <c r="P26" s="34"/>
      <c r="Q26" s="34">
        <f>Q27</f>
        <v>0</v>
      </c>
      <c r="R26" s="34">
        <f t="shared" si="3"/>
        <v>6475.6</v>
      </c>
      <c r="S26" s="34">
        <f>O26+P26</f>
        <v>0</v>
      </c>
      <c r="T26" s="34"/>
      <c r="U26" s="35"/>
      <c r="V26" s="34">
        <f>V27</f>
        <v>0</v>
      </c>
      <c r="W26" s="34"/>
      <c r="X26" s="34"/>
      <c r="Y26" s="7">
        <f t="shared" si="5"/>
        <v>11525.5</v>
      </c>
      <c r="Z26" s="7">
        <f t="shared" si="6"/>
        <v>6475.6</v>
      </c>
      <c r="AA26" s="7"/>
      <c r="AB26" s="7"/>
      <c r="AC26" s="7">
        <f t="shared" si="7"/>
        <v>11525.5</v>
      </c>
      <c r="AD26" s="7">
        <f t="shared" si="8"/>
        <v>6475.6</v>
      </c>
      <c r="AE26" s="7">
        <f t="shared" si="9"/>
        <v>0</v>
      </c>
      <c r="AF26" s="12">
        <f t="shared" si="0"/>
        <v>0</v>
      </c>
      <c r="AG26" s="7">
        <f>AG27</f>
        <v>0</v>
      </c>
      <c r="AH26" s="11"/>
      <c r="AI26" s="31"/>
      <c r="AJ26" s="31"/>
      <c r="AK26" s="7">
        <f t="shared" si="10"/>
        <v>6475.6</v>
      </c>
      <c r="AL26" s="27">
        <f t="shared" si="11"/>
        <v>0</v>
      </c>
      <c r="AM26" s="27">
        <f t="shared" si="12"/>
        <v>0</v>
      </c>
      <c r="AN26" s="27"/>
      <c r="AO26" s="27"/>
      <c r="AP26" s="7">
        <f t="shared" si="13"/>
        <v>0</v>
      </c>
      <c r="AQ26" s="27">
        <f t="shared" si="15"/>
        <v>0</v>
      </c>
      <c r="AR26" s="27"/>
      <c r="AS26" s="27">
        <f t="shared" si="14"/>
        <v>0</v>
      </c>
    </row>
    <row r="27" spans="1:45" ht="105.75" customHeight="1">
      <c r="A27" s="104" t="s">
        <v>191</v>
      </c>
      <c r="B27" s="33" t="s">
        <v>189</v>
      </c>
      <c r="C27" s="33" t="s">
        <v>18</v>
      </c>
      <c r="D27" s="33" t="s">
        <v>7</v>
      </c>
      <c r="E27" s="33" t="s">
        <v>190</v>
      </c>
      <c r="F27" s="33" t="s">
        <v>22</v>
      </c>
      <c r="G27" s="34">
        <v>0</v>
      </c>
      <c r="H27" s="34">
        <v>11525.5</v>
      </c>
      <c r="I27" s="34">
        <f>G27+H27</f>
        <v>11525.5</v>
      </c>
      <c r="J27" s="34">
        <v>0</v>
      </c>
      <c r="K27" s="34">
        <v>6475.6</v>
      </c>
      <c r="L27" s="34"/>
      <c r="M27" s="34">
        <f t="shared" si="1"/>
        <v>11525.5</v>
      </c>
      <c r="N27" s="34">
        <f>J27+K27</f>
        <v>6475.6</v>
      </c>
      <c r="O27" s="34">
        <v>0</v>
      </c>
      <c r="P27" s="34"/>
      <c r="Q27" s="34"/>
      <c r="R27" s="34">
        <f t="shared" si="3"/>
        <v>6475.6</v>
      </c>
      <c r="S27" s="34">
        <v>0</v>
      </c>
      <c r="T27" s="34">
        <v>0</v>
      </c>
      <c r="U27" s="35"/>
      <c r="V27" s="35"/>
      <c r="W27" s="35"/>
      <c r="X27" s="35"/>
      <c r="Y27" s="7">
        <f t="shared" si="5"/>
        <v>11525.5</v>
      </c>
      <c r="Z27" s="7">
        <f t="shared" si="6"/>
        <v>6475.6</v>
      </c>
      <c r="AA27" s="7"/>
      <c r="AB27" s="7"/>
      <c r="AC27" s="7">
        <f t="shared" si="7"/>
        <v>11525.5</v>
      </c>
      <c r="AD27" s="7">
        <f t="shared" si="8"/>
        <v>6475.6</v>
      </c>
      <c r="AE27" s="7">
        <f t="shared" si="9"/>
        <v>0</v>
      </c>
      <c r="AF27" s="12">
        <f t="shared" si="0"/>
        <v>0</v>
      </c>
      <c r="AG27" s="11"/>
      <c r="AH27" s="11"/>
      <c r="AI27" s="31"/>
      <c r="AJ27" s="31"/>
      <c r="AK27" s="7">
        <f t="shared" si="10"/>
        <v>6475.6</v>
      </c>
      <c r="AL27" s="27">
        <f t="shared" si="11"/>
        <v>0</v>
      </c>
      <c r="AM27" s="27">
        <f t="shared" si="12"/>
        <v>0</v>
      </c>
      <c r="AN27" s="27"/>
      <c r="AO27" s="27"/>
      <c r="AP27" s="7">
        <f t="shared" si="13"/>
        <v>0</v>
      </c>
      <c r="AQ27" s="27">
        <f t="shared" si="15"/>
        <v>0</v>
      </c>
      <c r="AR27" s="27"/>
      <c r="AS27" s="27">
        <f t="shared" si="14"/>
        <v>0</v>
      </c>
    </row>
    <row r="28" spans="1:45" ht="114.75" customHeight="1">
      <c r="A28" s="104" t="s">
        <v>289</v>
      </c>
      <c r="B28" s="33" t="s">
        <v>21</v>
      </c>
      <c r="C28" s="37" t="s">
        <v>187</v>
      </c>
      <c r="D28" s="37" t="s">
        <v>7</v>
      </c>
      <c r="E28" s="33" t="s">
        <v>13</v>
      </c>
      <c r="F28" s="33" t="s">
        <v>97</v>
      </c>
      <c r="G28" s="34"/>
      <c r="H28" s="34">
        <v>44151.5</v>
      </c>
      <c r="I28" s="34">
        <f>G28+H28</f>
        <v>44151.5</v>
      </c>
      <c r="J28" s="34"/>
      <c r="K28" s="34"/>
      <c r="L28" s="34"/>
      <c r="M28" s="34">
        <f t="shared" si="1"/>
        <v>44151.5</v>
      </c>
      <c r="N28" s="34">
        <f>J28+K28</f>
        <v>0</v>
      </c>
      <c r="O28" s="34"/>
      <c r="P28" s="34">
        <v>44151.5</v>
      </c>
      <c r="Q28" s="34"/>
      <c r="R28" s="34">
        <f t="shared" si="3"/>
        <v>0</v>
      </c>
      <c r="S28" s="34">
        <f>O28+P28</f>
        <v>44151.5</v>
      </c>
      <c r="T28" s="34"/>
      <c r="U28" s="35"/>
      <c r="V28" s="35"/>
      <c r="W28" s="35"/>
      <c r="X28" s="35"/>
      <c r="Y28" s="7">
        <f t="shared" si="5"/>
        <v>44151.5</v>
      </c>
      <c r="Z28" s="7">
        <f t="shared" si="6"/>
        <v>0</v>
      </c>
      <c r="AA28" s="7"/>
      <c r="AB28" s="7"/>
      <c r="AC28" s="7">
        <f t="shared" si="7"/>
        <v>44151.5</v>
      </c>
      <c r="AD28" s="7">
        <f t="shared" si="8"/>
        <v>0</v>
      </c>
      <c r="AE28" s="7">
        <f t="shared" si="9"/>
        <v>44151.5</v>
      </c>
      <c r="AF28" s="12">
        <v>0</v>
      </c>
      <c r="AG28" s="11"/>
      <c r="AH28" s="11"/>
      <c r="AI28" s="31"/>
      <c r="AJ28" s="31"/>
      <c r="AK28" s="7">
        <f t="shared" si="10"/>
        <v>0</v>
      </c>
      <c r="AL28" s="27">
        <f t="shared" si="11"/>
        <v>44151.5</v>
      </c>
      <c r="AM28" s="27">
        <f t="shared" si="12"/>
        <v>0</v>
      </c>
      <c r="AN28" s="27"/>
      <c r="AO28" s="27"/>
      <c r="AP28" s="7">
        <f t="shared" si="13"/>
        <v>44151.5</v>
      </c>
      <c r="AQ28" s="27">
        <f t="shared" si="15"/>
        <v>0</v>
      </c>
      <c r="AR28" s="27"/>
      <c r="AS28" s="27">
        <f t="shared" si="14"/>
        <v>0</v>
      </c>
    </row>
    <row r="29" spans="1:45" ht="40.5" customHeight="1">
      <c r="A29" s="167" t="s">
        <v>369</v>
      </c>
      <c r="B29" s="168"/>
      <c r="C29" s="168"/>
      <c r="D29" s="168"/>
      <c r="E29" s="123"/>
      <c r="F29" s="124"/>
      <c r="G29" s="7">
        <f>G30+G54+G59</f>
        <v>3079439.7</v>
      </c>
      <c r="H29" s="7">
        <f>H30+H54+H59+H60+H61</f>
        <v>2368511.1051000003</v>
      </c>
      <c r="I29" s="7">
        <f t="shared" si="16"/>
        <v>5447950.8051000005</v>
      </c>
      <c r="J29" s="7">
        <f>J30+J54+J59</f>
        <v>247888.19999999995</v>
      </c>
      <c r="K29" s="7">
        <f>K30+K54+K59+K60+K61</f>
        <v>136647.69</v>
      </c>
      <c r="L29" s="7">
        <f>L30+L54+L59+L60+L62</f>
        <v>379345.08703000011</v>
      </c>
      <c r="M29" s="7">
        <f t="shared" si="1"/>
        <v>5827295.8921300005</v>
      </c>
      <c r="N29" s="7">
        <f t="shared" si="2"/>
        <v>384535.88999999996</v>
      </c>
      <c r="O29" s="7">
        <f>O30+O54</f>
        <v>122414.79999999999</v>
      </c>
      <c r="P29" s="7">
        <f>P30+P54+P59+P60+P61</f>
        <v>11040.58</v>
      </c>
      <c r="Q29" s="7">
        <f>Q30+Q54+Q59+Q60+Q62</f>
        <v>71710.682319999993</v>
      </c>
      <c r="R29" s="7">
        <f t="shared" si="3"/>
        <v>456246.57231999992</v>
      </c>
      <c r="S29" s="7">
        <f t="shared" si="4"/>
        <v>133455.37999999998</v>
      </c>
      <c r="T29" s="7">
        <f>T30+T54</f>
        <v>0</v>
      </c>
      <c r="U29" s="7">
        <f>U30+U54+U59+U60+U61</f>
        <v>12237.2</v>
      </c>
      <c r="V29" s="7">
        <f>V30+V54+V59+V60+V62</f>
        <v>5000</v>
      </c>
      <c r="W29" s="7">
        <f>W54</f>
        <v>-32300</v>
      </c>
      <c r="X29" s="7">
        <f>X30+X54+X59+X60+X62</f>
        <v>550211.60000000009</v>
      </c>
      <c r="Y29" s="7">
        <v>6377507.5</v>
      </c>
      <c r="Z29" s="7">
        <f t="shared" si="6"/>
        <v>423946.57231999992</v>
      </c>
      <c r="AA29" s="7">
        <f>AA30+AA54+AA59+AA60+AA62+AA63+AA64</f>
        <v>18097.399999999998</v>
      </c>
      <c r="AB29" s="7">
        <f>AB30+AB63+183953.7</f>
        <v>194883.5</v>
      </c>
      <c r="AC29" s="7">
        <f t="shared" si="7"/>
        <v>6572391</v>
      </c>
      <c r="AD29" s="7">
        <f t="shared" si="8"/>
        <v>442043.97231999994</v>
      </c>
      <c r="AE29" s="7">
        <f t="shared" si="9"/>
        <v>138455.37999999998</v>
      </c>
      <c r="AF29" s="12">
        <f t="shared" ref="AF29:AF49" si="17">T29+U29</f>
        <v>12237.2</v>
      </c>
      <c r="AG29" s="7">
        <f>AG30+AG54+AG59+AG60+AG62</f>
        <v>5000</v>
      </c>
      <c r="AH29" s="11"/>
      <c r="AI29" s="7">
        <f>AI30+AI54+AI59+AI60+AI62</f>
        <v>151568.70000000001</v>
      </c>
      <c r="AJ29" s="7">
        <f>AJ30+AJ54+AJ63</f>
        <v>2994.1000000000004</v>
      </c>
      <c r="AK29" s="7">
        <f t="shared" si="10"/>
        <v>445038.07231999992</v>
      </c>
      <c r="AL29" s="27">
        <f t="shared" si="11"/>
        <v>290024.07999999996</v>
      </c>
      <c r="AM29" s="27">
        <f t="shared" si="12"/>
        <v>17237.2</v>
      </c>
      <c r="AN29" s="7">
        <f>AN30+AN54+AN59+AN60+AN62</f>
        <v>199500</v>
      </c>
      <c r="AO29" s="7"/>
      <c r="AP29" s="7">
        <f t="shared" si="13"/>
        <v>290024.07999999996</v>
      </c>
      <c r="AQ29" s="27">
        <f t="shared" si="15"/>
        <v>216737.2</v>
      </c>
      <c r="AR29" s="27"/>
      <c r="AS29" s="27">
        <f t="shared" si="14"/>
        <v>216737.2</v>
      </c>
    </row>
    <row r="30" spans="1:45" ht="27" customHeight="1">
      <c r="A30" s="144" t="s">
        <v>17</v>
      </c>
      <c r="B30" s="149"/>
      <c r="C30" s="149"/>
      <c r="D30" s="149"/>
      <c r="E30" s="33"/>
      <c r="F30" s="104"/>
      <c r="G30" s="34">
        <f>SUM(G31:G51)</f>
        <v>1457952.7</v>
      </c>
      <c r="H30" s="34">
        <f>SUM(H31:H51)</f>
        <v>2364701.9051000001</v>
      </c>
      <c r="I30" s="34">
        <f t="shared" si="16"/>
        <v>3822654.6051000003</v>
      </c>
      <c r="J30" s="34">
        <f>SUM(J31:J38)</f>
        <v>98588.999999999985</v>
      </c>
      <c r="K30" s="34">
        <f>SUM(K31:K51)</f>
        <v>68264.19</v>
      </c>
      <c r="L30" s="34">
        <f>L31+L32+L33+L34+L35+L36+L37+L38+L39+L40+L42+L43+L44+L45+L46+L47+L48+L49+L51+L50+L52+L41</f>
        <v>-30642.912969999888</v>
      </c>
      <c r="M30" s="34">
        <f t="shared" si="1"/>
        <v>3792011.6921300003</v>
      </c>
      <c r="N30" s="34">
        <f>SUM(N31:N51)</f>
        <v>166853.18999999997</v>
      </c>
      <c r="O30" s="34">
        <f>SUM(O31:O38)</f>
        <v>0</v>
      </c>
      <c r="P30" s="34">
        <f>SUM(P31:P51)</f>
        <v>11040.58</v>
      </c>
      <c r="Q30" s="34">
        <f>Q31+Q32+Q33+Q34+Q35+Q36+Q37+Q38+Q39+Q40+Q42+Q43+Q44+Q45+Q46+Q47+Q48+Q49+Q51+Q50+Q52+Q41</f>
        <v>23968.182319999993</v>
      </c>
      <c r="R30" s="34">
        <f t="shared" si="3"/>
        <v>190821.37231999997</v>
      </c>
      <c r="S30" s="34">
        <f>SUM(S31:S51)</f>
        <v>11040.58</v>
      </c>
      <c r="T30" s="34">
        <f>SUM(T31:T31)</f>
        <v>0</v>
      </c>
      <c r="U30" s="34">
        <f>SUM(U31:U51)</f>
        <v>12237.2</v>
      </c>
      <c r="V30" s="34">
        <v>0</v>
      </c>
      <c r="W30" s="34"/>
      <c r="X30" s="34">
        <f>X31+X32+X33+X34+X35+X36+X37+X38+X39+X41+X42+X43+X44+X45+X46+X47+X48+X50+X52+X53</f>
        <v>262828.7</v>
      </c>
      <c r="Y30" s="7">
        <f>Y31+Y32+Y33+Y34+Y35+Y36+Y37+Y38+Y39+Y41+Y42+Y43+Y44+Y45+Y46+Y47+Y48+Y50+Y52+Y53</f>
        <v>4054840.4073199988</v>
      </c>
      <c r="Z30" s="7">
        <f t="shared" si="6"/>
        <v>190821.37231999997</v>
      </c>
      <c r="AA30" s="7">
        <f>AA31+AA32+AA33+AA34+AA35+AA36+AA37+AA38+AA39+AA41+AA42+AA43+AA44+AA45+AA46+AA47+AA48+AA50+AA52+AA53</f>
        <v>10161.699999999999</v>
      </c>
      <c r="AB30" s="7"/>
      <c r="AC30" s="7">
        <f t="shared" si="7"/>
        <v>4054840.4073199988</v>
      </c>
      <c r="AD30" s="7">
        <f t="shared" si="8"/>
        <v>200983.07231999998</v>
      </c>
      <c r="AE30" s="7">
        <f t="shared" si="9"/>
        <v>11040.58</v>
      </c>
      <c r="AF30" s="7">
        <f>SUM(AF31:AF51)</f>
        <v>12237.2</v>
      </c>
      <c r="AG30" s="7">
        <f>AG31+AG32+AG33+AG34+AG35+AG36+AG37+AG38+AG39+AG40+AG42+AG43+AG44+AG45+AG46+AG47+AG48+AG49+AG51+AG50+AG52+AG41</f>
        <v>0</v>
      </c>
      <c r="AH30" s="11"/>
      <c r="AI30" s="7">
        <f>AI31+AI32+AI33+AI34+AI35+AI36+AI37+AI38+AI39+AI41+AI42+AI43+AI44+AI45+AI46+AI47+AI48+AI50+AI52+AI53</f>
        <v>107500</v>
      </c>
      <c r="AJ30" s="7"/>
      <c r="AK30" s="7">
        <f t="shared" si="10"/>
        <v>200983.07231999998</v>
      </c>
      <c r="AL30" s="27">
        <f t="shared" si="11"/>
        <v>118540.58</v>
      </c>
      <c r="AM30" s="27">
        <f t="shared" si="12"/>
        <v>12237.2</v>
      </c>
      <c r="AN30" s="7">
        <f>AN31+AN32+AN33+AN34+AN35+AN36+AN37+AN38+AN39+AN41+AN42+AN43+AN44+AN45+AN46+AN47+AN48+AN50+AN52+AN53</f>
        <v>143300</v>
      </c>
      <c r="AO30" s="7"/>
      <c r="AP30" s="7">
        <f t="shared" si="13"/>
        <v>118540.58</v>
      </c>
      <c r="AQ30" s="27">
        <f t="shared" si="15"/>
        <v>155537.20000000001</v>
      </c>
      <c r="AR30" s="27"/>
      <c r="AS30" s="27">
        <f t="shared" si="14"/>
        <v>155537.20000000001</v>
      </c>
    </row>
    <row r="31" spans="1:45" ht="127.5" customHeight="1" outlineLevel="1">
      <c r="A31" s="104" t="s">
        <v>105</v>
      </c>
      <c r="B31" s="33" t="s">
        <v>15</v>
      </c>
      <c r="C31" s="33" t="s">
        <v>77</v>
      </c>
      <c r="D31" s="33" t="s">
        <v>7</v>
      </c>
      <c r="E31" s="37" t="s">
        <v>47</v>
      </c>
      <c r="F31" s="33" t="s">
        <v>103</v>
      </c>
      <c r="G31" s="34">
        <v>101257.9</v>
      </c>
      <c r="H31" s="34"/>
      <c r="I31" s="34">
        <f t="shared" si="16"/>
        <v>101257.9</v>
      </c>
      <c r="J31" s="34">
        <v>406</v>
      </c>
      <c r="K31" s="34">
        <v>4936.3999999999996</v>
      </c>
      <c r="L31" s="34"/>
      <c r="M31" s="34">
        <f t="shared" si="1"/>
        <v>101257.9</v>
      </c>
      <c r="N31" s="34">
        <f t="shared" si="2"/>
        <v>5342.4</v>
      </c>
      <c r="O31" s="38">
        <v>0</v>
      </c>
      <c r="P31" s="38"/>
      <c r="Q31" s="38">
        <f>444.9-728.1</f>
        <v>-283.20000000000005</v>
      </c>
      <c r="R31" s="34">
        <f t="shared" si="3"/>
        <v>5059.2</v>
      </c>
      <c r="S31" s="34">
        <f t="shared" si="4"/>
        <v>0</v>
      </c>
      <c r="T31" s="38">
        <v>0</v>
      </c>
      <c r="U31" s="35"/>
      <c r="V31" s="35"/>
      <c r="W31" s="35"/>
      <c r="X31" s="39">
        <v>1005</v>
      </c>
      <c r="Y31" s="7">
        <f t="shared" si="5"/>
        <v>102262.9</v>
      </c>
      <c r="Z31" s="7">
        <f t="shared" si="6"/>
        <v>5059.2</v>
      </c>
      <c r="AA31" s="7">
        <v>1005</v>
      </c>
      <c r="AB31" s="7"/>
      <c r="AC31" s="7">
        <f t="shared" si="7"/>
        <v>102262.9</v>
      </c>
      <c r="AD31" s="7">
        <f t="shared" si="8"/>
        <v>6064.2</v>
      </c>
      <c r="AE31" s="7">
        <f t="shared" si="9"/>
        <v>0</v>
      </c>
      <c r="AF31" s="12">
        <f t="shared" si="17"/>
        <v>0</v>
      </c>
      <c r="AG31" s="11"/>
      <c r="AH31" s="11"/>
      <c r="AI31" s="31"/>
      <c r="AJ31" s="27"/>
      <c r="AK31" s="7">
        <f t="shared" si="10"/>
        <v>6064.2</v>
      </c>
      <c r="AL31" s="27">
        <f t="shared" si="11"/>
        <v>0</v>
      </c>
      <c r="AM31" s="27">
        <f t="shared" si="12"/>
        <v>0</v>
      </c>
      <c r="AN31" s="27"/>
      <c r="AO31" s="27"/>
      <c r="AP31" s="7">
        <f t="shared" si="13"/>
        <v>0</v>
      </c>
      <c r="AQ31" s="27">
        <f t="shared" si="15"/>
        <v>0</v>
      </c>
      <c r="AR31" s="27"/>
      <c r="AS31" s="27">
        <f t="shared" si="14"/>
        <v>0</v>
      </c>
    </row>
    <row r="32" spans="1:45" ht="127.5" customHeight="1" outlineLevel="1">
      <c r="A32" s="104" t="s">
        <v>149</v>
      </c>
      <c r="B32" s="33" t="s">
        <v>78</v>
      </c>
      <c r="C32" s="33" t="s">
        <v>77</v>
      </c>
      <c r="D32" s="33" t="s">
        <v>7</v>
      </c>
      <c r="E32" s="33" t="s">
        <v>46</v>
      </c>
      <c r="F32" s="33" t="s">
        <v>22</v>
      </c>
      <c r="G32" s="38">
        <v>152863.9</v>
      </c>
      <c r="H32" s="38"/>
      <c r="I32" s="34">
        <f t="shared" si="16"/>
        <v>152863.9</v>
      </c>
      <c r="J32" s="34">
        <v>8786.4</v>
      </c>
      <c r="K32" s="34">
        <v>6711.1</v>
      </c>
      <c r="L32" s="34"/>
      <c r="M32" s="34">
        <f t="shared" si="1"/>
        <v>152863.9</v>
      </c>
      <c r="N32" s="34">
        <f t="shared" si="2"/>
        <v>15497.5</v>
      </c>
      <c r="O32" s="38">
        <v>0</v>
      </c>
      <c r="P32" s="38"/>
      <c r="Q32" s="38">
        <f>-137.1-1.2</f>
        <v>-138.29999999999998</v>
      </c>
      <c r="R32" s="34">
        <f t="shared" si="3"/>
        <v>15359.2</v>
      </c>
      <c r="S32" s="34">
        <f t="shared" si="4"/>
        <v>0</v>
      </c>
      <c r="T32" s="38">
        <v>0</v>
      </c>
      <c r="U32" s="35"/>
      <c r="V32" s="35"/>
      <c r="W32" s="35"/>
      <c r="X32" s="34">
        <v>2891.5</v>
      </c>
      <c r="Y32" s="7">
        <f t="shared" si="5"/>
        <v>155755.4</v>
      </c>
      <c r="Z32" s="7">
        <f t="shared" si="6"/>
        <v>15359.2</v>
      </c>
      <c r="AA32" s="7">
        <v>2891.5</v>
      </c>
      <c r="AB32" s="7"/>
      <c r="AC32" s="7">
        <f t="shared" si="7"/>
        <v>155755.4</v>
      </c>
      <c r="AD32" s="7">
        <f t="shared" si="8"/>
        <v>18250.7</v>
      </c>
      <c r="AE32" s="7">
        <f t="shared" si="9"/>
        <v>0</v>
      </c>
      <c r="AF32" s="12">
        <f t="shared" si="17"/>
        <v>0</v>
      </c>
      <c r="AG32" s="11"/>
      <c r="AH32" s="11"/>
      <c r="AI32" s="31"/>
      <c r="AJ32" s="31"/>
      <c r="AK32" s="7">
        <f t="shared" si="10"/>
        <v>18250.7</v>
      </c>
      <c r="AL32" s="27">
        <f t="shared" si="11"/>
        <v>0</v>
      </c>
      <c r="AM32" s="27">
        <f t="shared" si="12"/>
        <v>0</v>
      </c>
      <c r="AN32" s="27"/>
      <c r="AO32" s="27"/>
      <c r="AP32" s="7">
        <f t="shared" si="13"/>
        <v>0</v>
      </c>
      <c r="AQ32" s="27">
        <f t="shared" si="15"/>
        <v>0</v>
      </c>
      <c r="AR32" s="27"/>
      <c r="AS32" s="27">
        <f t="shared" si="14"/>
        <v>0</v>
      </c>
    </row>
    <row r="33" spans="1:45" ht="147" customHeight="1" outlineLevel="1">
      <c r="A33" s="104" t="s">
        <v>150</v>
      </c>
      <c r="B33" s="33" t="s">
        <v>45</v>
      </c>
      <c r="C33" s="33" t="s">
        <v>77</v>
      </c>
      <c r="D33" s="33" t="s">
        <v>7</v>
      </c>
      <c r="E33" s="33" t="s">
        <v>46</v>
      </c>
      <c r="F33" s="33" t="s">
        <v>22</v>
      </c>
      <c r="G33" s="38">
        <v>215123.1</v>
      </c>
      <c r="H33" s="38"/>
      <c r="I33" s="34">
        <f t="shared" si="16"/>
        <v>215123.1</v>
      </c>
      <c r="J33" s="34">
        <v>12340.5</v>
      </c>
      <c r="K33" s="34">
        <v>9067.4</v>
      </c>
      <c r="L33" s="34"/>
      <c r="M33" s="34">
        <f t="shared" si="1"/>
        <v>215123.1</v>
      </c>
      <c r="N33" s="34">
        <f t="shared" si="2"/>
        <v>21407.9</v>
      </c>
      <c r="O33" s="38">
        <v>0</v>
      </c>
      <c r="P33" s="38"/>
      <c r="Q33" s="38">
        <f>1197.6-1982.1</f>
        <v>-784.5</v>
      </c>
      <c r="R33" s="34">
        <f t="shared" si="3"/>
        <v>20623.400000000001</v>
      </c>
      <c r="S33" s="34">
        <f t="shared" si="4"/>
        <v>0</v>
      </c>
      <c r="T33" s="38">
        <v>0</v>
      </c>
      <c r="U33" s="35"/>
      <c r="V33" s="35"/>
      <c r="W33" s="35"/>
      <c r="X33" s="34">
        <v>3478.4</v>
      </c>
      <c r="Y33" s="7">
        <f t="shared" si="5"/>
        <v>218601.5</v>
      </c>
      <c r="Z33" s="7">
        <f t="shared" si="6"/>
        <v>20623.400000000001</v>
      </c>
      <c r="AA33" s="7">
        <v>3478.4</v>
      </c>
      <c r="AB33" s="7"/>
      <c r="AC33" s="7">
        <f t="shared" si="7"/>
        <v>218601.5</v>
      </c>
      <c r="AD33" s="7">
        <f t="shared" si="8"/>
        <v>24101.800000000003</v>
      </c>
      <c r="AE33" s="7">
        <f t="shared" si="9"/>
        <v>0</v>
      </c>
      <c r="AF33" s="12">
        <f t="shared" si="17"/>
        <v>0</v>
      </c>
      <c r="AG33" s="11"/>
      <c r="AH33" s="11"/>
      <c r="AI33" s="31"/>
      <c r="AJ33" s="31"/>
      <c r="AK33" s="7">
        <f t="shared" si="10"/>
        <v>24101.800000000003</v>
      </c>
      <c r="AL33" s="27">
        <f t="shared" si="11"/>
        <v>0</v>
      </c>
      <c r="AM33" s="27">
        <f t="shared" si="12"/>
        <v>0</v>
      </c>
      <c r="AN33" s="27"/>
      <c r="AO33" s="27"/>
      <c r="AP33" s="7">
        <f t="shared" si="13"/>
        <v>0</v>
      </c>
      <c r="AQ33" s="27">
        <f t="shared" si="15"/>
        <v>0</v>
      </c>
      <c r="AR33" s="27"/>
      <c r="AS33" s="27">
        <f t="shared" si="14"/>
        <v>0</v>
      </c>
    </row>
    <row r="34" spans="1:45" ht="122.25" customHeight="1" outlineLevel="1">
      <c r="A34" s="104" t="s">
        <v>207</v>
      </c>
      <c r="B34" s="33" t="s">
        <v>45</v>
      </c>
      <c r="C34" s="33" t="s">
        <v>77</v>
      </c>
      <c r="D34" s="33" t="s">
        <v>7</v>
      </c>
      <c r="E34" s="33" t="s">
        <v>29</v>
      </c>
      <c r="F34" s="33" t="s">
        <v>22</v>
      </c>
      <c r="G34" s="38">
        <v>179406.1</v>
      </c>
      <c r="H34" s="40">
        <v>49759.9</v>
      </c>
      <c r="I34" s="34">
        <f t="shared" si="16"/>
        <v>229166</v>
      </c>
      <c r="J34" s="34">
        <v>8182.3</v>
      </c>
      <c r="K34" s="34">
        <f>10065.3+2449+1744.7</f>
        <v>14259</v>
      </c>
      <c r="L34" s="34"/>
      <c r="M34" s="34">
        <f t="shared" si="1"/>
        <v>229166</v>
      </c>
      <c r="N34" s="38">
        <f t="shared" si="2"/>
        <v>22441.3</v>
      </c>
      <c r="O34" s="38">
        <v>0</v>
      </c>
      <c r="P34" s="38"/>
      <c r="Q34" s="38">
        <f>-1939.5-8.6+25711.8</f>
        <v>23763.7</v>
      </c>
      <c r="R34" s="34">
        <f t="shared" si="3"/>
        <v>46205</v>
      </c>
      <c r="S34" s="34">
        <f t="shared" si="4"/>
        <v>0</v>
      </c>
      <c r="T34" s="38">
        <v>0</v>
      </c>
      <c r="U34" s="35"/>
      <c r="V34" s="35"/>
      <c r="W34" s="35"/>
      <c r="X34" s="34">
        <f>3705.3+948.5</f>
        <v>4653.8</v>
      </c>
      <c r="Y34" s="7">
        <f t="shared" si="5"/>
        <v>233819.8</v>
      </c>
      <c r="Z34" s="7">
        <f t="shared" si="6"/>
        <v>46205</v>
      </c>
      <c r="AA34" s="7">
        <f>3705.3+948.5</f>
        <v>4653.8</v>
      </c>
      <c r="AB34" s="7"/>
      <c r="AC34" s="7">
        <f t="shared" si="7"/>
        <v>233819.8</v>
      </c>
      <c r="AD34" s="7">
        <f t="shared" si="8"/>
        <v>50858.8</v>
      </c>
      <c r="AE34" s="7">
        <f t="shared" si="9"/>
        <v>0</v>
      </c>
      <c r="AF34" s="12">
        <f t="shared" si="17"/>
        <v>0</v>
      </c>
      <c r="AG34" s="11"/>
      <c r="AH34" s="11">
        <v>8.1</v>
      </c>
      <c r="AI34" s="31"/>
      <c r="AJ34" s="31"/>
      <c r="AK34" s="7">
        <f t="shared" si="10"/>
        <v>50858.8</v>
      </c>
      <c r="AL34" s="27">
        <f t="shared" si="11"/>
        <v>0</v>
      </c>
      <c r="AM34" s="27">
        <f t="shared" si="12"/>
        <v>0</v>
      </c>
      <c r="AN34" s="27"/>
      <c r="AO34" s="27"/>
      <c r="AP34" s="7">
        <f t="shared" si="13"/>
        <v>0</v>
      </c>
      <c r="AQ34" s="27">
        <f t="shared" si="15"/>
        <v>0</v>
      </c>
      <c r="AR34" s="27"/>
      <c r="AS34" s="27">
        <f t="shared" si="14"/>
        <v>0</v>
      </c>
    </row>
    <row r="35" spans="1:45" ht="128.25" customHeight="1" outlineLevel="1">
      <c r="A35" s="104" t="s">
        <v>151</v>
      </c>
      <c r="B35" s="33" t="s">
        <v>45</v>
      </c>
      <c r="C35" s="33" t="s">
        <v>77</v>
      </c>
      <c r="D35" s="33" t="s">
        <v>7</v>
      </c>
      <c r="E35" s="33" t="s">
        <v>31</v>
      </c>
      <c r="F35" s="33" t="s">
        <v>22</v>
      </c>
      <c r="G35" s="38">
        <v>251317.5</v>
      </c>
      <c r="H35" s="40">
        <v>6271.6</v>
      </c>
      <c r="I35" s="34">
        <f t="shared" si="16"/>
        <v>257589.1</v>
      </c>
      <c r="J35" s="34">
        <v>23140.7</v>
      </c>
      <c r="K35" s="34">
        <v>-5081.1099999999997</v>
      </c>
      <c r="L35" s="34"/>
      <c r="M35" s="34">
        <f t="shared" si="1"/>
        <v>257589.1</v>
      </c>
      <c r="N35" s="34">
        <f t="shared" si="2"/>
        <v>18059.59</v>
      </c>
      <c r="O35" s="38">
        <v>0</v>
      </c>
      <c r="P35" s="38"/>
      <c r="Q35" s="38"/>
      <c r="R35" s="34">
        <f t="shared" si="3"/>
        <v>18059.59</v>
      </c>
      <c r="S35" s="34">
        <f t="shared" si="4"/>
        <v>0</v>
      </c>
      <c r="T35" s="38">
        <v>0</v>
      </c>
      <c r="U35" s="35"/>
      <c r="V35" s="35"/>
      <c r="W35" s="35"/>
      <c r="X35" s="39"/>
      <c r="Y35" s="7">
        <f t="shared" si="5"/>
        <v>257589.1</v>
      </c>
      <c r="Z35" s="7">
        <f t="shared" si="6"/>
        <v>18059.59</v>
      </c>
      <c r="AA35" s="7"/>
      <c r="AB35" s="7"/>
      <c r="AC35" s="7">
        <f t="shared" si="7"/>
        <v>257589.1</v>
      </c>
      <c r="AD35" s="7">
        <f t="shared" si="8"/>
        <v>18059.59</v>
      </c>
      <c r="AE35" s="7">
        <f t="shared" si="9"/>
        <v>0</v>
      </c>
      <c r="AF35" s="12">
        <f t="shared" si="17"/>
        <v>0</v>
      </c>
      <c r="AG35" s="11"/>
      <c r="AH35" s="11"/>
      <c r="AI35" s="31"/>
      <c r="AJ35" s="31"/>
      <c r="AK35" s="7">
        <f t="shared" si="10"/>
        <v>18059.59</v>
      </c>
      <c r="AL35" s="27">
        <f t="shared" si="11"/>
        <v>0</v>
      </c>
      <c r="AM35" s="27">
        <f t="shared" si="12"/>
        <v>0</v>
      </c>
      <c r="AN35" s="27"/>
      <c r="AO35" s="27"/>
      <c r="AP35" s="7">
        <f t="shared" si="13"/>
        <v>0</v>
      </c>
      <c r="AQ35" s="27">
        <f t="shared" si="15"/>
        <v>0</v>
      </c>
      <c r="AR35" s="27"/>
      <c r="AS35" s="27">
        <f t="shared" si="14"/>
        <v>0</v>
      </c>
    </row>
    <row r="36" spans="1:45" ht="130.5" customHeight="1" outlineLevel="1">
      <c r="A36" s="104" t="s">
        <v>98</v>
      </c>
      <c r="B36" s="33" t="s">
        <v>72</v>
      </c>
      <c r="C36" s="33" t="s">
        <v>77</v>
      </c>
      <c r="D36" s="33" t="s">
        <v>7</v>
      </c>
      <c r="E36" s="33" t="s">
        <v>68</v>
      </c>
      <c r="F36" s="33" t="s">
        <v>353</v>
      </c>
      <c r="G36" s="38">
        <v>188981.5</v>
      </c>
      <c r="H36" s="38"/>
      <c r="I36" s="34">
        <f t="shared" si="16"/>
        <v>188981.5</v>
      </c>
      <c r="J36" s="34">
        <v>14959.5</v>
      </c>
      <c r="K36" s="34">
        <v>5733.6</v>
      </c>
      <c r="L36" s="34"/>
      <c r="M36" s="34">
        <f t="shared" si="1"/>
        <v>188981.5</v>
      </c>
      <c r="N36" s="38">
        <f t="shared" si="2"/>
        <v>20693.099999999999</v>
      </c>
      <c r="O36" s="38">
        <v>0</v>
      </c>
      <c r="P36" s="38"/>
      <c r="Q36" s="38">
        <f>351.6-1046.8</f>
        <v>-695.19999999999993</v>
      </c>
      <c r="R36" s="34">
        <f t="shared" si="3"/>
        <v>19997.899999999998</v>
      </c>
      <c r="S36" s="34">
        <f t="shared" si="4"/>
        <v>0</v>
      </c>
      <c r="T36" s="38">
        <v>0</v>
      </c>
      <c r="U36" s="35"/>
      <c r="V36" s="35"/>
      <c r="W36" s="35"/>
      <c r="X36" s="39"/>
      <c r="Y36" s="7">
        <f t="shared" si="5"/>
        <v>188981.5</v>
      </c>
      <c r="Z36" s="7">
        <f t="shared" si="6"/>
        <v>19997.899999999998</v>
      </c>
      <c r="AA36" s="7"/>
      <c r="AB36" s="7"/>
      <c r="AC36" s="7">
        <f t="shared" si="7"/>
        <v>188981.5</v>
      </c>
      <c r="AD36" s="7">
        <f t="shared" si="8"/>
        <v>19997.899999999998</v>
      </c>
      <c r="AE36" s="7">
        <f t="shared" si="9"/>
        <v>0</v>
      </c>
      <c r="AF36" s="12">
        <f t="shared" si="17"/>
        <v>0</v>
      </c>
      <c r="AG36" s="11"/>
      <c r="AH36" s="11">
        <v>-0.1</v>
      </c>
      <c r="AI36" s="31"/>
      <c r="AJ36" s="31"/>
      <c r="AK36" s="7">
        <f t="shared" si="10"/>
        <v>19997.899999999998</v>
      </c>
      <c r="AL36" s="27">
        <f t="shared" si="11"/>
        <v>0</v>
      </c>
      <c r="AM36" s="27">
        <f t="shared" si="12"/>
        <v>0</v>
      </c>
      <c r="AN36" s="27"/>
      <c r="AO36" s="27"/>
      <c r="AP36" s="7">
        <f t="shared" si="13"/>
        <v>0</v>
      </c>
      <c r="AQ36" s="27">
        <f t="shared" si="15"/>
        <v>0</v>
      </c>
      <c r="AR36" s="27"/>
      <c r="AS36" s="27">
        <f t="shared" si="14"/>
        <v>0</v>
      </c>
    </row>
    <row r="37" spans="1:45" ht="134.25" customHeight="1" outlineLevel="1">
      <c r="A37" s="104" t="s">
        <v>99</v>
      </c>
      <c r="B37" s="33" t="s">
        <v>72</v>
      </c>
      <c r="C37" s="33" t="s">
        <v>77</v>
      </c>
      <c r="D37" s="33" t="s">
        <v>7</v>
      </c>
      <c r="E37" s="33" t="s">
        <v>46</v>
      </c>
      <c r="F37" s="33" t="s">
        <v>22</v>
      </c>
      <c r="G37" s="38">
        <v>221750</v>
      </c>
      <c r="H37" s="38"/>
      <c r="I37" s="34">
        <f t="shared" si="16"/>
        <v>221750</v>
      </c>
      <c r="J37" s="34">
        <v>19470.2</v>
      </c>
      <c r="K37" s="34">
        <f>2632.1+1093.4</f>
        <v>3725.5</v>
      </c>
      <c r="L37" s="34"/>
      <c r="M37" s="34">
        <f t="shared" si="1"/>
        <v>221750</v>
      </c>
      <c r="N37" s="38">
        <f t="shared" si="2"/>
        <v>23195.7</v>
      </c>
      <c r="O37" s="38">
        <v>0</v>
      </c>
      <c r="P37" s="38"/>
      <c r="Q37" s="38">
        <f>-1093.4</f>
        <v>-1093.4000000000001</v>
      </c>
      <c r="R37" s="34">
        <f t="shared" si="3"/>
        <v>22102.3</v>
      </c>
      <c r="S37" s="34">
        <f t="shared" si="4"/>
        <v>0</v>
      </c>
      <c r="T37" s="38">
        <v>0</v>
      </c>
      <c r="U37" s="35"/>
      <c r="V37" s="35"/>
      <c r="W37" s="35"/>
      <c r="X37" s="39"/>
      <c r="Y37" s="7">
        <f t="shared" si="5"/>
        <v>221750</v>
      </c>
      <c r="Z37" s="7">
        <f t="shared" si="6"/>
        <v>22102.3</v>
      </c>
      <c r="AA37" s="7"/>
      <c r="AB37" s="7"/>
      <c r="AC37" s="7">
        <f t="shared" si="7"/>
        <v>221750</v>
      </c>
      <c r="AD37" s="7">
        <f t="shared" si="8"/>
        <v>22102.3</v>
      </c>
      <c r="AE37" s="7">
        <f t="shared" si="9"/>
        <v>0</v>
      </c>
      <c r="AF37" s="12">
        <f t="shared" si="17"/>
        <v>0</v>
      </c>
      <c r="AG37" s="11"/>
      <c r="AH37" s="11"/>
      <c r="AI37" s="31"/>
      <c r="AJ37" s="31"/>
      <c r="AK37" s="7">
        <f t="shared" si="10"/>
        <v>22102.3</v>
      </c>
      <c r="AL37" s="27">
        <f t="shared" si="11"/>
        <v>0</v>
      </c>
      <c r="AM37" s="27">
        <f t="shared" si="12"/>
        <v>0</v>
      </c>
      <c r="AN37" s="27"/>
      <c r="AO37" s="27"/>
      <c r="AP37" s="7">
        <f t="shared" si="13"/>
        <v>0</v>
      </c>
      <c r="AQ37" s="27">
        <f t="shared" si="15"/>
        <v>0</v>
      </c>
      <c r="AR37" s="27"/>
      <c r="AS37" s="27">
        <f t="shared" si="14"/>
        <v>0</v>
      </c>
    </row>
    <row r="38" spans="1:45" ht="213.75" customHeight="1" outlineLevel="1">
      <c r="A38" s="104" t="s">
        <v>104</v>
      </c>
      <c r="B38" s="33" t="s">
        <v>15</v>
      </c>
      <c r="C38" s="33" t="s">
        <v>192</v>
      </c>
      <c r="D38" s="33" t="s">
        <v>7</v>
      </c>
      <c r="E38" s="33" t="s">
        <v>238</v>
      </c>
      <c r="F38" s="33" t="s">
        <v>35</v>
      </c>
      <c r="G38" s="38">
        <v>147252.70000000001</v>
      </c>
      <c r="H38" s="38"/>
      <c r="I38" s="34">
        <f t="shared" si="16"/>
        <v>147252.70000000001</v>
      </c>
      <c r="J38" s="34">
        <v>11303.4</v>
      </c>
      <c r="K38" s="34">
        <v>6062.6</v>
      </c>
      <c r="L38" s="34"/>
      <c r="M38" s="34">
        <f t="shared" si="1"/>
        <v>147252.70000000001</v>
      </c>
      <c r="N38" s="34">
        <f t="shared" si="2"/>
        <v>17366</v>
      </c>
      <c r="O38" s="38">
        <v>0</v>
      </c>
      <c r="P38" s="38"/>
      <c r="Q38" s="38">
        <f>3451.3+82.5-334.7</f>
        <v>3199.1000000000004</v>
      </c>
      <c r="R38" s="34">
        <f t="shared" si="3"/>
        <v>20565.099999999999</v>
      </c>
      <c r="S38" s="34">
        <f t="shared" si="4"/>
        <v>0</v>
      </c>
      <c r="T38" s="38">
        <v>0</v>
      </c>
      <c r="U38" s="35"/>
      <c r="V38" s="35"/>
      <c r="W38" s="35"/>
      <c r="X38" s="39"/>
      <c r="Y38" s="7">
        <f t="shared" si="5"/>
        <v>147252.70000000001</v>
      </c>
      <c r="Z38" s="7">
        <f t="shared" si="6"/>
        <v>20565.099999999999</v>
      </c>
      <c r="AA38" s="7">
        <f>-3451.3+349.9+1234.3</f>
        <v>-1867.1000000000001</v>
      </c>
      <c r="AB38" s="7"/>
      <c r="AC38" s="7">
        <f t="shared" si="7"/>
        <v>147252.70000000001</v>
      </c>
      <c r="AD38" s="7">
        <f t="shared" si="8"/>
        <v>18698</v>
      </c>
      <c r="AE38" s="7">
        <f t="shared" si="9"/>
        <v>0</v>
      </c>
      <c r="AF38" s="12">
        <f t="shared" si="17"/>
        <v>0</v>
      </c>
      <c r="AG38" s="11"/>
      <c r="AH38" s="11"/>
      <c r="AI38" s="31"/>
      <c r="AJ38" s="31"/>
      <c r="AK38" s="7">
        <f t="shared" si="10"/>
        <v>18698</v>
      </c>
      <c r="AL38" s="27">
        <f t="shared" si="11"/>
        <v>0</v>
      </c>
      <c r="AM38" s="27">
        <f t="shared" si="12"/>
        <v>0</v>
      </c>
      <c r="AN38" s="27"/>
      <c r="AO38" s="27"/>
      <c r="AP38" s="7">
        <f t="shared" si="13"/>
        <v>0</v>
      </c>
      <c r="AQ38" s="27">
        <f t="shared" si="15"/>
        <v>0</v>
      </c>
      <c r="AR38" s="27"/>
      <c r="AS38" s="27">
        <f t="shared" si="14"/>
        <v>0</v>
      </c>
    </row>
    <row r="39" spans="1:45" ht="123.75" customHeight="1" outlineLevel="1">
      <c r="A39" s="104" t="s">
        <v>200</v>
      </c>
      <c r="B39" s="33" t="s">
        <v>45</v>
      </c>
      <c r="C39" s="33" t="s">
        <v>30</v>
      </c>
      <c r="D39" s="33" t="s">
        <v>7</v>
      </c>
      <c r="E39" s="33" t="s">
        <v>46</v>
      </c>
      <c r="F39" s="33" t="s">
        <v>75</v>
      </c>
      <c r="G39" s="38">
        <v>0</v>
      </c>
      <c r="H39" s="38">
        <v>306735.30674000003</v>
      </c>
      <c r="I39" s="34">
        <f t="shared" si="16"/>
        <v>306735.30674000003</v>
      </c>
      <c r="J39" s="34">
        <v>0</v>
      </c>
      <c r="K39" s="34">
        <v>3061.2</v>
      </c>
      <c r="L39" s="34"/>
      <c r="M39" s="34">
        <f t="shared" si="1"/>
        <v>306735.30674000003</v>
      </c>
      <c r="N39" s="34">
        <f t="shared" si="2"/>
        <v>3061.2</v>
      </c>
      <c r="O39" s="38">
        <v>0</v>
      </c>
      <c r="P39" s="38">
        <v>3067.34</v>
      </c>
      <c r="Q39" s="38">
        <v>-99.9</v>
      </c>
      <c r="R39" s="34">
        <f t="shared" si="3"/>
        <v>2961.2999999999997</v>
      </c>
      <c r="S39" s="34">
        <f t="shared" si="4"/>
        <v>3067.34</v>
      </c>
      <c r="T39" s="38">
        <v>0</v>
      </c>
      <c r="U39" s="35"/>
      <c r="V39" s="39">
        <v>-1318.4</v>
      </c>
      <c r="W39" s="39"/>
      <c r="X39" s="39"/>
      <c r="Y39" s="7">
        <f t="shared" si="5"/>
        <v>306735.30674000003</v>
      </c>
      <c r="Z39" s="7">
        <f t="shared" si="6"/>
        <v>2961.2999999999997</v>
      </c>
      <c r="AA39" s="7">
        <v>712.1</v>
      </c>
      <c r="AB39" s="7"/>
      <c r="AC39" s="7">
        <f t="shared" si="7"/>
        <v>306735.30674000003</v>
      </c>
      <c r="AD39" s="7">
        <f t="shared" si="8"/>
        <v>3673.3999999999996</v>
      </c>
      <c r="AE39" s="7">
        <f t="shared" si="9"/>
        <v>1748.94</v>
      </c>
      <c r="AF39" s="12">
        <f t="shared" si="17"/>
        <v>0</v>
      </c>
      <c r="AG39" s="109">
        <v>799.2</v>
      </c>
      <c r="AH39" s="11"/>
      <c r="AI39" s="31">
        <v>58.1</v>
      </c>
      <c r="AJ39" s="31"/>
      <c r="AK39" s="7">
        <f t="shared" si="10"/>
        <v>3673.3999999999996</v>
      </c>
      <c r="AL39" s="27">
        <f t="shared" si="11"/>
        <v>1807.04</v>
      </c>
      <c r="AM39" s="27">
        <f t="shared" si="12"/>
        <v>799.2</v>
      </c>
      <c r="AN39" s="27">
        <v>-799.2</v>
      </c>
      <c r="AO39" s="27"/>
      <c r="AP39" s="7">
        <f t="shared" si="13"/>
        <v>1807.04</v>
      </c>
      <c r="AQ39" s="27">
        <f t="shared" si="15"/>
        <v>0</v>
      </c>
      <c r="AR39" s="27"/>
      <c r="AS39" s="27">
        <f t="shared" si="14"/>
        <v>0</v>
      </c>
    </row>
    <row r="40" spans="1:45" ht="107.25" hidden="1" customHeight="1" outlineLevel="1">
      <c r="A40" s="104" t="s">
        <v>201</v>
      </c>
      <c r="B40" s="33" t="s">
        <v>45</v>
      </c>
      <c r="C40" s="33" t="s">
        <v>18</v>
      </c>
      <c r="D40" s="33" t="s">
        <v>7</v>
      </c>
      <c r="E40" s="33" t="s">
        <v>46</v>
      </c>
      <c r="F40" s="33" t="s">
        <v>75</v>
      </c>
      <c r="G40" s="38">
        <v>0</v>
      </c>
      <c r="H40" s="38">
        <v>306735.30674000003</v>
      </c>
      <c r="I40" s="34">
        <f t="shared" si="16"/>
        <v>306735.30674000003</v>
      </c>
      <c r="J40" s="34">
        <v>0</v>
      </c>
      <c r="K40" s="34">
        <v>3061.2</v>
      </c>
      <c r="L40" s="34">
        <f>-I40</f>
        <v>-306735.30674000003</v>
      </c>
      <c r="M40" s="34">
        <f t="shared" si="1"/>
        <v>0</v>
      </c>
      <c r="N40" s="34">
        <f t="shared" si="2"/>
        <v>3061.2</v>
      </c>
      <c r="O40" s="38">
        <v>0</v>
      </c>
      <c r="P40" s="38">
        <v>3067.34</v>
      </c>
      <c r="Q40" s="38">
        <v>-3061.2240000000002</v>
      </c>
      <c r="R40" s="34">
        <v>0</v>
      </c>
      <c r="S40" s="34">
        <f t="shared" si="4"/>
        <v>3067.34</v>
      </c>
      <c r="T40" s="38">
        <v>0</v>
      </c>
      <c r="U40" s="35"/>
      <c r="V40" s="39">
        <f>-S40</f>
        <v>-3067.34</v>
      </c>
      <c r="W40" s="39"/>
      <c r="X40" s="39"/>
      <c r="Y40" s="7">
        <f t="shared" si="5"/>
        <v>0</v>
      </c>
      <c r="Z40" s="7">
        <f t="shared" si="6"/>
        <v>0</v>
      </c>
      <c r="AA40" s="7"/>
      <c r="AB40" s="7"/>
      <c r="AC40" s="7">
        <f t="shared" si="7"/>
        <v>0</v>
      </c>
      <c r="AD40" s="7">
        <f t="shared" si="8"/>
        <v>0</v>
      </c>
      <c r="AE40" s="7">
        <f t="shared" si="9"/>
        <v>0</v>
      </c>
      <c r="AF40" s="12">
        <f t="shared" si="17"/>
        <v>0</v>
      </c>
      <c r="AG40" s="11"/>
      <c r="AH40" s="11"/>
      <c r="AI40" s="31"/>
      <c r="AJ40" s="31"/>
      <c r="AK40" s="7">
        <f t="shared" si="10"/>
        <v>0</v>
      </c>
      <c r="AL40" s="27">
        <f t="shared" si="11"/>
        <v>0</v>
      </c>
      <c r="AM40" s="27">
        <f t="shared" si="12"/>
        <v>0</v>
      </c>
      <c r="AN40" s="27"/>
      <c r="AO40" s="27"/>
      <c r="AP40" s="7">
        <f t="shared" si="13"/>
        <v>0</v>
      </c>
      <c r="AQ40" s="27">
        <f t="shared" si="15"/>
        <v>0</v>
      </c>
      <c r="AR40" s="27"/>
      <c r="AS40" s="27">
        <f t="shared" si="14"/>
        <v>0</v>
      </c>
    </row>
    <row r="41" spans="1:45" ht="129.75" customHeight="1" outlineLevel="1">
      <c r="A41" s="104" t="s">
        <v>294</v>
      </c>
      <c r="B41" s="33" t="s">
        <v>45</v>
      </c>
      <c r="C41" s="33" t="s">
        <v>30</v>
      </c>
      <c r="D41" s="33" t="s">
        <v>7</v>
      </c>
      <c r="E41" s="33" t="s">
        <v>46</v>
      </c>
      <c r="F41" s="33" t="s">
        <v>75</v>
      </c>
      <c r="G41" s="38"/>
      <c r="H41" s="38"/>
      <c r="I41" s="34"/>
      <c r="J41" s="34"/>
      <c r="K41" s="34"/>
      <c r="L41" s="34">
        <v>276092.40000000002</v>
      </c>
      <c r="M41" s="34">
        <f t="shared" si="1"/>
        <v>276092.40000000002</v>
      </c>
      <c r="N41" s="34"/>
      <c r="O41" s="38"/>
      <c r="P41" s="38"/>
      <c r="Q41" s="38">
        <v>3002.87</v>
      </c>
      <c r="R41" s="34">
        <f t="shared" si="3"/>
        <v>3002.87</v>
      </c>
      <c r="S41" s="34"/>
      <c r="T41" s="38"/>
      <c r="U41" s="35"/>
      <c r="V41" s="39">
        <v>1714.3</v>
      </c>
      <c r="W41" s="39"/>
      <c r="X41" s="39"/>
      <c r="Y41" s="7">
        <f t="shared" si="5"/>
        <v>276092.40000000002</v>
      </c>
      <c r="Z41" s="7">
        <f t="shared" si="6"/>
        <v>3002.87</v>
      </c>
      <c r="AA41" s="7">
        <v>670.6</v>
      </c>
      <c r="AB41" s="7"/>
      <c r="AC41" s="7">
        <f t="shared" si="7"/>
        <v>276092.40000000002</v>
      </c>
      <c r="AD41" s="7">
        <f t="shared" si="8"/>
        <v>3673.47</v>
      </c>
      <c r="AE41" s="7">
        <f t="shared" si="9"/>
        <v>1714.3</v>
      </c>
      <c r="AF41" s="12"/>
      <c r="AG41" s="110">
        <v>799.2</v>
      </c>
      <c r="AH41" s="11"/>
      <c r="AI41" s="31">
        <v>128.6</v>
      </c>
      <c r="AJ41" s="31"/>
      <c r="AK41" s="7">
        <f t="shared" si="10"/>
        <v>3673.47</v>
      </c>
      <c r="AL41" s="27">
        <f t="shared" si="11"/>
        <v>1842.8999999999999</v>
      </c>
      <c r="AM41" s="7">
        <f>AF41+AG41</f>
        <v>799.2</v>
      </c>
      <c r="AN41" s="27">
        <v>-799.2</v>
      </c>
      <c r="AO41" s="27"/>
      <c r="AP41" s="7">
        <f t="shared" si="13"/>
        <v>1842.8999999999999</v>
      </c>
      <c r="AQ41" s="27">
        <f t="shared" si="15"/>
        <v>0</v>
      </c>
      <c r="AR41" s="27"/>
      <c r="AS41" s="27">
        <f t="shared" si="14"/>
        <v>0</v>
      </c>
    </row>
    <row r="42" spans="1:45" ht="123.75" customHeight="1" outlineLevel="1">
      <c r="A42" s="104" t="s">
        <v>295</v>
      </c>
      <c r="B42" s="33" t="s">
        <v>72</v>
      </c>
      <c r="C42" s="33" t="s">
        <v>30</v>
      </c>
      <c r="D42" s="33" t="s">
        <v>7</v>
      </c>
      <c r="E42" s="33" t="s">
        <v>29</v>
      </c>
      <c r="F42" s="33" t="s">
        <v>75</v>
      </c>
      <c r="G42" s="38">
        <v>0</v>
      </c>
      <c r="H42" s="38">
        <v>245143.10229000001</v>
      </c>
      <c r="I42" s="34">
        <f t="shared" si="16"/>
        <v>245143.10229000001</v>
      </c>
      <c r="J42" s="34">
        <v>0</v>
      </c>
      <c r="K42" s="34">
        <v>2449</v>
      </c>
      <c r="L42" s="34"/>
      <c r="M42" s="34">
        <f t="shared" si="1"/>
        <v>245143.10229000001</v>
      </c>
      <c r="N42" s="34">
        <f t="shared" si="2"/>
        <v>2449</v>
      </c>
      <c r="O42" s="38">
        <v>0</v>
      </c>
      <c r="P42" s="38">
        <v>2449</v>
      </c>
      <c r="Q42" s="38"/>
      <c r="R42" s="34">
        <f t="shared" si="3"/>
        <v>2449</v>
      </c>
      <c r="S42" s="34">
        <f t="shared" si="4"/>
        <v>2449</v>
      </c>
      <c r="T42" s="38">
        <v>0</v>
      </c>
      <c r="U42" s="35"/>
      <c r="V42" s="43">
        <v>-999</v>
      </c>
      <c r="W42" s="43"/>
      <c r="X42" s="39"/>
      <c r="Y42" s="7">
        <f t="shared" si="5"/>
        <v>245143.10229000001</v>
      </c>
      <c r="Z42" s="7">
        <f t="shared" si="6"/>
        <v>2449</v>
      </c>
      <c r="AA42" s="7">
        <v>408.2</v>
      </c>
      <c r="AB42" s="7"/>
      <c r="AC42" s="7">
        <f t="shared" si="7"/>
        <v>245143.10229000001</v>
      </c>
      <c r="AD42" s="7">
        <f t="shared" si="8"/>
        <v>2857.2</v>
      </c>
      <c r="AE42" s="7">
        <f t="shared" si="9"/>
        <v>1450</v>
      </c>
      <c r="AF42" s="12">
        <f t="shared" si="17"/>
        <v>0</v>
      </c>
      <c r="AG42" s="110">
        <v>799.2</v>
      </c>
      <c r="AH42" s="11"/>
      <c r="AI42" s="31">
        <v>133.4</v>
      </c>
      <c r="AJ42" s="31"/>
      <c r="AK42" s="7">
        <f t="shared" si="10"/>
        <v>2857.2</v>
      </c>
      <c r="AL42" s="27">
        <f t="shared" si="11"/>
        <v>1583.4</v>
      </c>
      <c r="AM42" s="27">
        <f t="shared" si="12"/>
        <v>799.2</v>
      </c>
      <c r="AN42" s="27">
        <v>-799.2</v>
      </c>
      <c r="AO42" s="27"/>
      <c r="AP42" s="7">
        <f t="shared" si="13"/>
        <v>1583.4</v>
      </c>
      <c r="AQ42" s="27">
        <f t="shared" si="15"/>
        <v>0</v>
      </c>
      <c r="AR42" s="27"/>
      <c r="AS42" s="27">
        <f t="shared" si="14"/>
        <v>0</v>
      </c>
    </row>
    <row r="43" spans="1:45" ht="123.75" customHeight="1" outlineLevel="1">
      <c r="A43" s="104" t="s">
        <v>296</v>
      </c>
      <c r="B43" s="33" t="s">
        <v>72</v>
      </c>
      <c r="C43" s="33" t="s">
        <v>30</v>
      </c>
      <c r="D43" s="33" t="s">
        <v>7</v>
      </c>
      <c r="E43" s="33" t="s">
        <v>27</v>
      </c>
      <c r="F43" s="33" t="s">
        <v>75</v>
      </c>
      <c r="G43" s="38">
        <v>0</v>
      </c>
      <c r="H43" s="38">
        <v>245538.59982</v>
      </c>
      <c r="I43" s="34">
        <f t="shared" si="16"/>
        <v>245538.59982</v>
      </c>
      <c r="J43" s="34">
        <v>0</v>
      </c>
      <c r="K43" s="34">
        <v>2449</v>
      </c>
      <c r="L43" s="34"/>
      <c r="M43" s="34">
        <f t="shared" si="1"/>
        <v>245538.59982</v>
      </c>
      <c r="N43" s="34">
        <f t="shared" si="2"/>
        <v>2449</v>
      </c>
      <c r="O43" s="38">
        <v>0</v>
      </c>
      <c r="P43" s="38">
        <v>2456.9</v>
      </c>
      <c r="Q43" s="38">
        <v>-200</v>
      </c>
      <c r="R43" s="34">
        <f t="shared" si="3"/>
        <v>2249</v>
      </c>
      <c r="S43" s="34">
        <f t="shared" si="4"/>
        <v>2456.9</v>
      </c>
      <c r="T43" s="38">
        <v>0</v>
      </c>
      <c r="U43" s="35"/>
      <c r="V43" s="39">
        <v>-1098.9000000000001</v>
      </c>
      <c r="W43" s="39"/>
      <c r="X43" s="39"/>
      <c r="Y43" s="7">
        <f t="shared" si="5"/>
        <v>245538.59982</v>
      </c>
      <c r="Z43" s="7">
        <f t="shared" si="6"/>
        <v>2249</v>
      </c>
      <c r="AA43" s="7">
        <v>-299.7</v>
      </c>
      <c r="AB43" s="7"/>
      <c r="AC43" s="7">
        <f t="shared" si="7"/>
        <v>245538.59982</v>
      </c>
      <c r="AD43" s="7">
        <f t="shared" si="8"/>
        <v>1949.3</v>
      </c>
      <c r="AE43" s="7">
        <f t="shared" si="9"/>
        <v>1358</v>
      </c>
      <c r="AF43" s="12">
        <f t="shared" si="17"/>
        <v>0</v>
      </c>
      <c r="AG43" s="110">
        <v>799.2</v>
      </c>
      <c r="AH43" s="11"/>
      <c r="AI43" s="24">
        <v>1076.9000000000001</v>
      </c>
      <c r="AJ43" s="24"/>
      <c r="AK43" s="7">
        <f t="shared" si="10"/>
        <v>1949.3</v>
      </c>
      <c r="AL43" s="27">
        <f t="shared" si="11"/>
        <v>2434.9</v>
      </c>
      <c r="AM43" s="27">
        <f t="shared" si="12"/>
        <v>799.2</v>
      </c>
      <c r="AN43" s="27">
        <v>-799.2</v>
      </c>
      <c r="AO43" s="27"/>
      <c r="AP43" s="7">
        <f t="shared" si="13"/>
        <v>2434.9</v>
      </c>
      <c r="AQ43" s="27">
        <f t="shared" si="15"/>
        <v>0</v>
      </c>
      <c r="AR43" s="27"/>
      <c r="AS43" s="27">
        <f t="shared" si="14"/>
        <v>0</v>
      </c>
    </row>
    <row r="44" spans="1:45" ht="123.75" customHeight="1" outlineLevel="1">
      <c r="A44" s="104" t="s">
        <v>297</v>
      </c>
      <c r="B44" s="33" t="s">
        <v>72</v>
      </c>
      <c r="C44" s="33" t="s">
        <v>30</v>
      </c>
      <c r="D44" s="33" t="s">
        <v>7</v>
      </c>
      <c r="E44" s="33" t="s">
        <v>238</v>
      </c>
      <c r="F44" s="33" t="s">
        <v>354</v>
      </c>
      <c r="G44" s="38">
        <v>0</v>
      </c>
      <c r="H44" s="38">
        <v>245784.8665</v>
      </c>
      <c r="I44" s="34">
        <f t="shared" si="16"/>
        <v>245784.8665</v>
      </c>
      <c r="J44" s="34">
        <v>0</v>
      </c>
      <c r="K44" s="34">
        <v>4910.8</v>
      </c>
      <c r="L44" s="34"/>
      <c r="M44" s="34">
        <f t="shared" si="1"/>
        <v>245784.8665</v>
      </c>
      <c r="N44" s="34">
        <f t="shared" si="2"/>
        <v>4910.8</v>
      </c>
      <c r="O44" s="38">
        <v>0</v>
      </c>
      <c r="P44" s="38"/>
      <c r="Q44" s="38">
        <f>-2313.18164</f>
        <v>-2313.1816399999998</v>
      </c>
      <c r="R44" s="34">
        <f t="shared" si="3"/>
        <v>2597.6183600000004</v>
      </c>
      <c r="S44" s="34">
        <f t="shared" si="4"/>
        <v>0</v>
      </c>
      <c r="T44" s="38">
        <v>0</v>
      </c>
      <c r="U44" s="35"/>
      <c r="V44" s="39">
        <v>2213.4</v>
      </c>
      <c r="W44" s="39"/>
      <c r="X44" s="39"/>
      <c r="Y44" s="7">
        <f t="shared" si="5"/>
        <v>245784.8665</v>
      </c>
      <c r="Z44" s="7">
        <f t="shared" si="6"/>
        <v>2597.6183600000004</v>
      </c>
      <c r="AA44" s="7">
        <v>1785.6</v>
      </c>
      <c r="AB44" s="7"/>
      <c r="AC44" s="7">
        <f t="shared" si="7"/>
        <v>245784.8665</v>
      </c>
      <c r="AD44" s="7">
        <f t="shared" si="8"/>
        <v>4383.2183600000008</v>
      </c>
      <c r="AE44" s="7">
        <f t="shared" si="9"/>
        <v>2213.4</v>
      </c>
      <c r="AF44" s="12">
        <f t="shared" si="17"/>
        <v>0</v>
      </c>
      <c r="AG44" s="110">
        <v>799.2</v>
      </c>
      <c r="AH44" s="11"/>
      <c r="AI44" s="31">
        <v>-986.4</v>
      </c>
      <c r="AJ44" s="31"/>
      <c r="AK44" s="7">
        <f t="shared" si="10"/>
        <v>4383.2183600000008</v>
      </c>
      <c r="AL44" s="27">
        <f t="shared" si="11"/>
        <v>1227</v>
      </c>
      <c r="AM44" s="27">
        <f t="shared" si="12"/>
        <v>799.2</v>
      </c>
      <c r="AN44" s="27">
        <v>-799.2</v>
      </c>
      <c r="AO44" s="27"/>
      <c r="AP44" s="7">
        <f t="shared" si="13"/>
        <v>1227</v>
      </c>
      <c r="AQ44" s="27">
        <f t="shared" si="15"/>
        <v>0</v>
      </c>
      <c r="AR44" s="27"/>
      <c r="AS44" s="27">
        <f t="shared" si="14"/>
        <v>0</v>
      </c>
    </row>
    <row r="45" spans="1:45" ht="123.75" customHeight="1" outlineLevel="1">
      <c r="A45" s="104" t="s">
        <v>298</v>
      </c>
      <c r="B45" s="33" t="s">
        <v>198</v>
      </c>
      <c r="C45" s="33" t="s">
        <v>30</v>
      </c>
      <c r="D45" s="33" t="s">
        <v>7</v>
      </c>
      <c r="E45" s="44" t="s">
        <v>164</v>
      </c>
      <c r="F45" s="33" t="s">
        <v>354</v>
      </c>
      <c r="G45" s="38">
        <v>0</v>
      </c>
      <c r="H45" s="38">
        <v>69457.212310000003</v>
      </c>
      <c r="I45" s="34">
        <f t="shared" si="16"/>
        <v>69457.212310000003</v>
      </c>
      <c r="J45" s="34">
        <v>0</v>
      </c>
      <c r="K45" s="34">
        <v>1387.8</v>
      </c>
      <c r="L45" s="34"/>
      <c r="M45" s="34">
        <f t="shared" si="1"/>
        <v>69457.212310000003</v>
      </c>
      <c r="N45" s="34">
        <f t="shared" si="2"/>
        <v>1387.8</v>
      </c>
      <c r="O45" s="38">
        <v>0</v>
      </c>
      <c r="P45" s="38"/>
      <c r="Q45" s="38">
        <v>210.44</v>
      </c>
      <c r="R45" s="34">
        <f t="shared" si="3"/>
        <v>1598.24</v>
      </c>
      <c r="S45" s="34">
        <f t="shared" si="4"/>
        <v>0</v>
      </c>
      <c r="T45" s="38">
        <v>0</v>
      </c>
      <c r="U45" s="35"/>
      <c r="V45" s="43">
        <v>200</v>
      </c>
      <c r="W45" s="43"/>
      <c r="X45" s="39"/>
      <c r="Y45" s="7">
        <f t="shared" si="5"/>
        <v>69457.212310000003</v>
      </c>
      <c r="Z45" s="7">
        <f t="shared" si="6"/>
        <v>1598.24</v>
      </c>
      <c r="AA45" s="7">
        <v>-412.2</v>
      </c>
      <c r="AB45" s="7"/>
      <c r="AC45" s="7">
        <f t="shared" si="7"/>
        <v>69457.212310000003</v>
      </c>
      <c r="AD45" s="7">
        <f t="shared" si="8"/>
        <v>1186.04</v>
      </c>
      <c r="AE45" s="7">
        <f t="shared" si="9"/>
        <v>200</v>
      </c>
      <c r="AF45" s="12">
        <f t="shared" si="17"/>
        <v>0</v>
      </c>
      <c r="AG45" s="11"/>
      <c r="AH45" s="11"/>
      <c r="AI45" s="31">
        <v>412.2</v>
      </c>
      <c r="AJ45" s="31"/>
      <c r="AK45" s="7">
        <f t="shared" si="10"/>
        <v>1186.04</v>
      </c>
      <c r="AL45" s="27">
        <f t="shared" si="11"/>
        <v>612.20000000000005</v>
      </c>
      <c r="AM45" s="27">
        <f t="shared" si="12"/>
        <v>0</v>
      </c>
      <c r="AN45" s="27"/>
      <c r="AO45" s="27"/>
      <c r="AP45" s="7">
        <f t="shared" si="13"/>
        <v>612.20000000000005</v>
      </c>
      <c r="AQ45" s="27">
        <f t="shared" si="15"/>
        <v>0</v>
      </c>
      <c r="AR45" s="27"/>
      <c r="AS45" s="27">
        <f t="shared" si="14"/>
        <v>0</v>
      </c>
    </row>
    <row r="46" spans="1:45" ht="123.75" customHeight="1" outlineLevel="1">
      <c r="A46" s="104" t="s">
        <v>299</v>
      </c>
      <c r="B46" s="33" t="s">
        <v>198</v>
      </c>
      <c r="C46" s="33" t="s">
        <v>30</v>
      </c>
      <c r="D46" s="33" t="s">
        <v>7</v>
      </c>
      <c r="E46" s="33" t="s">
        <v>47</v>
      </c>
      <c r="F46" s="33" t="s">
        <v>354</v>
      </c>
      <c r="G46" s="38">
        <v>0</v>
      </c>
      <c r="H46" s="38">
        <v>69457.212310000003</v>
      </c>
      <c r="I46" s="34">
        <f t="shared" si="16"/>
        <v>69457.212310000003</v>
      </c>
      <c r="J46" s="34">
        <v>0</v>
      </c>
      <c r="K46" s="34">
        <v>1387.8</v>
      </c>
      <c r="L46" s="34"/>
      <c r="M46" s="34">
        <f t="shared" si="1"/>
        <v>69457.212310000003</v>
      </c>
      <c r="N46" s="34">
        <f t="shared" si="2"/>
        <v>1387.8</v>
      </c>
      <c r="O46" s="38">
        <v>0</v>
      </c>
      <c r="P46" s="38"/>
      <c r="Q46" s="38">
        <v>210.44</v>
      </c>
      <c r="R46" s="34">
        <f t="shared" si="3"/>
        <v>1598.24</v>
      </c>
      <c r="S46" s="34">
        <f t="shared" si="4"/>
        <v>0</v>
      </c>
      <c r="T46" s="38">
        <v>0</v>
      </c>
      <c r="U46" s="35"/>
      <c r="V46" s="45">
        <v>200</v>
      </c>
      <c r="W46" s="45"/>
      <c r="X46" s="39"/>
      <c r="Y46" s="7">
        <f t="shared" si="5"/>
        <v>69457.212310000003</v>
      </c>
      <c r="Z46" s="7">
        <f t="shared" si="6"/>
        <v>1598.24</v>
      </c>
      <c r="AA46" s="7">
        <v>-412.2</v>
      </c>
      <c r="AB46" s="7"/>
      <c r="AC46" s="7">
        <f t="shared" si="7"/>
        <v>69457.212310000003</v>
      </c>
      <c r="AD46" s="7">
        <f t="shared" si="8"/>
        <v>1186.04</v>
      </c>
      <c r="AE46" s="7">
        <f t="shared" si="9"/>
        <v>200</v>
      </c>
      <c r="AF46" s="12">
        <f t="shared" si="17"/>
        <v>0</v>
      </c>
      <c r="AG46" s="11"/>
      <c r="AH46" s="11"/>
      <c r="AI46" s="31">
        <v>412.2</v>
      </c>
      <c r="AJ46" s="31"/>
      <c r="AK46" s="7">
        <f t="shared" si="10"/>
        <v>1186.04</v>
      </c>
      <c r="AL46" s="27">
        <f t="shared" si="11"/>
        <v>612.20000000000005</v>
      </c>
      <c r="AM46" s="27">
        <f t="shared" si="12"/>
        <v>0</v>
      </c>
      <c r="AN46" s="27"/>
      <c r="AO46" s="27"/>
      <c r="AP46" s="7">
        <f t="shared" si="13"/>
        <v>612.20000000000005</v>
      </c>
      <c r="AQ46" s="27">
        <f t="shared" si="15"/>
        <v>0</v>
      </c>
      <c r="AR46" s="27"/>
      <c r="AS46" s="27">
        <f t="shared" si="14"/>
        <v>0</v>
      </c>
    </row>
    <row r="47" spans="1:45" ht="123.75" customHeight="1" outlineLevel="1">
      <c r="A47" s="104" t="s">
        <v>300</v>
      </c>
      <c r="B47" s="33" t="s">
        <v>15</v>
      </c>
      <c r="C47" s="33" t="s">
        <v>30</v>
      </c>
      <c r="D47" s="33" t="s">
        <v>7</v>
      </c>
      <c r="E47" s="33" t="s">
        <v>199</v>
      </c>
      <c r="F47" s="33" t="s">
        <v>96</v>
      </c>
      <c r="G47" s="38">
        <v>0</v>
      </c>
      <c r="H47" s="38">
        <v>137892.99504000001</v>
      </c>
      <c r="I47" s="34">
        <f t="shared" si="16"/>
        <v>137892.99504000001</v>
      </c>
      <c r="J47" s="34">
        <v>0</v>
      </c>
      <c r="K47" s="34">
        <v>2755.1</v>
      </c>
      <c r="L47" s="34"/>
      <c r="M47" s="34">
        <f t="shared" si="1"/>
        <v>137892.99504000001</v>
      </c>
      <c r="N47" s="34">
        <f t="shared" si="2"/>
        <v>2755.1</v>
      </c>
      <c r="O47" s="38">
        <v>0</v>
      </c>
      <c r="P47" s="38"/>
      <c r="Q47" s="38">
        <v>-1556.30204</v>
      </c>
      <c r="R47" s="34">
        <f t="shared" si="3"/>
        <v>1198.7979599999999</v>
      </c>
      <c r="S47" s="34">
        <f t="shared" si="4"/>
        <v>0</v>
      </c>
      <c r="T47" s="38">
        <v>0</v>
      </c>
      <c r="U47" s="35"/>
      <c r="V47" s="39">
        <v>1156.7</v>
      </c>
      <c r="W47" s="39"/>
      <c r="X47" s="39"/>
      <c r="Y47" s="7">
        <f t="shared" si="5"/>
        <v>137892.99504000001</v>
      </c>
      <c r="Z47" s="7">
        <f t="shared" si="6"/>
        <v>1198.7979599999999</v>
      </c>
      <c r="AA47" s="7">
        <v>1553.5</v>
      </c>
      <c r="AB47" s="7"/>
      <c r="AC47" s="7">
        <f t="shared" si="7"/>
        <v>137892.99504000001</v>
      </c>
      <c r="AD47" s="7">
        <f t="shared" si="8"/>
        <v>2752.2979599999999</v>
      </c>
      <c r="AE47" s="7">
        <f t="shared" si="9"/>
        <v>1156.7</v>
      </c>
      <c r="AF47" s="12">
        <f t="shared" si="17"/>
        <v>0</v>
      </c>
      <c r="AG47" s="111">
        <v>399.6</v>
      </c>
      <c r="AH47" s="11"/>
      <c r="AI47" s="24">
        <v>-1156.7</v>
      </c>
      <c r="AJ47" s="24"/>
      <c r="AK47" s="7">
        <f t="shared" si="10"/>
        <v>2752.2979599999999</v>
      </c>
      <c r="AL47" s="27">
        <f t="shared" si="11"/>
        <v>0</v>
      </c>
      <c r="AM47" s="27">
        <f t="shared" si="12"/>
        <v>399.6</v>
      </c>
      <c r="AN47" s="27">
        <v>-399.6</v>
      </c>
      <c r="AO47" s="27"/>
      <c r="AP47" s="7">
        <f t="shared" si="13"/>
        <v>0</v>
      </c>
      <c r="AQ47" s="27">
        <f t="shared" si="15"/>
        <v>0</v>
      </c>
      <c r="AR47" s="27"/>
      <c r="AS47" s="27">
        <f t="shared" si="14"/>
        <v>0</v>
      </c>
    </row>
    <row r="48" spans="1:45" ht="123.75" customHeight="1" outlineLevel="1">
      <c r="A48" s="104" t="s">
        <v>301</v>
      </c>
      <c r="B48" s="33" t="s">
        <v>198</v>
      </c>
      <c r="C48" s="33" t="s">
        <v>30</v>
      </c>
      <c r="D48" s="33" t="s">
        <v>7</v>
      </c>
      <c r="E48" s="33" t="s">
        <v>162</v>
      </c>
      <c r="F48" s="33" t="s">
        <v>354</v>
      </c>
      <c r="G48" s="38">
        <v>0</v>
      </c>
      <c r="H48" s="38">
        <v>69457.212310000003</v>
      </c>
      <c r="I48" s="34">
        <f t="shared" si="16"/>
        <v>69457.212310000003</v>
      </c>
      <c r="J48" s="34">
        <v>0</v>
      </c>
      <c r="K48" s="34">
        <v>1387.8</v>
      </c>
      <c r="L48" s="34"/>
      <c r="M48" s="34">
        <f t="shared" si="1"/>
        <v>69457.212310000003</v>
      </c>
      <c r="N48" s="34">
        <f t="shared" si="2"/>
        <v>1387.8</v>
      </c>
      <c r="O48" s="38">
        <v>0</v>
      </c>
      <c r="P48" s="38"/>
      <c r="Q48" s="38">
        <v>210.44</v>
      </c>
      <c r="R48" s="34">
        <f t="shared" si="3"/>
        <v>1598.24</v>
      </c>
      <c r="S48" s="34">
        <f t="shared" si="4"/>
        <v>0</v>
      </c>
      <c r="T48" s="38">
        <v>0</v>
      </c>
      <c r="U48" s="35"/>
      <c r="V48" s="45">
        <v>200</v>
      </c>
      <c r="W48" s="45"/>
      <c r="X48" s="39"/>
      <c r="Y48" s="7">
        <f t="shared" si="5"/>
        <v>69457.212310000003</v>
      </c>
      <c r="Z48" s="7">
        <f t="shared" si="6"/>
        <v>1598.24</v>
      </c>
      <c r="AA48" s="7">
        <v>-409.4</v>
      </c>
      <c r="AB48" s="7"/>
      <c r="AC48" s="7">
        <f t="shared" si="7"/>
        <v>69457.212310000003</v>
      </c>
      <c r="AD48" s="7">
        <f t="shared" si="8"/>
        <v>1188.8400000000001</v>
      </c>
      <c r="AE48" s="7">
        <f t="shared" si="9"/>
        <v>200</v>
      </c>
      <c r="AF48" s="12">
        <f t="shared" si="17"/>
        <v>0</v>
      </c>
      <c r="AG48" s="11"/>
      <c r="AH48" s="11"/>
      <c r="AI48" s="31">
        <v>386.2</v>
      </c>
      <c r="AJ48" s="31"/>
      <c r="AK48" s="7">
        <f t="shared" si="10"/>
        <v>1188.8400000000001</v>
      </c>
      <c r="AL48" s="27">
        <f t="shared" si="11"/>
        <v>586.20000000000005</v>
      </c>
      <c r="AM48" s="27">
        <f t="shared" si="12"/>
        <v>0</v>
      </c>
      <c r="AN48" s="27"/>
      <c r="AO48" s="27"/>
      <c r="AP48" s="7">
        <f t="shared" si="13"/>
        <v>586.20000000000005</v>
      </c>
      <c r="AQ48" s="27">
        <f t="shared" si="15"/>
        <v>0</v>
      </c>
      <c r="AR48" s="27"/>
      <c r="AS48" s="27">
        <f t="shared" si="14"/>
        <v>0</v>
      </c>
    </row>
    <row r="49" spans="1:45" ht="111.75" hidden="1" customHeight="1" outlineLevel="1">
      <c r="A49" s="104" t="s">
        <v>305</v>
      </c>
      <c r="B49" s="33" t="s">
        <v>45</v>
      </c>
      <c r="C49" s="33" t="s">
        <v>18</v>
      </c>
      <c r="D49" s="33" t="s">
        <v>7</v>
      </c>
      <c r="E49" s="33" t="s">
        <v>46</v>
      </c>
      <c r="F49" s="33" t="s">
        <v>134</v>
      </c>
      <c r="G49" s="38">
        <v>0</v>
      </c>
      <c r="H49" s="38">
        <v>306233.78480999998</v>
      </c>
      <c r="I49" s="34">
        <f t="shared" si="16"/>
        <v>306233.78480999998</v>
      </c>
      <c r="J49" s="34">
        <v>0</v>
      </c>
      <c r="K49" s="34"/>
      <c r="L49" s="34">
        <v>-306233.8</v>
      </c>
      <c r="M49" s="34">
        <v>0</v>
      </c>
      <c r="N49" s="34">
        <f t="shared" si="2"/>
        <v>0</v>
      </c>
      <c r="O49" s="38">
        <v>0</v>
      </c>
      <c r="P49" s="38"/>
      <c r="Q49" s="38"/>
      <c r="R49" s="34">
        <f t="shared" si="3"/>
        <v>0</v>
      </c>
      <c r="S49" s="34">
        <f t="shared" si="4"/>
        <v>0</v>
      </c>
      <c r="T49" s="38">
        <v>0</v>
      </c>
      <c r="U49" s="34">
        <v>6118.6</v>
      </c>
      <c r="V49" s="46"/>
      <c r="W49" s="46"/>
      <c r="X49" s="47"/>
      <c r="Y49" s="7">
        <f t="shared" si="5"/>
        <v>0</v>
      </c>
      <c r="Z49" s="7">
        <f t="shared" si="6"/>
        <v>0</v>
      </c>
      <c r="AA49" s="7"/>
      <c r="AB49" s="7"/>
      <c r="AC49" s="7">
        <f t="shared" si="7"/>
        <v>0</v>
      </c>
      <c r="AD49" s="7">
        <f t="shared" si="8"/>
        <v>0</v>
      </c>
      <c r="AE49" s="7">
        <f t="shared" si="9"/>
        <v>0</v>
      </c>
      <c r="AF49" s="12">
        <f t="shared" si="17"/>
        <v>6118.6</v>
      </c>
      <c r="AG49" s="111">
        <v>-6118.6</v>
      </c>
      <c r="AH49" s="11"/>
      <c r="AI49" s="31"/>
      <c r="AJ49" s="31"/>
      <c r="AK49" s="7">
        <f t="shared" si="10"/>
        <v>0</v>
      </c>
      <c r="AL49" s="27">
        <f t="shared" si="11"/>
        <v>0</v>
      </c>
      <c r="AM49" s="27">
        <f t="shared" si="12"/>
        <v>0</v>
      </c>
      <c r="AN49" s="27"/>
      <c r="AO49" s="27"/>
      <c r="AP49" s="7">
        <f t="shared" si="13"/>
        <v>0</v>
      </c>
      <c r="AQ49" s="27">
        <f t="shared" si="15"/>
        <v>0</v>
      </c>
      <c r="AR49" s="27"/>
      <c r="AS49" s="27">
        <f t="shared" si="14"/>
        <v>0</v>
      </c>
    </row>
    <row r="50" spans="1:45" ht="129.75" customHeight="1" outlineLevel="1">
      <c r="A50" s="104" t="s">
        <v>302</v>
      </c>
      <c r="B50" s="33" t="s">
        <v>45</v>
      </c>
      <c r="C50" s="33" t="s">
        <v>30</v>
      </c>
      <c r="D50" s="33" t="s">
        <v>7</v>
      </c>
      <c r="E50" s="33" t="s">
        <v>31</v>
      </c>
      <c r="F50" s="33" t="s">
        <v>355</v>
      </c>
      <c r="G50" s="38"/>
      <c r="H50" s="38"/>
      <c r="I50" s="34"/>
      <c r="J50" s="34"/>
      <c r="K50" s="34"/>
      <c r="L50" s="34">
        <v>306234.8</v>
      </c>
      <c r="M50" s="34">
        <f t="shared" si="1"/>
        <v>306234.8</v>
      </c>
      <c r="N50" s="34"/>
      <c r="O50" s="38"/>
      <c r="P50" s="38"/>
      <c r="Q50" s="38">
        <v>1798.2</v>
      </c>
      <c r="R50" s="34">
        <f t="shared" si="3"/>
        <v>1798.2</v>
      </c>
      <c r="S50" s="34"/>
      <c r="T50" s="38"/>
      <c r="U50" s="34"/>
      <c r="V50" s="46">
        <v>399.6</v>
      </c>
      <c r="W50" s="46"/>
      <c r="X50" s="47"/>
      <c r="Y50" s="7">
        <f t="shared" si="5"/>
        <v>306234.8</v>
      </c>
      <c r="Z50" s="7">
        <f t="shared" si="6"/>
        <v>1798.2</v>
      </c>
      <c r="AA50" s="7">
        <v>-1798.2</v>
      </c>
      <c r="AB50" s="7"/>
      <c r="AC50" s="7">
        <f t="shared" si="7"/>
        <v>306234.8</v>
      </c>
      <c r="AD50" s="7">
        <f t="shared" si="8"/>
        <v>0</v>
      </c>
      <c r="AE50" s="7">
        <f t="shared" si="9"/>
        <v>399.6</v>
      </c>
      <c r="AF50" s="12"/>
      <c r="AG50" s="111">
        <v>3920.8</v>
      </c>
      <c r="AH50" s="11"/>
      <c r="AI50" s="31">
        <v>-195.5</v>
      </c>
      <c r="AJ50" s="31"/>
      <c r="AK50" s="7">
        <f t="shared" si="10"/>
        <v>0</v>
      </c>
      <c r="AL50" s="27">
        <f t="shared" si="11"/>
        <v>204.10000000000002</v>
      </c>
      <c r="AM50" s="27">
        <f t="shared" si="12"/>
        <v>3920.8</v>
      </c>
      <c r="AN50" s="27">
        <v>2197.8000000000002</v>
      </c>
      <c r="AO50" s="27"/>
      <c r="AP50" s="7">
        <f t="shared" si="13"/>
        <v>204.10000000000002</v>
      </c>
      <c r="AQ50" s="27">
        <f t="shared" si="15"/>
        <v>6118.6</v>
      </c>
      <c r="AR50" s="27"/>
      <c r="AS50" s="27">
        <f t="shared" si="14"/>
        <v>6118.6</v>
      </c>
    </row>
    <row r="51" spans="1:45" ht="123.75" hidden="1" customHeight="1" outlineLevel="1">
      <c r="A51" s="104" t="s">
        <v>304</v>
      </c>
      <c r="B51" s="33" t="s">
        <v>45</v>
      </c>
      <c r="C51" s="33" t="s">
        <v>18</v>
      </c>
      <c r="D51" s="33" t="s">
        <v>7</v>
      </c>
      <c r="E51" s="33" t="s">
        <v>46</v>
      </c>
      <c r="F51" s="33" t="s">
        <v>134</v>
      </c>
      <c r="G51" s="38">
        <v>0</v>
      </c>
      <c r="H51" s="38">
        <v>306234.80622999999</v>
      </c>
      <c r="I51" s="34">
        <f t="shared" si="16"/>
        <v>306234.80622999999</v>
      </c>
      <c r="J51" s="34">
        <v>0</v>
      </c>
      <c r="K51" s="34"/>
      <c r="L51" s="34">
        <v>-306234.80622999999</v>
      </c>
      <c r="M51" s="34">
        <f t="shared" si="1"/>
        <v>0</v>
      </c>
      <c r="N51" s="34">
        <f t="shared" si="2"/>
        <v>0</v>
      </c>
      <c r="O51" s="38">
        <v>0</v>
      </c>
      <c r="P51" s="38"/>
      <c r="Q51" s="38"/>
      <c r="R51" s="34">
        <f t="shared" si="3"/>
        <v>0</v>
      </c>
      <c r="S51" s="34">
        <f t="shared" si="4"/>
        <v>0</v>
      </c>
      <c r="T51" s="38">
        <v>0</v>
      </c>
      <c r="U51" s="34">
        <v>6118.6</v>
      </c>
      <c r="V51" s="46"/>
      <c r="W51" s="46"/>
      <c r="X51" s="47"/>
      <c r="Y51" s="7">
        <f t="shared" si="5"/>
        <v>0</v>
      </c>
      <c r="Z51" s="7">
        <f t="shared" si="6"/>
        <v>0</v>
      </c>
      <c r="AA51" s="7"/>
      <c r="AB51" s="7"/>
      <c r="AC51" s="7">
        <f t="shared" si="7"/>
        <v>0</v>
      </c>
      <c r="AD51" s="7">
        <f t="shared" si="8"/>
        <v>0</v>
      </c>
      <c r="AE51" s="7">
        <f t="shared" si="9"/>
        <v>0</v>
      </c>
      <c r="AF51" s="12">
        <f>T51+U51</f>
        <v>6118.6</v>
      </c>
      <c r="AG51" s="111">
        <f>-AF51</f>
        <v>-6118.6</v>
      </c>
      <c r="AH51" s="11"/>
      <c r="AI51" s="31"/>
      <c r="AJ51" s="31"/>
      <c r="AK51" s="7">
        <f t="shared" si="10"/>
        <v>0</v>
      </c>
      <c r="AL51" s="27">
        <f t="shared" si="11"/>
        <v>0</v>
      </c>
      <c r="AM51" s="27">
        <f t="shared" si="12"/>
        <v>0</v>
      </c>
      <c r="AN51" s="27"/>
      <c r="AO51" s="27"/>
      <c r="AP51" s="7">
        <f t="shared" si="13"/>
        <v>0</v>
      </c>
      <c r="AQ51" s="27">
        <f t="shared" si="15"/>
        <v>0</v>
      </c>
      <c r="AR51" s="27"/>
      <c r="AS51" s="27">
        <f t="shared" si="14"/>
        <v>0</v>
      </c>
    </row>
    <row r="52" spans="1:45" ht="123.75" customHeight="1" outlineLevel="1">
      <c r="A52" s="125" t="s">
        <v>303</v>
      </c>
      <c r="B52" s="33" t="s">
        <v>45</v>
      </c>
      <c r="C52" s="33" t="s">
        <v>30</v>
      </c>
      <c r="D52" s="33" t="s">
        <v>7</v>
      </c>
      <c r="E52" s="33" t="s">
        <v>46</v>
      </c>
      <c r="F52" s="33" t="s">
        <v>355</v>
      </c>
      <c r="G52" s="38"/>
      <c r="H52" s="38"/>
      <c r="I52" s="34"/>
      <c r="J52" s="34"/>
      <c r="K52" s="34"/>
      <c r="L52" s="34">
        <v>306233.8</v>
      </c>
      <c r="M52" s="34">
        <f t="shared" si="1"/>
        <v>306233.8</v>
      </c>
      <c r="N52" s="34"/>
      <c r="O52" s="38"/>
      <c r="P52" s="38"/>
      <c r="Q52" s="38">
        <v>1798.2</v>
      </c>
      <c r="R52" s="34">
        <f t="shared" si="3"/>
        <v>1798.2</v>
      </c>
      <c r="S52" s="34"/>
      <c r="T52" s="38"/>
      <c r="U52" s="34"/>
      <c r="V52" s="46">
        <v>399.6</v>
      </c>
      <c r="W52" s="46"/>
      <c r="X52" s="47"/>
      <c r="Y52" s="7">
        <f t="shared" si="5"/>
        <v>306233.8</v>
      </c>
      <c r="Z52" s="7">
        <f t="shared" si="6"/>
        <v>1798.2</v>
      </c>
      <c r="AA52" s="7">
        <v>-1798.2</v>
      </c>
      <c r="AB52" s="7"/>
      <c r="AC52" s="7">
        <f t="shared" si="7"/>
        <v>306233.8</v>
      </c>
      <c r="AD52" s="7">
        <f t="shared" si="8"/>
        <v>0</v>
      </c>
      <c r="AE52" s="7">
        <f t="shared" si="9"/>
        <v>399.6</v>
      </c>
      <c r="AF52" s="12"/>
      <c r="AG52" s="111">
        <v>3920.8</v>
      </c>
      <c r="AH52" s="11"/>
      <c r="AI52" s="31">
        <v>-269</v>
      </c>
      <c r="AJ52" s="31"/>
      <c r="AK52" s="7">
        <f t="shared" si="10"/>
        <v>0</v>
      </c>
      <c r="AL52" s="27">
        <f t="shared" si="11"/>
        <v>130.60000000000002</v>
      </c>
      <c r="AM52" s="27">
        <f t="shared" si="12"/>
        <v>3920.8</v>
      </c>
      <c r="AN52" s="27">
        <v>2197.8000000000002</v>
      </c>
      <c r="AO52" s="27"/>
      <c r="AP52" s="7">
        <f t="shared" si="13"/>
        <v>130.60000000000002</v>
      </c>
      <c r="AQ52" s="27">
        <f t="shared" si="15"/>
        <v>6118.6</v>
      </c>
      <c r="AR52" s="27"/>
      <c r="AS52" s="27">
        <f t="shared" si="14"/>
        <v>6118.6</v>
      </c>
    </row>
    <row r="53" spans="1:45" ht="128.25" customHeight="1" outlineLevel="1">
      <c r="A53" s="125" t="s">
        <v>322</v>
      </c>
      <c r="B53" s="33" t="s">
        <v>72</v>
      </c>
      <c r="C53" s="33" t="s">
        <v>356</v>
      </c>
      <c r="D53" s="33" t="s">
        <v>7</v>
      </c>
      <c r="E53" s="33" t="s">
        <v>13</v>
      </c>
      <c r="F53" s="33" t="s">
        <v>132</v>
      </c>
      <c r="G53" s="38"/>
      <c r="H53" s="38"/>
      <c r="I53" s="34"/>
      <c r="J53" s="34"/>
      <c r="K53" s="34"/>
      <c r="L53" s="34"/>
      <c r="M53" s="34"/>
      <c r="N53" s="34"/>
      <c r="O53" s="38"/>
      <c r="P53" s="38"/>
      <c r="Q53" s="38"/>
      <c r="R53" s="34"/>
      <c r="S53" s="34"/>
      <c r="T53" s="38"/>
      <c r="U53" s="34"/>
      <c r="V53" s="46"/>
      <c r="W53" s="46"/>
      <c r="X53" s="47">
        <v>250800</v>
      </c>
      <c r="Y53" s="7">
        <f t="shared" si="5"/>
        <v>250800</v>
      </c>
      <c r="Z53" s="7"/>
      <c r="AA53" s="7"/>
      <c r="AB53" s="7"/>
      <c r="AC53" s="7">
        <f t="shared" si="7"/>
        <v>250800</v>
      </c>
      <c r="AD53" s="7">
        <f t="shared" si="8"/>
        <v>0</v>
      </c>
      <c r="AE53" s="7"/>
      <c r="AF53" s="12"/>
      <c r="AG53" s="111"/>
      <c r="AH53" s="11"/>
      <c r="AI53" s="24">
        <v>107500</v>
      </c>
      <c r="AJ53" s="24"/>
      <c r="AK53" s="7">
        <f t="shared" si="10"/>
        <v>0</v>
      </c>
      <c r="AL53" s="27">
        <f t="shared" si="11"/>
        <v>107500</v>
      </c>
      <c r="AM53" s="27"/>
      <c r="AN53" s="27">
        <v>143300</v>
      </c>
      <c r="AO53" s="27"/>
      <c r="AP53" s="7">
        <f t="shared" si="13"/>
        <v>107500</v>
      </c>
      <c r="AQ53" s="27">
        <f t="shared" si="15"/>
        <v>143300</v>
      </c>
      <c r="AR53" s="27"/>
      <c r="AS53" s="27">
        <f t="shared" si="14"/>
        <v>143300</v>
      </c>
    </row>
    <row r="54" spans="1:45" ht="27" customHeight="1">
      <c r="A54" s="144" t="s">
        <v>19</v>
      </c>
      <c r="B54" s="149"/>
      <c r="C54" s="149"/>
      <c r="D54" s="149"/>
      <c r="E54" s="33"/>
      <c r="F54" s="104"/>
      <c r="G54" s="34">
        <f>SUM(G55:G57)</f>
        <v>1621487</v>
      </c>
      <c r="H54" s="34">
        <f>SUM(H55:H58)</f>
        <v>0</v>
      </c>
      <c r="I54" s="34">
        <f t="shared" si="16"/>
        <v>1621487</v>
      </c>
      <c r="J54" s="34">
        <f>SUM(J55:J58)</f>
        <v>149299.19999999998</v>
      </c>
      <c r="K54" s="34">
        <f>SUM(K55:K58)</f>
        <v>64574.3</v>
      </c>
      <c r="L54" s="34">
        <f>L55+L56+L57+L58</f>
        <v>0</v>
      </c>
      <c r="M54" s="34">
        <f t="shared" si="1"/>
        <v>1621487</v>
      </c>
      <c r="N54" s="34">
        <f t="shared" si="2"/>
        <v>213873.5</v>
      </c>
      <c r="O54" s="34">
        <f>SUM(O55:O58)</f>
        <v>122414.79999999999</v>
      </c>
      <c r="P54" s="34">
        <f>SUM(P55:P58)</f>
        <v>0</v>
      </c>
      <c r="Q54" s="34">
        <f>Q55+Q56+Q57+Q58</f>
        <v>42742.5</v>
      </c>
      <c r="R54" s="34">
        <f t="shared" si="3"/>
        <v>256616</v>
      </c>
      <c r="S54" s="34">
        <f t="shared" si="4"/>
        <v>122414.79999999999</v>
      </c>
      <c r="T54" s="34">
        <f>SUM(T55:T57)</f>
        <v>0</v>
      </c>
      <c r="U54" s="34">
        <f>SUM(U55:U58)</f>
        <v>0</v>
      </c>
      <c r="V54" s="34">
        <f>V55+V56+V57+V58</f>
        <v>0</v>
      </c>
      <c r="W54" s="34">
        <f>W55</f>
        <v>-32300</v>
      </c>
      <c r="X54" s="47">
        <f>X55+X56+X57+X58+X59+X60+X62+X63+X64</f>
        <v>287382.90000000002</v>
      </c>
      <c r="Y54" s="7">
        <f t="shared" si="5"/>
        <v>1908869.9</v>
      </c>
      <c r="Z54" s="7">
        <f t="shared" si="6"/>
        <v>224316</v>
      </c>
      <c r="AA54" s="7">
        <f>AA55+AA56+AA57+AA58</f>
        <v>2677.5</v>
      </c>
      <c r="AB54" s="7">
        <v>-98983</v>
      </c>
      <c r="AC54" s="7">
        <f t="shared" si="7"/>
        <v>1809886.9</v>
      </c>
      <c r="AD54" s="7">
        <f t="shared" si="8"/>
        <v>226993.5</v>
      </c>
      <c r="AE54" s="7">
        <f t="shared" si="9"/>
        <v>122414.79999999999</v>
      </c>
      <c r="AF54" s="12">
        <f t="shared" ref="AF54:AF144" si="18">T54+U54</f>
        <v>0</v>
      </c>
      <c r="AG54" s="7">
        <f>AG55+AG56+AG57+AG58</f>
        <v>0</v>
      </c>
      <c r="AH54" s="11"/>
      <c r="AI54" s="7">
        <f>AI55+AI56+AI57+AI58+AI59+AI60+AI62+AI63+AI64</f>
        <v>44068.7</v>
      </c>
      <c r="AJ54" s="7">
        <f>AJ56</f>
        <v>-2677.5</v>
      </c>
      <c r="AK54" s="7">
        <f t="shared" si="10"/>
        <v>224316</v>
      </c>
      <c r="AL54" s="27">
        <f t="shared" si="11"/>
        <v>166483.5</v>
      </c>
      <c r="AM54" s="27">
        <f t="shared" si="12"/>
        <v>0</v>
      </c>
      <c r="AN54" s="7">
        <f>AN55+AN56+AN57+AN58+AN59+AN60+AN62+AN63+AN64</f>
        <v>56200</v>
      </c>
      <c r="AO54" s="7"/>
      <c r="AP54" s="7">
        <f t="shared" si="13"/>
        <v>166483.5</v>
      </c>
      <c r="AQ54" s="27">
        <f t="shared" si="15"/>
        <v>56200</v>
      </c>
      <c r="AR54" s="27"/>
      <c r="AS54" s="27">
        <f t="shared" si="14"/>
        <v>56200</v>
      </c>
    </row>
    <row r="55" spans="1:45" ht="127.5" customHeight="1" outlineLevel="1">
      <c r="A55" s="104" t="s">
        <v>101</v>
      </c>
      <c r="B55" s="33" t="s">
        <v>20</v>
      </c>
      <c r="C55" s="33" t="s">
        <v>5</v>
      </c>
      <c r="D55" s="33" t="s">
        <v>7</v>
      </c>
      <c r="E55" s="33" t="s">
        <v>13</v>
      </c>
      <c r="F55" s="33" t="s">
        <v>14</v>
      </c>
      <c r="G55" s="34">
        <v>403634.6</v>
      </c>
      <c r="H55" s="34"/>
      <c r="I55" s="34">
        <f t="shared" si="16"/>
        <v>403634.6</v>
      </c>
      <c r="J55" s="34">
        <f>23820.1-2370-2948.9-5338.3-224.4</f>
        <v>12938.499999999998</v>
      </c>
      <c r="K55" s="34">
        <f>-1744.7-3263.2</f>
        <v>-5007.8999999999996</v>
      </c>
      <c r="L55" s="34"/>
      <c r="M55" s="34">
        <f t="shared" si="1"/>
        <v>403634.6</v>
      </c>
      <c r="N55" s="34">
        <f t="shared" si="2"/>
        <v>7930.5999999999985</v>
      </c>
      <c r="O55" s="38">
        <v>0</v>
      </c>
      <c r="P55" s="38"/>
      <c r="Q55" s="38">
        <f>75.4-1223+42667.1</f>
        <v>41519.5</v>
      </c>
      <c r="R55" s="34">
        <f t="shared" si="3"/>
        <v>49450.1</v>
      </c>
      <c r="S55" s="34">
        <f t="shared" si="4"/>
        <v>0</v>
      </c>
      <c r="T55" s="38">
        <v>0</v>
      </c>
      <c r="U55" s="41"/>
      <c r="V55" s="41"/>
      <c r="W55" s="39">
        <v>-32300</v>
      </c>
      <c r="X55" s="39"/>
      <c r="Y55" s="7">
        <f t="shared" si="5"/>
        <v>403634.6</v>
      </c>
      <c r="Z55" s="7">
        <f t="shared" si="6"/>
        <v>17150.099999999999</v>
      </c>
      <c r="AA55" s="7"/>
      <c r="AB55" s="7"/>
      <c r="AC55" s="7">
        <f t="shared" si="7"/>
        <v>403634.6</v>
      </c>
      <c r="AD55" s="7">
        <f t="shared" si="8"/>
        <v>17150.099999999999</v>
      </c>
      <c r="AE55" s="7">
        <f t="shared" si="9"/>
        <v>0</v>
      </c>
      <c r="AF55" s="12">
        <f t="shared" si="18"/>
        <v>0</v>
      </c>
      <c r="AG55" s="11"/>
      <c r="AH55" s="11"/>
      <c r="AI55" s="31"/>
      <c r="AJ55" s="31"/>
      <c r="AK55" s="7">
        <f t="shared" si="10"/>
        <v>17150.099999999999</v>
      </c>
      <c r="AL55" s="27">
        <f t="shared" si="11"/>
        <v>0</v>
      </c>
      <c r="AM55" s="27">
        <f t="shared" si="12"/>
        <v>0</v>
      </c>
      <c r="AN55" s="27"/>
      <c r="AO55" s="27"/>
      <c r="AP55" s="7">
        <f t="shared" si="13"/>
        <v>0</v>
      </c>
      <c r="AQ55" s="27">
        <f t="shared" si="15"/>
        <v>0</v>
      </c>
      <c r="AR55" s="27"/>
      <c r="AS55" s="27">
        <f t="shared" si="14"/>
        <v>0</v>
      </c>
    </row>
    <row r="56" spans="1:45" ht="114" customHeight="1" outlineLevel="1">
      <c r="A56" s="104" t="s">
        <v>239</v>
      </c>
      <c r="B56" s="33" t="s">
        <v>57</v>
      </c>
      <c r="C56" s="33" t="s">
        <v>18</v>
      </c>
      <c r="D56" s="33" t="s">
        <v>7</v>
      </c>
      <c r="E56" s="33" t="s">
        <v>59</v>
      </c>
      <c r="F56" s="33" t="s">
        <v>120</v>
      </c>
      <c r="G56" s="34">
        <v>406846.8</v>
      </c>
      <c r="H56" s="34"/>
      <c r="I56" s="34">
        <f t="shared" si="16"/>
        <v>406846.8</v>
      </c>
      <c r="J56" s="34">
        <v>17011.3</v>
      </c>
      <c r="K56" s="34">
        <v>29682.2</v>
      </c>
      <c r="L56" s="34"/>
      <c r="M56" s="34">
        <f t="shared" si="1"/>
        <v>406846.8</v>
      </c>
      <c r="N56" s="34">
        <f t="shared" si="2"/>
        <v>46693.5</v>
      </c>
      <c r="O56" s="34">
        <v>71329.399999999994</v>
      </c>
      <c r="P56" s="34"/>
      <c r="Q56" s="34"/>
      <c r="R56" s="34">
        <f t="shared" si="3"/>
        <v>46693.5</v>
      </c>
      <c r="S56" s="34">
        <f t="shared" si="4"/>
        <v>71329.399999999994</v>
      </c>
      <c r="T56" s="38">
        <v>0</v>
      </c>
      <c r="U56" s="41"/>
      <c r="V56" s="41"/>
      <c r="W56" s="41"/>
      <c r="X56" s="39">
        <v>4446.2</v>
      </c>
      <c r="Y56" s="7">
        <f t="shared" si="5"/>
        <v>411293</v>
      </c>
      <c r="Z56" s="7">
        <f t="shared" si="6"/>
        <v>46693.5</v>
      </c>
      <c r="AA56" s="7">
        <v>2677.5</v>
      </c>
      <c r="AB56" s="7"/>
      <c r="AC56" s="7">
        <f t="shared" si="7"/>
        <v>411293</v>
      </c>
      <c r="AD56" s="7">
        <f t="shared" si="8"/>
        <v>49371</v>
      </c>
      <c r="AE56" s="7">
        <f t="shared" si="9"/>
        <v>71329.399999999994</v>
      </c>
      <c r="AF56" s="12">
        <f t="shared" si="18"/>
        <v>0</v>
      </c>
      <c r="AG56" s="11"/>
      <c r="AH56" s="11"/>
      <c r="AI56" s="24">
        <v>1768.7</v>
      </c>
      <c r="AJ56" s="24">
        <v>-2677.5</v>
      </c>
      <c r="AK56" s="7">
        <f t="shared" si="10"/>
        <v>46693.5</v>
      </c>
      <c r="AL56" s="27">
        <f t="shared" si="11"/>
        <v>73098.099999999991</v>
      </c>
      <c r="AM56" s="27">
        <f t="shared" si="12"/>
        <v>0</v>
      </c>
      <c r="AN56" s="27"/>
      <c r="AO56" s="27"/>
      <c r="AP56" s="7">
        <f t="shared" si="13"/>
        <v>73098.099999999991</v>
      </c>
      <c r="AQ56" s="27">
        <f t="shared" si="15"/>
        <v>0</v>
      </c>
      <c r="AR56" s="27"/>
      <c r="AS56" s="27">
        <f t="shared" si="14"/>
        <v>0</v>
      </c>
    </row>
    <row r="57" spans="1:45" ht="113.25" customHeight="1" outlineLevel="1">
      <c r="A57" s="104" t="s">
        <v>159</v>
      </c>
      <c r="B57" s="33" t="s">
        <v>58</v>
      </c>
      <c r="C57" s="33" t="s">
        <v>18</v>
      </c>
      <c r="D57" s="33" t="s">
        <v>7</v>
      </c>
      <c r="E57" s="33" t="s">
        <v>46</v>
      </c>
      <c r="F57" s="33" t="s">
        <v>75</v>
      </c>
      <c r="G57" s="34">
        <v>811005.6</v>
      </c>
      <c r="H57" s="34"/>
      <c r="I57" s="34">
        <f t="shared" si="16"/>
        <v>811005.6</v>
      </c>
      <c r="J57" s="34">
        <v>111501</v>
      </c>
      <c r="K57" s="34"/>
      <c r="L57" s="34"/>
      <c r="M57" s="34">
        <f t="shared" si="1"/>
        <v>811005.6</v>
      </c>
      <c r="N57" s="34">
        <f t="shared" si="2"/>
        <v>111501</v>
      </c>
      <c r="O57" s="38">
        <v>44558.400000000001</v>
      </c>
      <c r="P57" s="38"/>
      <c r="Q57" s="38"/>
      <c r="R57" s="34">
        <f t="shared" si="3"/>
        <v>111501</v>
      </c>
      <c r="S57" s="34">
        <f t="shared" si="4"/>
        <v>44558.400000000001</v>
      </c>
      <c r="T57" s="38">
        <v>0</v>
      </c>
      <c r="U57" s="41"/>
      <c r="V57" s="41"/>
      <c r="W57" s="41"/>
      <c r="X57" s="39"/>
      <c r="Y57" s="7">
        <f t="shared" si="5"/>
        <v>811005.6</v>
      </c>
      <c r="Z57" s="7">
        <f t="shared" si="6"/>
        <v>111501</v>
      </c>
      <c r="AA57" s="7"/>
      <c r="AB57" s="7"/>
      <c r="AC57" s="7">
        <f t="shared" si="7"/>
        <v>811005.6</v>
      </c>
      <c r="AD57" s="7">
        <f t="shared" si="8"/>
        <v>111501</v>
      </c>
      <c r="AE57" s="7">
        <f t="shared" si="9"/>
        <v>44558.400000000001</v>
      </c>
      <c r="AF57" s="12">
        <f t="shared" si="18"/>
        <v>0</v>
      </c>
      <c r="AG57" s="11"/>
      <c r="AH57" s="11"/>
      <c r="AI57" s="31"/>
      <c r="AJ57" s="31"/>
      <c r="AK57" s="7">
        <f t="shared" si="10"/>
        <v>111501</v>
      </c>
      <c r="AL57" s="27">
        <f t="shared" si="11"/>
        <v>44558.400000000001</v>
      </c>
      <c r="AM57" s="27">
        <f t="shared" si="12"/>
        <v>0</v>
      </c>
      <c r="AN57" s="27"/>
      <c r="AO57" s="27"/>
      <c r="AP57" s="7">
        <f t="shared" si="13"/>
        <v>44558.400000000001</v>
      </c>
      <c r="AQ57" s="27">
        <f t="shared" si="15"/>
        <v>0</v>
      </c>
      <c r="AR57" s="27"/>
      <c r="AS57" s="27">
        <f t="shared" si="14"/>
        <v>0</v>
      </c>
    </row>
    <row r="58" spans="1:45" ht="114.75" customHeight="1" outlineLevel="1">
      <c r="A58" s="104" t="s">
        <v>102</v>
      </c>
      <c r="B58" s="33" t="s">
        <v>65</v>
      </c>
      <c r="C58" s="33" t="s">
        <v>18</v>
      </c>
      <c r="D58" s="33" t="s">
        <v>7</v>
      </c>
      <c r="E58" s="33" t="s">
        <v>238</v>
      </c>
      <c r="F58" s="33" t="s">
        <v>37</v>
      </c>
      <c r="G58" s="34">
        <v>183953.7</v>
      </c>
      <c r="H58" s="34"/>
      <c r="I58" s="34">
        <f t="shared" si="16"/>
        <v>183953.7</v>
      </c>
      <c r="J58" s="34">
        <v>7848.4</v>
      </c>
      <c r="K58" s="34">
        <v>39900</v>
      </c>
      <c r="L58" s="34"/>
      <c r="M58" s="34">
        <f t="shared" si="1"/>
        <v>183953.7</v>
      </c>
      <c r="N58" s="34">
        <f t="shared" si="2"/>
        <v>47748.4</v>
      </c>
      <c r="O58" s="38">
        <v>6527</v>
      </c>
      <c r="P58" s="38"/>
      <c r="Q58" s="38">
        <v>1223</v>
      </c>
      <c r="R58" s="34">
        <f t="shared" si="3"/>
        <v>48971.4</v>
      </c>
      <c r="S58" s="34">
        <f t="shared" si="4"/>
        <v>6527</v>
      </c>
      <c r="T58" s="38">
        <v>0</v>
      </c>
      <c r="U58" s="41"/>
      <c r="V58" s="41"/>
      <c r="W58" s="41"/>
      <c r="X58" s="39"/>
      <c r="Y58" s="7">
        <f t="shared" si="5"/>
        <v>183953.7</v>
      </c>
      <c r="Z58" s="7">
        <f t="shared" si="6"/>
        <v>48971.4</v>
      </c>
      <c r="AA58" s="7"/>
      <c r="AB58" s="7"/>
      <c r="AC58" s="7">
        <f t="shared" si="7"/>
        <v>183953.7</v>
      </c>
      <c r="AD58" s="7">
        <f t="shared" si="8"/>
        <v>48971.4</v>
      </c>
      <c r="AE58" s="7">
        <f t="shared" si="9"/>
        <v>6527</v>
      </c>
      <c r="AF58" s="12">
        <f t="shared" si="18"/>
        <v>0</v>
      </c>
      <c r="AG58" s="11"/>
      <c r="AH58" s="11"/>
      <c r="AI58" s="31"/>
      <c r="AJ58" s="31"/>
      <c r="AK58" s="7">
        <f t="shared" si="10"/>
        <v>48971.4</v>
      </c>
      <c r="AL58" s="27">
        <f t="shared" si="11"/>
        <v>6527</v>
      </c>
      <c r="AM58" s="27">
        <f t="shared" si="12"/>
        <v>0</v>
      </c>
      <c r="AN58" s="27"/>
      <c r="AO58" s="27"/>
      <c r="AP58" s="7">
        <f t="shared" si="13"/>
        <v>6527</v>
      </c>
      <c r="AQ58" s="27">
        <f t="shared" si="15"/>
        <v>0</v>
      </c>
      <c r="AR58" s="27"/>
      <c r="AS58" s="27">
        <f t="shared" si="14"/>
        <v>0</v>
      </c>
    </row>
    <row r="59" spans="1:45" ht="129" customHeight="1" outlineLevel="1">
      <c r="A59" s="104" t="s">
        <v>205</v>
      </c>
      <c r="B59" s="33" t="s">
        <v>21</v>
      </c>
      <c r="C59" s="33" t="s">
        <v>111</v>
      </c>
      <c r="D59" s="33" t="s">
        <v>7</v>
      </c>
      <c r="E59" s="33" t="s">
        <v>13</v>
      </c>
      <c r="F59" s="33" t="s">
        <v>194</v>
      </c>
      <c r="G59" s="34">
        <v>0</v>
      </c>
      <c r="H59" s="34">
        <v>3638</v>
      </c>
      <c r="I59" s="34">
        <f t="shared" si="16"/>
        <v>3638</v>
      </c>
      <c r="J59" s="34">
        <v>0</v>
      </c>
      <c r="K59" s="34">
        <v>3638</v>
      </c>
      <c r="L59" s="34"/>
      <c r="M59" s="34">
        <f t="shared" si="1"/>
        <v>3638</v>
      </c>
      <c r="N59" s="34">
        <f t="shared" si="2"/>
        <v>3638</v>
      </c>
      <c r="O59" s="38">
        <v>0</v>
      </c>
      <c r="P59" s="38"/>
      <c r="Q59" s="38"/>
      <c r="R59" s="34">
        <f t="shared" si="3"/>
        <v>3638</v>
      </c>
      <c r="S59" s="34">
        <f t="shared" si="4"/>
        <v>0</v>
      </c>
      <c r="T59" s="38">
        <v>0</v>
      </c>
      <c r="U59" s="41"/>
      <c r="V59" s="41"/>
      <c r="W59" s="41"/>
      <c r="X59" s="39"/>
      <c r="Y59" s="7">
        <f t="shared" si="5"/>
        <v>3638</v>
      </c>
      <c r="Z59" s="7">
        <f t="shared" si="6"/>
        <v>3638</v>
      </c>
      <c r="AA59" s="7"/>
      <c r="AB59" s="7"/>
      <c r="AC59" s="7">
        <f t="shared" si="7"/>
        <v>3638</v>
      </c>
      <c r="AD59" s="7">
        <f t="shared" si="8"/>
        <v>3638</v>
      </c>
      <c r="AE59" s="7">
        <f t="shared" si="9"/>
        <v>0</v>
      </c>
      <c r="AF59" s="12">
        <f t="shared" si="18"/>
        <v>0</v>
      </c>
      <c r="AG59" s="11"/>
      <c r="AH59" s="11"/>
      <c r="AI59" s="31"/>
      <c r="AJ59" s="31"/>
      <c r="AK59" s="7">
        <f t="shared" si="10"/>
        <v>3638</v>
      </c>
      <c r="AL59" s="27">
        <f t="shared" si="11"/>
        <v>0</v>
      </c>
      <c r="AM59" s="27">
        <f t="shared" si="12"/>
        <v>0</v>
      </c>
      <c r="AN59" s="27"/>
      <c r="AO59" s="27"/>
      <c r="AP59" s="7">
        <f t="shared" si="13"/>
        <v>0</v>
      </c>
      <c r="AQ59" s="27">
        <f t="shared" si="15"/>
        <v>0</v>
      </c>
      <c r="AR59" s="27"/>
      <c r="AS59" s="27">
        <f t="shared" si="14"/>
        <v>0</v>
      </c>
    </row>
    <row r="60" spans="1:45" ht="182.25" customHeight="1" outlineLevel="1">
      <c r="A60" s="104" t="s">
        <v>215</v>
      </c>
      <c r="B60" s="33" t="s">
        <v>276</v>
      </c>
      <c r="C60" s="33" t="s">
        <v>216</v>
      </c>
      <c r="D60" s="33" t="s">
        <v>248</v>
      </c>
      <c r="E60" s="33" t="s">
        <v>217</v>
      </c>
      <c r="F60" s="33" t="s">
        <v>96</v>
      </c>
      <c r="G60" s="34"/>
      <c r="H60" s="34">
        <v>171.2</v>
      </c>
      <c r="I60" s="34">
        <f t="shared" si="16"/>
        <v>171.2</v>
      </c>
      <c r="J60" s="34"/>
      <c r="K60" s="34">
        <v>171.2</v>
      </c>
      <c r="L60" s="34"/>
      <c r="M60" s="34">
        <f t="shared" si="1"/>
        <v>171.2</v>
      </c>
      <c r="N60" s="34">
        <f t="shared" si="2"/>
        <v>171.2</v>
      </c>
      <c r="O60" s="38"/>
      <c r="P60" s="38"/>
      <c r="Q60" s="38"/>
      <c r="R60" s="34">
        <f t="shared" si="3"/>
        <v>171.2</v>
      </c>
      <c r="S60" s="34">
        <v>0</v>
      </c>
      <c r="T60" s="38"/>
      <c r="U60" s="41"/>
      <c r="V60" s="41"/>
      <c r="W60" s="41"/>
      <c r="X60" s="39"/>
      <c r="Y60" s="7">
        <f t="shared" si="5"/>
        <v>171.2</v>
      </c>
      <c r="Z60" s="7">
        <f t="shared" si="6"/>
        <v>171.2</v>
      </c>
      <c r="AA60" s="7"/>
      <c r="AB60" s="7"/>
      <c r="AC60" s="7">
        <f t="shared" si="7"/>
        <v>171.2</v>
      </c>
      <c r="AD60" s="7">
        <f t="shared" si="8"/>
        <v>171.2</v>
      </c>
      <c r="AE60" s="7">
        <f t="shared" si="9"/>
        <v>0</v>
      </c>
      <c r="AF60" s="12">
        <v>0</v>
      </c>
      <c r="AG60" s="11"/>
      <c r="AH60" s="11"/>
      <c r="AI60" s="31"/>
      <c r="AJ60" s="31"/>
      <c r="AK60" s="7">
        <f t="shared" si="10"/>
        <v>171.2</v>
      </c>
      <c r="AL60" s="27">
        <f t="shared" si="11"/>
        <v>0</v>
      </c>
      <c r="AM60" s="27">
        <f t="shared" si="12"/>
        <v>0</v>
      </c>
      <c r="AN60" s="27"/>
      <c r="AO60" s="27"/>
      <c r="AP60" s="7">
        <f t="shared" si="13"/>
        <v>0</v>
      </c>
      <c r="AQ60" s="27">
        <f t="shared" si="15"/>
        <v>0</v>
      </c>
      <c r="AR60" s="27"/>
      <c r="AS60" s="27">
        <f t="shared" si="14"/>
        <v>0</v>
      </c>
    </row>
    <row r="61" spans="1:45" ht="108" hidden="1" customHeight="1" outlineLevel="1">
      <c r="A61" s="36"/>
      <c r="B61" s="37"/>
      <c r="C61" s="48"/>
      <c r="D61" s="37"/>
      <c r="E61" s="37"/>
      <c r="F61" s="37"/>
      <c r="G61" s="49"/>
      <c r="H61" s="38"/>
      <c r="I61" s="38"/>
      <c r="J61" s="38"/>
      <c r="K61" s="38"/>
      <c r="L61" s="38"/>
      <c r="M61" s="34">
        <f t="shared" si="1"/>
        <v>0</v>
      </c>
      <c r="N61" s="38"/>
      <c r="O61" s="38"/>
      <c r="P61" s="38"/>
      <c r="Q61" s="38"/>
      <c r="R61" s="34">
        <f t="shared" si="3"/>
        <v>0</v>
      </c>
      <c r="S61" s="34"/>
      <c r="T61" s="38"/>
      <c r="U61" s="41"/>
      <c r="V61" s="41"/>
      <c r="W61" s="41"/>
      <c r="X61" s="39"/>
      <c r="Y61" s="7">
        <f t="shared" si="5"/>
        <v>0</v>
      </c>
      <c r="Z61" s="7">
        <f t="shared" si="6"/>
        <v>0</v>
      </c>
      <c r="AA61" s="7"/>
      <c r="AB61" s="7"/>
      <c r="AC61" s="7">
        <f t="shared" si="7"/>
        <v>0</v>
      </c>
      <c r="AD61" s="7">
        <f t="shared" si="8"/>
        <v>0</v>
      </c>
      <c r="AE61" s="7">
        <f t="shared" si="9"/>
        <v>0</v>
      </c>
      <c r="AF61" s="12"/>
      <c r="AG61" s="11"/>
      <c r="AH61" s="11"/>
      <c r="AI61" s="31"/>
      <c r="AJ61" s="31"/>
      <c r="AK61" s="7">
        <f t="shared" si="10"/>
        <v>0</v>
      </c>
      <c r="AL61" s="27">
        <f t="shared" si="11"/>
        <v>0</v>
      </c>
      <c r="AM61" s="27">
        <f t="shared" si="12"/>
        <v>0</v>
      </c>
      <c r="AN61" s="27"/>
      <c r="AO61" s="27"/>
      <c r="AP61" s="7">
        <f t="shared" si="13"/>
        <v>0</v>
      </c>
      <c r="AQ61" s="27">
        <f t="shared" si="15"/>
        <v>0</v>
      </c>
      <c r="AR61" s="27"/>
      <c r="AS61" s="27">
        <f t="shared" si="14"/>
        <v>0</v>
      </c>
    </row>
    <row r="62" spans="1:45" ht="108" customHeight="1" outlineLevel="1">
      <c r="A62" s="126" t="s">
        <v>277</v>
      </c>
      <c r="B62" s="33" t="s">
        <v>262</v>
      </c>
      <c r="C62" s="33" t="s">
        <v>18</v>
      </c>
      <c r="D62" s="33" t="s">
        <v>7</v>
      </c>
      <c r="E62" s="33" t="s">
        <v>263</v>
      </c>
      <c r="F62" s="33" t="s">
        <v>136</v>
      </c>
      <c r="G62" s="49"/>
      <c r="H62" s="38"/>
      <c r="I62" s="38"/>
      <c r="J62" s="38"/>
      <c r="K62" s="38"/>
      <c r="L62" s="38">
        <v>409988</v>
      </c>
      <c r="M62" s="34">
        <f t="shared" si="1"/>
        <v>409988</v>
      </c>
      <c r="N62" s="38"/>
      <c r="O62" s="38"/>
      <c r="P62" s="38"/>
      <c r="Q62" s="38">
        <v>5000</v>
      </c>
      <c r="R62" s="34">
        <f t="shared" si="3"/>
        <v>5000</v>
      </c>
      <c r="S62" s="34"/>
      <c r="T62" s="38"/>
      <c r="U62" s="41"/>
      <c r="V62" s="43">
        <v>5000</v>
      </c>
      <c r="W62" s="43"/>
      <c r="X62" s="39"/>
      <c r="Y62" s="7">
        <f t="shared" si="5"/>
        <v>409988</v>
      </c>
      <c r="Z62" s="7">
        <f t="shared" si="6"/>
        <v>5000</v>
      </c>
      <c r="AA62" s="7"/>
      <c r="AB62" s="7"/>
      <c r="AC62" s="7">
        <f t="shared" si="7"/>
        <v>409988</v>
      </c>
      <c r="AD62" s="7">
        <f t="shared" si="8"/>
        <v>5000</v>
      </c>
      <c r="AE62" s="7">
        <f t="shared" si="9"/>
        <v>5000</v>
      </c>
      <c r="AF62" s="12"/>
      <c r="AG62" s="112">
        <v>5000</v>
      </c>
      <c r="AH62" s="11"/>
      <c r="AI62" s="31"/>
      <c r="AJ62" s="31"/>
      <c r="AK62" s="7">
        <f t="shared" si="10"/>
        <v>5000</v>
      </c>
      <c r="AL62" s="27">
        <f t="shared" si="11"/>
        <v>5000</v>
      </c>
      <c r="AM62" s="27">
        <f t="shared" si="12"/>
        <v>5000</v>
      </c>
      <c r="AN62" s="27"/>
      <c r="AO62" s="27"/>
      <c r="AP62" s="7">
        <f t="shared" si="13"/>
        <v>5000</v>
      </c>
      <c r="AQ62" s="27">
        <f t="shared" si="15"/>
        <v>5000</v>
      </c>
      <c r="AR62" s="27"/>
      <c r="AS62" s="27">
        <f t="shared" si="14"/>
        <v>5000</v>
      </c>
    </row>
    <row r="63" spans="1:45" ht="108" customHeight="1" outlineLevel="1">
      <c r="A63" s="104" t="s">
        <v>316</v>
      </c>
      <c r="B63" s="33" t="s">
        <v>317</v>
      </c>
      <c r="C63" s="33" t="s">
        <v>18</v>
      </c>
      <c r="D63" s="33" t="s">
        <v>7</v>
      </c>
      <c r="E63" s="33" t="s">
        <v>318</v>
      </c>
      <c r="F63" s="33" t="s">
        <v>319</v>
      </c>
      <c r="G63" s="49"/>
      <c r="H63" s="38"/>
      <c r="I63" s="38"/>
      <c r="J63" s="38"/>
      <c r="K63" s="38"/>
      <c r="L63" s="38"/>
      <c r="M63" s="34"/>
      <c r="N63" s="38"/>
      <c r="O63" s="38"/>
      <c r="P63" s="38"/>
      <c r="Q63" s="38"/>
      <c r="R63" s="34"/>
      <c r="S63" s="34"/>
      <c r="T63" s="38"/>
      <c r="U63" s="41"/>
      <c r="V63" s="43"/>
      <c r="W63" s="43"/>
      <c r="X63" s="39">
        <v>184436.7</v>
      </c>
      <c r="Y63" s="7">
        <f t="shared" si="5"/>
        <v>184436.7</v>
      </c>
      <c r="Z63" s="7"/>
      <c r="AA63" s="7">
        <v>5258.2</v>
      </c>
      <c r="AB63" s="7">
        <v>10929.8</v>
      </c>
      <c r="AC63" s="7">
        <f t="shared" si="7"/>
        <v>195366.5</v>
      </c>
      <c r="AD63" s="7">
        <f t="shared" si="8"/>
        <v>5258.2</v>
      </c>
      <c r="AE63" s="7"/>
      <c r="AF63" s="12"/>
      <c r="AG63" s="112"/>
      <c r="AH63" s="11"/>
      <c r="AI63" s="31"/>
      <c r="AJ63" s="24">
        <v>5671.6</v>
      </c>
      <c r="AK63" s="7">
        <f t="shared" si="10"/>
        <v>10929.8</v>
      </c>
      <c r="AL63" s="27">
        <f t="shared" si="11"/>
        <v>0</v>
      </c>
      <c r="AM63" s="27"/>
      <c r="AN63" s="27"/>
      <c r="AO63" s="27"/>
      <c r="AP63" s="7">
        <f t="shared" si="13"/>
        <v>0</v>
      </c>
      <c r="AQ63" s="27">
        <f t="shared" si="15"/>
        <v>0</v>
      </c>
      <c r="AR63" s="27"/>
      <c r="AS63" s="27">
        <f t="shared" si="14"/>
        <v>0</v>
      </c>
    </row>
    <row r="64" spans="1:45" ht="108" customHeight="1" outlineLevel="1">
      <c r="A64" s="104" t="s">
        <v>323</v>
      </c>
      <c r="B64" s="33" t="s">
        <v>72</v>
      </c>
      <c r="C64" s="33" t="s">
        <v>5</v>
      </c>
      <c r="D64" s="33" t="s">
        <v>7</v>
      </c>
      <c r="E64" s="33" t="s">
        <v>13</v>
      </c>
      <c r="F64" s="33" t="s">
        <v>132</v>
      </c>
      <c r="G64" s="49"/>
      <c r="H64" s="38"/>
      <c r="I64" s="38"/>
      <c r="J64" s="38"/>
      <c r="K64" s="38"/>
      <c r="L64" s="38"/>
      <c r="M64" s="34"/>
      <c r="N64" s="38"/>
      <c r="O64" s="38"/>
      <c r="P64" s="38"/>
      <c r="Q64" s="38"/>
      <c r="R64" s="34"/>
      <c r="S64" s="34"/>
      <c r="T64" s="38"/>
      <c r="U64" s="41"/>
      <c r="V64" s="43"/>
      <c r="W64" s="43"/>
      <c r="X64" s="39">
        <v>98500</v>
      </c>
      <c r="Y64" s="7">
        <f t="shared" si="5"/>
        <v>98500</v>
      </c>
      <c r="Z64" s="7"/>
      <c r="AA64" s="7"/>
      <c r="AB64" s="7"/>
      <c r="AC64" s="7">
        <f t="shared" si="7"/>
        <v>98500</v>
      </c>
      <c r="AD64" s="7">
        <f t="shared" si="8"/>
        <v>0</v>
      </c>
      <c r="AE64" s="7"/>
      <c r="AF64" s="12"/>
      <c r="AG64" s="112"/>
      <c r="AH64" s="11"/>
      <c r="AI64" s="24">
        <v>42300</v>
      </c>
      <c r="AJ64" s="24"/>
      <c r="AK64" s="7">
        <f t="shared" si="10"/>
        <v>0</v>
      </c>
      <c r="AL64" s="27">
        <f t="shared" si="11"/>
        <v>42300</v>
      </c>
      <c r="AM64" s="27"/>
      <c r="AN64" s="27">
        <v>56200</v>
      </c>
      <c r="AO64" s="27"/>
      <c r="AP64" s="7">
        <f t="shared" si="13"/>
        <v>42300</v>
      </c>
      <c r="AQ64" s="27">
        <f t="shared" si="15"/>
        <v>56200</v>
      </c>
      <c r="AR64" s="27"/>
      <c r="AS64" s="27">
        <f t="shared" si="14"/>
        <v>56200</v>
      </c>
    </row>
    <row r="65" spans="1:45" ht="41.25" customHeight="1">
      <c r="A65" s="138" t="s">
        <v>370</v>
      </c>
      <c r="B65" s="138"/>
      <c r="C65" s="138"/>
      <c r="D65" s="138"/>
      <c r="E65" s="50"/>
      <c r="F65" s="50"/>
      <c r="G65" s="51">
        <f>G66+G70+G71</f>
        <v>588752.4</v>
      </c>
      <c r="H65" s="51">
        <f>H66+H70+H71+H68+H72</f>
        <v>59957.599999999999</v>
      </c>
      <c r="I65" s="34">
        <f>I66+I70+I71+I72</f>
        <v>648710.00000000012</v>
      </c>
      <c r="J65" s="51">
        <f t="shared" ref="J65:K65" si="19">J66+J70+J71+J68+J72</f>
        <v>32566.7</v>
      </c>
      <c r="K65" s="51">
        <f t="shared" si="19"/>
        <v>58080</v>
      </c>
      <c r="L65" s="51">
        <f>L66+L70+L71+L72+L73</f>
        <v>32000</v>
      </c>
      <c r="M65" s="34">
        <f t="shared" si="1"/>
        <v>680710.00000000012</v>
      </c>
      <c r="N65" s="51">
        <f>N66+N70+N71+N68+N72</f>
        <v>90646.7</v>
      </c>
      <c r="O65" s="34">
        <f>SUM(O66:O66)</f>
        <v>19577.8</v>
      </c>
      <c r="P65" s="51">
        <f>P66+P70</f>
        <v>0</v>
      </c>
      <c r="Q65" s="51">
        <f>Q66+Q70+Q71+Q72+Q73</f>
        <v>32000</v>
      </c>
      <c r="R65" s="34">
        <f t="shared" si="3"/>
        <v>122646.7</v>
      </c>
      <c r="S65" s="34">
        <f t="shared" si="4"/>
        <v>19577.8</v>
      </c>
      <c r="T65" s="34">
        <f>SUM(T66:T66)</f>
        <v>6731</v>
      </c>
      <c r="U65" s="51">
        <f>U66+U70</f>
        <v>0</v>
      </c>
      <c r="V65" s="51">
        <f>V66+V70+V71+V72+V73</f>
        <v>0</v>
      </c>
      <c r="W65" s="51"/>
      <c r="X65" s="52">
        <f>X66+X70+X71+X72+X73+X74</f>
        <v>611352.80000000005</v>
      </c>
      <c r="Y65" s="7">
        <f t="shared" si="5"/>
        <v>1292062.8000000003</v>
      </c>
      <c r="Z65" s="7">
        <f t="shared" si="6"/>
        <v>122646.7</v>
      </c>
      <c r="AA65" s="113">
        <f>AA66+AA70+AA71+AA72+AA73+AA74</f>
        <v>5225.1000000000004</v>
      </c>
      <c r="AB65" s="113"/>
      <c r="AC65" s="7">
        <f t="shared" si="7"/>
        <v>1292062.8000000003</v>
      </c>
      <c r="AD65" s="7">
        <f t="shared" si="8"/>
        <v>127871.8</v>
      </c>
      <c r="AE65" s="7">
        <f t="shared" si="9"/>
        <v>19577.8</v>
      </c>
      <c r="AF65" s="12">
        <f t="shared" si="18"/>
        <v>6731</v>
      </c>
      <c r="AG65" s="113">
        <f>AG66+AG70+AG71+AG72+AG73</f>
        <v>0</v>
      </c>
      <c r="AH65" s="11"/>
      <c r="AI65" s="31"/>
      <c r="AJ65" s="31"/>
      <c r="AK65" s="7">
        <f t="shared" si="10"/>
        <v>127871.8</v>
      </c>
      <c r="AL65" s="27">
        <f t="shared" si="11"/>
        <v>19577.8</v>
      </c>
      <c r="AM65" s="27">
        <f t="shared" si="12"/>
        <v>6731</v>
      </c>
      <c r="AN65" s="27"/>
      <c r="AO65" s="27"/>
      <c r="AP65" s="7">
        <f t="shared" si="13"/>
        <v>19577.8</v>
      </c>
      <c r="AQ65" s="27">
        <f t="shared" si="15"/>
        <v>6731</v>
      </c>
      <c r="AR65" s="27"/>
      <c r="AS65" s="27">
        <f t="shared" si="14"/>
        <v>6731</v>
      </c>
    </row>
    <row r="66" spans="1:45" ht="35.25" customHeight="1" outlineLevel="1">
      <c r="A66" s="147" t="s">
        <v>125</v>
      </c>
      <c r="B66" s="148"/>
      <c r="C66" s="33"/>
      <c r="D66" s="33"/>
      <c r="E66" s="33"/>
      <c r="F66" s="33"/>
      <c r="G66" s="38">
        <f>G67</f>
        <v>588752.4</v>
      </c>
      <c r="H66" s="38">
        <f>H67</f>
        <v>0</v>
      </c>
      <c r="I66" s="34">
        <f t="shared" si="16"/>
        <v>588752.4</v>
      </c>
      <c r="J66" s="38">
        <f t="shared" ref="J66:U66" si="20">J67</f>
        <v>32566.7</v>
      </c>
      <c r="K66" s="38">
        <f t="shared" si="20"/>
        <v>0</v>
      </c>
      <c r="L66" s="38">
        <f>L67</f>
        <v>0</v>
      </c>
      <c r="M66" s="34">
        <f t="shared" si="1"/>
        <v>588752.4</v>
      </c>
      <c r="N66" s="34">
        <f t="shared" si="2"/>
        <v>32566.7</v>
      </c>
      <c r="O66" s="38">
        <f t="shared" si="20"/>
        <v>19577.8</v>
      </c>
      <c r="P66" s="38">
        <f t="shared" si="20"/>
        <v>0</v>
      </c>
      <c r="Q66" s="38">
        <f>Q67</f>
        <v>0</v>
      </c>
      <c r="R66" s="34">
        <f t="shared" si="3"/>
        <v>32566.7</v>
      </c>
      <c r="S66" s="34">
        <f t="shared" si="4"/>
        <v>19577.8</v>
      </c>
      <c r="T66" s="38">
        <f t="shared" si="20"/>
        <v>6731</v>
      </c>
      <c r="U66" s="38">
        <f t="shared" si="20"/>
        <v>0</v>
      </c>
      <c r="V66" s="38">
        <f>V67</f>
        <v>0</v>
      </c>
      <c r="W66" s="38"/>
      <c r="X66" s="53"/>
      <c r="Y66" s="7">
        <f t="shared" si="5"/>
        <v>588752.4</v>
      </c>
      <c r="Z66" s="7">
        <f t="shared" si="6"/>
        <v>32566.7</v>
      </c>
      <c r="AA66" s="7"/>
      <c r="AB66" s="7"/>
      <c r="AC66" s="7">
        <f t="shared" si="7"/>
        <v>588752.4</v>
      </c>
      <c r="AD66" s="7">
        <f t="shared" si="8"/>
        <v>32566.7</v>
      </c>
      <c r="AE66" s="7">
        <f t="shared" si="9"/>
        <v>19577.8</v>
      </c>
      <c r="AF66" s="12">
        <f t="shared" si="18"/>
        <v>6731</v>
      </c>
      <c r="AG66" s="14">
        <f>AG67</f>
        <v>0</v>
      </c>
      <c r="AH66" s="11"/>
      <c r="AI66" s="31"/>
      <c r="AJ66" s="31"/>
      <c r="AK66" s="7">
        <f t="shared" si="10"/>
        <v>32566.7</v>
      </c>
      <c r="AL66" s="27">
        <f t="shared" si="11"/>
        <v>19577.8</v>
      </c>
      <c r="AM66" s="27">
        <f t="shared" si="12"/>
        <v>6731</v>
      </c>
      <c r="AN66" s="27"/>
      <c r="AO66" s="27"/>
      <c r="AP66" s="7">
        <f t="shared" si="13"/>
        <v>19577.8</v>
      </c>
      <c r="AQ66" s="27">
        <f t="shared" si="15"/>
        <v>6731</v>
      </c>
      <c r="AR66" s="27"/>
      <c r="AS66" s="27">
        <f t="shared" si="14"/>
        <v>6731</v>
      </c>
    </row>
    <row r="67" spans="1:45" ht="123.75" customHeight="1" outlineLevel="1">
      <c r="A67" s="104" t="s">
        <v>152</v>
      </c>
      <c r="B67" s="33" t="s">
        <v>153</v>
      </c>
      <c r="C67" s="33" t="s">
        <v>111</v>
      </c>
      <c r="D67" s="33" t="s">
        <v>6</v>
      </c>
      <c r="E67" s="33" t="s">
        <v>41</v>
      </c>
      <c r="F67" s="33" t="s">
        <v>136</v>
      </c>
      <c r="G67" s="54">
        <v>588752.4</v>
      </c>
      <c r="H67" s="54"/>
      <c r="I67" s="34">
        <f t="shared" si="16"/>
        <v>588752.4</v>
      </c>
      <c r="J67" s="54">
        <v>32566.7</v>
      </c>
      <c r="K67" s="54"/>
      <c r="L67" s="54"/>
      <c r="M67" s="34">
        <f t="shared" si="1"/>
        <v>588752.4</v>
      </c>
      <c r="N67" s="34">
        <f t="shared" si="2"/>
        <v>32566.7</v>
      </c>
      <c r="O67" s="54">
        <v>19577.8</v>
      </c>
      <c r="P67" s="54"/>
      <c r="Q67" s="54"/>
      <c r="R67" s="34">
        <f t="shared" si="3"/>
        <v>32566.7</v>
      </c>
      <c r="S67" s="34">
        <f t="shared" si="4"/>
        <v>19577.8</v>
      </c>
      <c r="T67" s="54">
        <v>6731</v>
      </c>
      <c r="U67" s="41"/>
      <c r="V67" s="41"/>
      <c r="W67" s="41"/>
      <c r="X67" s="39"/>
      <c r="Y67" s="7">
        <f t="shared" si="5"/>
        <v>588752.4</v>
      </c>
      <c r="Z67" s="7">
        <f t="shared" si="6"/>
        <v>32566.7</v>
      </c>
      <c r="AA67" s="7"/>
      <c r="AB67" s="7"/>
      <c r="AC67" s="7">
        <f t="shared" si="7"/>
        <v>588752.4</v>
      </c>
      <c r="AD67" s="7">
        <f t="shared" si="8"/>
        <v>32566.7</v>
      </c>
      <c r="AE67" s="7">
        <f t="shared" si="9"/>
        <v>19577.8</v>
      </c>
      <c r="AF67" s="12">
        <f t="shared" si="18"/>
        <v>6731</v>
      </c>
      <c r="AG67" s="11"/>
      <c r="AH67" s="11"/>
      <c r="AI67" s="31"/>
      <c r="AJ67" s="31"/>
      <c r="AK67" s="7">
        <f t="shared" si="10"/>
        <v>32566.7</v>
      </c>
      <c r="AL67" s="27">
        <f t="shared" si="11"/>
        <v>19577.8</v>
      </c>
      <c r="AM67" s="27">
        <f t="shared" si="12"/>
        <v>6731</v>
      </c>
      <c r="AN67" s="27"/>
      <c r="AO67" s="27"/>
      <c r="AP67" s="7">
        <f t="shared" si="13"/>
        <v>19577.8</v>
      </c>
      <c r="AQ67" s="27">
        <f t="shared" si="15"/>
        <v>6731</v>
      </c>
      <c r="AR67" s="27"/>
      <c r="AS67" s="27">
        <f t="shared" si="14"/>
        <v>6731</v>
      </c>
    </row>
    <row r="68" spans="1:45" ht="56.25" hidden="1" customHeight="1" outlineLevel="1">
      <c r="A68" s="147" t="s">
        <v>208</v>
      </c>
      <c r="B68" s="170"/>
      <c r="C68" s="55"/>
      <c r="D68" s="33"/>
      <c r="E68" s="33"/>
      <c r="F68" s="33"/>
      <c r="G68" s="54"/>
      <c r="H68" s="54">
        <f>H69</f>
        <v>0</v>
      </c>
      <c r="I68" s="54">
        <f t="shared" ref="I68:N68" si="21">I69</f>
        <v>0</v>
      </c>
      <c r="J68" s="54"/>
      <c r="K68" s="54">
        <f t="shared" si="21"/>
        <v>0</v>
      </c>
      <c r="L68" s="54"/>
      <c r="M68" s="34">
        <f t="shared" si="1"/>
        <v>0</v>
      </c>
      <c r="N68" s="54">
        <f t="shared" si="21"/>
        <v>0</v>
      </c>
      <c r="O68" s="54"/>
      <c r="P68" s="54"/>
      <c r="Q68" s="54"/>
      <c r="R68" s="34">
        <f t="shared" si="3"/>
        <v>0</v>
      </c>
      <c r="S68" s="34"/>
      <c r="T68" s="54"/>
      <c r="U68" s="41"/>
      <c r="V68" s="41"/>
      <c r="W68" s="41"/>
      <c r="X68" s="39"/>
      <c r="Y68" s="7">
        <f t="shared" si="5"/>
        <v>0</v>
      </c>
      <c r="Z68" s="7">
        <f t="shared" si="6"/>
        <v>0</v>
      </c>
      <c r="AA68" s="7"/>
      <c r="AB68" s="7"/>
      <c r="AC68" s="7">
        <f t="shared" si="7"/>
        <v>0</v>
      </c>
      <c r="AD68" s="7">
        <f t="shared" si="8"/>
        <v>0</v>
      </c>
      <c r="AE68" s="7">
        <f t="shared" si="9"/>
        <v>0</v>
      </c>
      <c r="AF68" s="12"/>
      <c r="AG68" s="11"/>
      <c r="AH68" s="11"/>
      <c r="AI68" s="31"/>
      <c r="AJ68" s="31"/>
      <c r="AK68" s="7">
        <f t="shared" si="10"/>
        <v>0</v>
      </c>
      <c r="AL68" s="27">
        <f t="shared" si="11"/>
        <v>0</v>
      </c>
      <c r="AM68" s="27">
        <f t="shared" si="12"/>
        <v>0</v>
      </c>
      <c r="AN68" s="27"/>
      <c r="AO68" s="27"/>
      <c r="AP68" s="7">
        <f t="shared" si="13"/>
        <v>0</v>
      </c>
      <c r="AQ68" s="27">
        <f t="shared" si="15"/>
        <v>0</v>
      </c>
      <c r="AR68" s="27"/>
      <c r="AS68" s="27">
        <f t="shared" si="14"/>
        <v>0</v>
      </c>
    </row>
    <row r="69" spans="1:45" ht="170.25" hidden="1" customHeight="1" outlineLevel="1">
      <c r="A69" s="56" t="s">
        <v>209</v>
      </c>
      <c r="B69" s="32" t="s">
        <v>210</v>
      </c>
      <c r="C69" s="33" t="s">
        <v>211</v>
      </c>
      <c r="D69" s="33" t="s">
        <v>232</v>
      </c>
      <c r="E69" s="33" t="s">
        <v>212</v>
      </c>
      <c r="F69" s="33" t="s">
        <v>75</v>
      </c>
      <c r="G69" s="54"/>
      <c r="H69" s="54"/>
      <c r="I69" s="34">
        <f>G69+H69</f>
        <v>0</v>
      </c>
      <c r="J69" s="54"/>
      <c r="K69" s="54"/>
      <c r="L69" s="54"/>
      <c r="M69" s="34">
        <f t="shared" si="1"/>
        <v>0</v>
      </c>
      <c r="N69" s="34">
        <f>J69+K69</f>
        <v>0</v>
      </c>
      <c r="O69" s="54"/>
      <c r="P69" s="54"/>
      <c r="Q69" s="54"/>
      <c r="R69" s="34">
        <f t="shared" si="3"/>
        <v>0</v>
      </c>
      <c r="S69" s="34"/>
      <c r="T69" s="54"/>
      <c r="U69" s="41"/>
      <c r="V69" s="41"/>
      <c r="W69" s="41"/>
      <c r="X69" s="39"/>
      <c r="Y69" s="7">
        <f t="shared" si="5"/>
        <v>0</v>
      </c>
      <c r="Z69" s="7">
        <f t="shared" si="6"/>
        <v>0</v>
      </c>
      <c r="AA69" s="7"/>
      <c r="AB69" s="7"/>
      <c r="AC69" s="7">
        <f t="shared" si="7"/>
        <v>0</v>
      </c>
      <c r="AD69" s="7">
        <f t="shared" si="8"/>
        <v>0</v>
      </c>
      <c r="AE69" s="7">
        <f t="shared" si="9"/>
        <v>0</v>
      </c>
      <c r="AF69" s="12"/>
      <c r="AG69" s="11"/>
      <c r="AH69" s="11"/>
      <c r="AI69" s="31"/>
      <c r="AJ69" s="31"/>
      <c r="AK69" s="7">
        <f t="shared" si="10"/>
        <v>0</v>
      </c>
      <c r="AL69" s="27">
        <f t="shared" si="11"/>
        <v>0</v>
      </c>
      <c r="AM69" s="27">
        <f t="shared" si="12"/>
        <v>0</v>
      </c>
      <c r="AN69" s="27"/>
      <c r="AO69" s="27"/>
      <c r="AP69" s="7">
        <f t="shared" si="13"/>
        <v>0</v>
      </c>
      <c r="AQ69" s="27">
        <f t="shared" si="15"/>
        <v>0</v>
      </c>
      <c r="AR69" s="27"/>
      <c r="AS69" s="27">
        <f t="shared" si="14"/>
        <v>0</v>
      </c>
    </row>
    <row r="70" spans="1:45" ht="123.75" customHeight="1" outlineLevel="1">
      <c r="A70" s="104" t="s">
        <v>233</v>
      </c>
      <c r="B70" s="33" t="s">
        <v>196</v>
      </c>
      <c r="C70" s="33" t="s">
        <v>12</v>
      </c>
      <c r="D70" s="33" t="s">
        <v>7</v>
      </c>
      <c r="E70" s="33" t="s">
        <v>13</v>
      </c>
      <c r="F70" s="33" t="s">
        <v>197</v>
      </c>
      <c r="G70" s="57">
        <v>0</v>
      </c>
      <c r="H70" s="54">
        <v>22404</v>
      </c>
      <c r="I70" s="34">
        <f>G70+H70</f>
        <v>22404</v>
      </c>
      <c r="J70" s="57">
        <v>0</v>
      </c>
      <c r="K70" s="54">
        <v>22404</v>
      </c>
      <c r="L70" s="54"/>
      <c r="M70" s="34">
        <f t="shared" si="1"/>
        <v>22404</v>
      </c>
      <c r="N70" s="34">
        <f>J70+K70</f>
        <v>22404</v>
      </c>
      <c r="O70" s="57">
        <v>0</v>
      </c>
      <c r="P70" s="54"/>
      <c r="Q70" s="54"/>
      <c r="R70" s="34">
        <f t="shared" si="3"/>
        <v>22404</v>
      </c>
      <c r="S70" s="34">
        <f t="shared" si="4"/>
        <v>0</v>
      </c>
      <c r="T70" s="57">
        <v>0</v>
      </c>
      <c r="U70" s="41"/>
      <c r="V70" s="41"/>
      <c r="W70" s="41"/>
      <c r="X70" s="39"/>
      <c r="Y70" s="7">
        <f t="shared" si="5"/>
        <v>22404</v>
      </c>
      <c r="Z70" s="7">
        <f t="shared" si="6"/>
        <v>22404</v>
      </c>
      <c r="AA70" s="7"/>
      <c r="AB70" s="7"/>
      <c r="AC70" s="7">
        <f t="shared" si="7"/>
        <v>22404</v>
      </c>
      <c r="AD70" s="7">
        <f t="shared" si="8"/>
        <v>22404</v>
      </c>
      <c r="AE70" s="7">
        <f t="shared" si="9"/>
        <v>0</v>
      </c>
      <c r="AF70" s="12">
        <f t="shared" si="18"/>
        <v>0</v>
      </c>
      <c r="AG70" s="11"/>
      <c r="AH70" s="11"/>
      <c r="AI70" s="31"/>
      <c r="AJ70" s="31"/>
      <c r="AK70" s="7">
        <f t="shared" si="10"/>
        <v>22404</v>
      </c>
      <c r="AL70" s="27">
        <f t="shared" si="11"/>
        <v>0</v>
      </c>
      <c r="AM70" s="27">
        <f t="shared" si="12"/>
        <v>0</v>
      </c>
      <c r="AN70" s="27"/>
      <c r="AO70" s="27"/>
      <c r="AP70" s="7">
        <f t="shared" si="13"/>
        <v>0</v>
      </c>
      <c r="AQ70" s="27">
        <f t="shared" si="15"/>
        <v>0</v>
      </c>
      <c r="AR70" s="27"/>
      <c r="AS70" s="27">
        <f t="shared" si="14"/>
        <v>0</v>
      </c>
    </row>
    <row r="71" spans="1:45" ht="123.75" customHeight="1" outlineLevel="1">
      <c r="A71" s="104" t="s">
        <v>234</v>
      </c>
      <c r="B71" s="33" t="s">
        <v>278</v>
      </c>
      <c r="C71" s="33" t="s">
        <v>204</v>
      </c>
      <c r="D71" s="33" t="s">
        <v>7</v>
      </c>
      <c r="E71" s="33" t="s">
        <v>203</v>
      </c>
      <c r="F71" s="33" t="s">
        <v>96</v>
      </c>
      <c r="G71" s="57">
        <v>0</v>
      </c>
      <c r="H71" s="54">
        <v>9326.7999999999993</v>
      </c>
      <c r="I71" s="34">
        <f>G71+H71</f>
        <v>9326.7999999999993</v>
      </c>
      <c r="J71" s="57">
        <v>0</v>
      </c>
      <c r="K71" s="54">
        <v>8860.5</v>
      </c>
      <c r="L71" s="54"/>
      <c r="M71" s="34">
        <f t="shared" si="1"/>
        <v>9326.7999999999993</v>
      </c>
      <c r="N71" s="34">
        <f>J71+K71</f>
        <v>8860.5</v>
      </c>
      <c r="O71" s="57">
        <v>0</v>
      </c>
      <c r="P71" s="54"/>
      <c r="Q71" s="54"/>
      <c r="R71" s="34">
        <f t="shared" si="3"/>
        <v>8860.5</v>
      </c>
      <c r="S71" s="34">
        <v>0</v>
      </c>
      <c r="T71" s="57">
        <v>0</v>
      </c>
      <c r="U71" s="41"/>
      <c r="V71" s="41"/>
      <c r="W71" s="41"/>
      <c r="X71" s="39"/>
      <c r="Y71" s="7">
        <f t="shared" si="5"/>
        <v>9326.7999999999993</v>
      </c>
      <c r="Z71" s="7">
        <f t="shared" si="6"/>
        <v>8860.5</v>
      </c>
      <c r="AA71" s="7"/>
      <c r="AB71" s="7"/>
      <c r="AC71" s="7">
        <f t="shared" si="7"/>
        <v>9326.7999999999993</v>
      </c>
      <c r="AD71" s="7">
        <f t="shared" si="8"/>
        <v>8860.5</v>
      </c>
      <c r="AE71" s="7">
        <f t="shared" si="9"/>
        <v>0</v>
      </c>
      <c r="AF71" s="12">
        <v>0</v>
      </c>
      <c r="AG71" s="11"/>
      <c r="AH71" s="11"/>
      <c r="AI71" s="31"/>
      <c r="AJ71" s="31"/>
      <c r="AK71" s="7">
        <f t="shared" si="10"/>
        <v>8860.5</v>
      </c>
      <c r="AL71" s="27">
        <f t="shared" si="11"/>
        <v>0</v>
      </c>
      <c r="AM71" s="27">
        <f t="shared" si="12"/>
        <v>0</v>
      </c>
      <c r="AN71" s="27"/>
      <c r="AO71" s="27"/>
      <c r="AP71" s="7">
        <f t="shared" si="13"/>
        <v>0</v>
      </c>
      <c r="AQ71" s="27">
        <f t="shared" si="15"/>
        <v>0</v>
      </c>
      <c r="AR71" s="27"/>
      <c r="AS71" s="27">
        <f t="shared" si="14"/>
        <v>0</v>
      </c>
    </row>
    <row r="72" spans="1:45" ht="123.75" customHeight="1" outlineLevel="1">
      <c r="A72" s="36" t="s">
        <v>236</v>
      </c>
      <c r="B72" s="37" t="s">
        <v>279</v>
      </c>
      <c r="C72" s="58" t="s">
        <v>240</v>
      </c>
      <c r="D72" s="37" t="s">
        <v>235</v>
      </c>
      <c r="E72" s="37" t="s">
        <v>68</v>
      </c>
      <c r="F72" s="37" t="s">
        <v>96</v>
      </c>
      <c r="G72" s="49"/>
      <c r="H72" s="38">
        <v>28226.799999999999</v>
      </c>
      <c r="I72" s="38">
        <f t="shared" ref="I72" si="22">G72+H72</f>
        <v>28226.799999999999</v>
      </c>
      <c r="J72" s="38"/>
      <c r="K72" s="38">
        <v>26815.5</v>
      </c>
      <c r="L72" s="38"/>
      <c r="M72" s="34">
        <f t="shared" si="1"/>
        <v>28226.799999999999</v>
      </c>
      <c r="N72" s="38">
        <f t="shared" ref="N72" si="23">J72+K72</f>
        <v>26815.5</v>
      </c>
      <c r="O72" s="38"/>
      <c r="P72" s="38"/>
      <c r="Q72" s="38"/>
      <c r="R72" s="34">
        <f t="shared" si="3"/>
        <v>26815.5</v>
      </c>
      <c r="S72" s="34">
        <v>0</v>
      </c>
      <c r="T72" s="38"/>
      <c r="U72" s="41"/>
      <c r="V72" s="41"/>
      <c r="W72" s="41"/>
      <c r="X72" s="39"/>
      <c r="Y72" s="7">
        <f t="shared" si="5"/>
        <v>28226.799999999999</v>
      </c>
      <c r="Z72" s="7">
        <f t="shared" si="6"/>
        <v>26815.5</v>
      </c>
      <c r="AA72" s="7"/>
      <c r="AB72" s="7"/>
      <c r="AC72" s="7">
        <f t="shared" si="7"/>
        <v>28226.799999999999</v>
      </c>
      <c r="AD72" s="7">
        <f t="shared" si="8"/>
        <v>26815.5</v>
      </c>
      <c r="AE72" s="7">
        <f t="shared" si="9"/>
        <v>0</v>
      </c>
      <c r="AF72" s="12">
        <v>0</v>
      </c>
      <c r="AG72" s="11"/>
      <c r="AH72" s="11"/>
      <c r="AI72" s="31"/>
      <c r="AJ72" s="31"/>
      <c r="AK72" s="7">
        <f t="shared" si="10"/>
        <v>26815.5</v>
      </c>
      <c r="AL72" s="27">
        <f t="shared" si="11"/>
        <v>0</v>
      </c>
      <c r="AM72" s="27">
        <f t="shared" si="12"/>
        <v>0</v>
      </c>
      <c r="AN72" s="27"/>
      <c r="AO72" s="27"/>
      <c r="AP72" s="7">
        <f t="shared" si="13"/>
        <v>0</v>
      </c>
      <c r="AQ72" s="27">
        <f t="shared" si="15"/>
        <v>0</v>
      </c>
      <c r="AR72" s="27"/>
      <c r="AS72" s="27">
        <f t="shared" si="14"/>
        <v>0</v>
      </c>
    </row>
    <row r="73" spans="1:45" ht="153" customHeight="1" outlineLevel="1">
      <c r="A73" s="36" t="s">
        <v>357</v>
      </c>
      <c r="B73" s="37" t="s">
        <v>280</v>
      </c>
      <c r="C73" s="33" t="s">
        <v>264</v>
      </c>
      <c r="D73" s="37" t="s">
        <v>235</v>
      </c>
      <c r="E73" s="33" t="s">
        <v>265</v>
      </c>
      <c r="F73" s="37" t="s">
        <v>96</v>
      </c>
      <c r="G73" s="49"/>
      <c r="H73" s="38"/>
      <c r="I73" s="38"/>
      <c r="J73" s="38"/>
      <c r="K73" s="38"/>
      <c r="L73" s="38">
        <v>32000</v>
      </c>
      <c r="M73" s="34">
        <f t="shared" si="1"/>
        <v>32000</v>
      </c>
      <c r="N73" s="38"/>
      <c r="O73" s="38"/>
      <c r="P73" s="38"/>
      <c r="Q73" s="38">
        <v>32000</v>
      </c>
      <c r="R73" s="34">
        <f t="shared" si="3"/>
        <v>32000</v>
      </c>
      <c r="S73" s="34"/>
      <c r="T73" s="38"/>
      <c r="U73" s="41"/>
      <c r="V73" s="41"/>
      <c r="W73" s="41"/>
      <c r="X73" s="39"/>
      <c r="Y73" s="7">
        <f t="shared" si="5"/>
        <v>32000</v>
      </c>
      <c r="Z73" s="7">
        <f t="shared" si="6"/>
        <v>32000</v>
      </c>
      <c r="AA73" s="7"/>
      <c r="AB73" s="7"/>
      <c r="AC73" s="7">
        <f t="shared" si="7"/>
        <v>32000</v>
      </c>
      <c r="AD73" s="7">
        <f t="shared" si="8"/>
        <v>32000</v>
      </c>
      <c r="AE73" s="7">
        <v>0</v>
      </c>
      <c r="AF73" s="12"/>
      <c r="AG73" s="11"/>
      <c r="AH73" s="11"/>
      <c r="AI73" s="31"/>
      <c r="AJ73" s="31"/>
      <c r="AK73" s="7">
        <f t="shared" si="10"/>
        <v>32000</v>
      </c>
      <c r="AL73" s="27">
        <f t="shared" si="11"/>
        <v>0</v>
      </c>
      <c r="AM73" s="27">
        <v>0</v>
      </c>
      <c r="AN73" s="27"/>
      <c r="AO73" s="27"/>
      <c r="AP73" s="7">
        <f t="shared" si="13"/>
        <v>0</v>
      </c>
      <c r="AQ73" s="27">
        <f t="shared" si="15"/>
        <v>0</v>
      </c>
      <c r="AR73" s="27"/>
      <c r="AS73" s="27">
        <f t="shared" si="14"/>
        <v>0</v>
      </c>
    </row>
    <row r="74" spans="1:45" ht="153" customHeight="1" outlineLevel="1">
      <c r="A74" s="36" t="s">
        <v>313</v>
      </c>
      <c r="B74" s="37" t="s">
        <v>314</v>
      </c>
      <c r="C74" s="33" t="s">
        <v>12</v>
      </c>
      <c r="D74" s="33" t="s">
        <v>7</v>
      </c>
      <c r="E74" s="33" t="s">
        <v>13</v>
      </c>
      <c r="F74" s="33" t="s">
        <v>315</v>
      </c>
      <c r="G74" s="49"/>
      <c r="H74" s="38"/>
      <c r="I74" s="38"/>
      <c r="J74" s="38"/>
      <c r="K74" s="38"/>
      <c r="L74" s="38"/>
      <c r="M74" s="34"/>
      <c r="N74" s="38"/>
      <c r="O74" s="38"/>
      <c r="P74" s="38"/>
      <c r="Q74" s="38"/>
      <c r="R74" s="34"/>
      <c r="S74" s="34"/>
      <c r="T74" s="38"/>
      <c r="U74" s="41"/>
      <c r="V74" s="41"/>
      <c r="W74" s="41"/>
      <c r="X74" s="39">
        <v>611352.80000000005</v>
      </c>
      <c r="Y74" s="7">
        <f t="shared" si="5"/>
        <v>611352.80000000005</v>
      </c>
      <c r="Z74" s="7"/>
      <c r="AA74" s="7">
        <v>5225.1000000000004</v>
      </c>
      <c r="AB74" s="7"/>
      <c r="AC74" s="7">
        <f t="shared" si="7"/>
        <v>611352.80000000005</v>
      </c>
      <c r="AD74" s="7">
        <f t="shared" si="8"/>
        <v>5225.1000000000004</v>
      </c>
      <c r="AE74" s="7"/>
      <c r="AF74" s="12"/>
      <c r="AG74" s="11"/>
      <c r="AH74" s="11"/>
      <c r="AI74" s="31"/>
      <c r="AJ74" s="31"/>
      <c r="AK74" s="7">
        <f t="shared" si="10"/>
        <v>5225.1000000000004</v>
      </c>
      <c r="AL74" s="27">
        <v>0</v>
      </c>
      <c r="AM74" s="27"/>
      <c r="AN74" s="27"/>
      <c r="AO74" s="27"/>
      <c r="AP74" s="7">
        <f t="shared" si="13"/>
        <v>0</v>
      </c>
      <c r="AQ74" s="27">
        <v>0</v>
      </c>
      <c r="AR74" s="27"/>
      <c r="AS74" s="27">
        <f t="shared" si="14"/>
        <v>0</v>
      </c>
    </row>
    <row r="75" spans="1:45" ht="37.5" customHeight="1">
      <c r="A75" s="138" t="s">
        <v>371</v>
      </c>
      <c r="B75" s="157"/>
      <c r="C75" s="157"/>
      <c r="D75" s="157"/>
      <c r="E75" s="33"/>
      <c r="F75" s="33"/>
      <c r="G75" s="57">
        <f>SUM(G76:G81)</f>
        <v>5955027.642</v>
      </c>
      <c r="H75" s="57">
        <f>SUM(H76:H81)+H97+H98</f>
        <v>229831.92</v>
      </c>
      <c r="I75" s="34">
        <f t="shared" si="16"/>
        <v>6184859.5619999999</v>
      </c>
      <c r="J75" s="57">
        <f>SUM(J76:J81)</f>
        <v>209150.6</v>
      </c>
      <c r="K75" s="57">
        <f>SUM(K76:K81)+K97+K98</f>
        <v>9740.1</v>
      </c>
      <c r="L75" s="57">
        <f>L76+L77+L78+L80+L81+L97+L98</f>
        <v>0</v>
      </c>
      <c r="M75" s="34">
        <f t="shared" si="1"/>
        <v>6184859.5619999999</v>
      </c>
      <c r="N75" s="34">
        <f>J75+K75</f>
        <v>218890.7</v>
      </c>
      <c r="O75" s="57">
        <f>SUM(O76:O81)</f>
        <v>209324.3</v>
      </c>
      <c r="P75" s="57">
        <f>SUM(P76:P81)+P97+P98</f>
        <v>-3263.1</v>
      </c>
      <c r="Q75" s="57">
        <f>Q76+Q77+Q78+Q80+Q81+Q97+Q98</f>
        <v>44113.7</v>
      </c>
      <c r="R75" s="34">
        <f t="shared" si="3"/>
        <v>263004.40000000002</v>
      </c>
      <c r="S75" s="34">
        <f t="shared" si="4"/>
        <v>206061.19999999998</v>
      </c>
      <c r="T75" s="57">
        <f>SUM(T76:T81)</f>
        <v>259976</v>
      </c>
      <c r="U75" s="57">
        <f>SUM(U76:U81)+U97+U98</f>
        <v>0</v>
      </c>
      <c r="V75" s="57">
        <f>V76+V77+V78+V80+V81+V97+V98</f>
        <v>-5000</v>
      </c>
      <c r="W75" s="57">
        <f>W78</f>
        <v>-19500</v>
      </c>
      <c r="X75" s="59">
        <f>X76+X77+X78+X80+X81+X97+X98+X99+X100</f>
        <v>202800</v>
      </c>
      <c r="Y75" s="7">
        <f t="shared" si="5"/>
        <v>6387659.5619999999</v>
      </c>
      <c r="Z75" s="7">
        <f>R75+W75+Z99</f>
        <v>245392.60000000003</v>
      </c>
      <c r="AA75" s="7">
        <f>AA76+AA77+AA78+AA80+AA81+AA97+AA98+AA99+AA100</f>
        <v>-3937.5999999999995</v>
      </c>
      <c r="AB75" s="7">
        <v>6850</v>
      </c>
      <c r="AC75" s="7">
        <f t="shared" ref="AC75:AC140" si="24">Y75+AB75</f>
        <v>6394509.5619999999</v>
      </c>
      <c r="AD75" s="7">
        <f t="shared" si="8"/>
        <v>241455.00000000003</v>
      </c>
      <c r="AE75" s="7">
        <f t="shared" si="9"/>
        <v>201061.19999999998</v>
      </c>
      <c r="AF75" s="12">
        <f t="shared" si="18"/>
        <v>259976</v>
      </c>
      <c r="AG75" s="114">
        <f>AG76+AG77+AG78+AG80+AG81+AG97+AG98</f>
        <v>-11116.4</v>
      </c>
      <c r="AH75" s="11"/>
      <c r="AI75" s="7">
        <f>AI76+AI77+AI78+AI80+AI81+AI97+AI98+AI99+AI100</f>
        <v>-33441.699999999997</v>
      </c>
      <c r="AJ75" s="7">
        <f>AJ78</f>
        <v>-181.6</v>
      </c>
      <c r="AK75" s="7">
        <f t="shared" ref="AK75:AK140" si="25">AD75+AJ75</f>
        <v>241273.40000000002</v>
      </c>
      <c r="AL75" s="27">
        <f t="shared" si="11"/>
        <v>167619.5</v>
      </c>
      <c r="AM75" s="27">
        <f t="shared" si="12"/>
        <v>248859.6</v>
      </c>
      <c r="AN75" s="7">
        <f>AN76+AN77+AN78+AN80+AN81+AN97+AN98+AN99+AN100</f>
        <v>193100</v>
      </c>
      <c r="AO75" s="7"/>
      <c r="AP75" s="7">
        <f t="shared" ref="AP75:AP140" si="26">AL75+AO75</f>
        <v>167619.5</v>
      </c>
      <c r="AQ75" s="27">
        <f t="shared" si="15"/>
        <v>441959.6</v>
      </c>
      <c r="AR75" s="27"/>
      <c r="AS75" s="27">
        <f t="shared" ref="AS75:AS140" si="27">AQ75+AR75</f>
        <v>441959.6</v>
      </c>
    </row>
    <row r="76" spans="1:45" ht="126.75" customHeight="1" outlineLevel="1">
      <c r="A76" s="101" t="s">
        <v>54</v>
      </c>
      <c r="B76" s="37" t="s">
        <v>51</v>
      </c>
      <c r="C76" s="33" t="s">
        <v>12</v>
      </c>
      <c r="D76" s="33" t="s">
        <v>16</v>
      </c>
      <c r="E76" s="33" t="s">
        <v>9</v>
      </c>
      <c r="F76" s="33" t="s">
        <v>43</v>
      </c>
      <c r="G76" s="34">
        <v>225144.6</v>
      </c>
      <c r="H76" s="34"/>
      <c r="I76" s="34">
        <f t="shared" si="16"/>
        <v>225144.6</v>
      </c>
      <c r="J76" s="60">
        <v>67699.5</v>
      </c>
      <c r="K76" s="60">
        <f>-3263.1+3263.1+0.1</f>
        <v>0.1</v>
      </c>
      <c r="L76" s="60"/>
      <c r="M76" s="34">
        <f t="shared" si="1"/>
        <v>225144.6</v>
      </c>
      <c r="N76" s="34">
        <f t="shared" si="2"/>
        <v>67699.600000000006</v>
      </c>
      <c r="O76" s="60">
        <v>61179.5</v>
      </c>
      <c r="P76" s="60">
        <v>-3263.1</v>
      </c>
      <c r="Q76" s="60">
        <f>14113.7</f>
        <v>14113.7</v>
      </c>
      <c r="R76" s="34">
        <f t="shared" si="3"/>
        <v>81813.3</v>
      </c>
      <c r="S76" s="34">
        <f t="shared" si="4"/>
        <v>57916.4</v>
      </c>
      <c r="T76" s="57">
        <v>0</v>
      </c>
      <c r="U76" s="41"/>
      <c r="V76" s="41">
        <v>-5000</v>
      </c>
      <c r="W76" s="41"/>
      <c r="X76" s="39"/>
      <c r="Y76" s="7">
        <f t="shared" si="5"/>
        <v>225144.6</v>
      </c>
      <c r="Z76" s="7">
        <f t="shared" si="6"/>
        <v>81813.3</v>
      </c>
      <c r="AA76" s="7">
        <v>1330.8</v>
      </c>
      <c r="AB76" s="7"/>
      <c r="AC76" s="7">
        <f t="shared" si="24"/>
        <v>225144.6</v>
      </c>
      <c r="AD76" s="7">
        <f t="shared" si="8"/>
        <v>83144.100000000006</v>
      </c>
      <c r="AE76" s="7">
        <f t="shared" si="9"/>
        <v>52916.4</v>
      </c>
      <c r="AF76" s="12">
        <f t="shared" si="18"/>
        <v>0</v>
      </c>
      <c r="AG76" s="11"/>
      <c r="AH76" s="11"/>
      <c r="AI76" s="24">
        <f>-33441.7-9700</f>
        <v>-43141.7</v>
      </c>
      <c r="AJ76" s="24"/>
      <c r="AK76" s="7">
        <f t="shared" si="25"/>
        <v>83144.100000000006</v>
      </c>
      <c r="AL76" s="27">
        <f t="shared" si="11"/>
        <v>9774.7000000000044</v>
      </c>
      <c r="AM76" s="27">
        <f t="shared" si="12"/>
        <v>0</v>
      </c>
      <c r="AN76" s="27"/>
      <c r="AO76" s="27"/>
      <c r="AP76" s="7">
        <f t="shared" si="26"/>
        <v>9774.7000000000044</v>
      </c>
      <c r="AQ76" s="27">
        <f t="shared" si="15"/>
        <v>0</v>
      </c>
      <c r="AR76" s="27"/>
      <c r="AS76" s="27">
        <f t="shared" si="27"/>
        <v>0</v>
      </c>
    </row>
    <row r="77" spans="1:45" ht="124.5" customHeight="1" outlineLevel="1">
      <c r="A77" s="101" t="s">
        <v>60</v>
      </c>
      <c r="B77" s="37" t="s">
        <v>61</v>
      </c>
      <c r="C77" s="33" t="s">
        <v>12</v>
      </c>
      <c r="D77" s="33" t="s">
        <v>16</v>
      </c>
      <c r="E77" s="33" t="s">
        <v>9</v>
      </c>
      <c r="F77" s="33" t="s">
        <v>48</v>
      </c>
      <c r="G77" s="34">
        <v>371836.9</v>
      </c>
      <c r="H77" s="34"/>
      <c r="I77" s="34">
        <f t="shared" si="16"/>
        <v>371836.9</v>
      </c>
      <c r="J77" s="60">
        <f>26426.7+224.4</f>
        <v>26651.100000000002</v>
      </c>
      <c r="K77" s="60"/>
      <c r="L77" s="60"/>
      <c r="M77" s="34">
        <f t="shared" si="1"/>
        <v>371836.9</v>
      </c>
      <c r="N77" s="34">
        <f t="shared" si="2"/>
        <v>26651.100000000002</v>
      </c>
      <c r="O77" s="60">
        <v>78424.800000000003</v>
      </c>
      <c r="P77" s="60"/>
      <c r="Q77" s="60">
        <f>30000</f>
        <v>30000</v>
      </c>
      <c r="R77" s="34">
        <f t="shared" si="3"/>
        <v>56651.100000000006</v>
      </c>
      <c r="S77" s="34">
        <f t="shared" si="4"/>
        <v>78424.800000000003</v>
      </c>
      <c r="T77" s="57">
        <f>260200.4-224.4</f>
        <v>259976</v>
      </c>
      <c r="U77" s="41"/>
      <c r="V77" s="41"/>
      <c r="W77" s="41"/>
      <c r="X77" s="39"/>
      <c r="Y77" s="7">
        <f t="shared" si="5"/>
        <v>371836.9</v>
      </c>
      <c r="Z77" s="7">
        <f t="shared" si="6"/>
        <v>56651.100000000006</v>
      </c>
      <c r="AA77" s="7"/>
      <c r="AB77" s="7"/>
      <c r="AC77" s="7">
        <f t="shared" si="24"/>
        <v>371836.9</v>
      </c>
      <c r="AD77" s="7">
        <f t="shared" si="8"/>
        <v>56651.100000000006</v>
      </c>
      <c r="AE77" s="7">
        <f t="shared" si="9"/>
        <v>78424.800000000003</v>
      </c>
      <c r="AF77" s="12">
        <f t="shared" si="18"/>
        <v>259976</v>
      </c>
      <c r="AG77" s="115">
        <v>-11116.4</v>
      </c>
      <c r="AH77" s="11"/>
      <c r="AI77" s="31"/>
      <c r="AJ77" s="31"/>
      <c r="AK77" s="7">
        <f t="shared" si="25"/>
        <v>56651.100000000006</v>
      </c>
      <c r="AL77" s="27">
        <f t="shared" si="11"/>
        <v>78424.800000000003</v>
      </c>
      <c r="AM77" s="27">
        <f t="shared" si="12"/>
        <v>248859.6</v>
      </c>
      <c r="AN77" s="27"/>
      <c r="AO77" s="27"/>
      <c r="AP77" s="7">
        <f t="shared" si="26"/>
        <v>78424.800000000003</v>
      </c>
      <c r="AQ77" s="27">
        <f t="shared" si="15"/>
        <v>248859.6</v>
      </c>
      <c r="AR77" s="27"/>
      <c r="AS77" s="27">
        <f t="shared" si="27"/>
        <v>248859.6</v>
      </c>
    </row>
    <row r="78" spans="1:45" s="1" customFormat="1" ht="125.25" customHeight="1" outlineLevel="1">
      <c r="A78" s="101" t="s">
        <v>118</v>
      </c>
      <c r="B78" s="37" t="s">
        <v>122</v>
      </c>
      <c r="C78" s="33" t="s">
        <v>12</v>
      </c>
      <c r="D78" s="33" t="s">
        <v>16</v>
      </c>
      <c r="E78" s="33" t="s">
        <v>9</v>
      </c>
      <c r="F78" s="41" t="s">
        <v>123</v>
      </c>
      <c r="G78" s="60">
        <v>5208526.142</v>
      </c>
      <c r="H78" s="60"/>
      <c r="I78" s="34">
        <f t="shared" si="16"/>
        <v>5208526.142</v>
      </c>
      <c r="J78" s="60">
        <v>35000</v>
      </c>
      <c r="K78" s="60"/>
      <c r="L78" s="60"/>
      <c r="M78" s="34">
        <f t="shared" si="1"/>
        <v>5208526.142</v>
      </c>
      <c r="N78" s="34">
        <f t="shared" si="2"/>
        <v>35000</v>
      </c>
      <c r="O78" s="57">
        <v>0</v>
      </c>
      <c r="P78" s="57"/>
      <c r="Q78" s="57"/>
      <c r="R78" s="34">
        <f t="shared" si="3"/>
        <v>35000</v>
      </c>
      <c r="S78" s="34">
        <f t="shared" si="4"/>
        <v>0</v>
      </c>
      <c r="T78" s="57">
        <v>0</v>
      </c>
      <c r="U78" s="41"/>
      <c r="V78" s="41"/>
      <c r="W78" s="39">
        <v>-19500</v>
      </c>
      <c r="X78" s="39"/>
      <c r="Y78" s="7">
        <f t="shared" si="5"/>
        <v>5208526.142</v>
      </c>
      <c r="Z78" s="7">
        <f t="shared" si="6"/>
        <v>15500</v>
      </c>
      <c r="AA78" s="7">
        <f>-437.9-4680.5</f>
        <v>-5118.3999999999996</v>
      </c>
      <c r="AB78" s="7"/>
      <c r="AC78" s="7">
        <f t="shared" si="24"/>
        <v>5208526.142</v>
      </c>
      <c r="AD78" s="7">
        <f t="shared" si="8"/>
        <v>10381.6</v>
      </c>
      <c r="AE78" s="7">
        <f t="shared" si="9"/>
        <v>0</v>
      </c>
      <c r="AF78" s="12">
        <f t="shared" si="18"/>
        <v>0</v>
      </c>
      <c r="AG78" s="11"/>
      <c r="AH78" s="11"/>
      <c r="AI78" s="31"/>
      <c r="AJ78" s="31">
        <v>-181.6</v>
      </c>
      <c r="AK78" s="7">
        <f t="shared" si="25"/>
        <v>10200</v>
      </c>
      <c r="AL78" s="27">
        <f t="shared" si="11"/>
        <v>0</v>
      </c>
      <c r="AM78" s="27">
        <f t="shared" si="12"/>
        <v>0</v>
      </c>
      <c r="AN78" s="27"/>
      <c r="AO78" s="27"/>
      <c r="AP78" s="7">
        <f t="shared" si="26"/>
        <v>0</v>
      </c>
      <c r="AQ78" s="27">
        <f t="shared" si="15"/>
        <v>0</v>
      </c>
      <c r="AR78" s="27"/>
      <c r="AS78" s="27">
        <f t="shared" si="27"/>
        <v>0</v>
      </c>
    </row>
    <row r="79" spans="1:45" s="1" customFormat="1" ht="129" hidden="1" customHeight="1" outlineLevel="1">
      <c r="A79" s="101" t="s">
        <v>126</v>
      </c>
      <c r="B79" s="37" t="s">
        <v>21</v>
      </c>
      <c r="C79" s="33" t="s">
        <v>12</v>
      </c>
      <c r="D79" s="33" t="s">
        <v>16</v>
      </c>
      <c r="E79" s="33" t="s">
        <v>9</v>
      </c>
      <c r="F79" s="61" t="s">
        <v>107</v>
      </c>
      <c r="G79" s="62">
        <v>5000</v>
      </c>
      <c r="H79" s="62">
        <v>-5000</v>
      </c>
      <c r="I79" s="34">
        <f t="shared" si="16"/>
        <v>0</v>
      </c>
      <c r="J79" s="62">
        <v>5000</v>
      </c>
      <c r="K79" s="62">
        <v>-5000</v>
      </c>
      <c r="L79" s="62"/>
      <c r="M79" s="34">
        <f t="shared" si="1"/>
        <v>0</v>
      </c>
      <c r="N79" s="34">
        <f t="shared" si="2"/>
        <v>0</v>
      </c>
      <c r="O79" s="57">
        <v>0</v>
      </c>
      <c r="P79" s="57"/>
      <c r="Q79" s="57"/>
      <c r="R79" s="34">
        <f t="shared" si="3"/>
        <v>0</v>
      </c>
      <c r="S79" s="34">
        <f t="shared" si="4"/>
        <v>0</v>
      </c>
      <c r="T79" s="57">
        <v>0</v>
      </c>
      <c r="U79" s="41"/>
      <c r="V79" s="41"/>
      <c r="W79" s="41"/>
      <c r="X79" s="39"/>
      <c r="Y79" s="7">
        <f t="shared" si="5"/>
        <v>0</v>
      </c>
      <c r="Z79" s="7">
        <f t="shared" si="6"/>
        <v>0</v>
      </c>
      <c r="AA79" s="7"/>
      <c r="AB79" s="7"/>
      <c r="AC79" s="7">
        <f t="shared" si="24"/>
        <v>0</v>
      </c>
      <c r="AD79" s="7">
        <f t="shared" si="8"/>
        <v>0</v>
      </c>
      <c r="AE79" s="7">
        <f t="shared" si="9"/>
        <v>0</v>
      </c>
      <c r="AF79" s="12">
        <f t="shared" si="18"/>
        <v>0</v>
      </c>
      <c r="AG79" s="11"/>
      <c r="AH79" s="11"/>
      <c r="AI79" s="31"/>
      <c r="AJ79" s="31"/>
      <c r="AK79" s="7">
        <f t="shared" si="25"/>
        <v>0</v>
      </c>
      <c r="AL79" s="27">
        <f t="shared" si="11"/>
        <v>0</v>
      </c>
      <c r="AM79" s="27">
        <f t="shared" si="12"/>
        <v>0</v>
      </c>
      <c r="AN79" s="27"/>
      <c r="AO79" s="27"/>
      <c r="AP79" s="7">
        <f t="shared" si="26"/>
        <v>0</v>
      </c>
      <c r="AQ79" s="27">
        <f t="shared" si="15"/>
        <v>0</v>
      </c>
      <c r="AR79" s="27"/>
      <c r="AS79" s="27">
        <f t="shared" si="27"/>
        <v>0</v>
      </c>
    </row>
    <row r="80" spans="1:45" s="1" customFormat="1" ht="129" customHeight="1" outlineLevel="1">
      <c r="A80" s="101" t="s">
        <v>241</v>
      </c>
      <c r="B80" s="37" t="s">
        <v>21</v>
      </c>
      <c r="C80" s="33" t="s">
        <v>12</v>
      </c>
      <c r="D80" s="33" t="s">
        <v>16</v>
      </c>
      <c r="E80" s="33" t="s">
        <v>9</v>
      </c>
      <c r="F80" s="61" t="s">
        <v>202</v>
      </c>
      <c r="G80" s="62">
        <v>0</v>
      </c>
      <c r="H80" s="62">
        <v>224641.92000000001</v>
      </c>
      <c r="I80" s="34">
        <f t="shared" si="16"/>
        <v>224641.92000000001</v>
      </c>
      <c r="J80" s="62">
        <v>0</v>
      </c>
      <c r="K80" s="62">
        <v>5000</v>
      </c>
      <c r="L80" s="62"/>
      <c r="M80" s="34">
        <f t="shared" si="1"/>
        <v>224641.92000000001</v>
      </c>
      <c r="N80" s="34">
        <f t="shared" si="2"/>
        <v>5000</v>
      </c>
      <c r="O80" s="63">
        <v>0</v>
      </c>
      <c r="P80" s="63"/>
      <c r="Q80" s="63"/>
      <c r="R80" s="34">
        <f t="shared" si="3"/>
        <v>5000</v>
      </c>
      <c r="S80" s="34">
        <f t="shared" si="4"/>
        <v>0</v>
      </c>
      <c r="T80" s="63">
        <v>0</v>
      </c>
      <c r="U80" s="61"/>
      <c r="V80" s="61"/>
      <c r="W80" s="61"/>
      <c r="X80" s="64"/>
      <c r="Y80" s="7">
        <f t="shared" si="5"/>
        <v>224641.92000000001</v>
      </c>
      <c r="Z80" s="7">
        <f t="shared" si="6"/>
        <v>5000</v>
      </c>
      <c r="AA80" s="7">
        <v>-150</v>
      </c>
      <c r="AB80" s="7"/>
      <c r="AC80" s="7">
        <f t="shared" si="24"/>
        <v>224641.92000000001</v>
      </c>
      <c r="AD80" s="7">
        <f t="shared" si="8"/>
        <v>4850</v>
      </c>
      <c r="AE80" s="7">
        <f t="shared" si="9"/>
        <v>0</v>
      </c>
      <c r="AF80" s="12">
        <f t="shared" si="18"/>
        <v>0</v>
      </c>
      <c r="AG80" s="11"/>
      <c r="AH80" s="11"/>
      <c r="AI80" s="31"/>
      <c r="AJ80" s="31"/>
      <c r="AK80" s="7">
        <f t="shared" si="25"/>
        <v>4850</v>
      </c>
      <c r="AL80" s="27">
        <f t="shared" si="11"/>
        <v>0</v>
      </c>
      <c r="AM80" s="27">
        <f t="shared" si="12"/>
        <v>0</v>
      </c>
      <c r="AN80" s="27"/>
      <c r="AO80" s="27"/>
      <c r="AP80" s="7">
        <f t="shared" si="26"/>
        <v>0</v>
      </c>
      <c r="AQ80" s="27">
        <f t="shared" si="15"/>
        <v>0</v>
      </c>
      <c r="AR80" s="27"/>
      <c r="AS80" s="27">
        <f t="shared" si="27"/>
        <v>0</v>
      </c>
    </row>
    <row r="81" spans="1:45" ht="28.5" customHeight="1" outlineLevel="1">
      <c r="A81" s="150" t="s">
        <v>127</v>
      </c>
      <c r="B81" s="151"/>
      <c r="C81" s="151"/>
      <c r="D81" s="151"/>
      <c r="E81" s="65"/>
      <c r="F81" s="66"/>
      <c r="G81" s="67">
        <f>SUM(G82:G96)</f>
        <v>144520</v>
      </c>
      <c r="H81" s="67">
        <f>SUM(H82:H96)</f>
        <v>0</v>
      </c>
      <c r="I81" s="34">
        <f t="shared" si="16"/>
        <v>144520</v>
      </c>
      <c r="J81" s="67">
        <f>SUM(J82:J96)</f>
        <v>74800</v>
      </c>
      <c r="K81" s="67">
        <f>SUM(K82:K96)</f>
        <v>0</v>
      </c>
      <c r="L81" s="67"/>
      <c r="M81" s="34">
        <f t="shared" si="1"/>
        <v>144520</v>
      </c>
      <c r="N81" s="34">
        <f t="shared" si="2"/>
        <v>74800</v>
      </c>
      <c r="O81" s="67">
        <f>SUM(O82:O96)</f>
        <v>69720</v>
      </c>
      <c r="P81" s="67">
        <f>SUM(P82:P96)</f>
        <v>0</v>
      </c>
      <c r="Q81" s="67"/>
      <c r="R81" s="34">
        <f t="shared" si="3"/>
        <v>74800</v>
      </c>
      <c r="S81" s="34">
        <f t="shared" si="4"/>
        <v>69720</v>
      </c>
      <c r="T81" s="67">
        <f>SUM(T82:T96)</f>
        <v>0</v>
      </c>
      <c r="U81" s="67">
        <f>SUM(U82:U96)</f>
        <v>0</v>
      </c>
      <c r="V81" s="67"/>
      <c r="W81" s="67"/>
      <c r="X81" s="68"/>
      <c r="Y81" s="7">
        <f t="shared" ref="Y81:Y149" si="28">M81+X81</f>
        <v>144520</v>
      </c>
      <c r="Z81" s="7">
        <f t="shared" ref="Z81:Z149" si="29">R81+W81</f>
        <v>74800</v>
      </c>
      <c r="AA81" s="7"/>
      <c r="AB81" s="7"/>
      <c r="AC81" s="7">
        <f t="shared" si="24"/>
        <v>144520</v>
      </c>
      <c r="AD81" s="7">
        <f t="shared" ref="AD81:AD149" si="30">Z81+AA81</f>
        <v>74800</v>
      </c>
      <c r="AE81" s="7">
        <f t="shared" si="9"/>
        <v>69720</v>
      </c>
      <c r="AF81" s="12">
        <f t="shared" si="18"/>
        <v>0</v>
      </c>
      <c r="AG81" s="11"/>
      <c r="AH81" s="11"/>
      <c r="AI81" s="31"/>
      <c r="AJ81" s="31"/>
      <c r="AK81" s="7">
        <f t="shared" si="25"/>
        <v>74800</v>
      </c>
      <c r="AL81" s="27">
        <f t="shared" ref="AL81:AL149" si="31">AE81+AI81</f>
        <v>69720</v>
      </c>
      <c r="AM81" s="27">
        <f t="shared" si="12"/>
        <v>0</v>
      </c>
      <c r="AN81" s="27"/>
      <c r="AO81" s="27"/>
      <c r="AP81" s="7">
        <f t="shared" si="26"/>
        <v>69720</v>
      </c>
      <c r="AQ81" s="27">
        <f t="shared" ref="AQ81:AQ149" si="32">AM81+AN81</f>
        <v>0</v>
      </c>
      <c r="AR81" s="27"/>
      <c r="AS81" s="27">
        <f t="shared" si="27"/>
        <v>0</v>
      </c>
    </row>
    <row r="82" spans="1:45" ht="112.5" customHeight="1" outlineLevel="1">
      <c r="A82" s="101" t="s">
        <v>82</v>
      </c>
      <c r="B82" s="37" t="s">
        <v>62</v>
      </c>
      <c r="C82" s="33" t="s">
        <v>63</v>
      </c>
      <c r="D82" s="33" t="s">
        <v>16</v>
      </c>
      <c r="E82" s="33" t="s">
        <v>9</v>
      </c>
      <c r="F82" s="33" t="s">
        <v>96</v>
      </c>
      <c r="G82" s="34">
        <v>9960</v>
      </c>
      <c r="H82" s="34"/>
      <c r="I82" s="34">
        <f t="shared" si="16"/>
        <v>9960</v>
      </c>
      <c r="J82" s="34">
        <v>9960</v>
      </c>
      <c r="K82" s="34"/>
      <c r="L82" s="34"/>
      <c r="M82" s="34">
        <f t="shared" si="1"/>
        <v>9960</v>
      </c>
      <c r="N82" s="34">
        <f t="shared" si="2"/>
        <v>9960</v>
      </c>
      <c r="O82" s="57">
        <v>0</v>
      </c>
      <c r="P82" s="57"/>
      <c r="Q82" s="57"/>
      <c r="R82" s="34">
        <f t="shared" si="3"/>
        <v>9960</v>
      </c>
      <c r="S82" s="34">
        <f t="shared" si="4"/>
        <v>0</v>
      </c>
      <c r="T82" s="57">
        <v>0</v>
      </c>
      <c r="U82" s="41"/>
      <c r="V82" s="41"/>
      <c r="W82" s="41"/>
      <c r="X82" s="39"/>
      <c r="Y82" s="7">
        <f t="shared" si="28"/>
        <v>9960</v>
      </c>
      <c r="Z82" s="7">
        <f t="shared" si="29"/>
        <v>9960</v>
      </c>
      <c r="AA82" s="7"/>
      <c r="AB82" s="7"/>
      <c r="AC82" s="7">
        <f t="shared" si="24"/>
        <v>9960</v>
      </c>
      <c r="AD82" s="7">
        <f t="shared" si="30"/>
        <v>9960</v>
      </c>
      <c r="AE82" s="7">
        <f t="shared" si="9"/>
        <v>0</v>
      </c>
      <c r="AF82" s="12">
        <f t="shared" si="18"/>
        <v>0</v>
      </c>
      <c r="AG82" s="11"/>
      <c r="AH82" s="11"/>
      <c r="AI82" s="31"/>
      <c r="AJ82" s="31"/>
      <c r="AK82" s="7">
        <f t="shared" si="25"/>
        <v>9960</v>
      </c>
      <c r="AL82" s="27">
        <f t="shared" si="31"/>
        <v>0</v>
      </c>
      <c r="AM82" s="27">
        <f t="shared" si="12"/>
        <v>0</v>
      </c>
      <c r="AN82" s="27"/>
      <c r="AO82" s="27"/>
      <c r="AP82" s="7">
        <f t="shared" si="26"/>
        <v>0</v>
      </c>
      <c r="AQ82" s="27">
        <f t="shared" si="32"/>
        <v>0</v>
      </c>
      <c r="AR82" s="27"/>
      <c r="AS82" s="27">
        <f t="shared" si="27"/>
        <v>0</v>
      </c>
    </row>
    <row r="83" spans="1:45" ht="111.75" customHeight="1" outlineLevel="1">
      <c r="A83" s="101" t="s">
        <v>83</v>
      </c>
      <c r="B83" s="37" t="s">
        <v>62</v>
      </c>
      <c r="C83" s="33" t="s">
        <v>63</v>
      </c>
      <c r="D83" s="33" t="s">
        <v>16</v>
      </c>
      <c r="E83" s="33" t="s">
        <v>9</v>
      </c>
      <c r="F83" s="33" t="s">
        <v>96</v>
      </c>
      <c r="G83" s="34">
        <v>9960</v>
      </c>
      <c r="H83" s="34"/>
      <c r="I83" s="34">
        <f t="shared" si="16"/>
        <v>9960</v>
      </c>
      <c r="J83" s="34">
        <v>9960</v>
      </c>
      <c r="K83" s="34"/>
      <c r="L83" s="34"/>
      <c r="M83" s="34">
        <f t="shared" si="1"/>
        <v>9960</v>
      </c>
      <c r="N83" s="34">
        <f t="shared" si="2"/>
        <v>9960</v>
      </c>
      <c r="O83" s="57">
        <v>0</v>
      </c>
      <c r="P83" s="57"/>
      <c r="Q83" s="57"/>
      <c r="R83" s="34">
        <f t="shared" si="3"/>
        <v>9960</v>
      </c>
      <c r="S83" s="34">
        <f t="shared" si="4"/>
        <v>0</v>
      </c>
      <c r="T83" s="57">
        <v>0</v>
      </c>
      <c r="U83" s="41"/>
      <c r="V83" s="41"/>
      <c r="W83" s="41"/>
      <c r="X83" s="39"/>
      <c r="Y83" s="7">
        <f t="shared" si="28"/>
        <v>9960</v>
      </c>
      <c r="Z83" s="7">
        <f t="shared" si="29"/>
        <v>9960</v>
      </c>
      <c r="AA83" s="7"/>
      <c r="AB83" s="7"/>
      <c r="AC83" s="7">
        <f t="shared" si="24"/>
        <v>9960</v>
      </c>
      <c r="AD83" s="7">
        <f t="shared" si="30"/>
        <v>9960</v>
      </c>
      <c r="AE83" s="7">
        <f t="shared" si="9"/>
        <v>0</v>
      </c>
      <c r="AF83" s="12">
        <f t="shared" si="18"/>
        <v>0</v>
      </c>
      <c r="AG83" s="11"/>
      <c r="AH83" s="11"/>
      <c r="AI83" s="31"/>
      <c r="AJ83" s="31"/>
      <c r="AK83" s="7">
        <f t="shared" si="25"/>
        <v>9960</v>
      </c>
      <c r="AL83" s="27">
        <f t="shared" si="31"/>
        <v>0</v>
      </c>
      <c r="AM83" s="27">
        <f t="shared" si="12"/>
        <v>0</v>
      </c>
      <c r="AN83" s="27"/>
      <c r="AO83" s="27"/>
      <c r="AP83" s="7">
        <f t="shared" si="26"/>
        <v>0</v>
      </c>
      <c r="AQ83" s="27">
        <f t="shared" si="32"/>
        <v>0</v>
      </c>
      <c r="AR83" s="27"/>
      <c r="AS83" s="27">
        <f t="shared" si="27"/>
        <v>0</v>
      </c>
    </row>
    <row r="84" spans="1:45" ht="108" customHeight="1" outlineLevel="1">
      <c r="A84" s="101" t="s">
        <v>84</v>
      </c>
      <c r="B84" s="37" t="s">
        <v>62</v>
      </c>
      <c r="C84" s="33" t="s">
        <v>63</v>
      </c>
      <c r="D84" s="33" t="s">
        <v>16</v>
      </c>
      <c r="E84" s="33" t="s">
        <v>9</v>
      </c>
      <c r="F84" s="33" t="s">
        <v>96</v>
      </c>
      <c r="G84" s="34">
        <v>7520</v>
      </c>
      <c r="H84" s="34"/>
      <c r="I84" s="34">
        <f t="shared" si="16"/>
        <v>7520</v>
      </c>
      <c r="J84" s="34">
        <v>7520</v>
      </c>
      <c r="K84" s="34"/>
      <c r="L84" s="34"/>
      <c r="M84" s="34">
        <f t="shared" si="1"/>
        <v>7520</v>
      </c>
      <c r="N84" s="34">
        <f t="shared" si="2"/>
        <v>7520</v>
      </c>
      <c r="O84" s="57">
        <v>0</v>
      </c>
      <c r="P84" s="57"/>
      <c r="Q84" s="57"/>
      <c r="R84" s="34">
        <f t="shared" si="3"/>
        <v>7520</v>
      </c>
      <c r="S84" s="34">
        <f t="shared" si="4"/>
        <v>0</v>
      </c>
      <c r="T84" s="57">
        <v>0</v>
      </c>
      <c r="U84" s="41"/>
      <c r="V84" s="41"/>
      <c r="W84" s="41"/>
      <c r="X84" s="39"/>
      <c r="Y84" s="7">
        <f t="shared" si="28"/>
        <v>7520</v>
      </c>
      <c r="Z84" s="7">
        <f t="shared" si="29"/>
        <v>7520</v>
      </c>
      <c r="AA84" s="7"/>
      <c r="AB84" s="7"/>
      <c r="AC84" s="7">
        <f t="shared" si="24"/>
        <v>7520</v>
      </c>
      <c r="AD84" s="7">
        <f t="shared" si="30"/>
        <v>7520</v>
      </c>
      <c r="AE84" s="7">
        <f t="shared" si="9"/>
        <v>0</v>
      </c>
      <c r="AF84" s="12">
        <f t="shared" si="18"/>
        <v>0</v>
      </c>
      <c r="AG84" s="11"/>
      <c r="AH84" s="11"/>
      <c r="AI84" s="31"/>
      <c r="AJ84" s="31"/>
      <c r="AK84" s="7">
        <f t="shared" si="25"/>
        <v>7520</v>
      </c>
      <c r="AL84" s="27">
        <f t="shared" si="31"/>
        <v>0</v>
      </c>
      <c r="AM84" s="27">
        <f t="shared" si="12"/>
        <v>0</v>
      </c>
      <c r="AN84" s="27"/>
      <c r="AO84" s="27"/>
      <c r="AP84" s="7">
        <f t="shared" si="26"/>
        <v>0</v>
      </c>
      <c r="AQ84" s="27">
        <f t="shared" si="32"/>
        <v>0</v>
      </c>
      <c r="AR84" s="27"/>
      <c r="AS84" s="27">
        <f t="shared" si="27"/>
        <v>0</v>
      </c>
    </row>
    <row r="85" spans="1:45" ht="107.25" customHeight="1" outlineLevel="1">
      <c r="A85" s="101" t="s">
        <v>85</v>
      </c>
      <c r="B85" s="37" t="s">
        <v>62</v>
      </c>
      <c r="C85" s="33" t="s">
        <v>63</v>
      </c>
      <c r="D85" s="33" t="s">
        <v>16</v>
      </c>
      <c r="E85" s="33" t="s">
        <v>9</v>
      </c>
      <c r="F85" s="33" t="s">
        <v>96</v>
      </c>
      <c r="G85" s="34">
        <v>9960</v>
      </c>
      <c r="H85" s="34"/>
      <c r="I85" s="34">
        <f t="shared" si="16"/>
        <v>9960</v>
      </c>
      <c r="J85" s="34">
        <v>9960</v>
      </c>
      <c r="K85" s="34"/>
      <c r="L85" s="34"/>
      <c r="M85" s="34">
        <f t="shared" si="1"/>
        <v>9960</v>
      </c>
      <c r="N85" s="34">
        <f t="shared" si="2"/>
        <v>9960</v>
      </c>
      <c r="O85" s="57">
        <v>0</v>
      </c>
      <c r="P85" s="57"/>
      <c r="Q85" s="57"/>
      <c r="R85" s="34">
        <f t="shared" si="3"/>
        <v>9960</v>
      </c>
      <c r="S85" s="34">
        <f t="shared" si="4"/>
        <v>0</v>
      </c>
      <c r="T85" s="57">
        <v>0</v>
      </c>
      <c r="U85" s="41"/>
      <c r="V85" s="41"/>
      <c r="W85" s="41"/>
      <c r="X85" s="39"/>
      <c r="Y85" s="7">
        <f t="shared" si="28"/>
        <v>9960</v>
      </c>
      <c r="Z85" s="7">
        <f t="shared" si="29"/>
        <v>9960</v>
      </c>
      <c r="AA85" s="7"/>
      <c r="AB85" s="7"/>
      <c r="AC85" s="7">
        <f t="shared" si="24"/>
        <v>9960</v>
      </c>
      <c r="AD85" s="7">
        <f t="shared" si="30"/>
        <v>9960</v>
      </c>
      <c r="AE85" s="7">
        <f t="shared" si="9"/>
        <v>0</v>
      </c>
      <c r="AF85" s="12">
        <f t="shared" si="18"/>
        <v>0</v>
      </c>
      <c r="AG85" s="11"/>
      <c r="AH85" s="11"/>
      <c r="AI85" s="31"/>
      <c r="AJ85" s="31"/>
      <c r="AK85" s="7">
        <f t="shared" si="25"/>
        <v>9960</v>
      </c>
      <c r="AL85" s="27">
        <f t="shared" si="31"/>
        <v>0</v>
      </c>
      <c r="AM85" s="27">
        <f t="shared" si="12"/>
        <v>0</v>
      </c>
      <c r="AN85" s="27"/>
      <c r="AO85" s="27"/>
      <c r="AP85" s="7">
        <f t="shared" si="26"/>
        <v>0</v>
      </c>
      <c r="AQ85" s="27">
        <f t="shared" si="32"/>
        <v>0</v>
      </c>
      <c r="AR85" s="27"/>
      <c r="AS85" s="27">
        <f t="shared" si="27"/>
        <v>0</v>
      </c>
    </row>
    <row r="86" spans="1:45" ht="115.5" customHeight="1" outlineLevel="1">
      <c r="A86" s="101" t="s">
        <v>86</v>
      </c>
      <c r="B86" s="37" t="s">
        <v>62</v>
      </c>
      <c r="C86" s="33" t="s">
        <v>63</v>
      </c>
      <c r="D86" s="33" t="s">
        <v>16</v>
      </c>
      <c r="E86" s="33" t="s">
        <v>9</v>
      </c>
      <c r="F86" s="33" t="s">
        <v>96</v>
      </c>
      <c r="G86" s="34">
        <v>7520</v>
      </c>
      <c r="H86" s="34"/>
      <c r="I86" s="34">
        <f t="shared" si="16"/>
        <v>7520</v>
      </c>
      <c r="J86" s="34">
        <v>7520</v>
      </c>
      <c r="K86" s="34"/>
      <c r="L86" s="34"/>
      <c r="M86" s="34">
        <f t="shared" si="1"/>
        <v>7520</v>
      </c>
      <c r="N86" s="34">
        <f t="shared" si="2"/>
        <v>7520</v>
      </c>
      <c r="O86" s="57">
        <v>0</v>
      </c>
      <c r="P86" s="57"/>
      <c r="Q86" s="57"/>
      <c r="R86" s="34">
        <f t="shared" si="3"/>
        <v>7520</v>
      </c>
      <c r="S86" s="34">
        <f t="shared" si="4"/>
        <v>0</v>
      </c>
      <c r="T86" s="57">
        <v>0</v>
      </c>
      <c r="U86" s="41"/>
      <c r="V86" s="41"/>
      <c r="W86" s="41"/>
      <c r="X86" s="39"/>
      <c r="Y86" s="7">
        <f t="shared" si="28"/>
        <v>7520</v>
      </c>
      <c r="Z86" s="7">
        <f t="shared" si="29"/>
        <v>7520</v>
      </c>
      <c r="AA86" s="7"/>
      <c r="AB86" s="7"/>
      <c r="AC86" s="7">
        <f t="shared" si="24"/>
        <v>7520</v>
      </c>
      <c r="AD86" s="7">
        <f t="shared" si="30"/>
        <v>7520</v>
      </c>
      <c r="AE86" s="7">
        <f t="shared" ref="AE86:AE159" si="33">S86+V86</f>
        <v>0</v>
      </c>
      <c r="AF86" s="12">
        <f t="shared" si="18"/>
        <v>0</v>
      </c>
      <c r="AG86" s="11"/>
      <c r="AH86" s="11"/>
      <c r="AI86" s="31"/>
      <c r="AJ86" s="31"/>
      <c r="AK86" s="7">
        <f t="shared" si="25"/>
        <v>7520</v>
      </c>
      <c r="AL86" s="27">
        <f t="shared" si="31"/>
        <v>0</v>
      </c>
      <c r="AM86" s="27">
        <f t="shared" si="12"/>
        <v>0</v>
      </c>
      <c r="AN86" s="27"/>
      <c r="AO86" s="27"/>
      <c r="AP86" s="7">
        <f t="shared" si="26"/>
        <v>0</v>
      </c>
      <c r="AQ86" s="27">
        <f t="shared" si="32"/>
        <v>0</v>
      </c>
      <c r="AR86" s="27"/>
      <c r="AS86" s="27">
        <f t="shared" si="27"/>
        <v>0</v>
      </c>
    </row>
    <row r="87" spans="1:45" ht="111" customHeight="1" outlineLevel="1">
      <c r="A87" s="101" t="s">
        <v>87</v>
      </c>
      <c r="B87" s="37" t="s">
        <v>62</v>
      </c>
      <c r="C87" s="33" t="s">
        <v>63</v>
      </c>
      <c r="D87" s="33" t="s">
        <v>16</v>
      </c>
      <c r="E87" s="33" t="s">
        <v>9</v>
      </c>
      <c r="F87" s="33" t="s">
        <v>96</v>
      </c>
      <c r="G87" s="34">
        <v>9960</v>
      </c>
      <c r="H87" s="34"/>
      <c r="I87" s="34">
        <f t="shared" si="16"/>
        <v>9960</v>
      </c>
      <c r="J87" s="34">
        <v>9960</v>
      </c>
      <c r="K87" s="34"/>
      <c r="L87" s="34"/>
      <c r="M87" s="34">
        <f t="shared" ref="M87:M160" si="34">I87+L87</f>
        <v>9960</v>
      </c>
      <c r="N87" s="34">
        <f t="shared" si="2"/>
        <v>9960</v>
      </c>
      <c r="O87" s="57">
        <v>0</v>
      </c>
      <c r="P87" s="57"/>
      <c r="Q87" s="57"/>
      <c r="R87" s="34">
        <f t="shared" ref="R87:R160" si="35">N87+Q87</f>
        <v>9960</v>
      </c>
      <c r="S87" s="34">
        <f t="shared" si="4"/>
        <v>0</v>
      </c>
      <c r="T87" s="57">
        <v>0</v>
      </c>
      <c r="U87" s="41"/>
      <c r="V87" s="41"/>
      <c r="W87" s="41"/>
      <c r="X87" s="39"/>
      <c r="Y87" s="7">
        <f t="shared" si="28"/>
        <v>9960</v>
      </c>
      <c r="Z87" s="7">
        <f t="shared" si="29"/>
        <v>9960</v>
      </c>
      <c r="AA87" s="7"/>
      <c r="AB87" s="7"/>
      <c r="AC87" s="7">
        <f t="shared" si="24"/>
        <v>9960</v>
      </c>
      <c r="AD87" s="7">
        <f t="shared" si="30"/>
        <v>9960</v>
      </c>
      <c r="AE87" s="7">
        <f t="shared" si="33"/>
        <v>0</v>
      </c>
      <c r="AF87" s="12">
        <f t="shared" si="18"/>
        <v>0</v>
      </c>
      <c r="AG87" s="11"/>
      <c r="AH87" s="11"/>
      <c r="AI87" s="31"/>
      <c r="AJ87" s="31"/>
      <c r="AK87" s="7">
        <f t="shared" si="25"/>
        <v>9960</v>
      </c>
      <c r="AL87" s="27">
        <f t="shared" si="31"/>
        <v>0</v>
      </c>
      <c r="AM87" s="27">
        <f t="shared" ref="AM87:AM160" si="36">AF87+AG87</f>
        <v>0</v>
      </c>
      <c r="AN87" s="27"/>
      <c r="AO87" s="27"/>
      <c r="AP87" s="7">
        <f t="shared" si="26"/>
        <v>0</v>
      </c>
      <c r="AQ87" s="27">
        <f t="shared" si="32"/>
        <v>0</v>
      </c>
      <c r="AR87" s="27"/>
      <c r="AS87" s="27">
        <f t="shared" si="27"/>
        <v>0</v>
      </c>
    </row>
    <row r="88" spans="1:45" ht="111" customHeight="1" outlineLevel="1">
      <c r="A88" s="101" t="s">
        <v>88</v>
      </c>
      <c r="B88" s="37" t="s">
        <v>62</v>
      </c>
      <c r="C88" s="33" t="s">
        <v>63</v>
      </c>
      <c r="D88" s="33" t="s">
        <v>16</v>
      </c>
      <c r="E88" s="33" t="s">
        <v>9</v>
      </c>
      <c r="F88" s="33" t="s">
        <v>96</v>
      </c>
      <c r="G88" s="34">
        <v>9960</v>
      </c>
      <c r="H88" s="34"/>
      <c r="I88" s="34">
        <f t="shared" si="16"/>
        <v>9960</v>
      </c>
      <c r="J88" s="34">
        <v>9960</v>
      </c>
      <c r="K88" s="34"/>
      <c r="L88" s="34"/>
      <c r="M88" s="34">
        <f t="shared" si="34"/>
        <v>9960</v>
      </c>
      <c r="N88" s="34">
        <f t="shared" si="2"/>
        <v>9960</v>
      </c>
      <c r="O88" s="57">
        <v>0</v>
      </c>
      <c r="P88" s="57"/>
      <c r="Q88" s="57"/>
      <c r="R88" s="34">
        <f t="shared" si="35"/>
        <v>9960</v>
      </c>
      <c r="S88" s="34">
        <f t="shared" si="4"/>
        <v>0</v>
      </c>
      <c r="T88" s="57">
        <v>0</v>
      </c>
      <c r="U88" s="41"/>
      <c r="V88" s="41"/>
      <c r="W88" s="41"/>
      <c r="X88" s="39"/>
      <c r="Y88" s="7">
        <f t="shared" si="28"/>
        <v>9960</v>
      </c>
      <c r="Z88" s="7">
        <f t="shared" si="29"/>
        <v>9960</v>
      </c>
      <c r="AA88" s="7"/>
      <c r="AB88" s="7"/>
      <c r="AC88" s="7">
        <f t="shared" si="24"/>
        <v>9960</v>
      </c>
      <c r="AD88" s="7">
        <f t="shared" si="30"/>
        <v>9960</v>
      </c>
      <c r="AE88" s="7">
        <f t="shared" si="33"/>
        <v>0</v>
      </c>
      <c r="AF88" s="12">
        <f t="shared" si="18"/>
        <v>0</v>
      </c>
      <c r="AG88" s="11"/>
      <c r="AH88" s="11"/>
      <c r="AI88" s="31"/>
      <c r="AJ88" s="31"/>
      <c r="AK88" s="7">
        <f t="shared" si="25"/>
        <v>9960</v>
      </c>
      <c r="AL88" s="27">
        <f t="shared" si="31"/>
        <v>0</v>
      </c>
      <c r="AM88" s="27">
        <f t="shared" si="36"/>
        <v>0</v>
      </c>
      <c r="AN88" s="27"/>
      <c r="AO88" s="27"/>
      <c r="AP88" s="7">
        <f t="shared" si="26"/>
        <v>0</v>
      </c>
      <c r="AQ88" s="27">
        <f t="shared" si="32"/>
        <v>0</v>
      </c>
      <c r="AR88" s="27"/>
      <c r="AS88" s="27">
        <f t="shared" si="27"/>
        <v>0</v>
      </c>
    </row>
    <row r="89" spans="1:45" ht="115.5" customHeight="1" outlineLevel="1">
      <c r="A89" s="101" t="s">
        <v>89</v>
      </c>
      <c r="B89" s="37" t="s">
        <v>62</v>
      </c>
      <c r="C89" s="33" t="s">
        <v>63</v>
      </c>
      <c r="D89" s="33" t="s">
        <v>16</v>
      </c>
      <c r="E89" s="33" t="s">
        <v>9</v>
      </c>
      <c r="F89" s="37" t="s">
        <v>96</v>
      </c>
      <c r="G89" s="38">
        <v>9960</v>
      </c>
      <c r="H89" s="38"/>
      <c r="I89" s="34">
        <f t="shared" si="16"/>
        <v>9960</v>
      </c>
      <c r="J89" s="38">
        <v>9960</v>
      </c>
      <c r="K89" s="38"/>
      <c r="L89" s="38"/>
      <c r="M89" s="34">
        <f t="shared" si="34"/>
        <v>9960</v>
      </c>
      <c r="N89" s="34">
        <f t="shared" si="2"/>
        <v>9960</v>
      </c>
      <c r="O89" s="57">
        <v>0</v>
      </c>
      <c r="P89" s="57"/>
      <c r="Q89" s="57"/>
      <c r="R89" s="34">
        <f t="shared" si="35"/>
        <v>9960</v>
      </c>
      <c r="S89" s="34">
        <f t="shared" si="4"/>
        <v>0</v>
      </c>
      <c r="T89" s="57">
        <v>0</v>
      </c>
      <c r="U89" s="41"/>
      <c r="V89" s="41"/>
      <c r="W89" s="41"/>
      <c r="X89" s="41"/>
      <c r="Y89" s="7">
        <f t="shared" si="28"/>
        <v>9960</v>
      </c>
      <c r="Z89" s="7">
        <f t="shared" si="29"/>
        <v>9960</v>
      </c>
      <c r="AA89" s="7"/>
      <c r="AB89" s="7"/>
      <c r="AC89" s="7">
        <f t="shared" si="24"/>
        <v>9960</v>
      </c>
      <c r="AD89" s="7">
        <f t="shared" si="30"/>
        <v>9960</v>
      </c>
      <c r="AE89" s="7">
        <f t="shared" si="33"/>
        <v>0</v>
      </c>
      <c r="AF89" s="12">
        <f t="shared" si="18"/>
        <v>0</v>
      </c>
      <c r="AG89" s="11"/>
      <c r="AH89" s="11"/>
      <c r="AI89" s="31"/>
      <c r="AJ89" s="31"/>
      <c r="AK89" s="7">
        <f t="shared" si="25"/>
        <v>9960</v>
      </c>
      <c r="AL89" s="27">
        <f t="shared" si="31"/>
        <v>0</v>
      </c>
      <c r="AM89" s="27">
        <f t="shared" si="36"/>
        <v>0</v>
      </c>
      <c r="AN89" s="27"/>
      <c r="AO89" s="27"/>
      <c r="AP89" s="7">
        <f t="shared" si="26"/>
        <v>0</v>
      </c>
      <c r="AQ89" s="27">
        <f t="shared" si="32"/>
        <v>0</v>
      </c>
      <c r="AR89" s="27"/>
      <c r="AS89" s="27">
        <f t="shared" si="27"/>
        <v>0</v>
      </c>
    </row>
    <row r="90" spans="1:45" ht="119.25" customHeight="1" outlineLevel="1">
      <c r="A90" s="101" t="s">
        <v>90</v>
      </c>
      <c r="B90" s="37" t="s">
        <v>62</v>
      </c>
      <c r="C90" s="33" t="s">
        <v>63</v>
      </c>
      <c r="D90" s="33" t="s">
        <v>16</v>
      </c>
      <c r="E90" s="33" t="s">
        <v>9</v>
      </c>
      <c r="F90" s="33" t="s">
        <v>97</v>
      </c>
      <c r="G90" s="34">
        <v>9960</v>
      </c>
      <c r="H90" s="34"/>
      <c r="I90" s="34">
        <f t="shared" si="16"/>
        <v>9960</v>
      </c>
      <c r="J90" s="34">
        <v>0</v>
      </c>
      <c r="K90" s="34"/>
      <c r="L90" s="34"/>
      <c r="M90" s="34">
        <f t="shared" si="34"/>
        <v>9960</v>
      </c>
      <c r="N90" s="34">
        <f t="shared" si="2"/>
        <v>0</v>
      </c>
      <c r="O90" s="34">
        <v>9960</v>
      </c>
      <c r="P90" s="34"/>
      <c r="Q90" s="34"/>
      <c r="R90" s="34">
        <f t="shared" si="35"/>
        <v>0</v>
      </c>
      <c r="S90" s="34">
        <f t="shared" si="4"/>
        <v>9960</v>
      </c>
      <c r="T90" s="57">
        <v>0</v>
      </c>
      <c r="U90" s="41"/>
      <c r="V90" s="41"/>
      <c r="W90" s="41"/>
      <c r="X90" s="41"/>
      <c r="Y90" s="7">
        <f t="shared" si="28"/>
        <v>9960</v>
      </c>
      <c r="Z90" s="7">
        <f t="shared" si="29"/>
        <v>0</v>
      </c>
      <c r="AA90" s="7"/>
      <c r="AB90" s="7"/>
      <c r="AC90" s="7">
        <f t="shared" si="24"/>
        <v>9960</v>
      </c>
      <c r="AD90" s="7">
        <f t="shared" si="30"/>
        <v>0</v>
      </c>
      <c r="AE90" s="7">
        <f t="shared" si="33"/>
        <v>9960</v>
      </c>
      <c r="AF90" s="12">
        <f t="shared" si="18"/>
        <v>0</v>
      </c>
      <c r="AG90" s="11"/>
      <c r="AH90" s="11"/>
      <c r="AI90" s="31"/>
      <c r="AJ90" s="31"/>
      <c r="AK90" s="7">
        <f t="shared" si="25"/>
        <v>0</v>
      </c>
      <c r="AL90" s="27">
        <f t="shared" si="31"/>
        <v>9960</v>
      </c>
      <c r="AM90" s="27">
        <f t="shared" si="36"/>
        <v>0</v>
      </c>
      <c r="AN90" s="27"/>
      <c r="AO90" s="27"/>
      <c r="AP90" s="7">
        <f t="shared" si="26"/>
        <v>9960</v>
      </c>
      <c r="AQ90" s="27">
        <f t="shared" si="32"/>
        <v>0</v>
      </c>
      <c r="AR90" s="27"/>
      <c r="AS90" s="27">
        <f t="shared" si="27"/>
        <v>0</v>
      </c>
    </row>
    <row r="91" spans="1:45" ht="116.25" customHeight="1" outlineLevel="1">
      <c r="A91" s="101" t="s">
        <v>329</v>
      </c>
      <c r="B91" s="37" t="s">
        <v>62</v>
      </c>
      <c r="C91" s="33" t="s">
        <v>63</v>
      </c>
      <c r="D91" s="33" t="s">
        <v>16</v>
      </c>
      <c r="E91" s="33" t="s">
        <v>9</v>
      </c>
      <c r="F91" s="33" t="s">
        <v>97</v>
      </c>
      <c r="G91" s="34">
        <v>9960</v>
      </c>
      <c r="H91" s="34"/>
      <c r="I91" s="34">
        <f t="shared" ref="I91" si="37">G91+H91</f>
        <v>9960</v>
      </c>
      <c r="J91" s="34">
        <v>0</v>
      </c>
      <c r="K91" s="34"/>
      <c r="L91" s="34"/>
      <c r="M91" s="34">
        <f t="shared" ref="M91" si="38">I91+L91</f>
        <v>9960</v>
      </c>
      <c r="N91" s="34">
        <f t="shared" ref="N91" si="39">J91+K91</f>
        <v>0</v>
      </c>
      <c r="O91" s="34">
        <v>9960</v>
      </c>
      <c r="P91" s="34"/>
      <c r="Q91" s="34"/>
      <c r="R91" s="34">
        <f t="shared" ref="R91" si="40">N91+Q91</f>
        <v>0</v>
      </c>
      <c r="S91" s="34">
        <f t="shared" ref="S91" si="41">O91+P91</f>
        <v>9960</v>
      </c>
      <c r="T91" s="57">
        <v>0</v>
      </c>
      <c r="U91" s="41"/>
      <c r="V91" s="41"/>
      <c r="W91" s="41"/>
      <c r="X91" s="41"/>
      <c r="Y91" s="7">
        <f t="shared" ref="Y91" si="42">M91+X91</f>
        <v>9960</v>
      </c>
      <c r="Z91" s="7">
        <f t="shared" ref="Z91" si="43">R91+W91</f>
        <v>0</v>
      </c>
      <c r="AA91" s="7"/>
      <c r="AB91" s="7"/>
      <c r="AC91" s="7">
        <f t="shared" si="24"/>
        <v>9960</v>
      </c>
      <c r="AD91" s="7">
        <f t="shared" ref="AD91" si="44">Z91+AA91</f>
        <v>0</v>
      </c>
      <c r="AE91" s="7">
        <f t="shared" ref="AE91" si="45">S91+V91</f>
        <v>9960</v>
      </c>
      <c r="AF91" s="12">
        <f t="shared" ref="AF91" si="46">T91+U91</f>
        <v>0</v>
      </c>
      <c r="AG91" s="11"/>
      <c r="AH91" s="11"/>
      <c r="AI91" s="31"/>
      <c r="AJ91" s="31"/>
      <c r="AK91" s="7">
        <f t="shared" si="25"/>
        <v>0</v>
      </c>
      <c r="AL91" s="27">
        <f t="shared" ref="AL91" si="47">AE91+AI91</f>
        <v>9960</v>
      </c>
      <c r="AM91" s="27">
        <f t="shared" ref="AM91" si="48">AF91+AG91</f>
        <v>0</v>
      </c>
      <c r="AN91" s="27"/>
      <c r="AO91" s="27"/>
      <c r="AP91" s="7">
        <f t="shared" si="26"/>
        <v>9960</v>
      </c>
      <c r="AQ91" s="27">
        <f t="shared" ref="AQ91" si="49">AM91+AN91</f>
        <v>0</v>
      </c>
      <c r="AR91" s="27"/>
      <c r="AS91" s="27">
        <f t="shared" si="27"/>
        <v>0</v>
      </c>
    </row>
    <row r="92" spans="1:45" ht="105.75" customHeight="1" outlineLevel="1">
      <c r="A92" s="101" t="s">
        <v>91</v>
      </c>
      <c r="B92" s="37" t="s">
        <v>62</v>
      </c>
      <c r="C92" s="33" t="s">
        <v>63</v>
      </c>
      <c r="D92" s="33" t="s">
        <v>16</v>
      </c>
      <c r="E92" s="33" t="s">
        <v>9</v>
      </c>
      <c r="F92" s="33" t="s">
        <v>97</v>
      </c>
      <c r="G92" s="34">
        <v>9960</v>
      </c>
      <c r="H92" s="34"/>
      <c r="I92" s="34">
        <f t="shared" si="16"/>
        <v>9960</v>
      </c>
      <c r="J92" s="34">
        <v>0</v>
      </c>
      <c r="K92" s="34"/>
      <c r="L92" s="34"/>
      <c r="M92" s="34">
        <f t="shared" si="34"/>
        <v>9960</v>
      </c>
      <c r="N92" s="34">
        <f t="shared" si="2"/>
        <v>0</v>
      </c>
      <c r="O92" s="34">
        <v>9960</v>
      </c>
      <c r="P92" s="34"/>
      <c r="Q92" s="34"/>
      <c r="R92" s="34">
        <f t="shared" si="35"/>
        <v>0</v>
      </c>
      <c r="S92" s="34">
        <f t="shared" si="4"/>
        <v>9960</v>
      </c>
      <c r="T92" s="57">
        <v>0</v>
      </c>
      <c r="U92" s="41"/>
      <c r="V92" s="41"/>
      <c r="W92" s="41"/>
      <c r="X92" s="41"/>
      <c r="Y92" s="7">
        <f t="shared" si="28"/>
        <v>9960</v>
      </c>
      <c r="Z92" s="7">
        <f t="shared" si="29"/>
        <v>0</v>
      </c>
      <c r="AA92" s="7"/>
      <c r="AB92" s="7"/>
      <c r="AC92" s="7">
        <f t="shared" si="24"/>
        <v>9960</v>
      </c>
      <c r="AD92" s="7">
        <f t="shared" si="30"/>
        <v>0</v>
      </c>
      <c r="AE92" s="7">
        <f t="shared" si="33"/>
        <v>9960</v>
      </c>
      <c r="AF92" s="12">
        <f t="shared" si="18"/>
        <v>0</v>
      </c>
      <c r="AG92" s="11"/>
      <c r="AH92" s="11"/>
      <c r="AI92" s="31"/>
      <c r="AJ92" s="31"/>
      <c r="AK92" s="7">
        <f t="shared" si="25"/>
        <v>0</v>
      </c>
      <c r="AL92" s="27">
        <f t="shared" si="31"/>
        <v>9960</v>
      </c>
      <c r="AM92" s="27">
        <f t="shared" si="36"/>
        <v>0</v>
      </c>
      <c r="AN92" s="27"/>
      <c r="AO92" s="27"/>
      <c r="AP92" s="7">
        <f t="shared" si="26"/>
        <v>9960</v>
      </c>
      <c r="AQ92" s="27">
        <f t="shared" si="32"/>
        <v>0</v>
      </c>
      <c r="AR92" s="27"/>
      <c r="AS92" s="27">
        <f t="shared" si="27"/>
        <v>0</v>
      </c>
    </row>
    <row r="93" spans="1:45" ht="110.25" customHeight="1" outlineLevel="1">
      <c r="A93" s="101" t="s">
        <v>92</v>
      </c>
      <c r="B93" s="37" t="s">
        <v>62</v>
      </c>
      <c r="C93" s="33" t="s">
        <v>63</v>
      </c>
      <c r="D93" s="33" t="s">
        <v>16</v>
      </c>
      <c r="E93" s="33" t="s">
        <v>9</v>
      </c>
      <c r="F93" s="33" t="s">
        <v>97</v>
      </c>
      <c r="G93" s="34">
        <v>9960</v>
      </c>
      <c r="H93" s="34"/>
      <c r="I93" s="34">
        <f t="shared" si="16"/>
        <v>9960</v>
      </c>
      <c r="J93" s="34">
        <v>0</v>
      </c>
      <c r="K93" s="34"/>
      <c r="L93" s="34"/>
      <c r="M93" s="34">
        <f t="shared" si="34"/>
        <v>9960</v>
      </c>
      <c r="N93" s="34">
        <f t="shared" si="2"/>
        <v>0</v>
      </c>
      <c r="O93" s="34">
        <v>9960</v>
      </c>
      <c r="P93" s="34"/>
      <c r="Q93" s="34"/>
      <c r="R93" s="34">
        <f t="shared" si="35"/>
        <v>0</v>
      </c>
      <c r="S93" s="34">
        <f t="shared" si="4"/>
        <v>9960</v>
      </c>
      <c r="T93" s="57">
        <v>0</v>
      </c>
      <c r="U93" s="41"/>
      <c r="V93" s="41"/>
      <c r="W93" s="41"/>
      <c r="X93" s="41"/>
      <c r="Y93" s="7">
        <f t="shared" si="28"/>
        <v>9960</v>
      </c>
      <c r="Z93" s="7">
        <f t="shared" si="29"/>
        <v>0</v>
      </c>
      <c r="AA93" s="7"/>
      <c r="AB93" s="7"/>
      <c r="AC93" s="7">
        <f t="shared" si="24"/>
        <v>9960</v>
      </c>
      <c r="AD93" s="7">
        <f t="shared" si="30"/>
        <v>0</v>
      </c>
      <c r="AE93" s="7">
        <f t="shared" si="33"/>
        <v>9960</v>
      </c>
      <c r="AF93" s="12">
        <f t="shared" si="18"/>
        <v>0</v>
      </c>
      <c r="AG93" s="11"/>
      <c r="AH93" s="11"/>
      <c r="AI93" s="31"/>
      <c r="AJ93" s="31"/>
      <c r="AK93" s="7">
        <f t="shared" si="25"/>
        <v>0</v>
      </c>
      <c r="AL93" s="27">
        <f t="shared" si="31"/>
        <v>9960</v>
      </c>
      <c r="AM93" s="27">
        <f t="shared" si="36"/>
        <v>0</v>
      </c>
      <c r="AN93" s="27"/>
      <c r="AO93" s="27"/>
      <c r="AP93" s="7">
        <f t="shared" si="26"/>
        <v>9960</v>
      </c>
      <c r="AQ93" s="27">
        <f t="shared" si="32"/>
        <v>0</v>
      </c>
      <c r="AR93" s="27"/>
      <c r="AS93" s="27">
        <f t="shared" si="27"/>
        <v>0</v>
      </c>
    </row>
    <row r="94" spans="1:45" ht="112.5" customHeight="1" outlineLevel="1">
      <c r="A94" s="101" t="s">
        <v>93</v>
      </c>
      <c r="B94" s="37" t="s">
        <v>62</v>
      </c>
      <c r="C94" s="33" t="s">
        <v>63</v>
      </c>
      <c r="D94" s="33" t="s">
        <v>16</v>
      </c>
      <c r="E94" s="33" t="s">
        <v>9</v>
      </c>
      <c r="F94" s="33" t="s">
        <v>97</v>
      </c>
      <c r="G94" s="34">
        <v>9960</v>
      </c>
      <c r="H94" s="34"/>
      <c r="I94" s="34">
        <f t="shared" si="16"/>
        <v>9960</v>
      </c>
      <c r="J94" s="34">
        <v>0</v>
      </c>
      <c r="K94" s="34"/>
      <c r="L94" s="34"/>
      <c r="M94" s="34">
        <f t="shared" si="34"/>
        <v>9960</v>
      </c>
      <c r="N94" s="34">
        <f t="shared" si="2"/>
        <v>0</v>
      </c>
      <c r="O94" s="34">
        <v>9960</v>
      </c>
      <c r="P94" s="34"/>
      <c r="Q94" s="34"/>
      <c r="R94" s="34">
        <f t="shared" si="35"/>
        <v>0</v>
      </c>
      <c r="S94" s="34">
        <f t="shared" si="4"/>
        <v>9960</v>
      </c>
      <c r="T94" s="57">
        <v>0</v>
      </c>
      <c r="U94" s="41"/>
      <c r="V94" s="41"/>
      <c r="W94" s="41"/>
      <c r="X94" s="41"/>
      <c r="Y94" s="7">
        <f t="shared" si="28"/>
        <v>9960</v>
      </c>
      <c r="Z94" s="7">
        <f t="shared" si="29"/>
        <v>0</v>
      </c>
      <c r="AA94" s="7"/>
      <c r="AB94" s="7"/>
      <c r="AC94" s="7">
        <f t="shared" si="24"/>
        <v>9960</v>
      </c>
      <c r="AD94" s="7">
        <f t="shared" si="30"/>
        <v>0</v>
      </c>
      <c r="AE94" s="7">
        <f t="shared" si="33"/>
        <v>9960</v>
      </c>
      <c r="AF94" s="12">
        <f t="shared" si="18"/>
        <v>0</v>
      </c>
      <c r="AG94" s="11"/>
      <c r="AH94" s="11"/>
      <c r="AI94" s="31"/>
      <c r="AJ94" s="31"/>
      <c r="AK94" s="7">
        <f t="shared" si="25"/>
        <v>0</v>
      </c>
      <c r="AL94" s="27">
        <f t="shared" si="31"/>
        <v>9960</v>
      </c>
      <c r="AM94" s="27">
        <f t="shared" si="36"/>
        <v>0</v>
      </c>
      <c r="AN94" s="27"/>
      <c r="AO94" s="27"/>
      <c r="AP94" s="7">
        <f t="shared" si="26"/>
        <v>9960</v>
      </c>
      <c r="AQ94" s="27">
        <f t="shared" si="32"/>
        <v>0</v>
      </c>
      <c r="AR94" s="27"/>
      <c r="AS94" s="27">
        <f t="shared" si="27"/>
        <v>0</v>
      </c>
    </row>
    <row r="95" spans="1:45" ht="108" customHeight="1" outlineLevel="1">
      <c r="A95" s="101" t="s">
        <v>94</v>
      </c>
      <c r="B95" s="37" t="s">
        <v>62</v>
      </c>
      <c r="C95" s="33" t="s">
        <v>63</v>
      </c>
      <c r="D95" s="33" t="s">
        <v>16</v>
      </c>
      <c r="E95" s="33" t="s">
        <v>9</v>
      </c>
      <c r="F95" s="33" t="s">
        <v>97</v>
      </c>
      <c r="G95" s="34">
        <v>9960</v>
      </c>
      <c r="H95" s="34"/>
      <c r="I95" s="34">
        <f t="shared" si="16"/>
        <v>9960</v>
      </c>
      <c r="J95" s="34">
        <v>0</v>
      </c>
      <c r="K95" s="34"/>
      <c r="L95" s="34"/>
      <c r="M95" s="34">
        <f t="shared" si="34"/>
        <v>9960</v>
      </c>
      <c r="N95" s="34">
        <f t="shared" si="2"/>
        <v>0</v>
      </c>
      <c r="O95" s="34">
        <v>9960</v>
      </c>
      <c r="P95" s="34"/>
      <c r="Q95" s="34"/>
      <c r="R95" s="34">
        <f t="shared" si="35"/>
        <v>0</v>
      </c>
      <c r="S95" s="34">
        <f t="shared" si="4"/>
        <v>9960</v>
      </c>
      <c r="T95" s="57">
        <v>0</v>
      </c>
      <c r="U95" s="41"/>
      <c r="V95" s="41"/>
      <c r="W95" s="41"/>
      <c r="X95" s="41"/>
      <c r="Y95" s="7">
        <f t="shared" si="28"/>
        <v>9960</v>
      </c>
      <c r="Z95" s="7">
        <f t="shared" si="29"/>
        <v>0</v>
      </c>
      <c r="AA95" s="7"/>
      <c r="AB95" s="7"/>
      <c r="AC95" s="7">
        <f t="shared" si="24"/>
        <v>9960</v>
      </c>
      <c r="AD95" s="7">
        <f t="shared" si="30"/>
        <v>0</v>
      </c>
      <c r="AE95" s="7">
        <f t="shared" si="33"/>
        <v>9960</v>
      </c>
      <c r="AF95" s="12">
        <f t="shared" si="18"/>
        <v>0</v>
      </c>
      <c r="AG95" s="11"/>
      <c r="AH95" s="11"/>
      <c r="AI95" s="31"/>
      <c r="AJ95" s="31"/>
      <c r="AK95" s="7">
        <f t="shared" si="25"/>
        <v>0</v>
      </c>
      <c r="AL95" s="27">
        <f t="shared" si="31"/>
        <v>9960</v>
      </c>
      <c r="AM95" s="27">
        <f t="shared" si="36"/>
        <v>0</v>
      </c>
      <c r="AN95" s="27"/>
      <c r="AO95" s="27"/>
      <c r="AP95" s="7">
        <f t="shared" si="26"/>
        <v>9960</v>
      </c>
      <c r="AQ95" s="27">
        <f t="shared" si="32"/>
        <v>0</v>
      </c>
      <c r="AR95" s="27"/>
      <c r="AS95" s="27">
        <f t="shared" si="27"/>
        <v>0</v>
      </c>
    </row>
    <row r="96" spans="1:45" ht="115.5" customHeight="1" outlineLevel="1">
      <c r="A96" s="101" t="s">
        <v>95</v>
      </c>
      <c r="B96" s="37" t="s">
        <v>62</v>
      </c>
      <c r="C96" s="33" t="s">
        <v>63</v>
      </c>
      <c r="D96" s="33" t="s">
        <v>16</v>
      </c>
      <c r="E96" s="33" t="s">
        <v>9</v>
      </c>
      <c r="F96" s="33" t="s">
        <v>97</v>
      </c>
      <c r="G96" s="34">
        <v>9960</v>
      </c>
      <c r="H96" s="34"/>
      <c r="I96" s="34">
        <f t="shared" si="16"/>
        <v>9960</v>
      </c>
      <c r="J96" s="34">
        <v>0</v>
      </c>
      <c r="K96" s="34"/>
      <c r="L96" s="34"/>
      <c r="M96" s="34">
        <f t="shared" si="34"/>
        <v>9960</v>
      </c>
      <c r="N96" s="34">
        <f t="shared" si="2"/>
        <v>0</v>
      </c>
      <c r="O96" s="34">
        <v>9960</v>
      </c>
      <c r="P96" s="34"/>
      <c r="Q96" s="34"/>
      <c r="R96" s="34">
        <f t="shared" si="35"/>
        <v>0</v>
      </c>
      <c r="S96" s="34">
        <f t="shared" si="4"/>
        <v>9960</v>
      </c>
      <c r="T96" s="57">
        <v>0</v>
      </c>
      <c r="U96" s="41"/>
      <c r="V96" s="41"/>
      <c r="W96" s="41"/>
      <c r="X96" s="41"/>
      <c r="Y96" s="7">
        <f t="shared" si="28"/>
        <v>9960</v>
      </c>
      <c r="Z96" s="7">
        <f t="shared" si="29"/>
        <v>0</v>
      </c>
      <c r="AA96" s="7"/>
      <c r="AB96" s="7"/>
      <c r="AC96" s="7">
        <f t="shared" si="24"/>
        <v>9960</v>
      </c>
      <c r="AD96" s="7">
        <f t="shared" si="30"/>
        <v>0</v>
      </c>
      <c r="AE96" s="7">
        <f t="shared" si="33"/>
        <v>9960</v>
      </c>
      <c r="AF96" s="12">
        <f t="shared" si="18"/>
        <v>0</v>
      </c>
      <c r="AG96" s="11"/>
      <c r="AH96" s="11"/>
      <c r="AI96" s="31"/>
      <c r="AJ96" s="31"/>
      <c r="AK96" s="7">
        <f t="shared" si="25"/>
        <v>0</v>
      </c>
      <c r="AL96" s="27">
        <f t="shared" si="31"/>
        <v>9960</v>
      </c>
      <c r="AM96" s="27">
        <f t="shared" si="36"/>
        <v>0</v>
      </c>
      <c r="AN96" s="27"/>
      <c r="AO96" s="27"/>
      <c r="AP96" s="7">
        <f t="shared" si="26"/>
        <v>9960</v>
      </c>
      <c r="AQ96" s="27">
        <f t="shared" si="32"/>
        <v>0</v>
      </c>
      <c r="AR96" s="27"/>
      <c r="AS96" s="27">
        <f t="shared" si="27"/>
        <v>0</v>
      </c>
    </row>
    <row r="97" spans="1:45" ht="131.25" customHeight="1" outlineLevel="1">
      <c r="A97" s="101" t="s">
        <v>193</v>
      </c>
      <c r="B97" s="37" t="s">
        <v>21</v>
      </c>
      <c r="C97" s="33" t="s">
        <v>12</v>
      </c>
      <c r="D97" s="33" t="s">
        <v>16</v>
      </c>
      <c r="E97" s="33" t="s">
        <v>9</v>
      </c>
      <c r="F97" s="33" t="s">
        <v>194</v>
      </c>
      <c r="G97" s="34">
        <v>0</v>
      </c>
      <c r="H97" s="34">
        <v>1190</v>
      </c>
      <c r="I97" s="34">
        <f>G97+H97</f>
        <v>1190</v>
      </c>
      <c r="J97" s="34">
        <v>0</v>
      </c>
      <c r="K97" s="34">
        <v>1190</v>
      </c>
      <c r="L97" s="34"/>
      <c r="M97" s="34">
        <f t="shared" si="34"/>
        <v>1190</v>
      </c>
      <c r="N97" s="34">
        <f>J97+K97</f>
        <v>1190</v>
      </c>
      <c r="O97" s="34">
        <v>0</v>
      </c>
      <c r="P97" s="34"/>
      <c r="Q97" s="34"/>
      <c r="R97" s="34">
        <f t="shared" si="35"/>
        <v>1190</v>
      </c>
      <c r="S97" s="34">
        <f t="shared" si="4"/>
        <v>0</v>
      </c>
      <c r="T97" s="57">
        <v>0</v>
      </c>
      <c r="U97" s="41"/>
      <c r="V97" s="41"/>
      <c r="W97" s="41"/>
      <c r="X97" s="41"/>
      <c r="Y97" s="7">
        <f t="shared" si="28"/>
        <v>1190</v>
      </c>
      <c r="Z97" s="7">
        <f t="shared" si="29"/>
        <v>1190</v>
      </c>
      <c r="AA97" s="7"/>
      <c r="AB97" s="7"/>
      <c r="AC97" s="7">
        <f t="shared" si="24"/>
        <v>1190</v>
      </c>
      <c r="AD97" s="7">
        <f t="shared" si="30"/>
        <v>1190</v>
      </c>
      <c r="AE97" s="7">
        <f t="shared" si="33"/>
        <v>0</v>
      </c>
      <c r="AF97" s="12">
        <f t="shared" si="18"/>
        <v>0</v>
      </c>
      <c r="AG97" s="11"/>
      <c r="AH97" s="11"/>
      <c r="AI97" s="31"/>
      <c r="AJ97" s="31"/>
      <c r="AK97" s="7">
        <f t="shared" si="25"/>
        <v>1190</v>
      </c>
      <c r="AL97" s="27">
        <f t="shared" si="31"/>
        <v>0</v>
      </c>
      <c r="AM97" s="27">
        <f t="shared" si="36"/>
        <v>0</v>
      </c>
      <c r="AN97" s="27"/>
      <c r="AO97" s="27"/>
      <c r="AP97" s="7">
        <f t="shared" si="26"/>
        <v>0</v>
      </c>
      <c r="AQ97" s="27">
        <f t="shared" si="32"/>
        <v>0</v>
      </c>
      <c r="AR97" s="27"/>
      <c r="AS97" s="27">
        <f t="shared" si="27"/>
        <v>0</v>
      </c>
    </row>
    <row r="98" spans="1:45" ht="131.25" customHeight="1" outlineLevel="1">
      <c r="A98" s="101" t="s">
        <v>231</v>
      </c>
      <c r="B98" s="37" t="s">
        <v>281</v>
      </c>
      <c r="C98" s="58" t="s">
        <v>240</v>
      </c>
      <c r="D98" s="33" t="s">
        <v>229</v>
      </c>
      <c r="E98" s="33" t="s">
        <v>230</v>
      </c>
      <c r="F98" s="33" t="s">
        <v>96</v>
      </c>
      <c r="G98" s="34"/>
      <c r="H98" s="34">
        <v>9000</v>
      </c>
      <c r="I98" s="34">
        <f>G98+H98</f>
        <v>9000</v>
      </c>
      <c r="J98" s="34"/>
      <c r="K98" s="34">
        <v>8550</v>
      </c>
      <c r="L98" s="34"/>
      <c r="M98" s="34">
        <f t="shared" si="34"/>
        <v>9000</v>
      </c>
      <c r="N98" s="34">
        <f>J98+K98</f>
        <v>8550</v>
      </c>
      <c r="O98" s="34"/>
      <c r="P98" s="34"/>
      <c r="Q98" s="34"/>
      <c r="R98" s="34">
        <f t="shared" si="35"/>
        <v>8550</v>
      </c>
      <c r="S98" s="34">
        <v>0</v>
      </c>
      <c r="T98" s="57"/>
      <c r="U98" s="41"/>
      <c r="V98" s="41"/>
      <c r="W98" s="41"/>
      <c r="X98" s="41"/>
      <c r="Y98" s="7">
        <f t="shared" si="28"/>
        <v>9000</v>
      </c>
      <c r="Z98" s="7">
        <f t="shared" si="29"/>
        <v>8550</v>
      </c>
      <c r="AA98" s="7"/>
      <c r="AB98" s="7"/>
      <c r="AC98" s="7">
        <f t="shared" si="24"/>
        <v>9000</v>
      </c>
      <c r="AD98" s="7">
        <f t="shared" si="30"/>
        <v>8550</v>
      </c>
      <c r="AE98" s="7">
        <f t="shared" si="33"/>
        <v>0</v>
      </c>
      <c r="AF98" s="12">
        <v>0</v>
      </c>
      <c r="AG98" s="11"/>
      <c r="AH98" s="11"/>
      <c r="AI98" s="31"/>
      <c r="AJ98" s="31"/>
      <c r="AK98" s="7">
        <f t="shared" si="25"/>
        <v>8550</v>
      </c>
      <c r="AL98" s="27">
        <f t="shared" si="31"/>
        <v>0</v>
      </c>
      <c r="AM98" s="27">
        <f t="shared" si="36"/>
        <v>0</v>
      </c>
      <c r="AN98" s="27"/>
      <c r="AO98" s="27"/>
      <c r="AP98" s="7">
        <f t="shared" si="26"/>
        <v>0</v>
      </c>
      <c r="AQ98" s="27">
        <f t="shared" si="32"/>
        <v>0</v>
      </c>
      <c r="AR98" s="27"/>
      <c r="AS98" s="27">
        <f t="shared" si="27"/>
        <v>0</v>
      </c>
    </row>
    <row r="99" spans="1:45" ht="131.25" customHeight="1" outlineLevel="1">
      <c r="A99" s="105" t="s">
        <v>340</v>
      </c>
      <c r="B99" s="37" t="s">
        <v>273</v>
      </c>
      <c r="C99" s="69" t="s">
        <v>224</v>
      </c>
      <c r="D99" s="33" t="s">
        <v>229</v>
      </c>
      <c r="E99" s="33" t="s">
        <v>274</v>
      </c>
      <c r="F99" s="33" t="s">
        <v>96</v>
      </c>
      <c r="G99" s="34"/>
      <c r="H99" s="34"/>
      <c r="I99" s="34"/>
      <c r="J99" s="34"/>
      <c r="K99" s="34"/>
      <c r="L99" s="34"/>
      <c r="M99" s="34">
        <v>6850</v>
      </c>
      <c r="N99" s="34"/>
      <c r="O99" s="34"/>
      <c r="P99" s="34"/>
      <c r="Q99" s="34"/>
      <c r="R99" s="34">
        <v>1888.2</v>
      </c>
      <c r="S99" s="34"/>
      <c r="T99" s="57"/>
      <c r="U99" s="41"/>
      <c r="V99" s="41"/>
      <c r="W99" s="41"/>
      <c r="X99" s="41"/>
      <c r="Y99" s="7">
        <f t="shared" si="28"/>
        <v>6850</v>
      </c>
      <c r="Z99" s="7">
        <f t="shared" si="29"/>
        <v>1888.2</v>
      </c>
      <c r="AA99" s="7"/>
      <c r="AB99" s="7"/>
      <c r="AC99" s="7">
        <f t="shared" si="24"/>
        <v>6850</v>
      </c>
      <c r="AD99" s="7">
        <f t="shared" si="30"/>
        <v>1888.2</v>
      </c>
      <c r="AE99" s="7">
        <v>0</v>
      </c>
      <c r="AF99" s="12"/>
      <c r="AG99" s="11"/>
      <c r="AH99" s="11"/>
      <c r="AI99" s="31"/>
      <c r="AJ99" s="31"/>
      <c r="AK99" s="7">
        <f t="shared" si="25"/>
        <v>1888.2</v>
      </c>
      <c r="AL99" s="27">
        <f t="shared" si="31"/>
        <v>0</v>
      </c>
      <c r="AM99" s="27">
        <v>0</v>
      </c>
      <c r="AN99" s="27"/>
      <c r="AO99" s="27"/>
      <c r="AP99" s="7">
        <f t="shared" si="26"/>
        <v>0</v>
      </c>
      <c r="AQ99" s="27">
        <f t="shared" si="32"/>
        <v>0</v>
      </c>
      <c r="AR99" s="27"/>
      <c r="AS99" s="27">
        <f t="shared" si="27"/>
        <v>0</v>
      </c>
    </row>
    <row r="100" spans="1:45" ht="131.25" customHeight="1" outlineLevel="1">
      <c r="A100" s="101" t="s">
        <v>324</v>
      </c>
      <c r="B100" s="37" t="s">
        <v>325</v>
      </c>
      <c r="C100" s="33" t="s">
        <v>12</v>
      </c>
      <c r="D100" s="33" t="s">
        <v>16</v>
      </c>
      <c r="E100" s="33" t="s">
        <v>9</v>
      </c>
      <c r="F100" s="33" t="s">
        <v>132</v>
      </c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57"/>
      <c r="U100" s="41"/>
      <c r="V100" s="41"/>
      <c r="W100" s="41"/>
      <c r="X100" s="39">
        <v>202800</v>
      </c>
      <c r="Y100" s="7">
        <f t="shared" si="28"/>
        <v>202800</v>
      </c>
      <c r="Z100" s="7"/>
      <c r="AA100" s="7"/>
      <c r="AB100" s="7"/>
      <c r="AC100" s="7">
        <f t="shared" si="24"/>
        <v>202800</v>
      </c>
      <c r="AD100" s="7">
        <f t="shared" si="30"/>
        <v>0</v>
      </c>
      <c r="AE100" s="7"/>
      <c r="AF100" s="12"/>
      <c r="AG100" s="11"/>
      <c r="AH100" s="11"/>
      <c r="AI100" s="24">
        <v>9700</v>
      </c>
      <c r="AJ100" s="24"/>
      <c r="AK100" s="7">
        <f t="shared" si="25"/>
        <v>0</v>
      </c>
      <c r="AL100" s="27">
        <f t="shared" si="31"/>
        <v>9700</v>
      </c>
      <c r="AM100" s="27"/>
      <c r="AN100" s="27">
        <v>193100</v>
      </c>
      <c r="AO100" s="27"/>
      <c r="AP100" s="7">
        <f t="shared" si="26"/>
        <v>9700</v>
      </c>
      <c r="AQ100" s="27">
        <f t="shared" si="32"/>
        <v>193100</v>
      </c>
      <c r="AR100" s="27"/>
      <c r="AS100" s="27">
        <f t="shared" si="27"/>
        <v>193100</v>
      </c>
    </row>
    <row r="101" spans="1:45" ht="39" customHeight="1">
      <c r="A101" s="138" t="s">
        <v>143</v>
      </c>
      <c r="B101" s="138"/>
      <c r="C101" s="138"/>
      <c r="D101" s="138"/>
      <c r="E101" s="50"/>
      <c r="F101" s="50"/>
      <c r="G101" s="34">
        <f>SUM(G102:G104)</f>
        <v>1445519.1</v>
      </c>
      <c r="H101" s="34">
        <f>SUM(H102:H109)</f>
        <v>2382888.7000000002</v>
      </c>
      <c r="I101" s="34">
        <f t="shared" si="16"/>
        <v>3828407.8000000003</v>
      </c>
      <c r="J101" s="34">
        <f t="shared" ref="J101:T101" si="50">SUM(J102:J104)</f>
        <v>199234.7</v>
      </c>
      <c r="K101" s="34">
        <f>SUM(K102:K109)</f>
        <v>75883.600000000006</v>
      </c>
      <c r="L101" s="34"/>
      <c r="M101" s="34">
        <f t="shared" si="34"/>
        <v>3828407.8000000003</v>
      </c>
      <c r="N101" s="34">
        <f t="shared" si="2"/>
        <v>275118.30000000005</v>
      </c>
      <c r="O101" s="34">
        <f t="shared" si="50"/>
        <v>231064</v>
      </c>
      <c r="P101" s="34">
        <f>SUM(P102:P109)</f>
        <v>60000</v>
      </c>
      <c r="Q101" s="34"/>
      <c r="R101" s="34">
        <f t="shared" si="35"/>
        <v>275118.30000000005</v>
      </c>
      <c r="S101" s="34">
        <f t="shared" si="4"/>
        <v>291064</v>
      </c>
      <c r="T101" s="34">
        <f t="shared" si="50"/>
        <v>375588</v>
      </c>
      <c r="U101" s="34">
        <f>SUM(U102:U109)</f>
        <v>60000</v>
      </c>
      <c r="V101" s="34"/>
      <c r="W101" s="34"/>
      <c r="X101" s="34">
        <f>X102+X103+X104+X105+X109+X110+X111</f>
        <v>447093.9</v>
      </c>
      <c r="Y101" s="7">
        <f t="shared" si="28"/>
        <v>4275501.7</v>
      </c>
      <c r="Z101" s="7">
        <f t="shared" si="29"/>
        <v>275118.30000000005</v>
      </c>
      <c r="AA101" s="7">
        <f>AA102+AA103+AA104+AA105+AA109+AA110+AA111</f>
        <v>10000</v>
      </c>
      <c r="AB101" s="7">
        <f>AB112+AB113</f>
        <v>437426.5</v>
      </c>
      <c r="AC101" s="7">
        <f t="shared" si="24"/>
        <v>4712928.2</v>
      </c>
      <c r="AD101" s="7">
        <f t="shared" si="30"/>
        <v>285118.30000000005</v>
      </c>
      <c r="AE101" s="7">
        <f t="shared" si="33"/>
        <v>291064</v>
      </c>
      <c r="AF101" s="12">
        <f t="shared" si="18"/>
        <v>435588</v>
      </c>
      <c r="AG101" s="11"/>
      <c r="AH101" s="11"/>
      <c r="AI101" s="7">
        <f>AI102+AI103+AI104+AI105+AI109+AI110+AI111</f>
        <v>20000</v>
      </c>
      <c r="AJ101" s="7">
        <f>AJ112+AJ113</f>
        <v>5000</v>
      </c>
      <c r="AK101" s="7">
        <f t="shared" si="25"/>
        <v>290118.30000000005</v>
      </c>
      <c r="AL101" s="27">
        <f t="shared" si="31"/>
        <v>311064</v>
      </c>
      <c r="AM101" s="27">
        <f t="shared" si="36"/>
        <v>435588</v>
      </c>
      <c r="AN101" s="7">
        <f>AN102+AN103+AN104+AN105+AN109+AN110+AN111</f>
        <v>20000</v>
      </c>
      <c r="AO101" s="7">
        <f>AO112+AO113</f>
        <v>15000</v>
      </c>
      <c r="AP101" s="7">
        <f t="shared" si="26"/>
        <v>326064</v>
      </c>
      <c r="AQ101" s="27">
        <f t="shared" si="32"/>
        <v>455588</v>
      </c>
      <c r="AR101" s="7">
        <f>AR112+AR113</f>
        <v>15000</v>
      </c>
      <c r="AS101" s="27">
        <f t="shared" si="27"/>
        <v>470588</v>
      </c>
    </row>
    <row r="102" spans="1:45" ht="114.75" customHeight="1" outlineLevel="1">
      <c r="A102" s="70" t="s">
        <v>154</v>
      </c>
      <c r="B102" s="32" t="s">
        <v>55</v>
      </c>
      <c r="C102" s="33" t="s">
        <v>36</v>
      </c>
      <c r="D102" s="33" t="s">
        <v>6</v>
      </c>
      <c r="E102" s="33" t="s">
        <v>41</v>
      </c>
      <c r="F102" s="33" t="s">
        <v>34</v>
      </c>
      <c r="G102" s="71">
        <v>1029108.1</v>
      </c>
      <c r="H102" s="71"/>
      <c r="I102" s="34">
        <f t="shared" si="16"/>
        <v>1029108.1</v>
      </c>
      <c r="J102" s="72">
        <v>76811.100000000006</v>
      </c>
      <c r="K102" s="72">
        <v>25928.9</v>
      </c>
      <c r="L102" s="72"/>
      <c r="M102" s="34">
        <f t="shared" si="34"/>
        <v>1029108.1</v>
      </c>
      <c r="N102" s="34">
        <f t="shared" si="2"/>
        <v>102740</v>
      </c>
      <c r="O102" s="34">
        <v>140430</v>
      </c>
      <c r="P102" s="34"/>
      <c r="Q102" s="34"/>
      <c r="R102" s="34">
        <f t="shared" si="35"/>
        <v>102740</v>
      </c>
      <c r="S102" s="34">
        <f t="shared" si="4"/>
        <v>140430</v>
      </c>
      <c r="T102" s="72">
        <v>375588</v>
      </c>
      <c r="U102" s="41"/>
      <c r="V102" s="41"/>
      <c r="W102" s="41"/>
      <c r="X102" s="39">
        <v>-4000</v>
      </c>
      <c r="Y102" s="7">
        <f t="shared" si="28"/>
        <v>1025108.1</v>
      </c>
      <c r="Z102" s="7">
        <f t="shared" si="29"/>
        <v>102740</v>
      </c>
      <c r="AA102" s="7"/>
      <c r="AB102" s="7"/>
      <c r="AC102" s="7">
        <f t="shared" si="24"/>
        <v>1025108.1</v>
      </c>
      <c r="AD102" s="7">
        <f t="shared" si="30"/>
        <v>102740</v>
      </c>
      <c r="AE102" s="7">
        <f t="shared" si="33"/>
        <v>140430</v>
      </c>
      <c r="AF102" s="12">
        <f t="shared" si="18"/>
        <v>375588</v>
      </c>
      <c r="AG102" s="11"/>
      <c r="AH102" s="11"/>
      <c r="AI102" s="24">
        <v>-4000</v>
      </c>
      <c r="AJ102" s="24"/>
      <c r="AK102" s="7">
        <f t="shared" si="25"/>
        <v>102740</v>
      </c>
      <c r="AL102" s="27">
        <f t="shared" si="31"/>
        <v>136430</v>
      </c>
      <c r="AM102" s="27">
        <f t="shared" si="36"/>
        <v>375588</v>
      </c>
      <c r="AN102" s="27"/>
      <c r="AO102" s="27"/>
      <c r="AP102" s="7">
        <f t="shared" si="26"/>
        <v>136430</v>
      </c>
      <c r="AQ102" s="27">
        <f t="shared" si="32"/>
        <v>375588</v>
      </c>
      <c r="AR102" s="27"/>
      <c r="AS102" s="27">
        <f t="shared" si="27"/>
        <v>375588</v>
      </c>
    </row>
    <row r="103" spans="1:45" ht="114" customHeight="1" outlineLevel="1">
      <c r="A103" s="70" t="s">
        <v>155</v>
      </c>
      <c r="B103" s="32" t="s">
        <v>156</v>
      </c>
      <c r="C103" s="33" t="s">
        <v>5</v>
      </c>
      <c r="D103" s="33" t="s">
        <v>6</v>
      </c>
      <c r="E103" s="33" t="s">
        <v>41</v>
      </c>
      <c r="F103" s="33" t="s">
        <v>75</v>
      </c>
      <c r="G103" s="71">
        <v>134003.1</v>
      </c>
      <c r="H103" s="72">
        <v>1954.7</v>
      </c>
      <c r="I103" s="34">
        <f t="shared" si="16"/>
        <v>135957.80000000002</v>
      </c>
      <c r="J103" s="72">
        <v>43369.1</v>
      </c>
      <c r="K103" s="72">
        <v>1954.7</v>
      </c>
      <c r="L103" s="72"/>
      <c r="M103" s="34">
        <f t="shared" si="34"/>
        <v>135957.80000000002</v>
      </c>
      <c r="N103" s="34">
        <f t="shared" si="2"/>
        <v>45323.799999999996</v>
      </c>
      <c r="O103" s="34">
        <v>90634</v>
      </c>
      <c r="P103" s="34"/>
      <c r="Q103" s="34"/>
      <c r="R103" s="34">
        <f t="shared" si="35"/>
        <v>45323.799999999996</v>
      </c>
      <c r="S103" s="34">
        <f t="shared" si="4"/>
        <v>90634</v>
      </c>
      <c r="T103" s="72">
        <v>0</v>
      </c>
      <c r="U103" s="41"/>
      <c r="V103" s="41"/>
      <c r="W103" s="41"/>
      <c r="X103" s="41"/>
      <c r="Y103" s="7">
        <f t="shared" si="28"/>
        <v>135957.80000000002</v>
      </c>
      <c r="Z103" s="7">
        <f t="shared" si="29"/>
        <v>45323.799999999996</v>
      </c>
      <c r="AA103" s="7"/>
      <c r="AB103" s="7"/>
      <c r="AC103" s="7">
        <f t="shared" si="24"/>
        <v>135957.80000000002</v>
      </c>
      <c r="AD103" s="7">
        <f t="shared" si="30"/>
        <v>45323.799999999996</v>
      </c>
      <c r="AE103" s="7">
        <f t="shared" si="33"/>
        <v>90634</v>
      </c>
      <c r="AF103" s="12">
        <f t="shared" si="18"/>
        <v>0</v>
      </c>
      <c r="AG103" s="11"/>
      <c r="AH103" s="11"/>
      <c r="AI103" s="31"/>
      <c r="AJ103" s="31"/>
      <c r="AK103" s="7">
        <f t="shared" si="25"/>
        <v>45323.799999999996</v>
      </c>
      <c r="AL103" s="27">
        <f t="shared" si="31"/>
        <v>90634</v>
      </c>
      <c r="AM103" s="27">
        <f t="shared" si="36"/>
        <v>0</v>
      </c>
      <c r="AN103" s="27"/>
      <c r="AO103" s="27"/>
      <c r="AP103" s="7">
        <f t="shared" si="26"/>
        <v>90634</v>
      </c>
      <c r="AQ103" s="27">
        <f t="shared" si="32"/>
        <v>0</v>
      </c>
      <c r="AR103" s="27"/>
      <c r="AS103" s="27">
        <f t="shared" si="27"/>
        <v>0</v>
      </c>
    </row>
    <row r="104" spans="1:45" ht="130.5" customHeight="1" outlineLevel="1">
      <c r="A104" s="73" t="s">
        <v>157</v>
      </c>
      <c r="B104" s="74" t="s">
        <v>66</v>
      </c>
      <c r="C104" s="74" t="s">
        <v>30</v>
      </c>
      <c r="D104" s="74" t="s">
        <v>6</v>
      </c>
      <c r="E104" s="74" t="s">
        <v>26</v>
      </c>
      <c r="F104" s="75" t="s">
        <v>22</v>
      </c>
      <c r="G104" s="52">
        <v>282407.90000000002</v>
      </c>
      <c r="H104" s="52"/>
      <c r="I104" s="34">
        <f t="shared" si="16"/>
        <v>282407.90000000002</v>
      </c>
      <c r="J104" s="52">
        <v>79054.5</v>
      </c>
      <c r="K104" s="52"/>
      <c r="L104" s="52"/>
      <c r="M104" s="34">
        <f t="shared" si="34"/>
        <v>282407.90000000002</v>
      </c>
      <c r="N104" s="34">
        <f t="shared" si="2"/>
        <v>79054.5</v>
      </c>
      <c r="O104" s="34">
        <v>0</v>
      </c>
      <c r="P104" s="34"/>
      <c r="Q104" s="34"/>
      <c r="R104" s="34">
        <f t="shared" si="35"/>
        <v>79054.5</v>
      </c>
      <c r="S104" s="34">
        <f t="shared" si="4"/>
        <v>0</v>
      </c>
      <c r="T104" s="34">
        <v>0</v>
      </c>
      <c r="U104" s="41"/>
      <c r="V104" s="41"/>
      <c r="W104" s="41"/>
      <c r="X104" s="41"/>
      <c r="Y104" s="7">
        <f t="shared" si="28"/>
        <v>282407.90000000002</v>
      </c>
      <c r="Z104" s="7">
        <f t="shared" si="29"/>
        <v>79054.5</v>
      </c>
      <c r="AA104" s="7"/>
      <c r="AB104" s="7"/>
      <c r="AC104" s="7">
        <f t="shared" si="24"/>
        <v>282407.90000000002</v>
      </c>
      <c r="AD104" s="7">
        <f t="shared" si="30"/>
        <v>79054.5</v>
      </c>
      <c r="AE104" s="7">
        <f t="shared" si="33"/>
        <v>0</v>
      </c>
      <c r="AF104" s="12">
        <f t="shared" si="18"/>
        <v>0</v>
      </c>
      <c r="AG104" s="11"/>
      <c r="AH104" s="11"/>
      <c r="AI104" s="31"/>
      <c r="AJ104" s="31"/>
      <c r="AK104" s="7">
        <f t="shared" si="25"/>
        <v>79054.5</v>
      </c>
      <c r="AL104" s="27">
        <f t="shared" si="31"/>
        <v>0</v>
      </c>
      <c r="AM104" s="27">
        <f t="shared" si="36"/>
        <v>0</v>
      </c>
      <c r="AN104" s="27"/>
      <c r="AO104" s="27"/>
      <c r="AP104" s="7">
        <f t="shared" si="26"/>
        <v>0</v>
      </c>
      <c r="AQ104" s="27">
        <f t="shared" si="32"/>
        <v>0</v>
      </c>
      <c r="AR104" s="27"/>
      <c r="AS104" s="27">
        <f t="shared" si="27"/>
        <v>0</v>
      </c>
    </row>
    <row r="105" spans="1:45" ht="130.5" customHeight="1" outlineLevel="1">
      <c r="A105" s="76" t="s">
        <v>242</v>
      </c>
      <c r="B105" s="69" t="s">
        <v>21</v>
      </c>
      <c r="C105" s="69" t="s">
        <v>213</v>
      </c>
      <c r="D105" s="69" t="s">
        <v>6</v>
      </c>
      <c r="E105" s="69" t="s">
        <v>29</v>
      </c>
      <c r="F105" s="77" t="s">
        <v>96</v>
      </c>
      <c r="G105" s="78"/>
      <c r="H105" s="78">
        <v>51034</v>
      </c>
      <c r="I105" s="38">
        <f t="shared" si="16"/>
        <v>51034</v>
      </c>
      <c r="J105" s="52"/>
      <c r="K105" s="52">
        <v>28000</v>
      </c>
      <c r="L105" s="52"/>
      <c r="M105" s="34">
        <f t="shared" si="34"/>
        <v>51034</v>
      </c>
      <c r="N105" s="34">
        <f t="shared" si="2"/>
        <v>28000</v>
      </c>
      <c r="O105" s="34"/>
      <c r="P105" s="34"/>
      <c r="Q105" s="34"/>
      <c r="R105" s="34">
        <f t="shared" si="35"/>
        <v>28000</v>
      </c>
      <c r="S105" s="34">
        <v>0</v>
      </c>
      <c r="T105" s="34"/>
      <c r="U105" s="41"/>
      <c r="V105" s="41"/>
      <c r="W105" s="41"/>
      <c r="X105" s="41"/>
      <c r="Y105" s="7">
        <f t="shared" si="28"/>
        <v>51034</v>
      </c>
      <c r="Z105" s="7">
        <f t="shared" si="29"/>
        <v>28000</v>
      </c>
      <c r="AA105" s="7"/>
      <c r="AB105" s="7"/>
      <c r="AC105" s="7">
        <f t="shared" si="24"/>
        <v>51034</v>
      </c>
      <c r="AD105" s="7">
        <f t="shared" si="30"/>
        <v>28000</v>
      </c>
      <c r="AE105" s="7">
        <f t="shared" si="33"/>
        <v>0</v>
      </c>
      <c r="AF105" s="12">
        <v>0</v>
      </c>
      <c r="AG105" s="11"/>
      <c r="AH105" s="11"/>
      <c r="AI105" s="31"/>
      <c r="AJ105" s="31"/>
      <c r="AK105" s="7">
        <f t="shared" si="25"/>
        <v>28000</v>
      </c>
      <c r="AL105" s="27">
        <f t="shared" si="31"/>
        <v>0</v>
      </c>
      <c r="AM105" s="27">
        <f t="shared" si="36"/>
        <v>0</v>
      </c>
      <c r="AN105" s="27"/>
      <c r="AO105" s="27"/>
      <c r="AP105" s="7">
        <f t="shared" si="26"/>
        <v>0</v>
      </c>
      <c r="AQ105" s="27">
        <f t="shared" si="32"/>
        <v>0</v>
      </c>
      <c r="AR105" s="27"/>
      <c r="AS105" s="27">
        <f t="shared" si="27"/>
        <v>0</v>
      </c>
    </row>
    <row r="106" spans="1:45" ht="130.5" hidden="1" customHeight="1" outlineLevel="1">
      <c r="A106" s="76"/>
      <c r="B106" s="69"/>
      <c r="C106" s="69"/>
      <c r="D106" s="69"/>
      <c r="E106" s="69"/>
      <c r="F106" s="77"/>
      <c r="G106" s="78"/>
      <c r="H106" s="78"/>
      <c r="I106" s="38"/>
      <c r="J106" s="52"/>
      <c r="K106" s="52"/>
      <c r="L106" s="52"/>
      <c r="M106" s="34">
        <f t="shared" si="34"/>
        <v>0</v>
      </c>
      <c r="N106" s="34"/>
      <c r="O106" s="34"/>
      <c r="P106" s="34"/>
      <c r="Q106" s="34"/>
      <c r="R106" s="34">
        <f t="shared" si="35"/>
        <v>0</v>
      </c>
      <c r="S106" s="34"/>
      <c r="T106" s="34"/>
      <c r="U106" s="41"/>
      <c r="V106" s="41"/>
      <c r="W106" s="41"/>
      <c r="X106" s="41"/>
      <c r="Y106" s="7">
        <f t="shared" si="28"/>
        <v>0</v>
      </c>
      <c r="Z106" s="7">
        <f t="shared" si="29"/>
        <v>0</v>
      </c>
      <c r="AA106" s="7"/>
      <c r="AB106" s="7"/>
      <c r="AC106" s="7">
        <f t="shared" si="24"/>
        <v>0</v>
      </c>
      <c r="AD106" s="7">
        <f t="shared" si="30"/>
        <v>0</v>
      </c>
      <c r="AE106" s="7">
        <f t="shared" si="33"/>
        <v>0</v>
      </c>
      <c r="AF106" s="12"/>
      <c r="AG106" s="11"/>
      <c r="AH106" s="11"/>
      <c r="AI106" s="31"/>
      <c r="AJ106" s="31"/>
      <c r="AK106" s="7">
        <f t="shared" si="25"/>
        <v>0</v>
      </c>
      <c r="AL106" s="27">
        <f t="shared" si="31"/>
        <v>0</v>
      </c>
      <c r="AM106" s="27">
        <f t="shared" si="36"/>
        <v>0</v>
      </c>
      <c r="AN106" s="27"/>
      <c r="AO106" s="27"/>
      <c r="AP106" s="7">
        <f t="shared" si="26"/>
        <v>0</v>
      </c>
      <c r="AQ106" s="27">
        <f t="shared" si="32"/>
        <v>0</v>
      </c>
      <c r="AR106" s="27"/>
      <c r="AS106" s="27">
        <f t="shared" si="27"/>
        <v>0</v>
      </c>
    </row>
    <row r="107" spans="1:45" ht="130.5" hidden="1" customHeight="1" outlineLevel="1">
      <c r="A107" s="76"/>
      <c r="B107" s="69"/>
      <c r="C107" s="69"/>
      <c r="D107" s="69"/>
      <c r="E107" s="69"/>
      <c r="F107" s="77"/>
      <c r="G107" s="78"/>
      <c r="H107" s="78"/>
      <c r="I107" s="38"/>
      <c r="J107" s="52"/>
      <c r="K107" s="52"/>
      <c r="L107" s="52"/>
      <c r="M107" s="34">
        <f t="shared" si="34"/>
        <v>0</v>
      </c>
      <c r="N107" s="34"/>
      <c r="O107" s="34"/>
      <c r="P107" s="34"/>
      <c r="Q107" s="34"/>
      <c r="R107" s="34">
        <f t="shared" si="35"/>
        <v>0</v>
      </c>
      <c r="S107" s="34"/>
      <c r="T107" s="34"/>
      <c r="U107" s="41"/>
      <c r="V107" s="41"/>
      <c r="W107" s="41"/>
      <c r="X107" s="41"/>
      <c r="Y107" s="7">
        <f t="shared" si="28"/>
        <v>0</v>
      </c>
      <c r="Z107" s="7">
        <f t="shared" si="29"/>
        <v>0</v>
      </c>
      <c r="AA107" s="7"/>
      <c r="AB107" s="7"/>
      <c r="AC107" s="7">
        <f t="shared" si="24"/>
        <v>0</v>
      </c>
      <c r="AD107" s="7">
        <f t="shared" si="30"/>
        <v>0</v>
      </c>
      <c r="AE107" s="7">
        <f t="shared" si="33"/>
        <v>0</v>
      </c>
      <c r="AF107" s="12"/>
      <c r="AG107" s="11"/>
      <c r="AH107" s="11"/>
      <c r="AI107" s="31"/>
      <c r="AJ107" s="31"/>
      <c r="AK107" s="7">
        <f t="shared" si="25"/>
        <v>0</v>
      </c>
      <c r="AL107" s="27">
        <f t="shared" si="31"/>
        <v>0</v>
      </c>
      <c r="AM107" s="27">
        <f t="shared" si="36"/>
        <v>0</v>
      </c>
      <c r="AN107" s="27"/>
      <c r="AO107" s="27"/>
      <c r="AP107" s="7">
        <f t="shared" si="26"/>
        <v>0</v>
      </c>
      <c r="AQ107" s="27">
        <f t="shared" si="32"/>
        <v>0</v>
      </c>
      <c r="AR107" s="27"/>
      <c r="AS107" s="27">
        <f t="shared" si="27"/>
        <v>0</v>
      </c>
    </row>
    <row r="108" spans="1:45" ht="130.5" hidden="1" customHeight="1" outlineLevel="1">
      <c r="A108" s="76"/>
      <c r="B108" s="69"/>
      <c r="C108" s="69"/>
      <c r="D108" s="69"/>
      <c r="E108" s="69"/>
      <c r="F108" s="77"/>
      <c r="G108" s="78"/>
      <c r="H108" s="78"/>
      <c r="I108" s="38"/>
      <c r="J108" s="52"/>
      <c r="K108" s="52"/>
      <c r="L108" s="52"/>
      <c r="M108" s="34">
        <f t="shared" si="34"/>
        <v>0</v>
      </c>
      <c r="N108" s="34"/>
      <c r="O108" s="34"/>
      <c r="P108" s="34"/>
      <c r="Q108" s="34"/>
      <c r="R108" s="34">
        <f t="shared" si="35"/>
        <v>0</v>
      </c>
      <c r="S108" s="34"/>
      <c r="T108" s="34"/>
      <c r="U108" s="41"/>
      <c r="V108" s="41"/>
      <c r="W108" s="41"/>
      <c r="X108" s="41"/>
      <c r="Y108" s="7">
        <f t="shared" si="28"/>
        <v>0</v>
      </c>
      <c r="Z108" s="7">
        <f t="shared" si="29"/>
        <v>0</v>
      </c>
      <c r="AA108" s="7"/>
      <c r="AB108" s="7"/>
      <c r="AC108" s="7">
        <f t="shared" si="24"/>
        <v>0</v>
      </c>
      <c r="AD108" s="7">
        <f t="shared" si="30"/>
        <v>0</v>
      </c>
      <c r="AE108" s="7">
        <f t="shared" si="33"/>
        <v>0</v>
      </c>
      <c r="AF108" s="12"/>
      <c r="AG108" s="11"/>
      <c r="AH108" s="11"/>
      <c r="AI108" s="31"/>
      <c r="AJ108" s="31"/>
      <c r="AK108" s="7">
        <f t="shared" si="25"/>
        <v>0</v>
      </c>
      <c r="AL108" s="27">
        <f t="shared" si="31"/>
        <v>0</v>
      </c>
      <c r="AM108" s="27">
        <f t="shared" si="36"/>
        <v>0</v>
      </c>
      <c r="AN108" s="27"/>
      <c r="AO108" s="27"/>
      <c r="AP108" s="7">
        <f t="shared" si="26"/>
        <v>0</v>
      </c>
      <c r="AQ108" s="27">
        <f t="shared" si="32"/>
        <v>0</v>
      </c>
      <c r="AR108" s="27"/>
      <c r="AS108" s="27">
        <f t="shared" si="27"/>
        <v>0</v>
      </c>
    </row>
    <row r="109" spans="1:45" ht="130.5" customHeight="1" outlineLevel="1">
      <c r="A109" s="76" t="s">
        <v>214</v>
      </c>
      <c r="B109" s="69" t="s">
        <v>218</v>
      </c>
      <c r="C109" s="69" t="s">
        <v>219</v>
      </c>
      <c r="D109" s="69" t="s">
        <v>6</v>
      </c>
      <c r="E109" s="69" t="s">
        <v>31</v>
      </c>
      <c r="F109" s="77" t="s">
        <v>136</v>
      </c>
      <c r="G109" s="78"/>
      <c r="H109" s="78">
        <v>2329900</v>
      </c>
      <c r="I109" s="38">
        <f t="shared" si="16"/>
        <v>2329900</v>
      </c>
      <c r="J109" s="52"/>
      <c r="K109" s="52">
        <v>20000</v>
      </c>
      <c r="L109" s="52"/>
      <c r="M109" s="34">
        <f t="shared" si="34"/>
        <v>2329900</v>
      </c>
      <c r="N109" s="34">
        <f t="shared" ref="N109" si="51">J109+K109</f>
        <v>20000</v>
      </c>
      <c r="O109" s="34"/>
      <c r="P109" s="34">
        <v>60000</v>
      </c>
      <c r="Q109" s="34"/>
      <c r="R109" s="34">
        <f t="shared" si="35"/>
        <v>20000</v>
      </c>
      <c r="S109" s="34">
        <f t="shared" ref="S109" si="52">O109+P109</f>
        <v>60000</v>
      </c>
      <c r="T109" s="34"/>
      <c r="U109" s="39">
        <v>60000</v>
      </c>
      <c r="V109" s="39"/>
      <c r="W109" s="39"/>
      <c r="X109" s="39"/>
      <c r="Y109" s="7">
        <f t="shared" si="28"/>
        <v>2329900</v>
      </c>
      <c r="Z109" s="7">
        <f t="shared" si="29"/>
        <v>20000</v>
      </c>
      <c r="AA109" s="7"/>
      <c r="AB109" s="7"/>
      <c r="AC109" s="7">
        <f t="shared" si="24"/>
        <v>2329900</v>
      </c>
      <c r="AD109" s="7">
        <f t="shared" si="30"/>
        <v>20000</v>
      </c>
      <c r="AE109" s="7">
        <f t="shared" si="33"/>
        <v>60000</v>
      </c>
      <c r="AF109" s="7">
        <f t="shared" ref="AF109" si="53">T109+U109</f>
        <v>60000</v>
      </c>
      <c r="AG109" s="11"/>
      <c r="AH109" s="11"/>
      <c r="AI109" s="31"/>
      <c r="AJ109" s="31"/>
      <c r="AK109" s="7">
        <f t="shared" si="25"/>
        <v>20000</v>
      </c>
      <c r="AL109" s="27">
        <f t="shared" si="31"/>
        <v>60000</v>
      </c>
      <c r="AM109" s="27">
        <f t="shared" si="36"/>
        <v>60000</v>
      </c>
      <c r="AN109" s="27"/>
      <c r="AO109" s="27"/>
      <c r="AP109" s="7">
        <f t="shared" si="26"/>
        <v>60000</v>
      </c>
      <c r="AQ109" s="27">
        <f t="shared" si="32"/>
        <v>60000</v>
      </c>
      <c r="AR109" s="27"/>
      <c r="AS109" s="27">
        <f t="shared" si="27"/>
        <v>60000</v>
      </c>
    </row>
    <row r="110" spans="1:45" ht="130.5" customHeight="1" outlineLevel="1">
      <c r="A110" s="76" t="s">
        <v>341</v>
      </c>
      <c r="B110" s="69" t="s">
        <v>21</v>
      </c>
      <c r="C110" s="69" t="s">
        <v>310</v>
      </c>
      <c r="D110" s="69" t="s">
        <v>6</v>
      </c>
      <c r="E110" s="33" t="s">
        <v>41</v>
      </c>
      <c r="F110" s="77" t="s">
        <v>97</v>
      </c>
      <c r="G110" s="78"/>
      <c r="H110" s="78"/>
      <c r="I110" s="38"/>
      <c r="J110" s="52"/>
      <c r="K110" s="52"/>
      <c r="L110" s="52"/>
      <c r="M110" s="34"/>
      <c r="N110" s="34"/>
      <c r="O110" s="34"/>
      <c r="P110" s="34"/>
      <c r="Q110" s="34"/>
      <c r="R110" s="34"/>
      <c r="S110" s="34"/>
      <c r="T110" s="34"/>
      <c r="U110" s="39"/>
      <c r="V110" s="39"/>
      <c r="W110" s="39"/>
      <c r="X110" s="39">
        <v>4000</v>
      </c>
      <c r="Y110" s="7">
        <f t="shared" si="28"/>
        <v>4000</v>
      </c>
      <c r="Z110" s="7"/>
      <c r="AA110" s="7"/>
      <c r="AB110" s="7"/>
      <c r="AC110" s="7">
        <f t="shared" si="24"/>
        <v>4000</v>
      </c>
      <c r="AD110" s="7">
        <f t="shared" si="30"/>
        <v>0</v>
      </c>
      <c r="AE110" s="7"/>
      <c r="AF110" s="7"/>
      <c r="AG110" s="11"/>
      <c r="AH110" s="11"/>
      <c r="AI110" s="24">
        <v>4000</v>
      </c>
      <c r="AJ110" s="24"/>
      <c r="AK110" s="7">
        <f t="shared" si="25"/>
        <v>0</v>
      </c>
      <c r="AL110" s="27">
        <f t="shared" si="31"/>
        <v>4000</v>
      </c>
      <c r="AM110" s="27"/>
      <c r="AN110" s="27"/>
      <c r="AO110" s="27"/>
      <c r="AP110" s="7">
        <f t="shared" si="26"/>
        <v>4000</v>
      </c>
      <c r="AQ110" s="27">
        <f t="shared" si="32"/>
        <v>0</v>
      </c>
      <c r="AR110" s="27"/>
      <c r="AS110" s="27">
        <f t="shared" si="27"/>
        <v>0</v>
      </c>
    </row>
    <row r="111" spans="1:45" ht="130.5" customHeight="1" outlineLevel="1">
      <c r="A111" s="73" t="s">
        <v>342</v>
      </c>
      <c r="B111" s="69" t="s">
        <v>311</v>
      </c>
      <c r="C111" s="74" t="s">
        <v>30</v>
      </c>
      <c r="D111" s="74" t="s">
        <v>6</v>
      </c>
      <c r="E111" s="74" t="s">
        <v>26</v>
      </c>
      <c r="F111" s="75" t="s">
        <v>312</v>
      </c>
      <c r="G111" s="78"/>
      <c r="H111" s="78"/>
      <c r="I111" s="38"/>
      <c r="J111" s="52"/>
      <c r="K111" s="52"/>
      <c r="L111" s="52"/>
      <c r="M111" s="34"/>
      <c r="N111" s="34"/>
      <c r="O111" s="34"/>
      <c r="P111" s="34"/>
      <c r="Q111" s="34"/>
      <c r="R111" s="34"/>
      <c r="S111" s="34"/>
      <c r="T111" s="34"/>
      <c r="U111" s="39"/>
      <c r="V111" s="39"/>
      <c r="W111" s="39"/>
      <c r="X111" s="39">
        <v>447093.9</v>
      </c>
      <c r="Y111" s="7">
        <f t="shared" si="28"/>
        <v>447093.9</v>
      </c>
      <c r="Z111" s="7"/>
      <c r="AA111" s="7">
        <v>10000</v>
      </c>
      <c r="AB111" s="7"/>
      <c r="AC111" s="7">
        <f t="shared" si="24"/>
        <v>447093.9</v>
      </c>
      <c r="AD111" s="7">
        <f t="shared" si="30"/>
        <v>10000</v>
      </c>
      <c r="AE111" s="7"/>
      <c r="AF111" s="7"/>
      <c r="AG111" s="11"/>
      <c r="AH111" s="11"/>
      <c r="AI111" s="24">
        <v>20000</v>
      </c>
      <c r="AJ111" s="24"/>
      <c r="AK111" s="7">
        <f t="shared" si="25"/>
        <v>10000</v>
      </c>
      <c r="AL111" s="27">
        <f t="shared" si="31"/>
        <v>20000</v>
      </c>
      <c r="AM111" s="27"/>
      <c r="AN111" s="27">
        <v>20000</v>
      </c>
      <c r="AO111" s="27"/>
      <c r="AP111" s="7">
        <f t="shared" si="26"/>
        <v>20000</v>
      </c>
      <c r="AQ111" s="27">
        <f t="shared" si="32"/>
        <v>20000</v>
      </c>
      <c r="AR111" s="27"/>
      <c r="AS111" s="27">
        <f t="shared" si="27"/>
        <v>20000</v>
      </c>
    </row>
    <row r="112" spans="1:45" ht="130.5" customHeight="1" outlineLevel="1">
      <c r="A112" s="73" t="s">
        <v>358</v>
      </c>
      <c r="B112" s="69" t="s">
        <v>360</v>
      </c>
      <c r="C112" s="74" t="s">
        <v>30</v>
      </c>
      <c r="D112" s="74" t="s">
        <v>6</v>
      </c>
      <c r="E112" s="74" t="s">
        <v>359</v>
      </c>
      <c r="F112" s="77" t="s">
        <v>136</v>
      </c>
      <c r="G112" s="78"/>
      <c r="H112" s="78"/>
      <c r="I112" s="38"/>
      <c r="J112" s="52"/>
      <c r="K112" s="52"/>
      <c r="L112" s="52"/>
      <c r="M112" s="34"/>
      <c r="N112" s="34"/>
      <c r="O112" s="34"/>
      <c r="P112" s="34"/>
      <c r="Q112" s="34"/>
      <c r="R112" s="34"/>
      <c r="S112" s="34"/>
      <c r="T112" s="34"/>
      <c r="U112" s="39"/>
      <c r="V112" s="39"/>
      <c r="W112" s="39"/>
      <c r="X112" s="39"/>
      <c r="Y112" s="7"/>
      <c r="Z112" s="7"/>
      <c r="AA112" s="7"/>
      <c r="AB112" s="7">
        <v>95000</v>
      </c>
      <c r="AC112" s="7">
        <f>AB112</f>
        <v>95000</v>
      </c>
      <c r="AD112" s="7"/>
      <c r="AE112" s="7"/>
      <c r="AF112" s="7"/>
      <c r="AG112" s="11"/>
      <c r="AH112" s="11"/>
      <c r="AI112" s="24"/>
      <c r="AJ112" s="24">
        <v>5000</v>
      </c>
      <c r="AK112" s="7">
        <f>AJ112</f>
        <v>5000</v>
      </c>
      <c r="AL112" s="27"/>
      <c r="AM112" s="27"/>
      <c r="AN112" s="27"/>
      <c r="AO112" s="27">
        <v>5000</v>
      </c>
      <c r="AP112" s="7">
        <f>AO112</f>
        <v>5000</v>
      </c>
      <c r="AQ112" s="27"/>
      <c r="AR112" s="27">
        <v>5000</v>
      </c>
      <c r="AS112" s="27">
        <f>AR112</f>
        <v>5000</v>
      </c>
    </row>
    <row r="113" spans="1:47" ht="130.5" customHeight="1" outlineLevel="1">
      <c r="A113" s="73" t="s">
        <v>365</v>
      </c>
      <c r="B113" s="69" t="s">
        <v>367</v>
      </c>
      <c r="C113" s="74" t="s">
        <v>30</v>
      </c>
      <c r="D113" s="74" t="s">
        <v>6</v>
      </c>
      <c r="E113" s="74" t="s">
        <v>31</v>
      </c>
      <c r="F113" s="75" t="s">
        <v>366</v>
      </c>
      <c r="G113" s="78"/>
      <c r="H113" s="78"/>
      <c r="I113" s="38"/>
      <c r="J113" s="52"/>
      <c r="K113" s="52"/>
      <c r="L113" s="52"/>
      <c r="M113" s="34"/>
      <c r="N113" s="34"/>
      <c r="O113" s="34"/>
      <c r="P113" s="34"/>
      <c r="Q113" s="34"/>
      <c r="R113" s="34"/>
      <c r="S113" s="34"/>
      <c r="T113" s="34"/>
      <c r="U113" s="39"/>
      <c r="V113" s="39"/>
      <c r="W113" s="39"/>
      <c r="X113" s="39"/>
      <c r="Y113" s="7"/>
      <c r="Z113" s="7"/>
      <c r="AA113" s="7"/>
      <c r="AB113" s="7">
        <v>342426.5</v>
      </c>
      <c r="AC113" s="7">
        <f>AB113</f>
        <v>342426.5</v>
      </c>
      <c r="AD113" s="7"/>
      <c r="AE113" s="7"/>
      <c r="AF113" s="7"/>
      <c r="AG113" s="11"/>
      <c r="AH113" s="11"/>
      <c r="AI113" s="24"/>
      <c r="AJ113" s="7"/>
      <c r="AK113" s="7">
        <f>AJ113</f>
        <v>0</v>
      </c>
      <c r="AL113" s="7"/>
      <c r="AM113" s="27"/>
      <c r="AN113" s="27"/>
      <c r="AO113" s="7">
        <v>10000</v>
      </c>
      <c r="AP113" s="7">
        <f>AO113</f>
        <v>10000</v>
      </c>
      <c r="AQ113" s="27"/>
      <c r="AR113" s="7">
        <v>10000</v>
      </c>
      <c r="AS113" s="27">
        <f>AR113</f>
        <v>10000</v>
      </c>
    </row>
    <row r="114" spans="1:47" ht="35.25" customHeight="1" collapsed="1">
      <c r="A114" s="140" t="s">
        <v>372</v>
      </c>
      <c r="B114" s="140"/>
      <c r="C114" s="140"/>
      <c r="D114" s="140"/>
      <c r="E114" s="79"/>
      <c r="F114" s="80"/>
      <c r="G114" s="34">
        <f>SUM(G115:G121)</f>
        <v>4162538.3</v>
      </c>
      <c r="H114" s="34">
        <f>SUM(H115:H123)</f>
        <v>115721.4</v>
      </c>
      <c r="I114" s="34">
        <f>G114+H114</f>
        <v>4278259.7</v>
      </c>
      <c r="J114" s="34">
        <f>SUM(J115:J121)</f>
        <v>467584.8</v>
      </c>
      <c r="K114" s="34">
        <f>SUM(K115:K123)</f>
        <v>104378.69999999995</v>
      </c>
      <c r="L114" s="34">
        <f>L116+L118+L119+L120+L121+L122+L123</f>
        <v>0</v>
      </c>
      <c r="M114" s="34">
        <f>I114+L114</f>
        <v>4278259.7</v>
      </c>
      <c r="N114" s="34">
        <f t="shared" si="2"/>
        <v>571963.5</v>
      </c>
      <c r="O114" s="34">
        <f>SUM(O115:O121)</f>
        <v>161998.1</v>
      </c>
      <c r="P114" s="34">
        <f>SUM(P115:P123)</f>
        <v>3263.1</v>
      </c>
      <c r="Q114" s="34">
        <f>Q116+Q118+Q119+Q120+Q121+Q122+Q123</f>
        <v>165913.5</v>
      </c>
      <c r="R114" s="34">
        <f>N114+Q114-1494.35</f>
        <v>736382.65</v>
      </c>
      <c r="S114" s="34">
        <f t="shared" si="4"/>
        <v>165261.20000000001</v>
      </c>
      <c r="T114" s="34">
        <f>SUM(T115:T121)</f>
        <v>3734.1</v>
      </c>
      <c r="U114" s="34">
        <f>SUM(U115:U123)</f>
        <v>0</v>
      </c>
      <c r="V114" s="34">
        <f>V116+V118+V119+V120+V121+V122+V123</f>
        <v>0</v>
      </c>
      <c r="W114" s="34">
        <f>W116+W119+W120</f>
        <v>95611.299999999988</v>
      </c>
      <c r="X114" s="34">
        <f>X116+X118+X119+X120+X121+X122+X123</f>
        <v>371916.5</v>
      </c>
      <c r="Y114" s="7">
        <f t="shared" si="28"/>
        <v>4650176.2</v>
      </c>
      <c r="Z114" s="7">
        <f t="shared" si="29"/>
        <v>831993.95</v>
      </c>
      <c r="AA114" s="7">
        <f>AA116+AA118+AA119+AA120+AA121+AA122+AA123</f>
        <v>-156249.5</v>
      </c>
      <c r="AB114" s="7">
        <f>AB123+AB119</f>
        <v>36278.6</v>
      </c>
      <c r="AC114" s="7">
        <f t="shared" si="24"/>
        <v>4686454.8</v>
      </c>
      <c r="AD114" s="7">
        <f t="shared" si="30"/>
        <v>675744.45</v>
      </c>
      <c r="AE114" s="7">
        <f t="shared" si="33"/>
        <v>165261.20000000001</v>
      </c>
      <c r="AF114" s="12">
        <f t="shared" si="18"/>
        <v>3734.1</v>
      </c>
      <c r="AG114" s="7">
        <f>AG116+AG118+AG119+AG120+AG121+AG122+AG123</f>
        <v>0</v>
      </c>
      <c r="AH114" s="11"/>
      <c r="AI114" s="7">
        <f>AI116+AI118+AI119+AI120+AI121+AI122+AI123</f>
        <v>21918.9</v>
      </c>
      <c r="AJ114" s="7">
        <f>AJ123+AJ116+AJ118</f>
        <v>-63588.75</v>
      </c>
      <c r="AK114" s="7">
        <f t="shared" si="25"/>
        <v>612155.69999999995</v>
      </c>
      <c r="AL114" s="27">
        <f t="shared" si="31"/>
        <v>187180.1</v>
      </c>
      <c r="AM114" s="27">
        <f t="shared" si="36"/>
        <v>3734.1</v>
      </c>
      <c r="AN114" s="27"/>
      <c r="AO114" s="27">
        <f>AO119+AO116+AO118</f>
        <v>77101.399999999994</v>
      </c>
      <c r="AP114" s="7">
        <f t="shared" si="26"/>
        <v>264281.5</v>
      </c>
      <c r="AQ114" s="27">
        <f t="shared" si="32"/>
        <v>3734.1</v>
      </c>
      <c r="AR114" s="27"/>
      <c r="AS114" s="27">
        <f t="shared" si="27"/>
        <v>3734.1</v>
      </c>
    </row>
    <row r="115" spans="1:47" ht="120" hidden="1" customHeight="1" outlineLevel="1">
      <c r="A115" s="76" t="s">
        <v>178</v>
      </c>
      <c r="B115" s="37" t="s">
        <v>158</v>
      </c>
      <c r="C115" s="33" t="s">
        <v>18</v>
      </c>
      <c r="D115" s="33" t="s">
        <v>44</v>
      </c>
      <c r="E115" s="33" t="s">
        <v>47</v>
      </c>
      <c r="F115" s="81" t="s">
        <v>103</v>
      </c>
      <c r="G115" s="38">
        <v>318238.59999999998</v>
      </c>
      <c r="H115" s="38">
        <v>-318238.59999999998</v>
      </c>
      <c r="I115" s="34">
        <f t="shared" si="16"/>
        <v>0</v>
      </c>
      <c r="J115" s="52">
        <v>205398.1</v>
      </c>
      <c r="K115" s="52">
        <v>-205398.1</v>
      </c>
      <c r="L115" s="52"/>
      <c r="M115" s="34">
        <f t="shared" si="34"/>
        <v>0</v>
      </c>
      <c r="N115" s="34">
        <f t="shared" si="2"/>
        <v>0</v>
      </c>
      <c r="O115" s="34">
        <v>0</v>
      </c>
      <c r="P115" s="34"/>
      <c r="Q115" s="34"/>
      <c r="R115" s="34">
        <f t="shared" si="35"/>
        <v>0</v>
      </c>
      <c r="S115" s="34">
        <f t="shared" si="4"/>
        <v>0</v>
      </c>
      <c r="T115" s="34">
        <v>0</v>
      </c>
      <c r="U115" s="41"/>
      <c r="V115" s="41"/>
      <c r="W115" s="41"/>
      <c r="X115" s="41"/>
      <c r="Y115" s="7">
        <f t="shared" si="28"/>
        <v>0</v>
      </c>
      <c r="Z115" s="7">
        <f t="shared" si="29"/>
        <v>0</v>
      </c>
      <c r="AA115" s="7"/>
      <c r="AB115" s="7"/>
      <c r="AC115" s="7">
        <f t="shared" si="24"/>
        <v>0</v>
      </c>
      <c r="AD115" s="7">
        <f t="shared" si="30"/>
        <v>0</v>
      </c>
      <c r="AE115" s="7">
        <f t="shared" si="33"/>
        <v>0</v>
      </c>
      <c r="AF115" s="12">
        <f t="shared" si="18"/>
        <v>0</v>
      </c>
      <c r="AG115" s="11"/>
      <c r="AH115" s="11"/>
      <c r="AI115" s="31"/>
      <c r="AJ115" s="31"/>
      <c r="AK115" s="7">
        <f t="shared" si="25"/>
        <v>0</v>
      </c>
      <c r="AL115" s="27">
        <f t="shared" si="31"/>
        <v>0</v>
      </c>
      <c r="AM115" s="27">
        <f t="shared" si="36"/>
        <v>0</v>
      </c>
      <c r="AN115" s="27"/>
      <c r="AO115" s="27"/>
      <c r="AP115" s="7">
        <f t="shared" si="26"/>
        <v>0</v>
      </c>
      <c r="AQ115" s="27">
        <f t="shared" si="32"/>
        <v>0</v>
      </c>
      <c r="AR115" s="27"/>
      <c r="AS115" s="27">
        <f t="shared" si="27"/>
        <v>0</v>
      </c>
    </row>
    <row r="116" spans="1:47" ht="120" customHeight="1" outlineLevel="1">
      <c r="A116" s="76" t="s">
        <v>181</v>
      </c>
      <c r="B116" s="37" t="s">
        <v>158</v>
      </c>
      <c r="C116" s="33" t="s">
        <v>5</v>
      </c>
      <c r="D116" s="33" t="s">
        <v>16</v>
      </c>
      <c r="E116" s="33" t="s">
        <v>9</v>
      </c>
      <c r="F116" s="81" t="s">
        <v>103</v>
      </c>
      <c r="G116" s="38">
        <v>0</v>
      </c>
      <c r="H116" s="38">
        <v>318238.59999999998</v>
      </c>
      <c r="I116" s="34">
        <f>G116+H116</f>
        <v>318238.59999999998</v>
      </c>
      <c r="J116" s="52">
        <v>0</v>
      </c>
      <c r="K116" s="52">
        <f>234379.4+11038.3</f>
        <v>245417.69999999998</v>
      </c>
      <c r="L116" s="52"/>
      <c r="M116" s="34">
        <f t="shared" si="34"/>
        <v>318238.59999999998</v>
      </c>
      <c r="N116" s="34">
        <f t="shared" si="2"/>
        <v>245417.69999999998</v>
      </c>
      <c r="O116" s="34"/>
      <c r="P116" s="34"/>
      <c r="Q116" s="34"/>
      <c r="R116" s="34">
        <f t="shared" si="35"/>
        <v>245417.69999999998</v>
      </c>
      <c r="S116" s="34">
        <f t="shared" si="4"/>
        <v>0</v>
      </c>
      <c r="T116" s="34"/>
      <c r="U116" s="41"/>
      <c r="V116" s="41"/>
      <c r="W116" s="39">
        <v>-100000</v>
      </c>
      <c r="X116" s="39"/>
      <c r="Y116" s="7">
        <f t="shared" si="28"/>
        <v>318238.59999999998</v>
      </c>
      <c r="Z116" s="7">
        <f t="shared" si="29"/>
        <v>145417.69999999998</v>
      </c>
      <c r="AA116" s="7"/>
      <c r="AB116" s="7"/>
      <c r="AC116" s="7">
        <f t="shared" si="24"/>
        <v>318238.59999999998</v>
      </c>
      <c r="AD116" s="7">
        <f t="shared" si="30"/>
        <v>145417.69999999998</v>
      </c>
      <c r="AE116" s="7">
        <f t="shared" si="33"/>
        <v>0</v>
      </c>
      <c r="AF116" s="12">
        <f t="shared" si="18"/>
        <v>0</v>
      </c>
      <c r="AG116" s="11"/>
      <c r="AH116" s="11"/>
      <c r="AI116" s="31"/>
      <c r="AJ116" s="24">
        <v>-37010.6</v>
      </c>
      <c r="AK116" s="7">
        <f t="shared" si="25"/>
        <v>108407.09999999998</v>
      </c>
      <c r="AL116" s="27">
        <f t="shared" si="31"/>
        <v>0</v>
      </c>
      <c r="AM116" s="27">
        <f t="shared" si="36"/>
        <v>0</v>
      </c>
      <c r="AN116" s="27"/>
      <c r="AO116" s="27">
        <v>17514.099999999999</v>
      </c>
      <c r="AP116" s="7">
        <f t="shared" si="26"/>
        <v>17514.099999999999</v>
      </c>
      <c r="AQ116" s="27">
        <f t="shared" si="32"/>
        <v>0</v>
      </c>
      <c r="AR116" s="27"/>
      <c r="AS116" s="27">
        <f t="shared" si="27"/>
        <v>0</v>
      </c>
    </row>
    <row r="117" spans="1:47" ht="125.25" hidden="1" customHeight="1" outlineLevel="1">
      <c r="A117" s="76" t="s">
        <v>179</v>
      </c>
      <c r="B117" s="37" t="s">
        <v>115</v>
      </c>
      <c r="C117" s="33" t="s">
        <v>18</v>
      </c>
      <c r="D117" s="33" t="s">
        <v>44</v>
      </c>
      <c r="E117" s="33" t="s">
        <v>47</v>
      </c>
      <c r="F117" s="81" t="s">
        <v>103</v>
      </c>
      <c r="G117" s="38">
        <v>612113.69999999995</v>
      </c>
      <c r="H117" s="38">
        <v>-612113.69999999995</v>
      </c>
      <c r="I117" s="34">
        <f t="shared" si="16"/>
        <v>0</v>
      </c>
      <c r="J117" s="52">
        <v>109349</v>
      </c>
      <c r="K117" s="52">
        <v>-109349</v>
      </c>
      <c r="L117" s="52"/>
      <c r="M117" s="34">
        <f t="shared" si="34"/>
        <v>0</v>
      </c>
      <c r="N117" s="34">
        <f t="shared" si="2"/>
        <v>0</v>
      </c>
      <c r="O117" s="34">
        <v>0</v>
      </c>
      <c r="P117" s="34"/>
      <c r="Q117" s="34"/>
      <c r="R117" s="34">
        <f t="shared" si="35"/>
        <v>0</v>
      </c>
      <c r="S117" s="34">
        <f t="shared" si="4"/>
        <v>0</v>
      </c>
      <c r="T117" s="34">
        <v>0</v>
      </c>
      <c r="U117" s="41"/>
      <c r="V117" s="41"/>
      <c r="W117" s="39"/>
      <c r="X117" s="39"/>
      <c r="Y117" s="7">
        <f t="shared" si="28"/>
        <v>0</v>
      </c>
      <c r="Z117" s="7">
        <f t="shared" si="29"/>
        <v>0</v>
      </c>
      <c r="AA117" s="7"/>
      <c r="AB117" s="7"/>
      <c r="AC117" s="7">
        <f t="shared" si="24"/>
        <v>0</v>
      </c>
      <c r="AD117" s="7">
        <f t="shared" si="30"/>
        <v>0</v>
      </c>
      <c r="AE117" s="7">
        <f t="shared" si="33"/>
        <v>0</v>
      </c>
      <c r="AF117" s="12">
        <f t="shared" si="18"/>
        <v>0</v>
      </c>
      <c r="AG117" s="11"/>
      <c r="AH117" s="11"/>
      <c r="AI117" s="31"/>
      <c r="AJ117" s="31"/>
      <c r="AK117" s="7">
        <f t="shared" si="25"/>
        <v>0</v>
      </c>
      <c r="AL117" s="27">
        <f t="shared" si="31"/>
        <v>0</v>
      </c>
      <c r="AM117" s="27">
        <f t="shared" si="36"/>
        <v>0</v>
      </c>
      <c r="AN117" s="27"/>
      <c r="AO117" s="27"/>
      <c r="AP117" s="7">
        <f t="shared" si="26"/>
        <v>0</v>
      </c>
      <c r="AQ117" s="27">
        <f t="shared" si="32"/>
        <v>0</v>
      </c>
      <c r="AR117" s="27"/>
      <c r="AS117" s="27">
        <f t="shared" si="27"/>
        <v>0</v>
      </c>
    </row>
    <row r="118" spans="1:47" ht="125.25" customHeight="1" outlineLevel="1">
      <c r="A118" s="76" t="s">
        <v>182</v>
      </c>
      <c r="B118" s="37" t="s">
        <v>291</v>
      </c>
      <c r="C118" s="33" t="s">
        <v>5</v>
      </c>
      <c r="D118" s="33" t="s">
        <v>16</v>
      </c>
      <c r="E118" s="33" t="s">
        <v>9</v>
      </c>
      <c r="F118" s="81" t="s">
        <v>103</v>
      </c>
      <c r="G118" s="38">
        <v>0</v>
      </c>
      <c r="H118" s="38">
        <v>612113.69999999995</v>
      </c>
      <c r="I118" s="34">
        <f>H118+G118</f>
        <v>612113.69999999995</v>
      </c>
      <c r="J118" s="52">
        <v>0</v>
      </c>
      <c r="K118" s="52">
        <f>142399.3+15634.4</f>
        <v>158033.69999999998</v>
      </c>
      <c r="L118" s="52"/>
      <c r="M118" s="34">
        <f t="shared" si="34"/>
        <v>612113.69999999995</v>
      </c>
      <c r="N118" s="34">
        <f t="shared" si="2"/>
        <v>158033.69999999998</v>
      </c>
      <c r="O118" s="34">
        <v>0</v>
      </c>
      <c r="P118" s="34"/>
      <c r="Q118" s="34">
        <v>3000</v>
      </c>
      <c r="R118" s="34">
        <f t="shared" si="35"/>
        <v>161033.69999999998</v>
      </c>
      <c r="S118" s="34">
        <f t="shared" si="4"/>
        <v>0</v>
      </c>
      <c r="T118" s="34">
        <v>0</v>
      </c>
      <c r="U118" s="41"/>
      <c r="V118" s="41"/>
      <c r="W118" s="39"/>
      <c r="X118" s="39"/>
      <c r="Y118" s="7">
        <f t="shared" si="28"/>
        <v>612113.69999999995</v>
      </c>
      <c r="Z118" s="7">
        <f t="shared" si="29"/>
        <v>161033.69999999998</v>
      </c>
      <c r="AA118" s="7"/>
      <c r="AB118" s="7"/>
      <c r="AC118" s="7">
        <f t="shared" si="24"/>
        <v>612113.69999999995</v>
      </c>
      <c r="AD118" s="7">
        <f t="shared" si="30"/>
        <v>161033.69999999998</v>
      </c>
      <c r="AE118" s="7">
        <f t="shared" si="33"/>
        <v>0</v>
      </c>
      <c r="AF118" s="12">
        <f t="shared" si="18"/>
        <v>0</v>
      </c>
      <c r="AG118" s="11"/>
      <c r="AH118" s="11"/>
      <c r="AI118" s="31"/>
      <c r="AJ118" s="24">
        <v>-24689.7</v>
      </c>
      <c r="AK118" s="7">
        <f t="shared" si="25"/>
        <v>136343.99999999997</v>
      </c>
      <c r="AL118" s="27">
        <f t="shared" si="31"/>
        <v>0</v>
      </c>
      <c r="AM118" s="27">
        <f t="shared" si="36"/>
        <v>0</v>
      </c>
      <c r="AN118" s="27"/>
      <c r="AO118" s="27">
        <v>17587.3</v>
      </c>
      <c r="AP118" s="7">
        <f t="shared" si="26"/>
        <v>17587.3</v>
      </c>
      <c r="AQ118" s="27">
        <f t="shared" si="32"/>
        <v>0</v>
      </c>
      <c r="AR118" s="27"/>
      <c r="AS118" s="27">
        <f t="shared" si="27"/>
        <v>0</v>
      </c>
    </row>
    <row r="119" spans="1:47" ht="113.25" customHeight="1" outlineLevel="1">
      <c r="A119" s="76" t="s">
        <v>108</v>
      </c>
      <c r="B119" s="37" t="s">
        <v>64</v>
      </c>
      <c r="C119" s="33" t="s">
        <v>36</v>
      </c>
      <c r="D119" s="33" t="s">
        <v>16</v>
      </c>
      <c r="E119" s="33" t="s">
        <v>9</v>
      </c>
      <c r="F119" s="81" t="s">
        <v>37</v>
      </c>
      <c r="G119" s="38">
        <v>2777777.8</v>
      </c>
      <c r="H119" s="38"/>
      <c r="I119" s="34">
        <f t="shared" si="16"/>
        <v>2777777.8</v>
      </c>
      <c r="J119" s="52">
        <v>122222.2</v>
      </c>
      <c r="K119" s="52">
        <v>3263.1</v>
      </c>
      <c r="L119" s="52"/>
      <c r="M119" s="34">
        <f t="shared" si="34"/>
        <v>2777777.8</v>
      </c>
      <c r="N119" s="34">
        <f t="shared" si="2"/>
        <v>125485.3</v>
      </c>
      <c r="O119" s="34">
        <v>122222.2</v>
      </c>
      <c r="P119" s="34">
        <v>3263.1</v>
      </c>
      <c r="Q119" s="34">
        <f>35000+129966.1</f>
        <v>164966.1</v>
      </c>
      <c r="R119" s="34">
        <f t="shared" si="35"/>
        <v>290451.40000000002</v>
      </c>
      <c r="S119" s="34">
        <f t="shared" si="4"/>
        <v>125485.3</v>
      </c>
      <c r="T119" s="34">
        <v>0</v>
      </c>
      <c r="U119" s="41"/>
      <c r="V119" s="41"/>
      <c r="W119" s="39">
        <v>206950.39999999999</v>
      </c>
      <c r="X119" s="39">
        <v>371916.5</v>
      </c>
      <c r="Y119" s="7">
        <f t="shared" si="28"/>
        <v>3149694.3</v>
      </c>
      <c r="Z119" s="7">
        <f t="shared" si="29"/>
        <v>497401.80000000005</v>
      </c>
      <c r="AA119" s="7">
        <f>-35372-20000-76372.8-21424.7-6080</f>
        <v>-159249.5</v>
      </c>
      <c r="AB119" s="7">
        <v>42000</v>
      </c>
      <c r="AC119" s="7">
        <f t="shared" si="24"/>
        <v>3191694.3</v>
      </c>
      <c r="AD119" s="7">
        <f t="shared" si="30"/>
        <v>338152.30000000005</v>
      </c>
      <c r="AE119" s="7">
        <f t="shared" si="33"/>
        <v>125485.3</v>
      </c>
      <c r="AF119" s="12">
        <f t="shared" si="18"/>
        <v>0</v>
      </c>
      <c r="AG119" s="11"/>
      <c r="AH119" s="11"/>
      <c r="AI119" s="24">
        <v>21918.9</v>
      </c>
      <c r="AJ119" s="24"/>
      <c r="AK119" s="7">
        <f t="shared" si="25"/>
        <v>338152.30000000005</v>
      </c>
      <c r="AL119" s="27">
        <f t="shared" si="31"/>
        <v>147404.20000000001</v>
      </c>
      <c r="AM119" s="27">
        <f t="shared" si="36"/>
        <v>0</v>
      </c>
      <c r="AN119" s="27"/>
      <c r="AO119" s="27">
        <v>42000</v>
      </c>
      <c r="AP119" s="7">
        <f t="shared" si="26"/>
        <v>189404.2</v>
      </c>
      <c r="AQ119" s="27">
        <f t="shared" si="32"/>
        <v>0</v>
      </c>
      <c r="AR119" s="27"/>
      <c r="AS119" s="27">
        <f t="shared" si="27"/>
        <v>0</v>
      </c>
    </row>
    <row r="120" spans="1:47" ht="130.5" customHeight="1" outlineLevel="1">
      <c r="A120" s="76" t="s">
        <v>145</v>
      </c>
      <c r="B120" s="37" t="s">
        <v>130</v>
      </c>
      <c r="C120" s="33" t="s">
        <v>12</v>
      </c>
      <c r="D120" s="33" t="s">
        <v>16</v>
      </c>
      <c r="E120" s="33" t="s">
        <v>9</v>
      </c>
      <c r="F120" s="81" t="s">
        <v>75</v>
      </c>
      <c r="G120" s="38">
        <v>388902.2</v>
      </c>
      <c r="H120" s="38"/>
      <c r="I120" s="34">
        <f t="shared" si="16"/>
        <v>388902.2</v>
      </c>
      <c r="J120" s="52">
        <v>30615.5</v>
      </c>
      <c r="K120" s="52"/>
      <c r="L120" s="52"/>
      <c r="M120" s="34">
        <f t="shared" si="34"/>
        <v>388902.2</v>
      </c>
      <c r="N120" s="34">
        <f t="shared" si="2"/>
        <v>30615.5</v>
      </c>
      <c r="O120" s="34">
        <v>35885</v>
      </c>
      <c r="P120" s="34"/>
      <c r="Q120" s="34"/>
      <c r="R120" s="34">
        <f t="shared" si="35"/>
        <v>30615.5</v>
      </c>
      <c r="S120" s="34">
        <f t="shared" si="4"/>
        <v>35885</v>
      </c>
      <c r="T120" s="34">
        <v>0</v>
      </c>
      <c r="U120" s="41"/>
      <c r="V120" s="41"/>
      <c r="W120" s="39">
        <v>-11339.1</v>
      </c>
      <c r="X120" s="39"/>
      <c r="Y120" s="7">
        <f t="shared" si="28"/>
        <v>388902.2</v>
      </c>
      <c r="Z120" s="7">
        <f t="shared" si="29"/>
        <v>19276.400000000001</v>
      </c>
      <c r="AA120" s="7">
        <v>3000</v>
      </c>
      <c r="AB120" s="7"/>
      <c r="AC120" s="7">
        <f t="shared" si="24"/>
        <v>388902.2</v>
      </c>
      <c r="AD120" s="7">
        <f t="shared" si="30"/>
        <v>22276.400000000001</v>
      </c>
      <c r="AE120" s="7">
        <f t="shared" si="33"/>
        <v>35885</v>
      </c>
      <c r="AF120" s="12">
        <f t="shared" si="18"/>
        <v>0</v>
      </c>
      <c r="AG120" s="11"/>
      <c r="AH120" s="11"/>
      <c r="AI120" s="31"/>
      <c r="AJ120" s="31"/>
      <c r="AK120" s="7">
        <f t="shared" si="25"/>
        <v>22276.400000000001</v>
      </c>
      <c r="AL120" s="27">
        <f t="shared" si="31"/>
        <v>35885</v>
      </c>
      <c r="AM120" s="27">
        <f t="shared" si="36"/>
        <v>0</v>
      </c>
      <c r="AN120" s="27"/>
      <c r="AO120" s="27"/>
      <c r="AP120" s="7">
        <f t="shared" si="26"/>
        <v>35885</v>
      </c>
      <c r="AQ120" s="27">
        <f t="shared" si="32"/>
        <v>0</v>
      </c>
      <c r="AR120" s="27"/>
      <c r="AS120" s="27">
        <f t="shared" si="27"/>
        <v>0</v>
      </c>
    </row>
    <row r="121" spans="1:47" ht="124.5" customHeight="1" outlineLevel="1">
      <c r="A121" s="76" t="s">
        <v>133</v>
      </c>
      <c r="B121" s="37" t="s">
        <v>131</v>
      </c>
      <c r="C121" s="33" t="s">
        <v>18</v>
      </c>
      <c r="D121" s="33" t="s">
        <v>44</v>
      </c>
      <c r="E121" s="33" t="s">
        <v>282</v>
      </c>
      <c r="F121" s="81" t="s">
        <v>132</v>
      </c>
      <c r="G121" s="38">
        <v>65506</v>
      </c>
      <c r="H121" s="38"/>
      <c r="I121" s="34">
        <f t="shared" si="16"/>
        <v>65506</v>
      </c>
      <c r="J121" s="52">
        <v>0</v>
      </c>
      <c r="K121" s="52"/>
      <c r="L121" s="52"/>
      <c r="M121" s="34">
        <f t="shared" si="34"/>
        <v>65506</v>
      </c>
      <c r="N121" s="34">
        <f t="shared" si="2"/>
        <v>0</v>
      </c>
      <c r="O121" s="52">
        <v>3890.9</v>
      </c>
      <c r="P121" s="52"/>
      <c r="Q121" s="52"/>
      <c r="R121" s="34">
        <f t="shared" si="35"/>
        <v>0</v>
      </c>
      <c r="S121" s="34">
        <f t="shared" si="4"/>
        <v>3890.9</v>
      </c>
      <c r="T121" s="34">
        <v>3734.1</v>
      </c>
      <c r="U121" s="41"/>
      <c r="V121" s="41"/>
      <c r="W121" s="41"/>
      <c r="X121" s="41"/>
      <c r="Y121" s="7">
        <f t="shared" si="28"/>
        <v>65506</v>
      </c>
      <c r="Z121" s="7">
        <f t="shared" si="29"/>
        <v>0</v>
      </c>
      <c r="AA121" s="7"/>
      <c r="AB121" s="7"/>
      <c r="AC121" s="7">
        <f t="shared" si="24"/>
        <v>65506</v>
      </c>
      <c r="AD121" s="7">
        <f t="shared" si="30"/>
        <v>0</v>
      </c>
      <c r="AE121" s="7">
        <f t="shared" si="33"/>
        <v>3890.9</v>
      </c>
      <c r="AF121" s="12">
        <f t="shared" si="18"/>
        <v>3734.1</v>
      </c>
      <c r="AG121" s="11"/>
      <c r="AH121" s="11"/>
      <c r="AI121" s="31"/>
      <c r="AJ121" s="31"/>
      <c r="AK121" s="7">
        <f t="shared" si="25"/>
        <v>0</v>
      </c>
      <c r="AL121" s="27">
        <f t="shared" si="31"/>
        <v>3890.9</v>
      </c>
      <c r="AM121" s="27">
        <f t="shared" si="36"/>
        <v>3734.1</v>
      </c>
      <c r="AN121" s="27"/>
      <c r="AO121" s="27"/>
      <c r="AP121" s="7">
        <f t="shared" si="26"/>
        <v>3890.9</v>
      </c>
      <c r="AQ121" s="27">
        <f t="shared" si="32"/>
        <v>3734.1</v>
      </c>
      <c r="AR121" s="27"/>
      <c r="AS121" s="27">
        <f t="shared" si="27"/>
        <v>3734.1</v>
      </c>
    </row>
    <row r="122" spans="1:47" ht="127.5" customHeight="1" outlineLevel="1">
      <c r="A122" s="76" t="s">
        <v>243</v>
      </c>
      <c r="B122" s="37" t="s">
        <v>195</v>
      </c>
      <c r="C122" s="33" t="s">
        <v>111</v>
      </c>
      <c r="D122" s="33" t="s">
        <v>16</v>
      </c>
      <c r="E122" s="33" t="s">
        <v>9</v>
      </c>
      <c r="F122" s="81" t="s">
        <v>22</v>
      </c>
      <c r="G122" s="38"/>
      <c r="H122" s="38">
        <v>110000</v>
      </c>
      <c r="I122" s="34">
        <f>G122+H122</f>
        <v>110000</v>
      </c>
      <c r="J122" s="52">
        <v>0</v>
      </c>
      <c r="K122" s="52">
        <v>6975.9</v>
      </c>
      <c r="L122" s="52"/>
      <c r="M122" s="34">
        <f t="shared" si="34"/>
        <v>110000</v>
      </c>
      <c r="N122" s="34">
        <f t="shared" si="2"/>
        <v>6975.9</v>
      </c>
      <c r="O122" s="52">
        <v>0</v>
      </c>
      <c r="P122" s="52"/>
      <c r="Q122" s="52"/>
      <c r="R122" s="34">
        <f t="shared" si="35"/>
        <v>6975.9</v>
      </c>
      <c r="S122" s="34">
        <f t="shared" si="4"/>
        <v>0</v>
      </c>
      <c r="T122" s="34">
        <v>0</v>
      </c>
      <c r="U122" s="41"/>
      <c r="V122" s="41"/>
      <c r="W122" s="41"/>
      <c r="X122" s="41"/>
      <c r="Y122" s="7">
        <f t="shared" si="28"/>
        <v>110000</v>
      </c>
      <c r="Z122" s="7">
        <f t="shared" si="29"/>
        <v>6975.9</v>
      </c>
      <c r="AA122" s="7"/>
      <c r="AB122" s="7"/>
      <c r="AC122" s="7">
        <f t="shared" si="24"/>
        <v>110000</v>
      </c>
      <c r="AD122" s="7">
        <f t="shared" si="30"/>
        <v>6975.9</v>
      </c>
      <c r="AE122" s="7">
        <f t="shared" si="33"/>
        <v>0</v>
      </c>
      <c r="AF122" s="12">
        <f t="shared" si="18"/>
        <v>0</v>
      </c>
      <c r="AG122" s="11"/>
      <c r="AH122" s="11"/>
      <c r="AI122" s="31"/>
      <c r="AJ122" s="31"/>
      <c r="AK122" s="7">
        <f t="shared" si="25"/>
        <v>6975.9</v>
      </c>
      <c r="AL122" s="27">
        <f t="shared" si="31"/>
        <v>0</v>
      </c>
      <c r="AM122" s="27">
        <f t="shared" si="36"/>
        <v>0</v>
      </c>
      <c r="AN122" s="27"/>
      <c r="AO122" s="27"/>
      <c r="AP122" s="7">
        <f t="shared" si="26"/>
        <v>0</v>
      </c>
      <c r="AQ122" s="27">
        <f t="shared" si="32"/>
        <v>0</v>
      </c>
      <c r="AR122" s="27"/>
      <c r="AS122" s="27">
        <f t="shared" si="27"/>
        <v>0</v>
      </c>
    </row>
    <row r="123" spans="1:47" ht="127.5" customHeight="1" outlineLevel="1">
      <c r="A123" s="76" t="s">
        <v>221</v>
      </c>
      <c r="B123" s="69" t="s">
        <v>227</v>
      </c>
      <c r="C123" s="37" t="s">
        <v>18</v>
      </c>
      <c r="D123" s="37" t="s">
        <v>44</v>
      </c>
      <c r="E123" s="37" t="s">
        <v>47</v>
      </c>
      <c r="F123" s="82" t="s">
        <v>287</v>
      </c>
      <c r="G123" s="38"/>
      <c r="H123" s="38">
        <v>5721.4</v>
      </c>
      <c r="I123" s="38">
        <f>G123+H123</f>
        <v>5721.4</v>
      </c>
      <c r="J123" s="78"/>
      <c r="K123" s="78">
        <v>5435.4</v>
      </c>
      <c r="L123" s="78"/>
      <c r="M123" s="34">
        <f>I123+L123</f>
        <v>5721.4</v>
      </c>
      <c r="N123" s="38">
        <f t="shared" si="2"/>
        <v>5435.4</v>
      </c>
      <c r="O123" s="52"/>
      <c r="P123" s="52"/>
      <c r="Q123" s="52">
        <v>-2052.6</v>
      </c>
      <c r="R123" s="34">
        <f>N123+Q123-1494.35</f>
        <v>1888.4499999999998</v>
      </c>
      <c r="S123" s="34">
        <v>0</v>
      </c>
      <c r="T123" s="34"/>
      <c r="U123" s="41"/>
      <c r="V123" s="41"/>
      <c r="W123" s="41"/>
      <c r="X123" s="41"/>
      <c r="Y123" s="7">
        <f t="shared" si="28"/>
        <v>5721.4</v>
      </c>
      <c r="Z123" s="7">
        <f t="shared" si="29"/>
        <v>1888.4499999999998</v>
      </c>
      <c r="AA123" s="7"/>
      <c r="AB123" s="7">
        <f>-Y123</f>
        <v>-5721.4</v>
      </c>
      <c r="AC123" s="7">
        <f t="shared" si="24"/>
        <v>0</v>
      </c>
      <c r="AD123" s="7">
        <f t="shared" si="30"/>
        <v>1888.4499999999998</v>
      </c>
      <c r="AE123" s="7">
        <f t="shared" si="33"/>
        <v>0</v>
      </c>
      <c r="AF123" s="12">
        <v>0</v>
      </c>
      <c r="AG123" s="11"/>
      <c r="AH123" s="11"/>
      <c r="AI123" s="31"/>
      <c r="AJ123" s="129">
        <f>-AD123</f>
        <v>-1888.4499999999998</v>
      </c>
      <c r="AK123" s="7">
        <f t="shared" si="25"/>
        <v>0</v>
      </c>
      <c r="AL123" s="27">
        <f t="shared" si="31"/>
        <v>0</v>
      </c>
      <c r="AM123" s="27">
        <f t="shared" si="36"/>
        <v>0</v>
      </c>
      <c r="AN123" s="27"/>
      <c r="AO123" s="27"/>
      <c r="AP123" s="7">
        <f t="shared" si="26"/>
        <v>0</v>
      </c>
      <c r="AQ123" s="27">
        <f t="shared" si="32"/>
        <v>0</v>
      </c>
      <c r="AR123" s="27"/>
      <c r="AS123" s="27">
        <f t="shared" si="27"/>
        <v>0</v>
      </c>
    </row>
    <row r="124" spans="1:47" ht="42" customHeight="1">
      <c r="A124" s="138" t="s">
        <v>144</v>
      </c>
      <c r="B124" s="138"/>
      <c r="C124" s="138"/>
      <c r="D124" s="138"/>
      <c r="E124" s="83"/>
      <c r="F124" s="83"/>
      <c r="G124" s="51">
        <f>G125+G127+G131+G135+G137</f>
        <v>663306.69999999995</v>
      </c>
      <c r="H124" s="51">
        <f>H125+H127+H131+H135+H137+H140</f>
        <v>35000</v>
      </c>
      <c r="I124" s="34">
        <f t="shared" si="16"/>
        <v>698306.7</v>
      </c>
      <c r="J124" s="51">
        <f>J125+J127+J131+J135+J137</f>
        <v>157767.09</v>
      </c>
      <c r="K124" s="51">
        <f>K125+K127+K131+K135+K137+K140</f>
        <v>6000</v>
      </c>
      <c r="L124" s="51">
        <f>L125+L127+L131+L135+L137+L140</f>
        <v>-34160</v>
      </c>
      <c r="M124" s="34">
        <f t="shared" si="34"/>
        <v>664146.69999999995</v>
      </c>
      <c r="N124" s="34">
        <f t="shared" si="2"/>
        <v>163767.09</v>
      </c>
      <c r="O124" s="51">
        <f>O125+O127+O131+O135+O137</f>
        <v>175681.80000000002</v>
      </c>
      <c r="P124" s="51">
        <f>P125+P127+P131+P135+P137+P140</f>
        <v>7497.7</v>
      </c>
      <c r="Q124" s="51">
        <f>Q125+Q127+Q131+Q135+Q137+Q140</f>
        <v>-6035</v>
      </c>
      <c r="R124" s="34">
        <f t="shared" si="35"/>
        <v>157732.09</v>
      </c>
      <c r="S124" s="34">
        <f t="shared" si="4"/>
        <v>183179.50000000003</v>
      </c>
      <c r="T124" s="51">
        <f>T125+T127+T131+T135+T137</f>
        <v>224.4</v>
      </c>
      <c r="U124" s="51">
        <f>U125+U127+U131+U135+U137+U140</f>
        <v>4000</v>
      </c>
      <c r="V124" s="51">
        <f>V125+V127+V131+V135+V137+V140</f>
        <v>-4000</v>
      </c>
      <c r="W124" s="51"/>
      <c r="X124" s="51">
        <f>X125</f>
        <v>1489.5</v>
      </c>
      <c r="Y124" s="7">
        <f t="shared" si="28"/>
        <v>665636.19999999995</v>
      </c>
      <c r="Z124" s="7">
        <f t="shared" si="29"/>
        <v>157732.09</v>
      </c>
      <c r="AA124" s="7">
        <f>AA125+AA127+AA131+AA135+AA137</f>
        <v>897</v>
      </c>
      <c r="AB124" s="7">
        <f>AB125</f>
        <v>-897</v>
      </c>
      <c r="AC124" s="7">
        <f t="shared" si="24"/>
        <v>664739.19999999995</v>
      </c>
      <c r="AD124" s="7">
        <f t="shared" si="30"/>
        <v>158629.09</v>
      </c>
      <c r="AE124" s="7">
        <f t="shared" si="33"/>
        <v>179179.50000000003</v>
      </c>
      <c r="AF124" s="12">
        <f t="shared" si="18"/>
        <v>4224.3999999999996</v>
      </c>
      <c r="AG124" s="113">
        <f>AG125+AG127+AG131+AG135+AG137+AG140</f>
        <v>2116.3999999999996</v>
      </c>
      <c r="AH124" s="11"/>
      <c r="AI124" s="7">
        <f>AI125+AI127+AI131+AI135+AI137</f>
        <v>592.5</v>
      </c>
      <c r="AJ124" s="7">
        <f>AJ125+AJ137</f>
        <v>-13478.4</v>
      </c>
      <c r="AK124" s="7">
        <f t="shared" si="25"/>
        <v>145150.69</v>
      </c>
      <c r="AL124" s="27">
        <f t="shared" si="31"/>
        <v>179772.00000000003</v>
      </c>
      <c r="AM124" s="27">
        <f t="shared" si="36"/>
        <v>6340.7999999999993</v>
      </c>
      <c r="AN124" s="27"/>
      <c r="AO124" s="27"/>
      <c r="AP124" s="7">
        <f t="shared" si="26"/>
        <v>179772.00000000003</v>
      </c>
      <c r="AQ124" s="27">
        <f t="shared" si="32"/>
        <v>6340.7999999999993</v>
      </c>
      <c r="AR124" s="27"/>
      <c r="AS124" s="27">
        <f t="shared" si="27"/>
        <v>6340.7999999999993</v>
      </c>
    </row>
    <row r="125" spans="1:47" ht="24" customHeight="1" outlineLevel="1">
      <c r="A125" s="138" t="s">
        <v>24</v>
      </c>
      <c r="B125" s="166"/>
      <c r="C125" s="166"/>
      <c r="D125" s="166"/>
      <c r="E125" s="83"/>
      <c r="F125" s="83"/>
      <c r="G125" s="51">
        <f>G126</f>
        <v>121674.15</v>
      </c>
      <c r="H125" s="51">
        <f>H126</f>
        <v>0</v>
      </c>
      <c r="I125" s="34">
        <f t="shared" si="16"/>
        <v>121674.15</v>
      </c>
      <c r="J125" s="51">
        <f>J126</f>
        <v>20000</v>
      </c>
      <c r="K125" s="51">
        <f>K126</f>
        <v>0</v>
      </c>
      <c r="L125" s="51"/>
      <c r="M125" s="34">
        <f t="shared" si="34"/>
        <v>121674.15</v>
      </c>
      <c r="N125" s="34">
        <f t="shared" si="2"/>
        <v>20000</v>
      </c>
      <c r="O125" s="34">
        <f>O126</f>
        <v>17800</v>
      </c>
      <c r="P125" s="34">
        <f>P126</f>
        <v>0</v>
      </c>
      <c r="Q125" s="34"/>
      <c r="R125" s="34">
        <f t="shared" si="35"/>
        <v>20000</v>
      </c>
      <c r="S125" s="34">
        <f t="shared" si="4"/>
        <v>17800</v>
      </c>
      <c r="T125" s="51">
        <f>T126</f>
        <v>0</v>
      </c>
      <c r="U125" s="34">
        <f>U126</f>
        <v>0</v>
      </c>
      <c r="V125" s="34"/>
      <c r="W125" s="34"/>
      <c r="X125" s="34">
        <f>X126</f>
        <v>1489.5</v>
      </c>
      <c r="Y125" s="7">
        <f t="shared" si="28"/>
        <v>123163.65</v>
      </c>
      <c r="Z125" s="7">
        <f t="shared" si="29"/>
        <v>20000</v>
      </c>
      <c r="AA125" s="7">
        <f>AA126</f>
        <v>897</v>
      </c>
      <c r="AB125" s="7">
        <f>AB126</f>
        <v>-897</v>
      </c>
      <c r="AC125" s="7">
        <f t="shared" si="24"/>
        <v>122266.65</v>
      </c>
      <c r="AD125" s="7">
        <f t="shared" si="30"/>
        <v>20897</v>
      </c>
      <c r="AE125" s="7">
        <f t="shared" si="33"/>
        <v>17800</v>
      </c>
      <c r="AF125" s="12">
        <f t="shared" si="18"/>
        <v>0</v>
      </c>
      <c r="AG125" s="11"/>
      <c r="AH125" s="11"/>
      <c r="AI125" s="7">
        <f>AI126</f>
        <v>592.5</v>
      </c>
      <c r="AJ125" s="7">
        <f>AJ126</f>
        <v>-897</v>
      </c>
      <c r="AK125" s="7">
        <f t="shared" si="25"/>
        <v>20000</v>
      </c>
      <c r="AL125" s="27">
        <f t="shared" si="31"/>
        <v>18392.5</v>
      </c>
      <c r="AM125" s="27">
        <f t="shared" si="36"/>
        <v>0</v>
      </c>
      <c r="AN125" s="27"/>
      <c r="AO125" s="27"/>
      <c r="AP125" s="7">
        <f t="shared" si="26"/>
        <v>18392.5</v>
      </c>
      <c r="AQ125" s="27">
        <f t="shared" si="32"/>
        <v>0</v>
      </c>
      <c r="AR125" s="27"/>
      <c r="AS125" s="27">
        <f t="shared" si="27"/>
        <v>0</v>
      </c>
    </row>
    <row r="126" spans="1:47" ht="108.75" customHeight="1" outlineLevel="1">
      <c r="A126" s="104" t="s">
        <v>49</v>
      </c>
      <c r="B126" s="33" t="s">
        <v>15</v>
      </c>
      <c r="C126" s="33" t="s">
        <v>18</v>
      </c>
      <c r="D126" s="33" t="s">
        <v>16</v>
      </c>
      <c r="E126" s="33" t="s">
        <v>28</v>
      </c>
      <c r="F126" s="33" t="s">
        <v>37</v>
      </c>
      <c r="G126" s="38">
        <v>121674.15</v>
      </c>
      <c r="H126" s="38"/>
      <c r="I126" s="34">
        <f t="shared" si="16"/>
        <v>121674.15</v>
      </c>
      <c r="J126" s="34">
        <v>20000</v>
      </c>
      <c r="K126" s="34"/>
      <c r="L126" s="34"/>
      <c r="M126" s="34">
        <f t="shared" si="34"/>
        <v>121674.15</v>
      </c>
      <c r="N126" s="34">
        <f t="shared" si="2"/>
        <v>20000</v>
      </c>
      <c r="O126" s="34">
        <v>17800</v>
      </c>
      <c r="P126" s="34"/>
      <c r="Q126" s="34"/>
      <c r="R126" s="34">
        <f t="shared" si="35"/>
        <v>20000</v>
      </c>
      <c r="S126" s="34">
        <f t="shared" si="4"/>
        <v>17800</v>
      </c>
      <c r="T126" s="38">
        <v>0</v>
      </c>
      <c r="U126" s="41"/>
      <c r="V126" s="41"/>
      <c r="W126" s="41"/>
      <c r="X126" s="39">
        <v>1489.5</v>
      </c>
      <c r="Y126" s="7">
        <f t="shared" si="28"/>
        <v>123163.65</v>
      </c>
      <c r="Z126" s="7">
        <f t="shared" si="29"/>
        <v>20000</v>
      </c>
      <c r="AA126" s="7">
        <v>897</v>
      </c>
      <c r="AB126" s="7">
        <v>-897</v>
      </c>
      <c r="AC126" s="7">
        <f t="shared" si="24"/>
        <v>122266.65</v>
      </c>
      <c r="AD126" s="7">
        <f t="shared" si="30"/>
        <v>20897</v>
      </c>
      <c r="AE126" s="7">
        <f t="shared" si="33"/>
        <v>17800</v>
      </c>
      <c r="AF126" s="12">
        <f t="shared" si="18"/>
        <v>0</v>
      </c>
      <c r="AG126" s="11"/>
      <c r="AH126" s="11"/>
      <c r="AI126" s="31">
        <v>592.5</v>
      </c>
      <c r="AJ126" s="130">
        <v>-897</v>
      </c>
      <c r="AK126" s="7">
        <f t="shared" si="25"/>
        <v>20000</v>
      </c>
      <c r="AL126" s="27">
        <f t="shared" si="31"/>
        <v>18392.5</v>
      </c>
      <c r="AM126" s="27">
        <f t="shared" si="36"/>
        <v>0</v>
      </c>
      <c r="AN126" s="27"/>
      <c r="AO126" s="27"/>
      <c r="AP126" s="7">
        <f t="shared" si="26"/>
        <v>18392.5</v>
      </c>
      <c r="AQ126" s="27">
        <f t="shared" si="32"/>
        <v>0</v>
      </c>
      <c r="AR126" s="27"/>
      <c r="AS126" s="27">
        <f t="shared" si="27"/>
        <v>0</v>
      </c>
    </row>
    <row r="127" spans="1:47" ht="26.25" customHeight="1" outlineLevel="1">
      <c r="A127" s="154" t="s">
        <v>38</v>
      </c>
      <c r="B127" s="155"/>
      <c r="C127" s="155"/>
      <c r="D127" s="156"/>
      <c r="E127" s="101"/>
      <c r="F127" s="101"/>
      <c r="G127" s="84">
        <f>SUM(G128:G130)</f>
        <v>92298.4</v>
      </c>
      <c r="H127" s="84">
        <f>SUM(H128:H130)</f>
        <v>0</v>
      </c>
      <c r="I127" s="34">
        <f t="shared" si="16"/>
        <v>92298.4</v>
      </c>
      <c r="J127" s="84">
        <f>SUM(J128:J130)</f>
        <v>3017.99</v>
      </c>
      <c r="K127" s="84">
        <f>SUM(K128:K130)</f>
        <v>0</v>
      </c>
      <c r="L127" s="84"/>
      <c r="M127" s="34">
        <f t="shared" si="34"/>
        <v>92298.4</v>
      </c>
      <c r="N127" s="34">
        <f t="shared" ref="N127:N171" si="54">J127+K127</f>
        <v>3017.99</v>
      </c>
      <c r="O127" s="84">
        <f>SUM(O128:O130)</f>
        <v>0</v>
      </c>
      <c r="P127" s="84">
        <f>SUM(P128:P130)</f>
        <v>3497.7</v>
      </c>
      <c r="Q127" s="84"/>
      <c r="R127" s="34">
        <f t="shared" si="35"/>
        <v>3017.99</v>
      </c>
      <c r="S127" s="34">
        <f t="shared" ref="S127:S169" si="55">O127+P127</f>
        <v>3497.7</v>
      </c>
      <c r="T127" s="84">
        <f>SUM(T128:T130)</f>
        <v>0</v>
      </c>
      <c r="U127" s="84">
        <f>SUM(U128:U130)</f>
        <v>0</v>
      </c>
      <c r="V127" s="84"/>
      <c r="W127" s="84"/>
      <c r="X127" s="84"/>
      <c r="Y127" s="7">
        <f t="shared" si="28"/>
        <v>92298.4</v>
      </c>
      <c r="Z127" s="7">
        <f t="shared" si="29"/>
        <v>3017.99</v>
      </c>
      <c r="AA127" s="7"/>
      <c r="AB127" s="7"/>
      <c r="AC127" s="7">
        <f t="shared" si="24"/>
        <v>92298.4</v>
      </c>
      <c r="AD127" s="7">
        <f t="shared" si="30"/>
        <v>3017.99</v>
      </c>
      <c r="AE127" s="7">
        <f t="shared" si="33"/>
        <v>3497.7</v>
      </c>
      <c r="AF127" s="12">
        <f t="shared" si="18"/>
        <v>0</v>
      </c>
      <c r="AG127" s="11"/>
      <c r="AH127" s="11"/>
      <c r="AI127" s="31"/>
      <c r="AJ127" s="31"/>
      <c r="AK127" s="7">
        <f t="shared" si="25"/>
        <v>3017.99</v>
      </c>
      <c r="AL127" s="27">
        <f t="shared" si="31"/>
        <v>3497.7</v>
      </c>
      <c r="AM127" s="27">
        <f t="shared" si="36"/>
        <v>0</v>
      </c>
      <c r="AN127" s="27"/>
      <c r="AO127" s="27"/>
      <c r="AP127" s="7">
        <f t="shared" si="26"/>
        <v>3497.7</v>
      </c>
      <c r="AQ127" s="27">
        <f t="shared" si="32"/>
        <v>0</v>
      </c>
      <c r="AR127" s="27"/>
      <c r="AS127" s="27">
        <f t="shared" si="27"/>
        <v>0</v>
      </c>
      <c r="AT127" s="1"/>
      <c r="AU127" s="1"/>
    </row>
    <row r="128" spans="1:47" ht="145.5" customHeight="1" outlineLevel="1">
      <c r="A128" s="70" t="s">
        <v>119</v>
      </c>
      <c r="B128" s="32" t="s">
        <v>39</v>
      </c>
      <c r="C128" s="33" t="s">
        <v>18</v>
      </c>
      <c r="D128" s="33" t="s">
        <v>10</v>
      </c>
      <c r="E128" s="33" t="s">
        <v>27</v>
      </c>
      <c r="F128" s="33" t="s">
        <v>22</v>
      </c>
      <c r="G128" s="84">
        <v>48325.5</v>
      </c>
      <c r="H128" s="84"/>
      <c r="I128" s="34">
        <f t="shared" si="16"/>
        <v>48325.5</v>
      </c>
      <c r="J128" s="85">
        <v>275.52999999999997</v>
      </c>
      <c r="K128" s="85"/>
      <c r="L128" s="85"/>
      <c r="M128" s="34">
        <f t="shared" si="34"/>
        <v>48325.5</v>
      </c>
      <c r="N128" s="34">
        <f t="shared" si="54"/>
        <v>275.52999999999997</v>
      </c>
      <c r="O128" s="57">
        <v>0</v>
      </c>
      <c r="P128" s="57"/>
      <c r="Q128" s="57"/>
      <c r="R128" s="34">
        <f t="shared" si="35"/>
        <v>275.52999999999997</v>
      </c>
      <c r="S128" s="34">
        <f t="shared" si="55"/>
        <v>0</v>
      </c>
      <c r="T128" s="57">
        <v>0</v>
      </c>
      <c r="U128" s="41"/>
      <c r="V128" s="41"/>
      <c r="W128" s="41"/>
      <c r="X128" s="41"/>
      <c r="Y128" s="7">
        <f t="shared" si="28"/>
        <v>48325.5</v>
      </c>
      <c r="Z128" s="7">
        <f t="shared" si="29"/>
        <v>275.52999999999997</v>
      </c>
      <c r="AA128" s="7"/>
      <c r="AB128" s="7"/>
      <c r="AC128" s="7">
        <f t="shared" si="24"/>
        <v>48325.5</v>
      </c>
      <c r="AD128" s="7">
        <f t="shared" si="30"/>
        <v>275.52999999999997</v>
      </c>
      <c r="AE128" s="7">
        <f t="shared" si="33"/>
        <v>0</v>
      </c>
      <c r="AF128" s="12">
        <f t="shared" si="18"/>
        <v>0</v>
      </c>
      <c r="AG128" s="11"/>
      <c r="AH128" s="11"/>
      <c r="AI128" s="31"/>
      <c r="AJ128" s="31"/>
      <c r="AK128" s="7">
        <f t="shared" si="25"/>
        <v>275.52999999999997</v>
      </c>
      <c r="AL128" s="27">
        <f t="shared" si="31"/>
        <v>0</v>
      </c>
      <c r="AM128" s="27">
        <f t="shared" si="36"/>
        <v>0</v>
      </c>
      <c r="AN128" s="27"/>
      <c r="AO128" s="27"/>
      <c r="AP128" s="7">
        <f t="shared" si="26"/>
        <v>0</v>
      </c>
      <c r="AQ128" s="27">
        <f t="shared" si="32"/>
        <v>0</v>
      </c>
      <c r="AR128" s="27"/>
      <c r="AS128" s="27">
        <f t="shared" si="27"/>
        <v>0</v>
      </c>
      <c r="AT128" s="1"/>
      <c r="AU128" s="1"/>
    </row>
    <row r="129" spans="1:47" ht="155.25" customHeight="1" outlineLevel="1">
      <c r="A129" s="104" t="s">
        <v>124</v>
      </c>
      <c r="B129" s="32" t="s">
        <v>160</v>
      </c>
      <c r="C129" s="33" t="s">
        <v>18</v>
      </c>
      <c r="D129" s="33" t="s">
        <v>10</v>
      </c>
      <c r="E129" s="33" t="s">
        <v>27</v>
      </c>
      <c r="F129" s="33" t="s">
        <v>75</v>
      </c>
      <c r="G129" s="84">
        <v>38500</v>
      </c>
      <c r="H129" s="84"/>
      <c r="I129" s="34">
        <f t="shared" si="16"/>
        <v>38500</v>
      </c>
      <c r="J129" s="34">
        <v>2292.4699999999998</v>
      </c>
      <c r="K129" s="34"/>
      <c r="L129" s="34"/>
      <c r="M129" s="34">
        <f t="shared" si="34"/>
        <v>38500</v>
      </c>
      <c r="N129" s="34">
        <f t="shared" si="54"/>
        <v>2292.4699999999998</v>
      </c>
      <c r="O129" s="57">
        <v>0</v>
      </c>
      <c r="P129" s="57">
        <v>3401</v>
      </c>
      <c r="Q129" s="57"/>
      <c r="R129" s="34">
        <f t="shared" si="35"/>
        <v>2292.4699999999998</v>
      </c>
      <c r="S129" s="34">
        <f t="shared" si="55"/>
        <v>3401</v>
      </c>
      <c r="T129" s="57">
        <v>0</v>
      </c>
      <c r="U129" s="41"/>
      <c r="V129" s="41"/>
      <c r="W129" s="41"/>
      <c r="X129" s="41"/>
      <c r="Y129" s="7">
        <f t="shared" si="28"/>
        <v>38500</v>
      </c>
      <c r="Z129" s="7">
        <f t="shared" si="29"/>
        <v>2292.4699999999998</v>
      </c>
      <c r="AA129" s="7"/>
      <c r="AB129" s="7"/>
      <c r="AC129" s="7">
        <f t="shared" si="24"/>
        <v>38500</v>
      </c>
      <c r="AD129" s="7">
        <f t="shared" si="30"/>
        <v>2292.4699999999998</v>
      </c>
      <c r="AE129" s="7">
        <f t="shared" si="33"/>
        <v>3401</v>
      </c>
      <c r="AF129" s="12">
        <f t="shared" si="18"/>
        <v>0</v>
      </c>
      <c r="AG129" s="11"/>
      <c r="AH129" s="11"/>
      <c r="AI129" s="31"/>
      <c r="AJ129" s="31"/>
      <c r="AK129" s="7">
        <f t="shared" si="25"/>
        <v>2292.4699999999998</v>
      </c>
      <c r="AL129" s="27">
        <f t="shared" si="31"/>
        <v>3401</v>
      </c>
      <c r="AM129" s="27">
        <f t="shared" si="36"/>
        <v>0</v>
      </c>
      <c r="AN129" s="27"/>
      <c r="AO129" s="27"/>
      <c r="AP129" s="7">
        <f t="shared" si="26"/>
        <v>3401</v>
      </c>
      <c r="AQ129" s="27">
        <f t="shared" si="32"/>
        <v>0</v>
      </c>
      <c r="AR129" s="27"/>
      <c r="AS129" s="27">
        <f t="shared" si="27"/>
        <v>0</v>
      </c>
      <c r="AT129" s="1"/>
      <c r="AU129" s="1"/>
    </row>
    <row r="130" spans="1:47" ht="168.75" customHeight="1" outlineLevel="1">
      <c r="A130" s="104" t="s">
        <v>161</v>
      </c>
      <c r="B130" s="32" t="s">
        <v>174</v>
      </c>
      <c r="C130" s="33" t="s">
        <v>18</v>
      </c>
      <c r="D130" s="33" t="s">
        <v>10</v>
      </c>
      <c r="E130" s="33" t="s">
        <v>162</v>
      </c>
      <c r="F130" s="33" t="s">
        <v>75</v>
      </c>
      <c r="G130" s="84">
        <v>5472.9</v>
      </c>
      <c r="H130" s="84"/>
      <c r="I130" s="34">
        <f t="shared" si="16"/>
        <v>5472.9</v>
      </c>
      <c r="J130" s="34">
        <v>449.99</v>
      </c>
      <c r="K130" s="34"/>
      <c r="L130" s="34"/>
      <c r="M130" s="34">
        <f t="shared" si="34"/>
        <v>5472.9</v>
      </c>
      <c r="N130" s="34">
        <f t="shared" si="54"/>
        <v>449.99</v>
      </c>
      <c r="O130" s="57">
        <v>0</v>
      </c>
      <c r="P130" s="57">
        <v>96.7</v>
      </c>
      <c r="Q130" s="57"/>
      <c r="R130" s="34">
        <f t="shared" si="35"/>
        <v>449.99</v>
      </c>
      <c r="S130" s="34">
        <f t="shared" si="55"/>
        <v>96.7</v>
      </c>
      <c r="T130" s="57">
        <v>0</v>
      </c>
      <c r="U130" s="41"/>
      <c r="V130" s="41"/>
      <c r="W130" s="41"/>
      <c r="X130" s="41"/>
      <c r="Y130" s="7">
        <f t="shared" si="28"/>
        <v>5472.9</v>
      </c>
      <c r="Z130" s="7">
        <f t="shared" si="29"/>
        <v>449.99</v>
      </c>
      <c r="AA130" s="7"/>
      <c r="AB130" s="7"/>
      <c r="AC130" s="7">
        <f t="shared" si="24"/>
        <v>5472.9</v>
      </c>
      <c r="AD130" s="7">
        <f t="shared" si="30"/>
        <v>449.99</v>
      </c>
      <c r="AE130" s="7">
        <f t="shared" si="33"/>
        <v>96.7</v>
      </c>
      <c r="AF130" s="12">
        <f t="shared" si="18"/>
        <v>0</v>
      </c>
      <c r="AG130" s="11"/>
      <c r="AH130" s="11"/>
      <c r="AI130" s="31"/>
      <c r="AJ130" s="31"/>
      <c r="AK130" s="7">
        <f t="shared" si="25"/>
        <v>449.99</v>
      </c>
      <c r="AL130" s="27">
        <f t="shared" si="31"/>
        <v>96.7</v>
      </c>
      <c r="AM130" s="27">
        <f t="shared" si="36"/>
        <v>0</v>
      </c>
      <c r="AN130" s="27"/>
      <c r="AO130" s="27"/>
      <c r="AP130" s="7">
        <f t="shared" si="26"/>
        <v>96.7</v>
      </c>
      <c r="AQ130" s="27">
        <f t="shared" si="32"/>
        <v>0</v>
      </c>
      <c r="AR130" s="27"/>
      <c r="AS130" s="27">
        <f t="shared" si="27"/>
        <v>0</v>
      </c>
      <c r="AT130" s="1"/>
      <c r="AU130" s="1"/>
    </row>
    <row r="131" spans="1:47" ht="31.5" customHeight="1" outlineLevel="1">
      <c r="A131" s="154" t="s">
        <v>106</v>
      </c>
      <c r="B131" s="155"/>
      <c r="C131" s="155"/>
      <c r="D131" s="156"/>
      <c r="E131" s="33"/>
      <c r="F131" s="33"/>
      <c r="G131" s="84">
        <f>SUM(G132:G134)</f>
        <v>22560</v>
      </c>
      <c r="H131" s="84">
        <f>SUM(H132:H134)</f>
        <v>0</v>
      </c>
      <c r="I131" s="34">
        <f t="shared" si="16"/>
        <v>22560</v>
      </c>
      <c r="J131" s="84">
        <f>SUM(J132:J133)</f>
        <v>5555</v>
      </c>
      <c r="K131" s="84">
        <f>SUM(K132:K133)</f>
        <v>0</v>
      </c>
      <c r="L131" s="84">
        <f>L132+L133+L134</f>
        <v>840</v>
      </c>
      <c r="M131" s="34">
        <f t="shared" si="34"/>
        <v>23400</v>
      </c>
      <c r="N131" s="34">
        <f t="shared" si="54"/>
        <v>5555</v>
      </c>
      <c r="O131" s="84">
        <f>SUM(O132:O133)</f>
        <v>5544.2</v>
      </c>
      <c r="P131" s="84">
        <f>SUM(P132:P133)</f>
        <v>0</v>
      </c>
      <c r="Q131" s="84">
        <f>Q132+Q133+Q134</f>
        <v>0</v>
      </c>
      <c r="R131" s="34">
        <f t="shared" si="35"/>
        <v>5555</v>
      </c>
      <c r="S131" s="34">
        <f t="shared" si="55"/>
        <v>5544.2</v>
      </c>
      <c r="T131" s="84">
        <f>SUM(T132:T134)</f>
        <v>224.4</v>
      </c>
      <c r="U131" s="84">
        <f>SUM(U132:U133)</f>
        <v>0</v>
      </c>
      <c r="V131" s="84">
        <f>V132+V133+V134</f>
        <v>0</v>
      </c>
      <c r="W131" s="84"/>
      <c r="X131" s="84"/>
      <c r="Y131" s="7">
        <f t="shared" si="28"/>
        <v>23400</v>
      </c>
      <c r="Z131" s="7">
        <f t="shared" si="29"/>
        <v>5555</v>
      </c>
      <c r="AA131" s="7"/>
      <c r="AB131" s="7"/>
      <c r="AC131" s="7">
        <f t="shared" si="24"/>
        <v>23400</v>
      </c>
      <c r="AD131" s="7">
        <f t="shared" si="30"/>
        <v>5555</v>
      </c>
      <c r="AE131" s="7">
        <f t="shared" si="33"/>
        <v>5544.2</v>
      </c>
      <c r="AF131" s="12">
        <f t="shared" si="18"/>
        <v>224.4</v>
      </c>
      <c r="AG131" s="116">
        <f>AG132+AG133+AG134</f>
        <v>6116.4</v>
      </c>
      <c r="AH131" s="11"/>
      <c r="AI131" s="31"/>
      <c r="AJ131" s="31"/>
      <c r="AK131" s="7">
        <f t="shared" si="25"/>
        <v>5555</v>
      </c>
      <c r="AL131" s="27">
        <f t="shared" si="31"/>
        <v>5544.2</v>
      </c>
      <c r="AM131" s="27">
        <f t="shared" si="36"/>
        <v>6340.7999999999993</v>
      </c>
      <c r="AN131" s="27"/>
      <c r="AO131" s="27"/>
      <c r="AP131" s="7">
        <f t="shared" si="26"/>
        <v>5544.2</v>
      </c>
      <c r="AQ131" s="27">
        <f t="shared" si="32"/>
        <v>6340.7999999999993</v>
      </c>
      <c r="AR131" s="27"/>
      <c r="AS131" s="27">
        <f t="shared" si="27"/>
        <v>6340.7999999999993</v>
      </c>
      <c r="AT131" s="1"/>
      <c r="AU131" s="1"/>
    </row>
    <row r="132" spans="1:47" ht="114.75" customHeight="1" outlineLevel="1">
      <c r="A132" s="100" t="s">
        <v>163</v>
      </c>
      <c r="B132" s="37" t="s">
        <v>62</v>
      </c>
      <c r="C132" s="33" t="s">
        <v>116</v>
      </c>
      <c r="D132" s="33" t="s">
        <v>7</v>
      </c>
      <c r="E132" s="33" t="s">
        <v>9</v>
      </c>
      <c r="F132" s="33" t="s">
        <v>96</v>
      </c>
      <c r="G132" s="84">
        <v>7520</v>
      </c>
      <c r="H132" s="84"/>
      <c r="I132" s="34">
        <f t="shared" ref="I132:I169" si="56">G132+H132</f>
        <v>7520</v>
      </c>
      <c r="J132" s="84">
        <v>5555</v>
      </c>
      <c r="K132" s="84"/>
      <c r="L132" s="84"/>
      <c r="M132" s="34">
        <f t="shared" si="34"/>
        <v>7520</v>
      </c>
      <c r="N132" s="34">
        <f t="shared" si="54"/>
        <v>5555</v>
      </c>
      <c r="O132" s="84">
        <v>0</v>
      </c>
      <c r="P132" s="84"/>
      <c r="Q132" s="84"/>
      <c r="R132" s="34">
        <f t="shared" si="35"/>
        <v>5555</v>
      </c>
      <c r="S132" s="34">
        <f t="shared" si="55"/>
        <v>0</v>
      </c>
      <c r="T132" s="84">
        <v>0</v>
      </c>
      <c r="U132" s="41"/>
      <c r="V132" s="41"/>
      <c r="W132" s="41"/>
      <c r="X132" s="41"/>
      <c r="Y132" s="7">
        <f t="shared" si="28"/>
        <v>7520</v>
      </c>
      <c r="Z132" s="7">
        <f t="shared" si="29"/>
        <v>5555</v>
      </c>
      <c r="AA132" s="7"/>
      <c r="AB132" s="7"/>
      <c r="AC132" s="7">
        <f t="shared" si="24"/>
        <v>7520</v>
      </c>
      <c r="AD132" s="7">
        <f t="shared" si="30"/>
        <v>5555</v>
      </c>
      <c r="AE132" s="7">
        <f t="shared" si="33"/>
        <v>0</v>
      </c>
      <c r="AF132" s="12">
        <f t="shared" si="18"/>
        <v>0</v>
      </c>
      <c r="AG132" s="11"/>
      <c r="AH132" s="11"/>
      <c r="AI132" s="31"/>
      <c r="AJ132" s="31"/>
      <c r="AK132" s="7">
        <f t="shared" si="25"/>
        <v>5555</v>
      </c>
      <c r="AL132" s="27">
        <f t="shared" si="31"/>
        <v>0</v>
      </c>
      <c r="AM132" s="27">
        <f t="shared" si="36"/>
        <v>0</v>
      </c>
      <c r="AN132" s="27"/>
      <c r="AO132" s="27"/>
      <c r="AP132" s="7">
        <f t="shared" si="26"/>
        <v>0</v>
      </c>
      <c r="AQ132" s="27">
        <f t="shared" si="32"/>
        <v>0</v>
      </c>
      <c r="AR132" s="27"/>
      <c r="AS132" s="27">
        <f t="shared" si="27"/>
        <v>0</v>
      </c>
      <c r="AT132" s="1"/>
      <c r="AU132" s="1"/>
    </row>
    <row r="133" spans="1:47" ht="110.25" customHeight="1" outlineLevel="1">
      <c r="A133" s="86" t="s">
        <v>141</v>
      </c>
      <c r="B133" s="37" t="s">
        <v>62</v>
      </c>
      <c r="C133" s="33" t="s">
        <v>117</v>
      </c>
      <c r="D133" s="33" t="s">
        <v>7</v>
      </c>
      <c r="E133" s="33" t="s">
        <v>9</v>
      </c>
      <c r="F133" s="33" t="s">
        <v>97</v>
      </c>
      <c r="G133" s="84">
        <v>7520</v>
      </c>
      <c r="H133" s="84"/>
      <c r="I133" s="34">
        <f t="shared" si="56"/>
        <v>7520</v>
      </c>
      <c r="J133" s="34">
        <v>0</v>
      </c>
      <c r="K133" s="34"/>
      <c r="L133" s="34"/>
      <c r="M133" s="34">
        <f t="shared" si="34"/>
        <v>7520</v>
      </c>
      <c r="N133" s="34">
        <f t="shared" si="54"/>
        <v>0</v>
      </c>
      <c r="O133" s="34">
        <v>5544.2</v>
      </c>
      <c r="P133" s="34"/>
      <c r="Q133" s="34"/>
      <c r="R133" s="34">
        <f t="shared" si="35"/>
        <v>0</v>
      </c>
      <c r="S133" s="34">
        <f t="shared" si="55"/>
        <v>5544.2</v>
      </c>
      <c r="T133" s="57">
        <v>0</v>
      </c>
      <c r="U133" s="41"/>
      <c r="V133" s="41"/>
      <c r="W133" s="41"/>
      <c r="X133" s="41"/>
      <c r="Y133" s="7">
        <f t="shared" si="28"/>
        <v>7520</v>
      </c>
      <c r="Z133" s="7">
        <f t="shared" si="29"/>
        <v>0</v>
      </c>
      <c r="AA133" s="7"/>
      <c r="AB133" s="7"/>
      <c r="AC133" s="7">
        <f t="shared" si="24"/>
        <v>7520</v>
      </c>
      <c r="AD133" s="7">
        <f t="shared" si="30"/>
        <v>0</v>
      </c>
      <c r="AE133" s="7">
        <f t="shared" si="33"/>
        <v>5544.2</v>
      </c>
      <c r="AF133" s="12">
        <f t="shared" si="18"/>
        <v>0</v>
      </c>
      <c r="AG133" s="11"/>
      <c r="AH133" s="11"/>
      <c r="AI133" s="31"/>
      <c r="AJ133" s="31"/>
      <c r="AK133" s="7">
        <f t="shared" si="25"/>
        <v>0</v>
      </c>
      <c r="AL133" s="27">
        <f t="shared" si="31"/>
        <v>5544.2</v>
      </c>
      <c r="AM133" s="27">
        <f t="shared" si="36"/>
        <v>0</v>
      </c>
      <c r="AN133" s="27"/>
      <c r="AO133" s="27"/>
      <c r="AP133" s="7">
        <f t="shared" si="26"/>
        <v>5544.2</v>
      </c>
      <c r="AQ133" s="27">
        <f t="shared" si="32"/>
        <v>0</v>
      </c>
      <c r="AR133" s="27"/>
      <c r="AS133" s="27">
        <f t="shared" si="27"/>
        <v>0</v>
      </c>
      <c r="AT133" s="1"/>
      <c r="AU133" s="1"/>
    </row>
    <row r="134" spans="1:47" ht="110.25" customHeight="1" outlineLevel="1">
      <c r="A134" s="100" t="s">
        <v>135</v>
      </c>
      <c r="B134" s="37" t="s">
        <v>62</v>
      </c>
      <c r="C134" s="33" t="s">
        <v>117</v>
      </c>
      <c r="D134" s="33" t="s">
        <v>7</v>
      </c>
      <c r="E134" s="33" t="s">
        <v>9</v>
      </c>
      <c r="F134" s="33" t="s">
        <v>134</v>
      </c>
      <c r="G134" s="84">
        <v>7520</v>
      </c>
      <c r="H134" s="84"/>
      <c r="I134" s="34">
        <f t="shared" si="56"/>
        <v>7520</v>
      </c>
      <c r="J134" s="34">
        <v>0</v>
      </c>
      <c r="K134" s="34"/>
      <c r="L134" s="34">
        <v>840</v>
      </c>
      <c r="M134" s="34">
        <f t="shared" si="34"/>
        <v>8360</v>
      </c>
      <c r="N134" s="34">
        <f t="shared" si="54"/>
        <v>0</v>
      </c>
      <c r="O134" s="34">
        <v>0</v>
      </c>
      <c r="P134" s="34"/>
      <c r="Q134" s="34"/>
      <c r="R134" s="34">
        <f t="shared" si="35"/>
        <v>0</v>
      </c>
      <c r="S134" s="34">
        <f t="shared" si="55"/>
        <v>0</v>
      </c>
      <c r="T134" s="57">
        <v>224.4</v>
      </c>
      <c r="U134" s="41"/>
      <c r="V134" s="41"/>
      <c r="W134" s="41"/>
      <c r="X134" s="41"/>
      <c r="Y134" s="7">
        <f t="shared" si="28"/>
        <v>8360</v>
      </c>
      <c r="Z134" s="7">
        <f t="shared" si="29"/>
        <v>0</v>
      </c>
      <c r="AA134" s="7"/>
      <c r="AB134" s="7"/>
      <c r="AC134" s="7">
        <f t="shared" si="24"/>
        <v>8360</v>
      </c>
      <c r="AD134" s="7">
        <f t="shared" si="30"/>
        <v>0</v>
      </c>
      <c r="AE134" s="7">
        <f t="shared" si="33"/>
        <v>0</v>
      </c>
      <c r="AF134" s="12">
        <f t="shared" si="18"/>
        <v>224.4</v>
      </c>
      <c r="AG134" s="110">
        <v>6116.4</v>
      </c>
      <c r="AH134" s="11"/>
      <c r="AI134" s="31"/>
      <c r="AJ134" s="31"/>
      <c r="AK134" s="7">
        <f t="shared" si="25"/>
        <v>0</v>
      </c>
      <c r="AL134" s="27">
        <f t="shared" si="31"/>
        <v>0</v>
      </c>
      <c r="AM134" s="27">
        <f t="shared" si="36"/>
        <v>6340.7999999999993</v>
      </c>
      <c r="AN134" s="27"/>
      <c r="AO134" s="27"/>
      <c r="AP134" s="7">
        <f t="shared" si="26"/>
        <v>0</v>
      </c>
      <c r="AQ134" s="27">
        <f t="shared" si="32"/>
        <v>6340.7999999999993</v>
      </c>
      <c r="AR134" s="27"/>
      <c r="AS134" s="27">
        <f t="shared" si="27"/>
        <v>6340.7999999999993</v>
      </c>
      <c r="AT134" s="1"/>
      <c r="AU134" s="1"/>
    </row>
    <row r="135" spans="1:47" ht="21.75" customHeight="1" outlineLevel="1">
      <c r="A135" s="160" t="s">
        <v>81</v>
      </c>
      <c r="B135" s="161"/>
      <c r="C135" s="161"/>
      <c r="D135" s="161"/>
      <c r="E135" s="162"/>
      <c r="F135" s="33"/>
      <c r="G135" s="34">
        <f>G136</f>
        <v>3264.95</v>
      </c>
      <c r="H135" s="34">
        <f>H136</f>
        <v>0</v>
      </c>
      <c r="I135" s="34">
        <f t="shared" si="56"/>
        <v>3264.95</v>
      </c>
      <c r="J135" s="34">
        <f>J136</f>
        <v>905</v>
      </c>
      <c r="K135" s="34">
        <f>K136</f>
        <v>0</v>
      </c>
      <c r="L135" s="34"/>
      <c r="M135" s="34">
        <f t="shared" si="34"/>
        <v>3264.95</v>
      </c>
      <c r="N135" s="34">
        <f t="shared" si="54"/>
        <v>905</v>
      </c>
      <c r="O135" s="34">
        <f>O136</f>
        <v>0</v>
      </c>
      <c r="P135" s="34">
        <f>P136</f>
        <v>0</v>
      </c>
      <c r="Q135" s="34">
        <f>Q136</f>
        <v>-35</v>
      </c>
      <c r="R135" s="34">
        <f t="shared" si="35"/>
        <v>870</v>
      </c>
      <c r="S135" s="34">
        <f t="shared" si="55"/>
        <v>0</v>
      </c>
      <c r="T135" s="34">
        <f>T136</f>
        <v>0</v>
      </c>
      <c r="U135" s="34">
        <f>U136</f>
        <v>0</v>
      </c>
      <c r="V135" s="34"/>
      <c r="W135" s="34"/>
      <c r="X135" s="34"/>
      <c r="Y135" s="7">
        <f t="shared" si="28"/>
        <v>3264.95</v>
      </c>
      <c r="Z135" s="7">
        <f t="shared" si="29"/>
        <v>870</v>
      </c>
      <c r="AA135" s="7"/>
      <c r="AB135" s="7"/>
      <c r="AC135" s="7">
        <f t="shared" si="24"/>
        <v>3264.95</v>
      </c>
      <c r="AD135" s="7">
        <f t="shared" si="30"/>
        <v>870</v>
      </c>
      <c r="AE135" s="7">
        <f t="shared" si="33"/>
        <v>0</v>
      </c>
      <c r="AF135" s="12">
        <f t="shared" si="18"/>
        <v>0</v>
      </c>
      <c r="AG135" s="11"/>
      <c r="AH135" s="11"/>
      <c r="AI135" s="31"/>
      <c r="AJ135" s="31"/>
      <c r="AK135" s="7">
        <f t="shared" si="25"/>
        <v>870</v>
      </c>
      <c r="AL135" s="27">
        <f t="shared" si="31"/>
        <v>0</v>
      </c>
      <c r="AM135" s="27">
        <f t="shared" si="36"/>
        <v>0</v>
      </c>
      <c r="AN135" s="27"/>
      <c r="AO135" s="27"/>
      <c r="AP135" s="7">
        <f t="shared" si="26"/>
        <v>0</v>
      </c>
      <c r="AQ135" s="27">
        <f t="shared" si="32"/>
        <v>0</v>
      </c>
      <c r="AR135" s="27"/>
      <c r="AS135" s="27">
        <f t="shared" si="27"/>
        <v>0</v>
      </c>
      <c r="AT135" s="1"/>
      <c r="AU135" s="1"/>
    </row>
    <row r="136" spans="1:47" ht="117" customHeight="1" outlineLevel="1">
      <c r="A136" s="86" t="s">
        <v>246</v>
      </c>
      <c r="B136" s="32" t="s">
        <v>175</v>
      </c>
      <c r="C136" s="33" t="s">
        <v>18</v>
      </c>
      <c r="D136" s="33" t="s">
        <v>7</v>
      </c>
      <c r="E136" s="44" t="s">
        <v>164</v>
      </c>
      <c r="F136" s="33" t="s">
        <v>96</v>
      </c>
      <c r="G136" s="84">
        <v>3264.95</v>
      </c>
      <c r="H136" s="84"/>
      <c r="I136" s="34">
        <f t="shared" si="56"/>
        <v>3264.95</v>
      </c>
      <c r="J136" s="34">
        <f>256.7+648.3</f>
        <v>905</v>
      </c>
      <c r="K136" s="34"/>
      <c r="L136" s="34"/>
      <c r="M136" s="34">
        <f t="shared" si="34"/>
        <v>3264.95</v>
      </c>
      <c r="N136" s="34">
        <f t="shared" si="54"/>
        <v>905</v>
      </c>
      <c r="O136" s="34">
        <v>0</v>
      </c>
      <c r="P136" s="34"/>
      <c r="Q136" s="34">
        <v>-35</v>
      </c>
      <c r="R136" s="34">
        <f t="shared" si="35"/>
        <v>870</v>
      </c>
      <c r="S136" s="34">
        <f t="shared" si="55"/>
        <v>0</v>
      </c>
      <c r="T136" s="34">
        <v>0</v>
      </c>
      <c r="U136" s="41"/>
      <c r="V136" s="41"/>
      <c r="W136" s="41"/>
      <c r="X136" s="41"/>
      <c r="Y136" s="7">
        <f t="shared" si="28"/>
        <v>3264.95</v>
      </c>
      <c r="Z136" s="7">
        <f t="shared" si="29"/>
        <v>870</v>
      </c>
      <c r="AA136" s="7"/>
      <c r="AB136" s="7"/>
      <c r="AC136" s="7">
        <f t="shared" si="24"/>
        <v>3264.95</v>
      </c>
      <c r="AD136" s="7">
        <f t="shared" si="30"/>
        <v>870</v>
      </c>
      <c r="AE136" s="7">
        <f t="shared" si="33"/>
        <v>0</v>
      </c>
      <c r="AF136" s="12">
        <f t="shared" si="18"/>
        <v>0</v>
      </c>
      <c r="AG136" s="11"/>
      <c r="AH136" s="11"/>
      <c r="AI136" s="31"/>
      <c r="AJ136" s="31"/>
      <c r="AK136" s="7">
        <f t="shared" si="25"/>
        <v>870</v>
      </c>
      <c r="AL136" s="27">
        <f t="shared" si="31"/>
        <v>0</v>
      </c>
      <c r="AM136" s="27">
        <f t="shared" si="36"/>
        <v>0</v>
      </c>
      <c r="AN136" s="27"/>
      <c r="AO136" s="27"/>
      <c r="AP136" s="7">
        <f t="shared" si="26"/>
        <v>0</v>
      </c>
      <c r="AQ136" s="27">
        <f t="shared" si="32"/>
        <v>0</v>
      </c>
      <c r="AR136" s="27"/>
      <c r="AS136" s="27">
        <f t="shared" si="27"/>
        <v>0</v>
      </c>
      <c r="AT136" s="1"/>
      <c r="AU136" s="1"/>
    </row>
    <row r="137" spans="1:47" ht="35.25" customHeight="1" outlineLevel="1">
      <c r="A137" s="163" t="s">
        <v>110</v>
      </c>
      <c r="B137" s="159"/>
      <c r="C137" s="159"/>
      <c r="D137" s="159"/>
      <c r="E137" s="148"/>
      <c r="F137" s="33"/>
      <c r="G137" s="84">
        <f>SUM(G138:G139)</f>
        <v>423509.2</v>
      </c>
      <c r="H137" s="84">
        <f>SUM(H138:H139)</f>
        <v>0</v>
      </c>
      <c r="I137" s="34">
        <f t="shared" si="56"/>
        <v>423509.2</v>
      </c>
      <c r="J137" s="84">
        <f t="shared" ref="J137:U137" si="57">SUM(J138:J139)</f>
        <v>128289.1</v>
      </c>
      <c r="K137" s="84">
        <f t="shared" si="57"/>
        <v>0</v>
      </c>
      <c r="L137" s="84"/>
      <c r="M137" s="34">
        <f t="shared" si="34"/>
        <v>423509.2</v>
      </c>
      <c r="N137" s="34">
        <f t="shared" si="54"/>
        <v>128289.1</v>
      </c>
      <c r="O137" s="84">
        <f t="shared" si="57"/>
        <v>152337.60000000001</v>
      </c>
      <c r="P137" s="84">
        <f t="shared" si="57"/>
        <v>0</v>
      </c>
      <c r="Q137" s="84"/>
      <c r="R137" s="34">
        <f t="shared" si="35"/>
        <v>128289.1</v>
      </c>
      <c r="S137" s="34">
        <f t="shared" si="55"/>
        <v>152337.60000000001</v>
      </c>
      <c r="T137" s="84">
        <f t="shared" si="57"/>
        <v>0</v>
      </c>
      <c r="U137" s="84">
        <f t="shared" si="57"/>
        <v>0</v>
      </c>
      <c r="V137" s="84"/>
      <c r="W137" s="84"/>
      <c r="X137" s="84"/>
      <c r="Y137" s="7">
        <f t="shared" si="28"/>
        <v>423509.2</v>
      </c>
      <c r="Z137" s="7">
        <f t="shared" si="29"/>
        <v>128289.1</v>
      </c>
      <c r="AA137" s="7"/>
      <c r="AB137" s="7"/>
      <c r="AC137" s="7">
        <f t="shared" si="24"/>
        <v>423509.2</v>
      </c>
      <c r="AD137" s="7">
        <f t="shared" si="30"/>
        <v>128289.1</v>
      </c>
      <c r="AE137" s="7">
        <f t="shared" si="33"/>
        <v>152337.60000000001</v>
      </c>
      <c r="AF137" s="12">
        <f t="shared" si="18"/>
        <v>0</v>
      </c>
      <c r="AG137" s="11"/>
      <c r="AH137" s="11"/>
      <c r="AI137" s="31"/>
      <c r="AJ137" s="129">
        <f>AJ139</f>
        <v>-12581.4</v>
      </c>
      <c r="AK137" s="7">
        <f t="shared" si="25"/>
        <v>115707.70000000001</v>
      </c>
      <c r="AL137" s="27">
        <f t="shared" si="31"/>
        <v>152337.60000000001</v>
      </c>
      <c r="AM137" s="27">
        <f t="shared" si="36"/>
        <v>0</v>
      </c>
      <c r="AN137" s="27"/>
      <c r="AO137" s="27"/>
      <c r="AP137" s="7">
        <f t="shared" si="26"/>
        <v>152337.60000000001</v>
      </c>
      <c r="AQ137" s="27">
        <f t="shared" si="32"/>
        <v>0</v>
      </c>
      <c r="AR137" s="27"/>
      <c r="AS137" s="27">
        <f t="shared" si="27"/>
        <v>0</v>
      </c>
      <c r="AT137" s="1"/>
      <c r="AU137" s="1"/>
    </row>
    <row r="138" spans="1:47" ht="126" customHeight="1" outlineLevel="1">
      <c r="A138" s="86" t="s">
        <v>165</v>
      </c>
      <c r="B138" s="32" t="s">
        <v>21</v>
      </c>
      <c r="C138" s="33" t="s">
        <v>111</v>
      </c>
      <c r="D138" s="74" t="s">
        <v>6</v>
      </c>
      <c r="E138" s="33" t="s">
        <v>41</v>
      </c>
      <c r="F138" s="33" t="s">
        <v>22</v>
      </c>
      <c r="G138" s="84">
        <v>7270</v>
      </c>
      <c r="H138" s="84"/>
      <c r="I138" s="34">
        <f t="shared" si="56"/>
        <v>7270</v>
      </c>
      <c r="J138" s="34">
        <v>5060</v>
      </c>
      <c r="K138" s="34"/>
      <c r="L138" s="34"/>
      <c r="M138" s="34">
        <f t="shared" si="34"/>
        <v>7270</v>
      </c>
      <c r="N138" s="34">
        <f t="shared" si="54"/>
        <v>5060</v>
      </c>
      <c r="O138" s="34">
        <v>0</v>
      </c>
      <c r="P138" s="34"/>
      <c r="Q138" s="34"/>
      <c r="R138" s="34">
        <f t="shared" si="35"/>
        <v>5060</v>
      </c>
      <c r="S138" s="34">
        <f t="shared" si="55"/>
        <v>0</v>
      </c>
      <c r="T138" s="34">
        <v>0</v>
      </c>
      <c r="U138" s="41"/>
      <c r="V138" s="41"/>
      <c r="W138" s="41"/>
      <c r="X138" s="41"/>
      <c r="Y138" s="7">
        <f t="shared" si="28"/>
        <v>7270</v>
      </c>
      <c r="Z138" s="7">
        <f t="shared" si="29"/>
        <v>5060</v>
      </c>
      <c r="AA138" s="7"/>
      <c r="AB138" s="7"/>
      <c r="AC138" s="7">
        <f t="shared" si="24"/>
        <v>7270</v>
      </c>
      <c r="AD138" s="7">
        <f t="shared" si="30"/>
        <v>5060</v>
      </c>
      <c r="AE138" s="7">
        <f t="shared" si="33"/>
        <v>0</v>
      </c>
      <c r="AF138" s="12">
        <f t="shared" si="18"/>
        <v>0</v>
      </c>
      <c r="AG138" s="11"/>
      <c r="AH138" s="11"/>
      <c r="AI138" s="31"/>
      <c r="AJ138" s="31"/>
      <c r="AK138" s="7">
        <f t="shared" si="25"/>
        <v>5060</v>
      </c>
      <c r="AL138" s="27">
        <f t="shared" si="31"/>
        <v>0</v>
      </c>
      <c r="AM138" s="27">
        <f t="shared" si="36"/>
        <v>0</v>
      </c>
      <c r="AN138" s="27"/>
      <c r="AO138" s="27"/>
      <c r="AP138" s="7">
        <f t="shared" si="26"/>
        <v>0</v>
      </c>
      <c r="AQ138" s="27">
        <f t="shared" si="32"/>
        <v>0</v>
      </c>
      <c r="AR138" s="27"/>
      <c r="AS138" s="27">
        <f t="shared" si="27"/>
        <v>0</v>
      </c>
      <c r="AT138" s="1"/>
      <c r="AU138" s="1"/>
    </row>
    <row r="139" spans="1:47" ht="127.5" customHeight="1" outlineLevel="1">
      <c r="A139" s="86" t="s">
        <v>176</v>
      </c>
      <c r="B139" s="32" t="s">
        <v>112</v>
      </c>
      <c r="C139" s="33" t="s">
        <v>18</v>
      </c>
      <c r="D139" s="74" t="s">
        <v>6</v>
      </c>
      <c r="E139" s="33" t="s">
        <v>31</v>
      </c>
      <c r="F139" s="33" t="s">
        <v>75</v>
      </c>
      <c r="G139" s="84">
        <v>416239.2</v>
      </c>
      <c r="H139" s="84"/>
      <c r="I139" s="34">
        <f t="shared" si="56"/>
        <v>416239.2</v>
      </c>
      <c r="J139" s="34">
        <v>123229.1</v>
      </c>
      <c r="K139" s="34"/>
      <c r="L139" s="34"/>
      <c r="M139" s="34">
        <f t="shared" si="34"/>
        <v>416239.2</v>
      </c>
      <c r="N139" s="34">
        <f t="shared" si="54"/>
        <v>123229.1</v>
      </c>
      <c r="O139" s="34">
        <v>152337.60000000001</v>
      </c>
      <c r="P139" s="34"/>
      <c r="Q139" s="34"/>
      <c r="R139" s="34">
        <f t="shared" si="35"/>
        <v>123229.1</v>
      </c>
      <c r="S139" s="34">
        <f t="shared" si="55"/>
        <v>152337.60000000001</v>
      </c>
      <c r="T139" s="34">
        <v>0</v>
      </c>
      <c r="U139" s="41"/>
      <c r="V139" s="41"/>
      <c r="W139" s="41"/>
      <c r="X139" s="41"/>
      <c r="Y139" s="7">
        <f t="shared" si="28"/>
        <v>416239.2</v>
      </c>
      <c r="Z139" s="7">
        <f t="shared" si="29"/>
        <v>123229.1</v>
      </c>
      <c r="AA139" s="7"/>
      <c r="AB139" s="7"/>
      <c r="AC139" s="7">
        <f t="shared" si="24"/>
        <v>416239.2</v>
      </c>
      <c r="AD139" s="7">
        <f t="shared" si="30"/>
        <v>123229.1</v>
      </c>
      <c r="AE139" s="7">
        <f t="shared" si="33"/>
        <v>152337.60000000001</v>
      </c>
      <c r="AF139" s="12">
        <f t="shared" si="18"/>
        <v>0</v>
      </c>
      <c r="AG139" s="11"/>
      <c r="AH139" s="11"/>
      <c r="AI139" s="31"/>
      <c r="AJ139" s="24">
        <v>-12581.4</v>
      </c>
      <c r="AK139" s="7">
        <f t="shared" si="25"/>
        <v>110647.70000000001</v>
      </c>
      <c r="AL139" s="27">
        <f t="shared" si="31"/>
        <v>152337.60000000001</v>
      </c>
      <c r="AM139" s="27">
        <f t="shared" si="36"/>
        <v>0</v>
      </c>
      <c r="AN139" s="27"/>
      <c r="AO139" s="27"/>
      <c r="AP139" s="7">
        <f t="shared" si="26"/>
        <v>152337.60000000001</v>
      </c>
      <c r="AQ139" s="27">
        <f t="shared" si="32"/>
        <v>0</v>
      </c>
      <c r="AR139" s="27"/>
      <c r="AS139" s="27">
        <f t="shared" si="27"/>
        <v>0</v>
      </c>
      <c r="AT139" s="1"/>
      <c r="AU139" s="1"/>
    </row>
    <row r="140" spans="1:47" ht="120" hidden="1" customHeight="1" outlineLevel="1">
      <c r="A140" s="86" t="s">
        <v>249</v>
      </c>
      <c r="B140" s="32" t="s">
        <v>244</v>
      </c>
      <c r="C140" s="33" t="s">
        <v>18</v>
      </c>
      <c r="D140" s="74" t="s">
        <v>245</v>
      </c>
      <c r="E140" s="37" t="s">
        <v>67</v>
      </c>
      <c r="F140" s="33" t="s">
        <v>34</v>
      </c>
      <c r="G140" s="84"/>
      <c r="H140" s="84">
        <v>35000</v>
      </c>
      <c r="I140" s="34">
        <f t="shared" si="56"/>
        <v>35000</v>
      </c>
      <c r="J140" s="34"/>
      <c r="K140" s="34">
        <v>6000</v>
      </c>
      <c r="L140" s="34">
        <v>-35000</v>
      </c>
      <c r="M140" s="34">
        <f t="shared" si="34"/>
        <v>0</v>
      </c>
      <c r="N140" s="34">
        <f t="shared" si="54"/>
        <v>6000</v>
      </c>
      <c r="O140" s="34"/>
      <c r="P140" s="34">
        <v>4000</v>
      </c>
      <c r="Q140" s="34">
        <v>-6000</v>
      </c>
      <c r="R140" s="34">
        <f t="shared" si="35"/>
        <v>0</v>
      </c>
      <c r="S140" s="34">
        <f t="shared" si="55"/>
        <v>4000</v>
      </c>
      <c r="T140" s="34"/>
      <c r="U140" s="41">
        <v>4000</v>
      </c>
      <c r="V140" s="45">
        <v>-4000</v>
      </c>
      <c r="W140" s="45"/>
      <c r="X140" s="45"/>
      <c r="Y140" s="7">
        <f t="shared" si="28"/>
        <v>0</v>
      </c>
      <c r="Z140" s="7">
        <f t="shared" si="29"/>
        <v>0</v>
      </c>
      <c r="AA140" s="7"/>
      <c r="AB140" s="7"/>
      <c r="AC140" s="7">
        <f t="shared" si="24"/>
        <v>0</v>
      </c>
      <c r="AD140" s="7">
        <f t="shared" si="30"/>
        <v>0</v>
      </c>
      <c r="AE140" s="7">
        <f t="shared" si="33"/>
        <v>0</v>
      </c>
      <c r="AF140" s="7">
        <f t="shared" si="18"/>
        <v>4000</v>
      </c>
      <c r="AG140" s="112">
        <v>-4000</v>
      </c>
      <c r="AH140" s="11"/>
      <c r="AI140" s="31"/>
      <c r="AJ140" s="31"/>
      <c r="AK140" s="7">
        <f t="shared" si="25"/>
        <v>0</v>
      </c>
      <c r="AL140" s="27">
        <f t="shared" si="31"/>
        <v>0</v>
      </c>
      <c r="AM140" s="27">
        <f t="shared" si="36"/>
        <v>0</v>
      </c>
      <c r="AN140" s="27"/>
      <c r="AO140" s="27"/>
      <c r="AP140" s="7">
        <f t="shared" si="26"/>
        <v>0</v>
      </c>
      <c r="AQ140" s="27">
        <f t="shared" si="32"/>
        <v>0</v>
      </c>
      <c r="AR140" s="27"/>
      <c r="AS140" s="27">
        <f t="shared" si="27"/>
        <v>0</v>
      </c>
      <c r="AT140" s="1"/>
      <c r="AU140" s="1"/>
    </row>
    <row r="141" spans="1:47" s="4" customFormat="1" ht="42.75" customHeight="1">
      <c r="A141" s="138" t="s">
        <v>373</v>
      </c>
      <c r="B141" s="157"/>
      <c r="C141" s="157"/>
      <c r="D141" s="157"/>
      <c r="E141" s="87"/>
      <c r="F141" s="87"/>
      <c r="G141" s="34">
        <f>SUM(G142:G145)</f>
        <v>523752.39999999997</v>
      </c>
      <c r="H141" s="34">
        <f>SUM(H142:H145)</f>
        <v>216.1</v>
      </c>
      <c r="I141" s="34">
        <f t="shared" si="56"/>
        <v>523968.49999999994</v>
      </c>
      <c r="J141" s="34">
        <f>SUM(J142:J145)</f>
        <v>85878.84</v>
      </c>
      <c r="K141" s="34">
        <f>SUM(K142:K145)</f>
        <v>26253</v>
      </c>
      <c r="L141" s="34">
        <f>L142+L143+L144+L145</f>
        <v>278.89999999999998</v>
      </c>
      <c r="M141" s="34">
        <f t="shared" si="34"/>
        <v>524247.39999999997</v>
      </c>
      <c r="N141" s="34">
        <f t="shared" si="54"/>
        <v>112131.84</v>
      </c>
      <c r="O141" s="34">
        <f>SUM(O142:O144)</f>
        <v>82456.7</v>
      </c>
      <c r="P141" s="34">
        <f>SUM(P142:P144)</f>
        <v>62645.9</v>
      </c>
      <c r="Q141" s="34">
        <f>Q142+Q143+Q144+Q145</f>
        <v>17913.5</v>
      </c>
      <c r="R141" s="34">
        <f t="shared" si="35"/>
        <v>130045.34</v>
      </c>
      <c r="S141" s="34">
        <f t="shared" si="55"/>
        <v>145102.6</v>
      </c>
      <c r="T141" s="34">
        <f>SUM(T142:T144)</f>
        <v>62645.9</v>
      </c>
      <c r="U141" s="34">
        <f>SUM(U142:U144)</f>
        <v>-62645.9</v>
      </c>
      <c r="V141" s="34">
        <f>V142+V143+V144+V145</f>
        <v>-11419.4</v>
      </c>
      <c r="W141" s="34"/>
      <c r="X141" s="34">
        <f>X142+X143+X144+X145</f>
        <v>5346.2</v>
      </c>
      <c r="Y141" s="7">
        <f t="shared" si="28"/>
        <v>529593.59999999998</v>
      </c>
      <c r="Z141" s="7">
        <f t="shared" si="29"/>
        <v>130045.34</v>
      </c>
      <c r="AA141" s="7">
        <f>AA142+AA143+AA144+AA145</f>
        <v>3417.6</v>
      </c>
      <c r="AB141" s="7"/>
      <c r="AC141" s="7">
        <f t="shared" ref="AC141:AC178" si="58">Y141+AB141</f>
        <v>529593.59999999998</v>
      </c>
      <c r="AD141" s="7">
        <f t="shared" si="30"/>
        <v>133462.94</v>
      </c>
      <c r="AE141" s="7">
        <f t="shared" si="33"/>
        <v>133683.20000000001</v>
      </c>
      <c r="AF141" s="12">
        <f t="shared" si="18"/>
        <v>0</v>
      </c>
      <c r="AG141" s="7">
        <f>AG142+AG143+AG144+AG145</f>
        <v>0</v>
      </c>
      <c r="AH141" s="117"/>
      <c r="AI141" s="7">
        <f>AI142+AI143+AI144+AI145</f>
        <v>1928.6000000000001</v>
      </c>
      <c r="AJ141" s="7"/>
      <c r="AK141" s="7">
        <f t="shared" ref="AK141:AK178" si="59">AD141+AJ141</f>
        <v>133462.94</v>
      </c>
      <c r="AL141" s="27">
        <f t="shared" si="31"/>
        <v>135611.80000000002</v>
      </c>
      <c r="AM141" s="27">
        <f t="shared" si="36"/>
        <v>0</v>
      </c>
      <c r="AN141" s="27"/>
      <c r="AO141" s="27"/>
      <c r="AP141" s="7">
        <f t="shared" ref="AP141:AP178" si="60">AL141+AO141</f>
        <v>135611.80000000002</v>
      </c>
      <c r="AQ141" s="27">
        <f t="shared" si="32"/>
        <v>0</v>
      </c>
      <c r="AR141" s="27"/>
      <c r="AS141" s="27">
        <f t="shared" ref="AS141:AS178" si="61">AQ141+AR141</f>
        <v>0</v>
      </c>
    </row>
    <row r="142" spans="1:47" s="4" customFormat="1" ht="126.75" customHeight="1" outlineLevel="1">
      <c r="A142" s="104" t="s">
        <v>73</v>
      </c>
      <c r="B142" s="81" t="s">
        <v>23</v>
      </c>
      <c r="C142" s="33" t="s">
        <v>5</v>
      </c>
      <c r="D142" s="33" t="s">
        <v>7</v>
      </c>
      <c r="E142" s="33" t="s">
        <v>9</v>
      </c>
      <c r="F142" s="33" t="s">
        <v>35</v>
      </c>
      <c r="G142" s="34">
        <v>372853.1</v>
      </c>
      <c r="H142" s="34"/>
      <c r="I142" s="34">
        <f t="shared" si="56"/>
        <v>372853.1</v>
      </c>
      <c r="J142" s="34">
        <f>73789.8+19810.71-10182.07</f>
        <v>83418.44</v>
      </c>
      <c r="K142" s="34">
        <f>9791.4+14856.5</f>
        <v>24647.9</v>
      </c>
      <c r="L142" s="34"/>
      <c r="M142" s="34">
        <f t="shared" si="34"/>
        <v>372853.1</v>
      </c>
      <c r="N142" s="34">
        <f t="shared" si="54"/>
        <v>108066.34</v>
      </c>
      <c r="O142" s="34">
        <v>0</v>
      </c>
      <c r="P142" s="34"/>
      <c r="Q142" s="34">
        <f>130.3+17634.6</f>
        <v>17764.899999999998</v>
      </c>
      <c r="R142" s="34">
        <f t="shared" si="35"/>
        <v>125831.23999999999</v>
      </c>
      <c r="S142" s="34">
        <f t="shared" si="55"/>
        <v>0</v>
      </c>
      <c r="T142" s="57">
        <v>0</v>
      </c>
      <c r="U142" s="81"/>
      <c r="V142" s="81"/>
      <c r="W142" s="81"/>
      <c r="X142" s="52">
        <v>2903</v>
      </c>
      <c r="Y142" s="7">
        <f t="shared" si="28"/>
        <v>375756.1</v>
      </c>
      <c r="Z142" s="7">
        <f t="shared" si="29"/>
        <v>125831.23999999999</v>
      </c>
      <c r="AA142" s="7">
        <v>2903</v>
      </c>
      <c r="AB142" s="7"/>
      <c r="AC142" s="7">
        <f t="shared" si="58"/>
        <v>375756.1</v>
      </c>
      <c r="AD142" s="7">
        <f t="shared" si="30"/>
        <v>128734.23999999999</v>
      </c>
      <c r="AE142" s="7">
        <f t="shared" si="33"/>
        <v>0</v>
      </c>
      <c r="AF142" s="12">
        <f t="shared" si="18"/>
        <v>0</v>
      </c>
      <c r="AG142" s="117"/>
      <c r="AH142" s="117"/>
      <c r="AI142" s="118"/>
      <c r="AJ142" s="118"/>
      <c r="AK142" s="7">
        <f t="shared" si="59"/>
        <v>128734.23999999999</v>
      </c>
      <c r="AL142" s="27">
        <f t="shared" si="31"/>
        <v>0</v>
      </c>
      <c r="AM142" s="27">
        <f t="shared" si="36"/>
        <v>0</v>
      </c>
      <c r="AN142" s="27"/>
      <c r="AO142" s="27"/>
      <c r="AP142" s="7">
        <f t="shared" si="60"/>
        <v>0</v>
      </c>
      <c r="AQ142" s="27">
        <f t="shared" si="32"/>
        <v>0</v>
      </c>
      <c r="AR142" s="27"/>
      <c r="AS142" s="27">
        <f t="shared" si="61"/>
        <v>0</v>
      </c>
    </row>
    <row r="143" spans="1:47" s="4" customFormat="1" ht="120.75" customHeight="1" outlineLevel="1">
      <c r="A143" s="101" t="s">
        <v>74</v>
      </c>
      <c r="B143" s="42" t="s">
        <v>21</v>
      </c>
      <c r="C143" s="33" t="s">
        <v>5</v>
      </c>
      <c r="D143" s="33" t="s">
        <v>7</v>
      </c>
      <c r="E143" s="33" t="s">
        <v>9</v>
      </c>
      <c r="F143" s="33" t="s">
        <v>75</v>
      </c>
      <c r="G143" s="34">
        <v>146383.5</v>
      </c>
      <c r="H143" s="34"/>
      <c r="I143" s="34">
        <f t="shared" si="56"/>
        <v>146383.5</v>
      </c>
      <c r="J143" s="34">
        <v>1280.9000000000001</v>
      </c>
      <c r="K143" s="34"/>
      <c r="L143" s="34"/>
      <c r="M143" s="34">
        <f t="shared" si="34"/>
        <v>146383.5</v>
      </c>
      <c r="N143" s="34">
        <f t="shared" si="54"/>
        <v>1280.9000000000001</v>
      </c>
      <c r="O143" s="34">
        <v>82456.7</v>
      </c>
      <c r="P143" s="34">
        <v>62645.9</v>
      </c>
      <c r="Q143" s="34">
        <v>-130.30000000000001</v>
      </c>
      <c r="R143" s="34">
        <f t="shared" si="35"/>
        <v>1150.6000000000001</v>
      </c>
      <c r="S143" s="34">
        <f t="shared" si="55"/>
        <v>145102.6</v>
      </c>
      <c r="T143" s="84">
        <v>62645.9</v>
      </c>
      <c r="U143" s="88">
        <v>-62645.9</v>
      </c>
      <c r="V143" s="88">
        <v>-11419.4</v>
      </c>
      <c r="W143" s="88"/>
      <c r="X143" s="88">
        <v>1917.7</v>
      </c>
      <c r="Y143" s="7">
        <f t="shared" si="28"/>
        <v>148301.20000000001</v>
      </c>
      <c r="Z143" s="7">
        <f t="shared" si="29"/>
        <v>1150.6000000000001</v>
      </c>
      <c r="AA143" s="7"/>
      <c r="AB143" s="7"/>
      <c r="AC143" s="7">
        <f t="shared" si="58"/>
        <v>148301.20000000001</v>
      </c>
      <c r="AD143" s="7">
        <f t="shared" si="30"/>
        <v>1150.6000000000001</v>
      </c>
      <c r="AE143" s="7">
        <f t="shared" si="33"/>
        <v>133683.20000000001</v>
      </c>
      <c r="AF143" s="12">
        <f t="shared" si="18"/>
        <v>0</v>
      </c>
      <c r="AG143" s="117"/>
      <c r="AH143" s="117"/>
      <c r="AI143" s="119">
        <v>1917.7</v>
      </c>
      <c r="AJ143" s="119"/>
      <c r="AK143" s="7">
        <f t="shared" si="59"/>
        <v>1150.6000000000001</v>
      </c>
      <c r="AL143" s="27">
        <f t="shared" si="31"/>
        <v>135600.90000000002</v>
      </c>
      <c r="AM143" s="27">
        <f t="shared" si="36"/>
        <v>0</v>
      </c>
      <c r="AN143" s="27"/>
      <c r="AO143" s="27"/>
      <c r="AP143" s="7">
        <f t="shared" si="60"/>
        <v>135600.90000000002</v>
      </c>
      <c r="AQ143" s="27">
        <f t="shared" si="32"/>
        <v>0</v>
      </c>
      <c r="AR143" s="27"/>
      <c r="AS143" s="27">
        <f t="shared" si="61"/>
        <v>0</v>
      </c>
    </row>
    <row r="144" spans="1:47" s="4" customFormat="1" ht="144.75" customHeight="1" outlineLevel="1">
      <c r="A144" s="101" t="s">
        <v>268</v>
      </c>
      <c r="B144" s="42" t="s">
        <v>21</v>
      </c>
      <c r="C144" s="33" t="s">
        <v>5</v>
      </c>
      <c r="D144" s="33" t="s">
        <v>7</v>
      </c>
      <c r="E144" s="33" t="s">
        <v>9</v>
      </c>
      <c r="F144" s="33" t="s">
        <v>14</v>
      </c>
      <c r="G144" s="57">
        <v>4515.8</v>
      </c>
      <c r="H144" s="57"/>
      <c r="I144" s="34">
        <f t="shared" si="56"/>
        <v>4515.8</v>
      </c>
      <c r="J144" s="34">
        <v>1179.5</v>
      </c>
      <c r="K144" s="34">
        <v>1389</v>
      </c>
      <c r="L144" s="34">
        <v>198</v>
      </c>
      <c r="M144" s="34">
        <f t="shared" si="34"/>
        <v>4713.8</v>
      </c>
      <c r="N144" s="34">
        <f t="shared" si="54"/>
        <v>2568.5</v>
      </c>
      <c r="O144" s="57">
        <v>0</v>
      </c>
      <c r="P144" s="57"/>
      <c r="Q144" s="57">
        <v>198</v>
      </c>
      <c r="R144" s="34">
        <f t="shared" si="35"/>
        <v>2766.5</v>
      </c>
      <c r="S144" s="34">
        <f t="shared" si="55"/>
        <v>0</v>
      </c>
      <c r="T144" s="57">
        <v>0</v>
      </c>
      <c r="U144" s="81"/>
      <c r="V144" s="81"/>
      <c r="W144" s="81"/>
      <c r="X144" s="81">
        <v>27.5</v>
      </c>
      <c r="Y144" s="7">
        <f t="shared" si="28"/>
        <v>4741.3</v>
      </c>
      <c r="Z144" s="7">
        <f t="shared" si="29"/>
        <v>2766.5</v>
      </c>
      <c r="AA144" s="7">
        <v>16.600000000000001</v>
      </c>
      <c r="AB144" s="7"/>
      <c r="AC144" s="7">
        <f t="shared" si="58"/>
        <v>4741.3</v>
      </c>
      <c r="AD144" s="7">
        <f t="shared" si="30"/>
        <v>2783.1</v>
      </c>
      <c r="AE144" s="7">
        <f t="shared" si="33"/>
        <v>0</v>
      </c>
      <c r="AF144" s="12">
        <f t="shared" si="18"/>
        <v>0</v>
      </c>
      <c r="AG144" s="117"/>
      <c r="AH144" s="117"/>
      <c r="AI144" s="118">
        <v>10.9</v>
      </c>
      <c r="AJ144" s="118"/>
      <c r="AK144" s="7">
        <f t="shared" si="59"/>
        <v>2783.1</v>
      </c>
      <c r="AL144" s="27">
        <f t="shared" si="31"/>
        <v>10.9</v>
      </c>
      <c r="AM144" s="27">
        <f t="shared" si="36"/>
        <v>0</v>
      </c>
      <c r="AN144" s="27"/>
      <c r="AO144" s="27"/>
      <c r="AP144" s="7">
        <f t="shared" si="60"/>
        <v>10.9</v>
      </c>
      <c r="AQ144" s="27">
        <f t="shared" si="32"/>
        <v>0</v>
      </c>
      <c r="AR144" s="27"/>
      <c r="AS144" s="27">
        <f t="shared" si="61"/>
        <v>0</v>
      </c>
    </row>
    <row r="145" spans="1:45" s="4" customFormat="1" ht="187.5" customHeight="1" outlineLevel="1">
      <c r="A145" s="108" t="s">
        <v>275</v>
      </c>
      <c r="B145" s="42" t="s">
        <v>21</v>
      </c>
      <c r="C145" s="33" t="s">
        <v>206</v>
      </c>
      <c r="D145" s="33" t="s">
        <v>7</v>
      </c>
      <c r="E145" s="33" t="s">
        <v>9</v>
      </c>
      <c r="F145" s="33" t="s">
        <v>96</v>
      </c>
      <c r="G145" s="57"/>
      <c r="H145" s="57">
        <v>216.1</v>
      </c>
      <c r="I145" s="34">
        <f t="shared" si="56"/>
        <v>216.1</v>
      </c>
      <c r="J145" s="34">
        <v>0</v>
      </c>
      <c r="K145" s="34">
        <v>216.1</v>
      </c>
      <c r="L145" s="34">
        <v>80.900000000000006</v>
      </c>
      <c r="M145" s="34">
        <f t="shared" si="34"/>
        <v>297</v>
      </c>
      <c r="N145" s="34">
        <f t="shared" si="54"/>
        <v>216.1</v>
      </c>
      <c r="O145" s="57">
        <v>0</v>
      </c>
      <c r="P145" s="57"/>
      <c r="Q145" s="57">
        <v>80.900000000000006</v>
      </c>
      <c r="R145" s="34">
        <f t="shared" si="35"/>
        <v>297</v>
      </c>
      <c r="S145" s="34">
        <f t="shared" si="55"/>
        <v>0</v>
      </c>
      <c r="T145" s="57">
        <v>0</v>
      </c>
      <c r="U145" s="81"/>
      <c r="V145" s="81"/>
      <c r="W145" s="81"/>
      <c r="X145" s="52">
        <v>498</v>
      </c>
      <c r="Y145" s="7">
        <f t="shared" si="28"/>
        <v>795</v>
      </c>
      <c r="Z145" s="7">
        <f t="shared" si="29"/>
        <v>297</v>
      </c>
      <c r="AA145" s="7">
        <v>498</v>
      </c>
      <c r="AB145" s="7"/>
      <c r="AC145" s="7">
        <f t="shared" si="58"/>
        <v>795</v>
      </c>
      <c r="AD145" s="7">
        <f t="shared" si="30"/>
        <v>795</v>
      </c>
      <c r="AE145" s="7">
        <f t="shared" si="33"/>
        <v>0</v>
      </c>
      <c r="AF145" s="12">
        <v>0</v>
      </c>
      <c r="AG145" s="117"/>
      <c r="AH145" s="117"/>
      <c r="AI145" s="118"/>
      <c r="AJ145" s="118"/>
      <c r="AK145" s="7">
        <f t="shared" si="59"/>
        <v>795</v>
      </c>
      <c r="AL145" s="27">
        <f t="shared" si="31"/>
        <v>0</v>
      </c>
      <c r="AM145" s="27">
        <f t="shared" si="36"/>
        <v>0</v>
      </c>
      <c r="AN145" s="27"/>
      <c r="AO145" s="27"/>
      <c r="AP145" s="7">
        <f t="shared" si="60"/>
        <v>0</v>
      </c>
      <c r="AQ145" s="27">
        <f t="shared" si="32"/>
        <v>0</v>
      </c>
      <c r="AR145" s="27"/>
      <c r="AS145" s="27">
        <f t="shared" si="61"/>
        <v>0</v>
      </c>
    </row>
    <row r="146" spans="1:45" s="4" customFormat="1" ht="56.25" customHeight="1">
      <c r="A146" s="138" t="s">
        <v>374</v>
      </c>
      <c r="B146" s="157"/>
      <c r="C146" s="157"/>
      <c r="D146" s="157"/>
      <c r="E146" s="87"/>
      <c r="F146" s="87"/>
      <c r="G146" s="89">
        <f>SUM(G147:G150)</f>
        <v>407182.51399999997</v>
      </c>
      <c r="H146" s="89">
        <f>SUM(H147:H150)</f>
        <v>0</v>
      </c>
      <c r="I146" s="34">
        <f t="shared" si="56"/>
        <v>407182.51399999997</v>
      </c>
      <c r="J146" s="89">
        <f>SUM(J147:J151)</f>
        <v>101999.20000000001</v>
      </c>
      <c r="K146" s="89">
        <f>SUM(K147:K151)</f>
        <v>32973.1</v>
      </c>
      <c r="L146" s="89">
        <f>L147+L148+L149+L150+L151+L152+L153</f>
        <v>84508</v>
      </c>
      <c r="M146" s="34">
        <f t="shared" si="34"/>
        <v>491690.51399999997</v>
      </c>
      <c r="N146" s="34">
        <f t="shared" si="54"/>
        <v>134972.30000000002</v>
      </c>
      <c r="O146" s="89">
        <f>SUM(O147:O150)</f>
        <v>76407.3</v>
      </c>
      <c r="P146" s="89">
        <f>SUM(P147:P151)</f>
        <v>0</v>
      </c>
      <c r="Q146" s="89">
        <f>Q147+Q148+Q149+Q150+Q151+Q152+Q153</f>
        <v>1186.1999999999989</v>
      </c>
      <c r="R146" s="34">
        <f t="shared" si="35"/>
        <v>136158.50000000003</v>
      </c>
      <c r="S146" s="34">
        <f t="shared" si="55"/>
        <v>76407.3</v>
      </c>
      <c r="T146" s="89">
        <f>SUM(T147:T150)</f>
        <v>0</v>
      </c>
      <c r="U146" s="89">
        <f>SUM(U147:U151)</f>
        <v>0</v>
      </c>
      <c r="V146" s="89">
        <f>V147+V148+V149+V150+V151+V152+V153</f>
        <v>5000</v>
      </c>
      <c r="W146" s="89"/>
      <c r="X146" s="89">
        <f>X147+X148+X149+X150+X151+X152+X153+X154</f>
        <v>64466.8</v>
      </c>
      <c r="Y146" s="7">
        <f t="shared" si="28"/>
        <v>556157.31400000001</v>
      </c>
      <c r="Z146" s="7">
        <f t="shared" si="29"/>
        <v>136158.50000000003</v>
      </c>
      <c r="AA146" s="120">
        <f>AA147+AA148+AA149+AA150+AA151+AA152+AA153</f>
        <v>0</v>
      </c>
      <c r="AB146" s="120">
        <f>AB155+2900</f>
        <v>252900</v>
      </c>
      <c r="AC146" s="7">
        <f t="shared" si="58"/>
        <v>809057.31400000001</v>
      </c>
      <c r="AD146" s="7">
        <f t="shared" si="30"/>
        <v>136158.50000000003</v>
      </c>
      <c r="AE146" s="7">
        <f t="shared" si="33"/>
        <v>81407.3</v>
      </c>
      <c r="AF146" s="12">
        <f t="shared" ref="AF146:AF169" si="62">T146+U146</f>
        <v>0</v>
      </c>
      <c r="AG146" s="120">
        <f>AG147+AG148+AG149+AG150+AG151+AG152+AG153</f>
        <v>5000</v>
      </c>
      <c r="AH146" s="117"/>
      <c r="AI146" s="120">
        <f>AI147+AI148+AI149+AI150+AI151+AI152+AI153+AI154</f>
        <v>16933</v>
      </c>
      <c r="AJ146" s="120">
        <f>AJ155</f>
        <v>18000</v>
      </c>
      <c r="AK146" s="7">
        <f t="shared" si="59"/>
        <v>154158.50000000003</v>
      </c>
      <c r="AL146" s="27">
        <f t="shared" si="31"/>
        <v>98340.3</v>
      </c>
      <c r="AM146" s="27">
        <f t="shared" si="36"/>
        <v>5000</v>
      </c>
      <c r="AN146" s="27"/>
      <c r="AO146" s="27"/>
      <c r="AP146" s="7">
        <f t="shared" si="60"/>
        <v>98340.3</v>
      </c>
      <c r="AQ146" s="27">
        <f t="shared" si="32"/>
        <v>5000</v>
      </c>
      <c r="AR146" s="27"/>
      <c r="AS146" s="27">
        <f t="shared" si="61"/>
        <v>5000</v>
      </c>
    </row>
    <row r="147" spans="1:45" s="4" customFormat="1" ht="121.5" customHeight="1" outlineLevel="1">
      <c r="A147" s="104" t="s">
        <v>56</v>
      </c>
      <c r="B147" s="33" t="s">
        <v>166</v>
      </c>
      <c r="C147" s="33" t="s">
        <v>18</v>
      </c>
      <c r="D147" s="33" t="s">
        <v>16</v>
      </c>
      <c r="E147" s="33" t="s">
        <v>29</v>
      </c>
      <c r="F147" s="33" t="s">
        <v>22</v>
      </c>
      <c r="G147" s="57">
        <v>59083.1</v>
      </c>
      <c r="H147" s="57"/>
      <c r="I147" s="34">
        <f t="shared" si="56"/>
        <v>59083.1</v>
      </c>
      <c r="J147" s="34">
        <v>5889.4</v>
      </c>
      <c r="K147" s="34">
        <v>4373.1000000000004</v>
      </c>
      <c r="L147" s="34"/>
      <c r="M147" s="34">
        <f t="shared" si="34"/>
        <v>59083.1</v>
      </c>
      <c r="N147" s="34">
        <f t="shared" si="54"/>
        <v>10262.5</v>
      </c>
      <c r="O147" s="34">
        <v>0</v>
      </c>
      <c r="P147" s="34"/>
      <c r="Q147" s="34"/>
      <c r="R147" s="34">
        <f t="shared" si="35"/>
        <v>10262.5</v>
      </c>
      <c r="S147" s="34">
        <f t="shared" si="55"/>
        <v>0</v>
      </c>
      <c r="T147" s="57">
        <v>0</v>
      </c>
      <c r="U147" s="81"/>
      <c r="V147" s="81"/>
      <c r="W147" s="81"/>
      <c r="X147" s="81"/>
      <c r="Y147" s="7">
        <f t="shared" si="28"/>
        <v>59083.1</v>
      </c>
      <c r="Z147" s="7">
        <f t="shared" si="29"/>
        <v>10262.5</v>
      </c>
      <c r="AA147" s="7"/>
      <c r="AB147" s="7"/>
      <c r="AC147" s="7">
        <f t="shared" si="58"/>
        <v>59083.1</v>
      </c>
      <c r="AD147" s="7">
        <f t="shared" si="30"/>
        <v>10262.5</v>
      </c>
      <c r="AE147" s="7">
        <f t="shared" si="33"/>
        <v>0</v>
      </c>
      <c r="AF147" s="12">
        <f t="shared" si="62"/>
        <v>0</v>
      </c>
      <c r="AG147" s="117"/>
      <c r="AH147" s="117"/>
      <c r="AI147" s="118"/>
      <c r="AJ147" s="118"/>
      <c r="AK147" s="7">
        <f t="shared" si="59"/>
        <v>10262.5</v>
      </c>
      <c r="AL147" s="27">
        <f t="shared" si="31"/>
        <v>0</v>
      </c>
      <c r="AM147" s="27">
        <f t="shared" si="36"/>
        <v>0</v>
      </c>
      <c r="AN147" s="27"/>
      <c r="AO147" s="27"/>
      <c r="AP147" s="7">
        <f t="shared" si="60"/>
        <v>0</v>
      </c>
      <c r="AQ147" s="27">
        <f t="shared" si="32"/>
        <v>0</v>
      </c>
      <c r="AR147" s="27"/>
      <c r="AS147" s="27">
        <f t="shared" si="61"/>
        <v>0</v>
      </c>
    </row>
    <row r="148" spans="1:45" s="4" customFormat="1" ht="113.25" customHeight="1" outlineLevel="1">
      <c r="A148" s="103" t="s">
        <v>129</v>
      </c>
      <c r="B148" s="44" t="s">
        <v>167</v>
      </c>
      <c r="C148" s="33" t="s">
        <v>18</v>
      </c>
      <c r="D148" s="33" t="s">
        <v>16</v>
      </c>
      <c r="E148" s="44" t="s">
        <v>31</v>
      </c>
      <c r="F148" s="33" t="s">
        <v>96</v>
      </c>
      <c r="G148" s="57">
        <v>34375.300000000003</v>
      </c>
      <c r="H148" s="57"/>
      <c r="I148" s="34">
        <f t="shared" si="56"/>
        <v>34375.300000000003</v>
      </c>
      <c r="J148" s="34">
        <v>14937.1</v>
      </c>
      <c r="K148" s="34"/>
      <c r="L148" s="34"/>
      <c r="M148" s="34">
        <f t="shared" si="34"/>
        <v>34375.300000000003</v>
      </c>
      <c r="N148" s="34">
        <f t="shared" si="54"/>
        <v>14937.1</v>
      </c>
      <c r="O148" s="34">
        <v>0</v>
      </c>
      <c r="P148" s="34"/>
      <c r="Q148" s="34">
        <v>-11813.7</v>
      </c>
      <c r="R148" s="34">
        <f t="shared" si="35"/>
        <v>3123.3999999999996</v>
      </c>
      <c r="S148" s="34">
        <f t="shared" si="55"/>
        <v>0</v>
      </c>
      <c r="T148" s="57">
        <v>0</v>
      </c>
      <c r="U148" s="81"/>
      <c r="V148" s="81"/>
      <c r="W148" s="81"/>
      <c r="X148" s="81"/>
      <c r="Y148" s="7">
        <f t="shared" si="28"/>
        <v>34375.300000000003</v>
      </c>
      <c r="Z148" s="7">
        <f t="shared" si="29"/>
        <v>3123.3999999999996</v>
      </c>
      <c r="AA148" s="7"/>
      <c r="AB148" s="7"/>
      <c r="AC148" s="7">
        <f t="shared" si="58"/>
        <v>34375.300000000003</v>
      </c>
      <c r="AD148" s="7">
        <f t="shared" si="30"/>
        <v>3123.3999999999996</v>
      </c>
      <c r="AE148" s="7">
        <f t="shared" si="33"/>
        <v>0</v>
      </c>
      <c r="AF148" s="12">
        <f t="shared" si="62"/>
        <v>0</v>
      </c>
      <c r="AG148" s="117"/>
      <c r="AH148" s="117"/>
      <c r="AI148" s="118"/>
      <c r="AJ148" s="118"/>
      <c r="AK148" s="7">
        <f t="shared" si="59"/>
        <v>3123.3999999999996</v>
      </c>
      <c r="AL148" s="27">
        <f t="shared" si="31"/>
        <v>0</v>
      </c>
      <c r="AM148" s="27">
        <f t="shared" si="36"/>
        <v>0</v>
      </c>
      <c r="AN148" s="27"/>
      <c r="AO148" s="27"/>
      <c r="AP148" s="7">
        <f t="shared" si="60"/>
        <v>0</v>
      </c>
      <c r="AQ148" s="27">
        <f t="shared" si="32"/>
        <v>0</v>
      </c>
      <c r="AR148" s="27"/>
      <c r="AS148" s="27">
        <f t="shared" si="61"/>
        <v>0</v>
      </c>
    </row>
    <row r="149" spans="1:45" s="4" customFormat="1" ht="117" customHeight="1" outlineLevel="1">
      <c r="A149" s="104" t="s">
        <v>128</v>
      </c>
      <c r="B149" s="44" t="s">
        <v>168</v>
      </c>
      <c r="C149" s="33" t="s">
        <v>18</v>
      </c>
      <c r="D149" s="33" t="s">
        <v>16</v>
      </c>
      <c r="E149" s="44" t="s">
        <v>26</v>
      </c>
      <c r="F149" s="33" t="s">
        <v>75</v>
      </c>
      <c r="G149" s="57">
        <v>184622.614</v>
      </c>
      <c r="H149" s="57"/>
      <c r="I149" s="34">
        <f t="shared" si="56"/>
        <v>184622.614</v>
      </c>
      <c r="J149" s="57">
        <f>8500+811.6</f>
        <v>9311.6</v>
      </c>
      <c r="K149" s="57"/>
      <c r="L149" s="57"/>
      <c r="M149" s="34">
        <f t="shared" si="34"/>
        <v>184622.614</v>
      </c>
      <c r="N149" s="34">
        <f t="shared" si="54"/>
        <v>9311.6</v>
      </c>
      <c r="O149" s="34">
        <v>76407.3</v>
      </c>
      <c r="P149" s="34"/>
      <c r="Q149" s="34">
        <v>-0.1</v>
      </c>
      <c r="R149" s="34">
        <f t="shared" si="35"/>
        <v>9311.5</v>
      </c>
      <c r="S149" s="34">
        <f t="shared" si="55"/>
        <v>76407.3</v>
      </c>
      <c r="T149" s="57">
        <v>0</v>
      </c>
      <c r="U149" s="81"/>
      <c r="V149" s="81"/>
      <c r="W149" s="81"/>
      <c r="X149" s="81"/>
      <c r="Y149" s="7">
        <f t="shared" si="28"/>
        <v>184622.614</v>
      </c>
      <c r="Z149" s="7">
        <f t="shared" si="29"/>
        <v>9311.5</v>
      </c>
      <c r="AA149" s="7"/>
      <c r="AB149" s="7"/>
      <c r="AC149" s="7">
        <f t="shared" si="58"/>
        <v>184622.614</v>
      </c>
      <c r="AD149" s="7">
        <f t="shared" si="30"/>
        <v>9311.5</v>
      </c>
      <c r="AE149" s="7">
        <f t="shared" si="33"/>
        <v>76407.3</v>
      </c>
      <c r="AF149" s="12">
        <f t="shared" si="62"/>
        <v>0</v>
      </c>
      <c r="AG149" s="117"/>
      <c r="AH149" s="117"/>
      <c r="AI149" s="119">
        <v>7656.2</v>
      </c>
      <c r="AJ149" s="119"/>
      <c r="AK149" s="7">
        <f t="shared" si="59"/>
        <v>9311.5</v>
      </c>
      <c r="AL149" s="27">
        <f t="shared" si="31"/>
        <v>84063.5</v>
      </c>
      <c r="AM149" s="27">
        <f t="shared" si="36"/>
        <v>0</v>
      </c>
      <c r="AN149" s="27"/>
      <c r="AO149" s="27"/>
      <c r="AP149" s="7">
        <f t="shared" si="60"/>
        <v>84063.5</v>
      </c>
      <c r="AQ149" s="27">
        <f t="shared" si="32"/>
        <v>0</v>
      </c>
      <c r="AR149" s="27"/>
      <c r="AS149" s="27">
        <f t="shared" si="61"/>
        <v>0</v>
      </c>
    </row>
    <row r="150" spans="1:45" s="4" customFormat="1" ht="123" customHeight="1" outlineLevel="1">
      <c r="A150" s="104" t="s">
        <v>142</v>
      </c>
      <c r="B150" s="33" t="s">
        <v>177</v>
      </c>
      <c r="C150" s="33" t="s">
        <v>18</v>
      </c>
      <c r="D150" s="33" t="s">
        <v>16</v>
      </c>
      <c r="E150" s="44" t="s">
        <v>31</v>
      </c>
      <c r="F150" s="33" t="s">
        <v>22</v>
      </c>
      <c r="G150" s="57">
        <v>129101.5</v>
      </c>
      <c r="H150" s="57"/>
      <c r="I150" s="34">
        <f t="shared" si="56"/>
        <v>129101.5</v>
      </c>
      <c r="J150" s="57">
        <v>69361.100000000006</v>
      </c>
      <c r="K150" s="57">
        <v>28600</v>
      </c>
      <c r="L150" s="57"/>
      <c r="M150" s="34">
        <f t="shared" si="34"/>
        <v>129101.5</v>
      </c>
      <c r="N150" s="34">
        <f t="shared" si="54"/>
        <v>97961.1</v>
      </c>
      <c r="O150" s="57">
        <v>0</v>
      </c>
      <c r="P150" s="57"/>
      <c r="Q150" s="57"/>
      <c r="R150" s="34">
        <f t="shared" si="35"/>
        <v>97961.1</v>
      </c>
      <c r="S150" s="34">
        <f t="shared" si="55"/>
        <v>0</v>
      </c>
      <c r="T150" s="57">
        <v>0</v>
      </c>
      <c r="U150" s="81"/>
      <c r="V150" s="81"/>
      <c r="W150" s="81"/>
      <c r="X150" s="81"/>
      <c r="Y150" s="7">
        <f t="shared" ref="Y150:Y176" si="63">M150+X150</f>
        <v>129101.5</v>
      </c>
      <c r="Z150" s="7">
        <f t="shared" ref="Z150:Z176" si="64">R150+W150</f>
        <v>97961.1</v>
      </c>
      <c r="AA150" s="7"/>
      <c r="AB150" s="7"/>
      <c r="AC150" s="7">
        <f t="shared" si="58"/>
        <v>129101.5</v>
      </c>
      <c r="AD150" s="7">
        <f t="shared" ref="AD150:AD176" si="65">Z150+AA150</f>
        <v>97961.1</v>
      </c>
      <c r="AE150" s="7">
        <f t="shared" si="33"/>
        <v>0</v>
      </c>
      <c r="AF150" s="12">
        <f t="shared" si="62"/>
        <v>0</v>
      </c>
      <c r="AG150" s="117"/>
      <c r="AH150" s="117"/>
      <c r="AI150" s="118"/>
      <c r="AJ150" s="118"/>
      <c r="AK150" s="7">
        <f t="shared" si="59"/>
        <v>97961.1</v>
      </c>
      <c r="AL150" s="27">
        <f t="shared" ref="AL150:AL176" si="66">AE150+AI150</f>
        <v>0</v>
      </c>
      <c r="AM150" s="27">
        <f t="shared" si="36"/>
        <v>0</v>
      </c>
      <c r="AN150" s="27"/>
      <c r="AO150" s="27"/>
      <c r="AP150" s="7">
        <f t="shared" si="60"/>
        <v>0</v>
      </c>
      <c r="AQ150" s="27">
        <f t="shared" ref="AQ150:AQ176" si="67">AM150+AN150</f>
        <v>0</v>
      </c>
      <c r="AR150" s="27"/>
      <c r="AS150" s="27">
        <f t="shared" si="61"/>
        <v>0</v>
      </c>
    </row>
    <row r="151" spans="1:45" s="4" customFormat="1" ht="124.5" customHeight="1" outlineLevel="1">
      <c r="A151" s="104" t="s">
        <v>170</v>
      </c>
      <c r="B151" s="33" t="s">
        <v>169</v>
      </c>
      <c r="C151" s="33" t="s">
        <v>42</v>
      </c>
      <c r="D151" s="33" t="s">
        <v>138</v>
      </c>
      <c r="E151" s="32" t="s">
        <v>164</v>
      </c>
      <c r="F151" s="33" t="s">
        <v>96</v>
      </c>
      <c r="G151" s="57">
        <v>2900</v>
      </c>
      <c r="H151" s="57"/>
      <c r="I151" s="34">
        <f t="shared" si="56"/>
        <v>2900</v>
      </c>
      <c r="J151" s="57">
        <v>2500</v>
      </c>
      <c r="K151" s="57"/>
      <c r="L151" s="57"/>
      <c r="M151" s="34">
        <f t="shared" si="34"/>
        <v>2900</v>
      </c>
      <c r="N151" s="34">
        <f t="shared" si="54"/>
        <v>2500</v>
      </c>
      <c r="O151" s="57">
        <v>0</v>
      </c>
      <c r="P151" s="57"/>
      <c r="Q151" s="57"/>
      <c r="R151" s="34">
        <f t="shared" si="35"/>
        <v>2500</v>
      </c>
      <c r="S151" s="34">
        <f t="shared" si="55"/>
        <v>0</v>
      </c>
      <c r="T151" s="57">
        <v>0</v>
      </c>
      <c r="U151" s="81"/>
      <c r="V151" s="81"/>
      <c r="W151" s="81"/>
      <c r="X151" s="81"/>
      <c r="Y151" s="7">
        <f t="shared" si="63"/>
        <v>2900</v>
      </c>
      <c r="Z151" s="7">
        <f t="shared" si="64"/>
        <v>2500</v>
      </c>
      <c r="AA151" s="7"/>
      <c r="AB151" s="7"/>
      <c r="AC151" s="7">
        <f t="shared" si="58"/>
        <v>2900</v>
      </c>
      <c r="AD151" s="7">
        <f t="shared" si="65"/>
        <v>2500</v>
      </c>
      <c r="AE151" s="7">
        <f t="shared" si="33"/>
        <v>0</v>
      </c>
      <c r="AF151" s="12">
        <f t="shared" si="62"/>
        <v>0</v>
      </c>
      <c r="AG151" s="117"/>
      <c r="AH151" s="117"/>
      <c r="AI151" s="118"/>
      <c r="AJ151" s="118"/>
      <c r="AK151" s="7">
        <f t="shared" si="59"/>
        <v>2500</v>
      </c>
      <c r="AL151" s="27">
        <f t="shared" si="66"/>
        <v>0</v>
      </c>
      <c r="AM151" s="27">
        <f t="shared" si="36"/>
        <v>0</v>
      </c>
      <c r="AN151" s="27"/>
      <c r="AO151" s="27"/>
      <c r="AP151" s="7">
        <f t="shared" si="60"/>
        <v>0</v>
      </c>
      <c r="AQ151" s="27">
        <f t="shared" si="67"/>
        <v>0</v>
      </c>
      <c r="AR151" s="27"/>
      <c r="AS151" s="27">
        <f t="shared" si="61"/>
        <v>0</v>
      </c>
    </row>
    <row r="152" spans="1:45" s="4" customFormat="1" ht="116.25" customHeight="1" outlineLevel="1">
      <c r="A152" s="104" t="s">
        <v>290</v>
      </c>
      <c r="B152" s="33" t="s">
        <v>169</v>
      </c>
      <c r="C152" s="33" t="s">
        <v>12</v>
      </c>
      <c r="D152" s="33" t="s">
        <v>16</v>
      </c>
      <c r="E152" s="33" t="s">
        <v>9</v>
      </c>
      <c r="F152" s="33" t="s">
        <v>75</v>
      </c>
      <c r="G152" s="57"/>
      <c r="H152" s="57"/>
      <c r="I152" s="34"/>
      <c r="J152" s="57"/>
      <c r="K152" s="57"/>
      <c r="L152" s="57">
        <v>76508</v>
      </c>
      <c r="M152" s="34">
        <f t="shared" si="34"/>
        <v>76508</v>
      </c>
      <c r="N152" s="34"/>
      <c r="O152" s="57"/>
      <c r="P152" s="57"/>
      <c r="Q152" s="57">
        <v>5000</v>
      </c>
      <c r="R152" s="34">
        <f t="shared" si="35"/>
        <v>5000</v>
      </c>
      <c r="S152" s="34"/>
      <c r="T152" s="57"/>
      <c r="U152" s="81"/>
      <c r="V152" s="52">
        <v>5000</v>
      </c>
      <c r="W152" s="52"/>
      <c r="X152" s="52">
        <v>3183.5</v>
      </c>
      <c r="Y152" s="7">
        <f t="shared" si="63"/>
        <v>79691.5</v>
      </c>
      <c r="Z152" s="7">
        <f t="shared" si="64"/>
        <v>5000</v>
      </c>
      <c r="AA152" s="7"/>
      <c r="AB152" s="7"/>
      <c r="AC152" s="7">
        <f t="shared" si="58"/>
        <v>79691.5</v>
      </c>
      <c r="AD152" s="7">
        <f t="shared" si="65"/>
        <v>5000</v>
      </c>
      <c r="AE152" s="7">
        <f t="shared" si="33"/>
        <v>5000</v>
      </c>
      <c r="AF152" s="12"/>
      <c r="AG152" s="121">
        <v>5000</v>
      </c>
      <c r="AH152" s="117"/>
      <c r="AI152" s="119">
        <v>3183.5</v>
      </c>
      <c r="AJ152" s="119"/>
      <c r="AK152" s="7">
        <f t="shared" si="59"/>
        <v>5000</v>
      </c>
      <c r="AL152" s="27">
        <f t="shared" si="66"/>
        <v>8183.5</v>
      </c>
      <c r="AM152" s="27">
        <f t="shared" si="36"/>
        <v>5000</v>
      </c>
      <c r="AN152" s="27"/>
      <c r="AO152" s="27"/>
      <c r="AP152" s="7">
        <f t="shared" si="60"/>
        <v>8183.5</v>
      </c>
      <c r="AQ152" s="27">
        <f t="shared" si="67"/>
        <v>5000</v>
      </c>
      <c r="AR152" s="27"/>
      <c r="AS152" s="27">
        <f t="shared" si="61"/>
        <v>5000</v>
      </c>
    </row>
    <row r="153" spans="1:45" s="4" customFormat="1" ht="116.25" customHeight="1" outlineLevel="1">
      <c r="A153" s="104" t="s">
        <v>326</v>
      </c>
      <c r="B153" s="33" t="s">
        <v>21</v>
      </c>
      <c r="C153" s="33" t="s">
        <v>12</v>
      </c>
      <c r="D153" s="33" t="s">
        <v>16</v>
      </c>
      <c r="E153" s="33" t="s">
        <v>9</v>
      </c>
      <c r="F153" s="33" t="s">
        <v>96</v>
      </c>
      <c r="G153" s="57"/>
      <c r="H153" s="57"/>
      <c r="I153" s="34"/>
      <c r="J153" s="57"/>
      <c r="K153" s="57"/>
      <c r="L153" s="57">
        <v>8000</v>
      </c>
      <c r="M153" s="34">
        <f t="shared" si="34"/>
        <v>8000</v>
      </c>
      <c r="N153" s="34"/>
      <c r="O153" s="57"/>
      <c r="P153" s="57"/>
      <c r="Q153" s="57">
        <v>8000</v>
      </c>
      <c r="R153" s="34">
        <f t="shared" si="35"/>
        <v>8000</v>
      </c>
      <c r="S153" s="34"/>
      <c r="T153" s="57"/>
      <c r="U153" s="81"/>
      <c r="V153" s="81"/>
      <c r="W153" s="81"/>
      <c r="X153" s="81"/>
      <c r="Y153" s="7">
        <f t="shared" si="63"/>
        <v>8000</v>
      </c>
      <c r="Z153" s="7">
        <f t="shared" si="64"/>
        <v>8000</v>
      </c>
      <c r="AA153" s="7"/>
      <c r="AB153" s="7"/>
      <c r="AC153" s="7">
        <f t="shared" si="58"/>
        <v>8000</v>
      </c>
      <c r="AD153" s="7">
        <f t="shared" si="65"/>
        <v>8000</v>
      </c>
      <c r="AE153" s="7">
        <v>0</v>
      </c>
      <c r="AF153" s="12"/>
      <c r="AG153" s="117"/>
      <c r="AH153" s="117"/>
      <c r="AI153" s="118"/>
      <c r="AJ153" s="118"/>
      <c r="AK153" s="7">
        <f t="shared" si="59"/>
        <v>8000</v>
      </c>
      <c r="AL153" s="27">
        <f t="shared" si="66"/>
        <v>0</v>
      </c>
      <c r="AM153" s="27">
        <v>0</v>
      </c>
      <c r="AN153" s="27"/>
      <c r="AO153" s="27"/>
      <c r="AP153" s="7">
        <f t="shared" si="60"/>
        <v>0</v>
      </c>
      <c r="AQ153" s="27">
        <f t="shared" si="67"/>
        <v>0</v>
      </c>
      <c r="AR153" s="27"/>
      <c r="AS153" s="27">
        <f t="shared" si="61"/>
        <v>0</v>
      </c>
    </row>
    <row r="154" spans="1:45" s="4" customFormat="1" ht="116.25" customHeight="1" outlineLevel="1">
      <c r="A154" s="104" t="s">
        <v>330</v>
      </c>
      <c r="B154" s="33" t="s">
        <v>331</v>
      </c>
      <c r="C154" s="33" t="s">
        <v>18</v>
      </c>
      <c r="D154" s="33" t="s">
        <v>16</v>
      </c>
      <c r="E154" s="44" t="s">
        <v>31</v>
      </c>
      <c r="F154" s="33" t="s">
        <v>97</v>
      </c>
      <c r="G154" s="57"/>
      <c r="H154" s="57"/>
      <c r="I154" s="34"/>
      <c r="J154" s="57"/>
      <c r="K154" s="57"/>
      <c r="L154" s="57"/>
      <c r="M154" s="34"/>
      <c r="N154" s="34"/>
      <c r="O154" s="57"/>
      <c r="P154" s="57"/>
      <c r="Q154" s="57"/>
      <c r="R154" s="34"/>
      <c r="S154" s="34"/>
      <c r="T154" s="57"/>
      <c r="U154" s="81"/>
      <c r="V154" s="81"/>
      <c r="W154" s="81"/>
      <c r="X154" s="81">
        <v>61283.3</v>
      </c>
      <c r="Y154" s="7">
        <f t="shared" si="63"/>
        <v>61283.3</v>
      </c>
      <c r="Z154" s="7"/>
      <c r="AA154" s="7"/>
      <c r="AB154" s="7"/>
      <c r="AC154" s="7">
        <f t="shared" si="58"/>
        <v>61283.3</v>
      </c>
      <c r="AD154" s="7"/>
      <c r="AE154" s="7"/>
      <c r="AF154" s="12"/>
      <c r="AG154" s="117"/>
      <c r="AH154" s="117"/>
      <c r="AI154" s="119">
        <v>6093.3</v>
      </c>
      <c r="AJ154" s="119"/>
      <c r="AK154" s="7">
        <f t="shared" si="59"/>
        <v>0</v>
      </c>
      <c r="AL154" s="27">
        <f t="shared" si="66"/>
        <v>6093.3</v>
      </c>
      <c r="AM154" s="27"/>
      <c r="AN154" s="27"/>
      <c r="AO154" s="27"/>
      <c r="AP154" s="7">
        <f t="shared" si="60"/>
        <v>6093.3</v>
      </c>
      <c r="AQ154" s="27"/>
      <c r="AR154" s="27"/>
      <c r="AS154" s="27">
        <f t="shared" si="61"/>
        <v>0</v>
      </c>
    </row>
    <row r="155" spans="1:45" s="4" customFormat="1" ht="116.25" customHeight="1" outlineLevel="1">
      <c r="A155" s="128" t="s">
        <v>364</v>
      </c>
      <c r="B155" s="33" t="s">
        <v>21</v>
      </c>
      <c r="C155" s="33" t="s">
        <v>5</v>
      </c>
      <c r="D155" s="33" t="s">
        <v>16</v>
      </c>
      <c r="E155" s="33" t="s">
        <v>9</v>
      </c>
      <c r="F155" s="33" t="s">
        <v>75</v>
      </c>
      <c r="G155" s="57"/>
      <c r="H155" s="57"/>
      <c r="I155" s="34"/>
      <c r="J155" s="57"/>
      <c r="K155" s="57"/>
      <c r="L155" s="57"/>
      <c r="M155" s="34"/>
      <c r="N155" s="34"/>
      <c r="O155" s="57"/>
      <c r="P155" s="57"/>
      <c r="Q155" s="57"/>
      <c r="R155" s="34"/>
      <c r="S155" s="34"/>
      <c r="T155" s="57"/>
      <c r="U155" s="81"/>
      <c r="V155" s="81"/>
      <c r="W155" s="81"/>
      <c r="X155" s="81"/>
      <c r="Y155" s="7"/>
      <c r="Z155" s="7"/>
      <c r="AA155" s="7"/>
      <c r="AB155" s="7">
        <v>250000</v>
      </c>
      <c r="AC155" s="7">
        <f t="shared" si="58"/>
        <v>250000</v>
      </c>
      <c r="AD155" s="7"/>
      <c r="AE155" s="7"/>
      <c r="AF155" s="12"/>
      <c r="AG155" s="117"/>
      <c r="AH155" s="117"/>
      <c r="AI155" s="119"/>
      <c r="AJ155" s="119">
        <v>18000</v>
      </c>
      <c r="AK155" s="7">
        <f>AJ155</f>
        <v>18000</v>
      </c>
      <c r="AL155" s="27"/>
      <c r="AM155" s="27"/>
      <c r="AN155" s="27"/>
      <c r="AO155" s="27"/>
      <c r="AP155" s="7"/>
      <c r="AQ155" s="27"/>
      <c r="AR155" s="27"/>
      <c r="AS155" s="27"/>
    </row>
    <row r="156" spans="1:45" s="4" customFormat="1" ht="39" customHeight="1">
      <c r="A156" s="138" t="s">
        <v>375</v>
      </c>
      <c r="B156" s="157"/>
      <c r="C156" s="157"/>
      <c r="D156" s="157"/>
      <c r="E156" s="87"/>
      <c r="F156" s="87"/>
      <c r="G156" s="89">
        <f>G157</f>
        <v>98595.09</v>
      </c>
      <c r="H156" s="89">
        <f>H157+H158</f>
        <v>39173.699999999997</v>
      </c>
      <c r="I156" s="34">
        <f t="shared" si="56"/>
        <v>137768.78999999998</v>
      </c>
      <c r="J156" s="89">
        <f>J157</f>
        <v>3840</v>
      </c>
      <c r="K156" s="89">
        <f>K157+K158</f>
        <v>37215</v>
      </c>
      <c r="L156" s="89"/>
      <c r="M156" s="34">
        <f t="shared" si="34"/>
        <v>137768.78999999998</v>
      </c>
      <c r="N156" s="34">
        <f t="shared" si="54"/>
        <v>41055</v>
      </c>
      <c r="O156" s="89">
        <f>O157</f>
        <v>0</v>
      </c>
      <c r="P156" s="89">
        <f>P157</f>
        <v>0</v>
      </c>
      <c r="Q156" s="89"/>
      <c r="R156" s="34">
        <f t="shared" si="35"/>
        <v>41055</v>
      </c>
      <c r="S156" s="34">
        <f t="shared" si="55"/>
        <v>0</v>
      </c>
      <c r="T156" s="89">
        <f>T157</f>
        <v>0</v>
      </c>
      <c r="U156" s="89">
        <f>U157</f>
        <v>0</v>
      </c>
      <c r="V156" s="89"/>
      <c r="W156" s="89"/>
      <c r="X156" s="89"/>
      <c r="Y156" s="7">
        <f t="shared" si="63"/>
        <v>137768.78999999998</v>
      </c>
      <c r="Z156" s="7">
        <f t="shared" si="64"/>
        <v>41055</v>
      </c>
      <c r="AA156" s="7"/>
      <c r="AB156" s="7"/>
      <c r="AC156" s="7">
        <f t="shared" si="58"/>
        <v>137768.78999999998</v>
      </c>
      <c r="AD156" s="7">
        <f t="shared" si="65"/>
        <v>41055</v>
      </c>
      <c r="AE156" s="7">
        <f t="shared" si="33"/>
        <v>0</v>
      </c>
      <c r="AF156" s="12">
        <f t="shared" si="62"/>
        <v>0</v>
      </c>
      <c r="AG156" s="117"/>
      <c r="AH156" s="117"/>
      <c r="AI156" s="118"/>
      <c r="AJ156" s="118"/>
      <c r="AK156" s="7">
        <f t="shared" si="59"/>
        <v>41055</v>
      </c>
      <c r="AL156" s="27">
        <f t="shared" si="66"/>
        <v>0</v>
      </c>
      <c r="AM156" s="27">
        <f t="shared" si="36"/>
        <v>0</v>
      </c>
      <c r="AN156" s="27"/>
      <c r="AO156" s="27"/>
      <c r="AP156" s="7">
        <f t="shared" si="60"/>
        <v>0</v>
      </c>
      <c r="AQ156" s="27">
        <f t="shared" si="67"/>
        <v>0</v>
      </c>
      <c r="AR156" s="27"/>
      <c r="AS156" s="27">
        <f t="shared" si="61"/>
        <v>0</v>
      </c>
    </row>
    <row r="157" spans="1:45" s="4" customFormat="1" ht="152.25" customHeight="1" outlineLevel="1">
      <c r="A157" s="101" t="s">
        <v>283</v>
      </c>
      <c r="B157" s="33" t="s">
        <v>284</v>
      </c>
      <c r="C157" s="33" t="s">
        <v>18</v>
      </c>
      <c r="D157" s="33" t="s">
        <v>10</v>
      </c>
      <c r="E157" s="33" t="s">
        <v>50</v>
      </c>
      <c r="F157" s="33" t="s">
        <v>53</v>
      </c>
      <c r="G157" s="57">
        <v>98595.09</v>
      </c>
      <c r="H157" s="57"/>
      <c r="I157" s="34">
        <f t="shared" si="56"/>
        <v>98595.09</v>
      </c>
      <c r="J157" s="34">
        <v>3840</v>
      </c>
      <c r="K157" s="34"/>
      <c r="L157" s="34"/>
      <c r="M157" s="34">
        <f t="shared" si="34"/>
        <v>98595.09</v>
      </c>
      <c r="N157" s="34">
        <f t="shared" si="54"/>
        <v>3840</v>
      </c>
      <c r="O157" s="34">
        <v>0</v>
      </c>
      <c r="P157" s="34"/>
      <c r="Q157" s="34"/>
      <c r="R157" s="34">
        <f t="shared" si="35"/>
        <v>3840</v>
      </c>
      <c r="S157" s="34">
        <f t="shared" si="55"/>
        <v>0</v>
      </c>
      <c r="T157" s="57">
        <v>0</v>
      </c>
      <c r="U157" s="81"/>
      <c r="V157" s="81"/>
      <c r="W157" s="81"/>
      <c r="X157" s="81"/>
      <c r="Y157" s="7">
        <f t="shared" si="63"/>
        <v>98595.09</v>
      </c>
      <c r="Z157" s="7">
        <f t="shared" si="64"/>
        <v>3840</v>
      </c>
      <c r="AA157" s="7"/>
      <c r="AB157" s="7"/>
      <c r="AC157" s="7">
        <f t="shared" si="58"/>
        <v>98595.09</v>
      </c>
      <c r="AD157" s="7">
        <f t="shared" si="65"/>
        <v>3840</v>
      </c>
      <c r="AE157" s="7">
        <f t="shared" si="33"/>
        <v>0</v>
      </c>
      <c r="AF157" s="12">
        <f t="shared" si="62"/>
        <v>0</v>
      </c>
      <c r="AG157" s="117"/>
      <c r="AH157" s="117"/>
      <c r="AI157" s="118"/>
      <c r="AJ157" s="118"/>
      <c r="AK157" s="7">
        <f t="shared" si="59"/>
        <v>3840</v>
      </c>
      <c r="AL157" s="27">
        <f t="shared" si="66"/>
        <v>0</v>
      </c>
      <c r="AM157" s="27">
        <f t="shared" si="36"/>
        <v>0</v>
      </c>
      <c r="AN157" s="27"/>
      <c r="AO157" s="27"/>
      <c r="AP157" s="7">
        <f t="shared" si="60"/>
        <v>0</v>
      </c>
      <c r="AQ157" s="27">
        <f t="shared" si="67"/>
        <v>0</v>
      </c>
      <c r="AR157" s="27"/>
      <c r="AS157" s="27">
        <f t="shared" si="61"/>
        <v>0</v>
      </c>
    </row>
    <row r="158" spans="1:45" s="4" customFormat="1" ht="144.75" customHeight="1" outlineLevel="1">
      <c r="A158" s="101" t="s">
        <v>247</v>
      </c>
      <c r="B158" s="44" t="s">
        <v>292</v>
      </c>
      <c r="C158" s="44" t="s">
        <v>42</v>
      </c>
      <c r="D158" s="33" t="s">
        <v>10</v>
      </c>
      <c r="E158" s="32" t="s">
        <v>199</v>
      </c>
      <c r="F158" s="81" t="s">
        <v>96</v>
      </c>
      <c r="G158" s="57"/>
      <c r="H158" s="57">
        <v>39173.699999999997</v>
      </c>
      <c r="I158" s="34">
        <f t="shared" si="56"/>
        <v>39173.699999999997</v>
      </c>
      <c r="J158" s="34"/>
      <c r="K158" s="34">
        <v>37215</v>
      </c>
      <c r="L158" s="34"/>
      <c r="M158" s="34">
        <f t="shared" si="34"/>
        <v>39173.699999999997</v>
      </c>
      <c r="N158" s="34">
        <f t="shared" si="54"/>
        <v>37215</v>
      </c>
      <c r="O158" s="34"/>
      <c r="P158" s="34"/>
      <c r="Q158" s="34"/>
      <c r="R158" s="34">
        <f t="shared" si="35"/>
        <v>37215</v>
      </c>
      <c r="S158" s="34">
        <v>0</v>
      </c>
      <c r="T158" s="57"/>
      <c r="U158" s="81"/>
      <c r="V158" s="81"/>
      <c r="W158" s="81"/>
      <c r="X158" s="81"/>
      <c r="Y158" s="7">
        <f t="shared" si="63"/>
        <v>39173.699999999997</v>
      </c>
      <c r="Z158" s="7">
        <f t="shared" si="64"/>
        <v>37215</v>
      </c>
      <c r="AA158" s="7"/>
      <c r="AB158" s="7"/>
      <c r="AC158" s="7">
        <f t="shared" si="58"/>
        <v>39173.699999999997</v>
      </c>
      <c r="AD158" s="7">
        <f t="shared" si="65"/>
        <v>37215</v>
      </c>
      <c r="AE158" s="7">
        <f t="shared" si="33"/>
        <v>0</v>
      </c>
      <c r="AF158" s="12">
        <v>0</v>
      </c>
      <c r="AG158" s="117"/>
      <c r="AH158" s="117"/>
      <c r="AI158" s="118"/>
      <c r="AJ158" s="118"/>
      <c r="AK158" s="7">
        <f t="shared" si="59"/>
        <v>37215</v>
      </c>
      <c r="AL158" s="27">
        <f t="shared" si="66"/>
        <v>0</v>
      </c>
      <c r="AM158" s="27">
        <f t="shared" si="36"/>
        <v>0</v>
      </c>
      <c r="AN158" s="27"/>
      <c r="AO158" s="27"/>
      <c r="AP158" s="7">
        <f t="shared" si="60"/>
        <v>0</v>
      </c>
      <c r="AQ158" s="27">
        <f t="shared" si="67"/>
        <v>0</v>
      </c>
      <c r="AR158" s="27"/>
      <c r="AS158" s="27">
        <f t="shared" si="61"/>
        <v>0</v>
      </c>
    </row>
    <row r="159" spans="1:45" s="4" customFormat="1" ht="144.75" hidden="1" customHeight="1" outlineLevel="1">
      <c r="A159" s="90"/>
      <c r="B159" s="91"/>
      <c r="C159" s="92"/>
      <c r="D159" s="92"/>
      <c r="E159" s="92"/>
      <c r="F159" s="93"/>
      <c r="G159" s="94"/>
      <c r="H159" s="94"/>
      <c r="I159" s="95"/>
      <c r="J159" s="49"/>
      <c r="K159" s="49"/>
      <c r="L159" s="49"/>
      <c r="M159" s="34">
        <f t="shared" si="34"/>
        <v>0</v>
      </c>
      <c r="N159" s="49"/>
      <c r="O159" s="49"/>
      <c r="P159" s="49"/>
      <c r="Q159" s="49"/>
      <c r="R159" s="34">
        <f t="shared" si="35"/>
        <v>0</v>
      </c>
      <c r="S159" s="95"/>
      <c r="T159" s="94"/>
      <c r="U159" s="96"/>
      <c r="V159" s="96"/>
      <c r="W159" s="96"/>
      <c r="X159" s="96"/>
      <c r="Y159" s="7">
        <f t="shared" si="63"/>
        <v>0</v>
      </c>
      <c r="Z159" s="7">
        <f t="shared" si="64"/>
        <v>0</v>
      </c>
      <c r="AA159" s="7"/>
      <c r="AB159" s="7"/>
      <c r="AC159" s="7">
        <f t="shared" si="58"/>
        <v>0</v>
      </c>
      <c r="AD159" s="7">
        <f t="shared" si="65"/>
        <v>0</v>
      </c>
      <c r="AE159" s="7">
        <f t="shared" si="33"/>
        <v>0</v>
      </c>
      <c r="AF159" s="122"/>
      <c r="AG159" s="117"/>
      <c r="AH159" s="117"/>
      <c r="AI159" s="118"/>
      <c r="AJ159" s="118"/>
      <c r="AK159" s="7">
        <f t="shared" si="59"/>
        <v>0</v>
      </c>
      <c r="AL159" s="27">
        <f t="shared" si="66"/>
        <v>0</v>
      </c>
      <c r="AM159" s="27">
        <f t="shared" si="36"/>
        <v>0</v>
      </c>
      <c r="AN159" s="27"/>
      <c r="AO159" s="27"/>
      <c r="AP159" s="7">
        <f t="shared" si="60"/>
        <v>0</v>
      </c>
      <c r="AQ159" s="27">
        <f t="shared" si="67"/>
        <v>0</v>
      </c>
      <c r="AR159" s="27"/>
      <c r="AS159" s="27">
        <f t="shared" si="61"/>
        <v>0</v>
      </c>
    </row>
    <row r="160" spans="1:45" s="4" customFormat="1" ht="25.5" customHeight="1">
      <c r="A160" s="153" t="s">
        <v>344</v>
      </c>
      <c r="B160" s="153"/>
      <c r="C160" s="153"/>
      <c r="D160" s="153"/>
      <c r="E160" s="33"/>
      <c r="F160" s="33"/>
      <c r="G160" s="57">
        <f>G161</f>
        <v>21932016.199999999</v>
      </c>
      <c r="H160" s="57">
        <f>H161</f>
        <v>0</v>
      </c>
      <c r="I160" s="34">
        <f t="shared" si="56"/>
        <v>21932016.199999999</v>
      </c>
      <c r="J160" s="57">
        <f t="shared" ref="J160:T160" si="68">J161</f>
        <v>52900</v>
      </c>
      <c r="K160" s="57">
        <f>K161</f>
        <v>0</v>
      </c>
      <c r="L160" s="57">
        <f>L161+L162+L163</f>
        <v>1674157.2000000002</v>
      </c>
      <c r="M160" s="34">
        <f t="shared" si="34"/>
        <v>23606173.399999999</v>
      </c>
      <c r="N160" s="34">
        <f t="shared" si="54"/>
        <v>52900</v>
      </c>
      <c r="O160" s="57">
        <f t="shared" si="68"/>
        <v>52900</v>
      </c>
      <c r="P160" s="57">
        <f>P161</f>
        <v>0</v>
      </c>
      <c r="Q160" s="57">
        <f>Q161+Q162+Q163</f>
        <v>4229.2000000000007</v>
      </c>
      <c r="R160" s="34">
        <f t="shared" si="35"/>
        <v>57129.2</v>
      </c>
      <c r="S160" s="34">
        <f t="shared" si="55"/>
        <v>52900</v>
      </c>
      <c r="T160" s="57">
        <f t="shared" si="68"/>
        <v>52900</v>
      </c>
      <c r="U160" s="57">
        <f>U161</f>
        <v>0</v>
      </c>
      <c r="V160" s="57">
        <f>V161+V162+V163</f>
        <v>0</v>
      </c>
      <c r="W160" s="57"/>
      <c r="X160" s="57"/>
      <c r="Y160" s="7">
        <f t="shared" si="63"/>
        <v>23606173.399999999</v>
      </c>
      <c r="Z160" s="7">
        <f t="shared" si="64"/>
        <v>57129.2</v>
      </c>
      <c r="AA160" s="7"/>
      <c r="AB160" s="7"/>
      <c r="AC160" s="7">
        <f t="shared" si="58"/>
        <v>23606173.399999999</v>
      </c>
      <c r="AD160" s="7">
        <f t="shared" si="65"/>
        <v>57129.2</v>
      </c>
      <c r="AE160" s="7">
        <f t="shared" ref="AE160:AE171" si="69">S160+V160</f>
        <v>52900</v>
      </c>
      <c r="AF160" s="12">
        <f t="shared" si="62"/>
        <v>52900</v>
      </c>
      <c r="AG160" s="114">
        <f>AG161+AG162+AG163</f>
        <v>0</v>
      </c>
      <c r="AH160" s="117"/>
      <c r="AI160" s="118"/>
      <c r="AJ160" s="118"/>
      <c r="AK160" s="7">
        <f t="shared" si="59"/>
        <v>57129.2</v>
      </c>
      <c r="AL160" s="27">
        <f t="shared" si="66"/>
        <v>52900</v>
      </c>
      <c r="AM160" s="27">
        <f t="shared" si="36"/>
        <v>52900</v>
      </c>
      <c r="AN160" s="27"/>
      <c r="AO160" s="27"/>
      <c r="AP160" s="7">
        <f t="shared" si="60"/>
        <v>52900</v>
      </c>
      <c r="AQ160" s="27">
        <f t="shared" si="67"/>
        <v>52900</v>
      </c>
      <c r="AR160" s="27"/>
      <c r="AS160" s="27">
        <f t="shared" si="61"/>
        <v>52900</v>
      </c>
    </row>
    <row r="161" spans="1:45" s="4" customFormat="1" ht="147.75" customHeight="1" outlineLevel="1">
      <c r="A161" s="36" t="s">
        <v>100</v>
      </c>
      <c r="B161" s="37" t="s">
        <v>171</v>
      </c>
      <c r="C161" s="37" t="s">
        <v>42</v>
      </c>
      <c r="D161" s="37" t="s">
        <v>10</v>
      </c>
      <c r="E161" s="37" t="s">
        <v>67</v>
      </c>
      <c r="F161" s="37" t="s">
        <v>250</v>
      </c>
      <c r="G161" s="57">
        <v>21932016.199999999</v>
      </c>
      <c r="H161" s="57"/>
      <c r="I161" s="34">
        <f t="shared" si="56"/>
        <v>21932016.199999999</v>
      </c>
      <c r="J161" s="34">
        <v>52900</v>
      </c>
      <c r="K161" s="34"/>
      <c r="L161" s="34"/>
      <c r="M161" s="34">
        <f t="shared" ref="M161:M171" si="70">I161+L161</f>
        <v>21932016.199999999</v>
      </c>
      <c r="N161" s="34">
        <f t="shared" si="54"/>
        <v>52900</v>
      </c>
      <c r="O161" s="34">
        <v>52900</v>
      </c>
      <c r="P161" s="34"/>
      <c r="Q161" s="34">
        <v>-49561.2</v>
      </c>
      <c r="R161" s="34">
        <f t="shared" ref="R161:R171" si="71">N161+Q161</f>
        <v>3338.8000000000029</v>
      </c>
      <c r="S161" s="34">
        <f t="shared" si="55"/>
        <v>52900</v>
      </c>
      <c r="T161" s="57">
        <v>52900</v>
      </c>
      <c r="U161" s="81"/>
      <c r="V161" s="81"/>
      <c r="W161" s="81"/>
      <c r="X161" s="81"/>
      <c r="Y161" s="7">
        <f t="shared" si="63"/>
        <v>21932016.199999999</v>
      </c>
      <c r="Z161" s="7">
        <f t="shared" si="64"/>
        <v>3338.8000000000029</v>
      </c>
      <c r="AA161" s="7"/>
      <c r="AB161" s="7"/>
      <c r="AC161" s="7">
        <f t="shared" si="58"/>
        <v>21932016.199999999</v>
      </c>
      <c r="AD161" s="7">
        <f t="shared" si="65"/>
        <v>3338.8000000000029</v>
      </c>
      <c r="AE161" s="7">
        <f t="shared" si="69"/>
        <v>52900</v>
      </c>
      <c r="AF161" s="12">
        <f t="shared" si="62"/>
        <v>52900</v>
      </c>
      <c r="AG161" s="117"/>
      <c r="AH161" s="117"/>
      <c r="AI161" s="118"/>
      <c r="AJ161" s="118"/>
      <c r="AK161" s="7">
        <f t="shared" si="59"/>
        <v>3338.8000000000029</v>
      </c>
      <c r="AL161" s="27">
        <f t="shared" si="66"/>
        <v>52900</v>
      </c>
      <c r="AM161" s="27">
        <f t="shared" ref="AM161:AM171" si="72">AF161+AG161</f>
        <v>52900</v>
      </c>
      <c r="AN161" s="27"/>
      <c r="AO161" s="27"/>
      <c r="AP161" s="7">
        <f t="shared" si="60"/>
        <v>52900</v>
      </c>
      <c r="AQ161" s="27">
        <f t="shared" si="67"/>
        <v>52900</v>
      </c>
      <c r="AR161" s="27"/>
      <c r="AS161" s="27">
        <f t="shared" si="61"/>
        <v>52900</v>
      </c>
    </row>
    <row r="162" spans="1:45" s="4" customFormat="1" ht="131.25" customHeight="1" outlineLevel="1">
      <c r="A162" s="36" t="s">
        <v>285</v>
      </c>
      <c r="B162" s="37" t="s">
        <v>266</v>
      </c>
      <c r="C162" s="33" t="s">
        <v>12</v>
      </c>
      <c r="D162" s="33" t="s">
        <v>7</v>
      </c>
      <c r="E162" s="33" t="s">
        <v>9</v>
      </c>
      <c r="F162" s="37" t="s">
        <v>75</v>
      </c>
      <c r="G162" s="97"/>
      <c r="H162" s="38"/>
      <c r="I162" s="38"/>
      <c r="J162" s="38"/>
      <c r="K162" s="38"/>
      <c r="L162" s="57">
        <v>863199.4</v>
      </c>
      <c r="M162" s="34">
        <f t="shared" ref="M162:M163" si="73">I162+L162</f>
        <v>863199.4</v>
      </c>
      <c r="N162" s="38"/>
      <c r="O162" s="34"/>
      <c r="P162" s="34"/>
      <c r="Q162" s="34">
        <v>37571.199999999997</v>
      </c>
      <c r="R162" s="34">
        <f t="shared" ref="R162:R163" si="74">N162+Q162</f>
        <v>37571.199999999997</v>
      </c>
      <c r="S162" s="34"/>
      <c r="T162" s="57"/>
      <c r="U162" s="81"/>
      <c r="V162" s="81"/>
      <c r="W162" s="81"/>
      <c r="X162" s="81"/>
      <c r="Y162" s="7">
        <f t="shared" si="63"/>
        <v>863199.4</v>
      </c>
      <c r="Z162" s="7">
        <f t="shared" si="64"/>
        <v>37571.199999999997</v>
      </c>
      <c r="AA162" s="7"/>
      <c r="AB162" s="7"/>
      <c r="AC162" s="7">
        <f t="shared" si="58"/>
        <v>863199.4</v>
      </c>
      <c r="AD162" s="7">
        <f t="shared" si="65"/>
        <v>37571.199999999997</v>
      </c>
      <c r="AE162" s="7">
        <v>0</v>
      </c>
      <c r="AF162" s="12"/>
      <c r="AG162" s="117"/>
      <c r="AH162" s="117"/>
      <c r="AI162" s="118"/>
      <c r="AJ162" s="118"/>
      <c r="AK162" s="7">
        <f t="shared" si="59"/>
        <v>37571.199999999997</v>
      </c>
      <c r="AL162" s="27">
        <f t="shared" si="66"/>
        <v>0</v>
      </c>
      <c r="AM162" s="27">
        <v>0</v>
      </c>
      <c r="AN162" s="27"/>
      <c r="AO162" s="27"/>
      <c r="AP162" s="7">
        <f t="shared" si="60"/>
        <v>0</v>
      </c>
      <c r="AQ162" s="27">
        <f t="shared" si="67"/>
        <v>0</v>
      </c>
      <c r="AR162" s="27"/>
      <c r="AS162" s="27">
        <f t="shared" si="61"/>
        <v>0</v>
      </c>
    </row>
    <row r="163" spans="1:45" s="4" customFormat="1" ht="147.75" customHeight="1" outlineLevel="1">
      <c r="A163" s="36" t="s">
        <v>272</v>
      </c>
      <c r="B163" s="37" t="s">
        <v>267</v>
      </c>
      <c r="C163" s="33" t="s">
        <v>30</v>
      </c>
      <c r="D163" s="33" t="s">
        <v>7</v>
      </c>
      <c r="E163" s="37" t="s">
        <v>67</v>
      </c>
      <c r="F163" s="37" t="s">
        <v>75</v>
      </c>
      <c r="G163" s="97"/>
      <c r="H163" s="38"/>
      <c r="I163" s="38"/>
      <c r="J163" s="38"/>
      <c r="K163" s="38"/>
      <c r="L163" s="57">
        <v>810957.8</v>
      </c>
      <c r="M163" s="34">
        <f t="shared" si="73"/>
        <v>810957.8</v>
      </c>
      <c r="N163" s="38"/>
      <c r="O163" s="34"/>
      <c r="P163" s="34"/>
      <c r="Q163" s="34">
        <v>16219.2</v>
      </c>
      <c r="R163" s="34">
        <f t="shared" si="74"/>
        <v>16219.2</v>
      </c>
      <c r="S163" s="34"/>
      <c r="T163" s="57"/>
      <c r="U163" s="81"/>
      <c r="V163" s="81"/>
      <c r="W163" s="81"/>
      <c r="X163" s="81"/>
      <c r="Y163" s="7">
        <f t="shared" si="63"/>
        <v>810957.8</v>
      </c>
      <c r="Z163" s="7">
        <f t="shared" si="64"/>
        <v>16219.2</v>
      </c>
      <c r="AA163" s="7"/>
      <c r="AB163" s="7"/>
      <c r="AC163" s="7">
        <f t="shared" si="58"/>
        <v>810957.8</v>
      </c>
      <c r="AD163" s="7">
        <f t="shared" si="65"/>
        <v>16219.2</v>
      </c>
      <c r="AE163" s="7">
        <v>0</v>
      </c>
      <c r="AF163" s="12"/>
      <c r="AG163" s="117"/>
      <c r="AH163" s="117"/>
      <c r="AI163" s="118"/>
      <c r="AJ163" s="118"/>
      <c r="AK163" s="7">
        <f t="shared" si="59"/>
        <v>16219.2</v>
      </c>
      <c r="AL163" s="27">
        <f t="shared" si="66"/>
        <v>0</v>
      </c>
      <c r="AM163" s="27">
        <v>0</v>
      </c>
      <c r="AN163" s="27"/>
      <c r="AO163" s="27"/>
      <c r="AP163" s="7">
        <f t="shared" si="60"/>
        <v>0</v>
      </c>
      <c r="AQ163" s="27">
        <f t="shared" si="67"/>
        <v>0</v>
      </c>
      <c r="AR163" s="27"/>
      <c r="AS163" s="27">
        <f t="shared" si="61"/>
        <v>0</v>
      </c>
    </row>
    <row r="164" spans="1:45" s="4" customFormat="1" ht="34.5" customHeight="1" outlineLevel="1">
      <c r="A164" s="153" t="s">
        <v>343</v>
      </c>
      <c r="B164" s="153"/>
      <c r="C164" s="153"/>
      <c r="D164" s="153"/>
      <c r="E164" s="37"/>
      <c r="F164" s="37"/>
      <c r="G164" s="97"/>
      <c r="H164" s="97">
        <f>H165</f>
        <v>168497.1</v>
      </c>
      <c r="I164" s="38">
        <f t="shared" si="56"/>
        <v>168497.1</v>
      </c>
      <c r="J164" s="38"/>
      <c r="K164" s="38">
        <f>K165</f>
        <v>4951.5</v>
      </c>
      <c r="L164" s="38">
        <f>L165+L166+L167</f>
        <v>3318723</v>
      </c>
      <c r="M164" s="34">
        <f t="shared" si="70"/>
        <v>3487220.1</v>
      </c>
      <c r="N164" s="38">
        <f t="shared" si="54"/>
        <v>4951.5</v>
      </c>
      <c r="O164" s="34"/>
      <c r="P164" s="34"/>
      <c r="Q164" s="38">
        <f>Q165+Q166+Q167</f>
        <v>8153.3</v>
      </c>
      <c r="R164" s="34">
        <f t="shared" si="71"/>
        <v>13104.8</v>
      </c>
      <c r="S164" s="34"/>
      <c r="T164" s="57"/>
      <c r="U164" s="81"/>
      <c r="V164" s="38">
        <f>V165+V166+V167</f>
        <v>0</v>
      </c>
      <c r="W164" s="38"/>
      <c r="X164" s="38"/>
      <c r="Y164" s="7">
        <f t="shared" si="63"/>
        <v>3487220.1</v>
      </c>
      <c r="Z164" s="7">
        <f t="shared" si="64"/>
        <v>13104.8</v>
      </c>
      <c r="AA164" s="7"/>
      <c r="AB164" s="7"/>
      <c r="AC164" s="7">
        <f t="shared" si="58"/>
        <v>3487220.1</v>
      </c>
      <c r="AD164" s="7">
        <f t="shared" si="65"/>
        <v>13104.8</v>
      </c>
      <c r="AE164" s="7">
        <f t="shared" si="69"/>
        <v>0</v>
      </c>
      <c r="AF164" s="12"/>
      <c r="AG164" s="14">
        <f>AG165+AG166+AG167</f>
        <v>0</v>
      </c>
      <c r="AH164" s="117"/>
      <c r="AI164" s="118"/>
      <c r="AJ164" s="118"/>
      <c r="AK164" s="7">
        <f t="shared" si="59"/>
        <v>13104.8</v>
      </c>
      <c r="AL164" s="27">
        <f t="shared" si="66"/>
        <v>0</v>
      </c>
      <c r="AM164" s="27">
        <f t="shared" si="72"/>
        <v>0</v>
      </c>
      <c r="AN164" s="27"/>
      <c r="AO164" s="27"/>
      <c r="AP164" s="7">
        <f t="shared" si="60"/>
        <v>0</v>
      </c>
      <c r="AQ164" s="27">
        <f t="shared" si="67"/>
        <v>0</v>
      </c>
      <c r="AR164" s="27"/>
      <c r="AS164" s="27">
        <f t="shared" si="61"/>
        <v>0</v>
      </c>
    </row>
    <row r="165" spans="1:45" s="4" customFormat="1" ht="147.75" customHeight="1" outlineLevel="1">
      <c r="A165" s="36" t="s">
        <v>286</v>
      </c>
      <c r="B165" s="37" t="s">
        <v>228</v>
      </c>
      <c r="C165" s="37" t="s">
        <v>220</v>
      </c>
      <c r="D165" s="37" t="s">
        <v>10</v>
      </c>
      <c r="E165" s="37" t="s">
        <v>67</v>
      </c>
      <c r="F165" s="37" t="s">
        <v>22</v>
      </c>
      <c r="G165" s="97"/>
      <c r="H165" s="38">
        <v>168497.1</v>
      </c>
      <c r="I165" s="38">
        <f t="shared" si="56"/>
        <v>168497.1</v>
      </c>
      <c r="J165" s="38"/>
      <c r="K165" s="38">
        <v>4951.5</v>
      </c>
      <c r="L165" s="38"/>
      <c r="M165" s="34">
        <f t="shared" si="70"/>
        <v>168497.1</v>
      </c>
      <c r="N165" s="38">
        <f t="shared" si="54"/>
        <v>4951.5</v>
      </c>
      <c r="O165" s="34"/>
      <c r="P165" s="34"/>
      <c r="Q165" s="34"/>
      <c r="R165" s="34">
        <f t="shared" si="71"/>
        <v>4951.5</v>
      </c>
      <c r="S165" s="34">
        <v>0</v>
      </c>
      <c r="T165" s="57"/>
      <c r="U165" s="81"/>
      <c r="V165" s="81"/>
      <c r="W165" s="81"/>
      <c r="X165" s="81"/>
      <c r="Y165" s="7">
        <f t="shared" si="63"/>
        <v>168497.1</v>
      </c>
      <c r="Z165" s="7">
        <f t="shared" si="64"/>
        <v>4951.5</v>
      </c>
      <c r="AA165" s="7"/>
      <c r="AB165" s="7"/>
      <c r="AC165" s="7">
        <f t="shared" si="58"/>
        <v>168497.1</v>
      </c>
      <c r="AD165" s="7">
        <f t="shared" si="65"/>
        <v>4951.5</v>
      </c>
      <c r="AE165" s="7">
        <f t="shared" si="69"/>
        <v>0</v>
      </c>
      <c r="AF165" s="12">
        <v>0</v>
      </c>
      <c r="AG165" s="117"/>
      <c r="AH165" s="117"/>
      <c r="AI165" s="118"/>
      <c r="AJ165" s="118"/>
      <c r="AK165" s="7">
        <f t="shared" si="59"/>
        <v>4951.5</v>
      </c>
      <c r="AL165" s="27">
        <f t="shared" si="66"/>
        <v>0</v>
      </c>
      <c r="AM165" s="27">
        <f t="shared" si="72"/>
        <v>0</v>
      </c>
      <c r="AN165" s="27"/>
      <c r="AO165" s="27"/>
      <c r="AP165" s="7">
        <f t="shared" si="60"/>
        <v>0</v>
      </c>
      <c r="AQ165" s="27">
        <f t="shared" si="67"/>
        <v>0</v>
      </c>
      <c r="AR165" s="27"/>
      <c r="AS165" s="27">
        <f t="shared" si="61"/>
        <v>0</v>
      </c>
    </row>
    <row r="166" spans="1:45" s="4" customFormat="1" ht="129" customHeight="1" outlineLevel="1">
      <c r="A166" s="36" t="s">
        <v>255</v>
      </c>
      <c r="B166" s="33" t="s">
        <v>256</v>
      </c>
      <c r="C166" s="33" t="s">
        <v>257</v>
      </c>
      <c r="D166" s="33" t="s">
        <v>7</v>
      </c>
      <c r="E166" s="33" t="s">
        <v>9</v>
      </c>
      <c r="F166" s="33" t="s">
        <v>254</v>
      </c>
      <c r="G166" s="97"/>
      <c r="H166" s="38"/>
      <c r="I166" s="38"/>
      <c r="J166" s="38"/>
      <c r="K166" s="38"/>
      <c r="L166" s="38">
        <v>3126572.6</v>
      </c>
      <c r="M166" s="34">
        <f t="shared" si="70"/>
        <v>3126572.6</v>
      </c>
      <c r="N166" s="38"/>
      <c r="O166" s="34"/>
      <c r="P166" s="34"/>
      <c r="Q166" s="34">
        <f>419.8</f>
        <v>419.8</v>
      </c>
      <c r="R166" s="34">
        <f t="shared" si="71"/>
        <v>419.8</v>
      </c>
      <c r="S166" s="34"/>
      <c r="T166" s="57"/>
      <c r="U166" s="81"/>
      <c r="V166" s="81"/>
      <c r="W166" s="81"/>
      <c r="X166" s="81"/>
      <c r="Y166" s="7">
        <f t="shared" si="63"/>
        <v>3126572.6</v>
      </c>
      <c r="Z166" s="7">
        <f t="shared" si="64"/>
        <v>419.8</v>
      </c>
      <c r="AA166" s="7"/>
      <c r="AB166" s="7"/>
      <c r="AC166" s="7">
        <f t="shared" si="58"/>
        <v>3126572.6</v>
      </c>
      <c r="AD166" s="7">
        <f t="shared" si="65"/>
        <v>419.8</v>
      </c>
      <c r="AE166" s="7">
        <v>0</v>
      </c>
      <c r="AF166" s="12"/>
      <c r="AG166" s="117"/>
      <c r="AH166" s="117"/>
      <c r="AI166" s="118"/>
      <c r="AJ166" s="118"/>
      <c r="AK166" s="7">
        <f t="shared" si="59"/>
        <v>419.8</v>
      </c>
      <c r="AL166" s="27">
        <f t="shared" si="66"/>
        <v>0</v>
      </c>
      <c r="AM166" s="27">
        <v>0</v>
      </c>
      <c r="AN166" s="27"/>
      <c r="AO166" s="27"/>
      <c r="AP166" s="7">
        <f t="shared" si="60"/>
        <v>0</v>
      </c>
      <c r="AQ166" s="27">
        <f t="shared" si="67"/>
        <v>0</v>
      </c>
      <c r="AR166" s="27"/>
      <c r="AS166" s="27">
        <f t="shared" si="61"/>
        <v>0</v>
      </c>
    </row>
    <row r="167" spans="1:45" s="4" customFormat="1" ht="147.75" customHeight="1" outlineLevel="1">
      <c r="A167" s="36" t="s">
        <v>258</v>
      </c>
      <c r="B167" s="37" t="s">
        <v>259</v>
      </c>
      <c r="C167" s="37" t="s">
        <v>260</v>
      </c>
      <c r="D167" s="37" t="s">
        <v>7</v>
      </c>
      <c r="E167" s="37" t="s">
        <v>9</v>
      </c>
      <c r="F167" s="37" t="s">
        <v>261</v>
      </c>
      <c r="G167" s="97"/>
      <c r="H167" s="38"/>
      <c r="I167" s="38"/>
      <c r="J167" s="38"/>
      <c r="K167" s="38"/>
      <c r="L167" s="38">
        <v>192150.39999999999</v>
      </c>
      <c r="M167" s="34">
        <f t="shared" si="70"/>
        <v>192150.39999999999</v>
      </c>
      <c r="N167" s="38"/>
      <c r="O167" s="34"/>
      <c r="P167" s="34"/>
      <c r="Q167" s="34">
        <v>7733.5</v>
      </c>
      <c r="R167" s="34">
        <f t="shared" si="71"/>
        <v>7733.5</v>
      </c>
      <c r="S167" s="34"/>
      <c r="T167" s="57"/>
      <c r="U167" s="81"/>
      <c r="V167" s="81"/>
      <c r="W167" s="81"/>
      <c r="X167" s="81"/>
      <c r="Y167" s="7">
        <f t="shared" si="63"/>
        <v>192150.39999999999</v>
      </c>
      <c r="Z167" s="7">
        <f t="shared" si="64"/>
        <v>7733.5</v>
      </c>
      <c r="AA167" s="7"/>
      <c r="AB167" s="7"/>
      <c r="AC167" s="7">
        <f t="shared" si="58"/>
        <v>192150.39999999999</v>
      </c>
      <c r="AD167" s="7">
        <f t="shared" si="65"/>
        <v>7733.5</v>
      </c>
      <c r="AE167" s="7">
        <v>0</v>
      </c>
      <c r="AF167" s="12"/>
      <c r="AG167" s="117"/>
      <c r="AH167" s="117"/>
      <c r="AI167" s="118"/>
      <c r="AJ167" s="118"/>
      <c r="AK167" s="7">
        <f t="shared" si="59"/>
        <v>7733.5</v>
      </c>
      <c r="AL167" s="27">
        <f t="shared" si="66"/>
        <v>0</v>
      </c>
      <c r="AM167" s="27">
        <v>0</v>
      </c>
      <c r="AN167" s="27"/>
      <c r="AO167" s="27"/>
      <c r="AP167" s="7">
        <f t="shared" si="60"/>
        <v>0</v>
      </c>
      <c r="AQ167" s="27">
        <f t="shared" si="67"/>
        <v>0</v>
      </c>
      <c r="AR167" s="27"/>
      <c r="AS167" s="27">
        <f t="shared" si="61"/>
        <v>0</v>
      </c>
    </row>
    <row r="168" spans="1:45" s="4" customFormat="1" ht="54" customHeight="1">
      <c r="A168" s="158" t="s">
        <v>376</v>
      </c>
      <c r="B168" s="159"/>
      <c r="C168" s="159"/>
      <c r="D168" s="148"/>
      <c r="E168" s="37"/>
      <c r="F168" s="37"/>
      <c r="G168" s="57">
        <f>G169</f>
        <v>374779</v>
      </c>
      <c r="H168" s="57">
        <f>H169</f>
        <v>0</v>
      </c>
      <c r="I168" s="34">
        <f t="shared" si="56"/>
        <v>374779</v>
      </c>
      <c r="J168" s="57">
        <f t="shared" ref="J168:U168" si="75">J169</f>
        <v>150000</v>
      </c>
      <c r="K168" s="57">
        <f t="shared" si="75"/>
        <v>-120000</v>
      </c>
      <c r="L168" s="57">
        <f>L169</f>
        <v>0</v>
      </c>
      <c r="M168" s="34">
        <f t="shared" si="70"/>
        <v>374779</v>
      </c>
      <c r="N168" s="34">
        <f t="shared" si="54"/>
        <v>30000</v>
      </c>
      <c r="O168" s="57">
        <f t="shared" si="75"/>
        <v>170782.3</v>
      </c>
      <c r="P168" s="57">
        <f t="shared" si="75"/>
        <v>-34252.100000000006</v>
      </c>
      <c r="Q168" s="57">
        <f>Q169</f>
        <v>48279.4</v>
      </c>
      <c r="R168" s="34">
        <f t="shared" si="71"/>
        <v>78279.399999999994</v>
      </c>
      <c r="S168" s="34">
        <f t="shared" si="55"/>
        <v>136530.19999999998</v>
      </c>
      <c r="T168" s="57">
        <f t="shared" si="75"/>
        <v>50000</v>
      </c>
      <c r="U168" s="57">
        <f t="shared" si="75"/>
        <v>154252.1</v>
      </c>
      <c r="V168" s="57">
        <f>V169</f>
        <v>11419.4</v>
      </c>
      <c r="W168" s="57">
        <f>W169</f>
        <v>-20611.3</v>
      </c>
      <c r="X168" s="57">
        <f>X169</f>
        <v>16079</v>
      </c>
      <c r="Y168" s="7">
        <f t="shared" si="63"/>
        <v>390858</v>
      </c>
      <c r="Z168" s="7">
        <f t="shared" si="64"/>
        <v>57668.099999999991</v>
      </c>
      <c r="AA168" s="7">
        <f>AA169</f>
        <v>578.9</v>
      </c>
      <c r="AB168" s="7"/>
      <c r="AC168" s="7">
        <f t="shared" si="58"/>
        <v>390858</v>
      </c>
      <c r="AD168" s="7">
        <f t="shared" si="65"/>
        <v>58246.999999999993</v>
      </c>
      <c r="AE168" s="7">
        <f t="shared" si="69"/>
        <v>147949.59999999998</v>
      </c>
      <c r="AF168" s="12">
        <f t="shared" si="62"/>
        <v>204252.1</v>
      </c>
      <c r="AG168" s="114">
        <f>AG169</f>
        <v>0</v>
      </c>
      <c r="AH168" s="117"/>
      <c r="AI168" s="7">
        <f>AI169</f>
        <v>0</v>
      </c>
      <c r="AJ168" s="7">
        <f>AJ169</f>
        <v>-38675.800000000003</v>
      </c>
      <c r="AK168" s="7">
        <f t="shared" si="59"/>
        <v>19571.19999999999</v>
      </c>
      <c r="AL168" s="27">
        <f t="shared" si="66"/>
        <v>147949.59999999998</v>
      </c>
      <c r="AM168" s="27">
        <f t="shared" si="72"/>
        <v>204252.1</v>
      </c>
      <c r="AN168" s="27"/>
      <c r="AO168" s="27"/>
      <c r="AP168" s="7">
        <f t="shared" si="60"/>
        <v>147949.59999999998</v>
      </c>
      <c r="AQ168" s="27">
        <f t="shared" si="67"/>
        <v>204252.1</v>
      </c>
      <c r="AR168" s="27"/>
      <c r="AS168" s="27">
        <f t="shared" si="61"/>
        <v>204252.1</v>
      </c>
    </row>
    <row r="169" spans="1:45" s="4" customFormat="1" ht="129.75" customHeight="1">
      <c r="A169" s="36" t="s">
        <v>113</v>
      </c>
      <c r="B169" s="37" t="s">
        <v>114</v>
      </c>
      <c r="C169" s="33" t="s">
        <v>12</v>
      </c>
      <c r="D169" s="33" t="s">
        <v>7</v>
      </c>
      <c r="E169" s="33" t="s">
        <v>9</v>
      </c>
      <c r="F169" s="41" t="s">
        <v>71</v>
      </c>
      <c r="G169" s="57">
        <v>374779</v>
      </c>
      <c r="H169" s="57"/>
      <c r="I169" s="34">
        <f t="shared" si="56"/>
        <v>374779</v>
      </c>
      <c r="J169" s="34">
        <v>150000</v>
      </c>
      <c r="K169" s="34">
        <v>-120000</v>
      </c>
      <c r="L169" s="34"/>
      <c r="M169" s="34">
        <f t="shared" si="70"/>
        <v>374779</v>
      </c>
      <c r="N169" s="34">
        <f t="shared" si="54"/>
        <v>30000</v>
      </c>
      <c r="O169" s="34">
        <v>170782.3</v>
      </c>
      <c r="P169" s="34">
        <f>-62645.9+28393.8</f>
        <v>-34252.100000000006</v>
      </c>
      <c r="Q169" s="34">
        <v>48279.4</v>
      </c>
      <c r="R169" s="34">
        <f t="shared" si="71"/>
        <v>78279.399999999994</v>
      </c>
      <c r="S169" s="34">
        <f t="shared" si="55"/>
        <v>136530.19999999998</v>
      </c>
      <c r="T169" s="57">
        <v>50000</v>
      </c>
      <c r="U169" s="88">
        <f>62645.9+91606.2</f>
        <v>154252.1</v>
      </c>
      <c r="V169" s="98">
        <v>11419.4</v>
      </c>
      <c r="W169" s="98">
        <v>-20611.3</v>
      </c>
      <c r="X169" s="98">
        <v>16079</v>
      </c>
      <c r="Y169" s="7">
        <f t="shared" si="63"/>
        <v>390858</v>
      </c>
      <c r="Z169" s="7">
        <f t="shared" si="64"/>
        <v>57668.099999999991</v>
      </c>
      <c r="AA169" s="7">
        <v>578.9</v>
      </c>
      <c r="AB169" s="7"/>
      <c r="AC169" s="7">
        <f t="shared" si="58"/>
        <v>390858</v>
      </c>
      <c r="AD169" s="7">
        <f t="shared" si="65"/>
        <v>58246.999999999993</v>
      </c>
      <c r="AE169" s="7">
        <f t="shared" si="69"/>
        <v>147949.59999999998</v>
      </c>
      <c r="AF169" s="12">
        <f t="shared" si="62"/>
        <v>204252.1</v>
      </c>
      <c r="AG169" s="117"/>
      <c r="AH169" s="117"/>
      <c r="AI169" s="119"/>
      <c r="AJ169" s="119">
        <v>-38675.800000000003</v>
      </c>
      <c r="AK169" s="7">
        <f t="shared" si="59"/>
        <v>19571.19999999999</v>
      </c>
      <c r="AL169" s="27">
        <f t="shared" si="66"/>
        <v>147949.59999999998</v>
      </c>
      <c r="AM169" s="27">
        <f t="shared" si="72"/>
        <v>204252.1</v>
      </c>
      <c r="AN169" s="27"/>
      <c r="AO169" s="27"/>
      <c r="AP169" s="7">
        <f t="shared" si="60"/>
        <v>147949.59999999998</v>
      </c>
      <c r="AQ169" s="27">
        <f t="shared" si="67"/>
        <v>204252.1</v>
      </c>
      <c r="AR169" s="27"/>
      <c r="AS169" s="27">
        <f t="shared" si="61"/>
        <v>204252.1</v>
      </c>
    </row>
    <row r="170" spans="1:45" s="4" customFormat="1" ht="30.75" customHeight="1">
      <c r="A170" s="153" t="s">
        <v>377</v>
      </c>
      <c r="B170" s="153"/>
      <c r="C170" s="153"/>
      <c r="D170" s="153"/>
      <c r="E170" s="33"/>
      <c r="F170" s="41"/>
      <c r="G170" s="57"/>
      <c r="H170" s="57">
        <f>H171</f>
        <v>25000</v>
      </c>
      <c r="I170" s="34">
        <f>G170+H170</f>
        <v>25000</v>
      </c>
      <c r="J170" s="34"/>
      <c r="K170" s="57">
        <f>K171</f>
        <v>25000</v>
      </c>
      <c r="L170" s="57"/>
      <c r="M170" s="34">
        <f t="shared" si="70"/>
        <v>25000</v>
      </c>
      <c r="N170" s="34">
        <f t="shared" si="54"/>
        <v>25000</v>
      </c>
      <c r="O170" s="34"/>
      <c r="P170" s="34"/>
      <c r="Q170" s="34"/>
      <c r="R170" s="34">
        <f t="shared" si="71"/>
        <v>25000</v>
      </c>
      <c r="S170" s="34">
        <v>0</v>
      </c>
      <c r="T170" s="57"/>
      <c r="U170" s="88"/>
      <c r="V170" s="88"/>
      <c r="W170" s="88"/>
      <c r="X170" s="88"/>
      <c r="Y170" s="7">
        <f t="shared" si="63"/>
        <v>25000</v>
      </c>
      <c r="Z170" s="7">
        <f t="shared" si="64"/>
        <v>25000</v>
      </c>
      <c r="AA170" s="7"/>
      <c r="AB170" s="7"/>
      <c r="AC170" s="7">
        <f t="shared" si="58"/>
        <v>25000</v>
      </c>
      <c r="AD170" s="7">
        <f t="shared" si="65"/>
        <v>25000</v>
      </c>
      <c r="AE170" s="7">
        <f t="shared" si="69"/>
        <v>0</v>
      </c>
      <c r="AF170" s="12">
        <v>0</v>
      </c>
      <c r="AG170" s="117"/>
      <c r="AH170" s="117"/>
      <c r="AI170" s="118"/>
      <c r="AJ170" s="118"/>
      <c r="AK170" s="7">
        <f t="shared" si="59"/>
        <v>25000</v>
      </c>
      <c r="AL170" s="27">
        <f t="shared" si="66"/>
        <v>0</v>
      </c>
      <c r="AM170" s="27">
        <f t="shared" si="72"/>
        <v>0</v>
      </c>
      <c r="AN170" s="27"/>
      <c r="AO170" s="27"/>
      <c r="AP170" s="7">
        <f t="shared" si="60"/>
        <v>0</v>
      </c>
      <c r="AQ170" s="27">
        <f t="shared" si="67"/>
        <v>0</v>
      </c>
      <c r="AR170" s="27"/>
      <c r="AS170" s="27">
        <f t="shared" si="61"/>
        <v>0</v>
      </c>
    </row>
    <row r="171" spans="1:45" s="4" customFormat="1" ht="129.75" customHeight="1">
      <c r="A171" s="36" t="s">
        <v>222</v>
      </c>
      <c r="B171" s="37" t="s">
        <v>223</v>
      </c>
      <c r="C171" s="44" t="s">
        <v>224</v>
      </c>
      <c r="D171" s="37" t="s">
        <v>225</v>
      </c>
      <c r="E171" s="37" t="s">
        <v>226</v>
      </c>
      <c r="F171" s="37" t="s">
        <v>96</v>
      </c>
      <c r="G171" s="57"/>
      <c r="H171" s="57">
        <v>25000</v>
      </c>
      <c r="I171" s="34">
        <f>G171+H171</f>
        <v>25000</v>
      </c>
      <c r="J171" s="34"/>
      <c r="K171" s="34">
        <v>25000</v>
      </c>
      <c r="L171" s="34"/>
      <c r="M171" s="34">
        <f t="shared" si="70"/>
        <v>25000</v>
      </c>
      <c r="N171" s="34">
        <f t="shared" si="54"/>
        <v>25000</v>
      </c>
      <c r="O171" s="34"/>
      <c r="P171" s="34"/>
      <c r="Q171" s="34"/>
      <c r="R171" s="34">
        <f t="shared" si="71"/>
        <v>25000</v>
      </c>
      <c r="S171" s="34">
        <v>0</v>
      </c>
      <c r="T171" s="57"/>
      <c r="U171" s="88"/>
      <c r="V171" s="88"/>
      <c r="W171" s="88"/>
      <c r="X171" s="88"/>
      <c r="Y171" s="7">
        <f t="shared" si="63"/>
        <v>25000</v>
      </c>
      <c r="Z171" s="7">
        <f t="shared" si="64"/>
        <v>25000</v>
      </c>
      <c r="AA171" s="7"/>
      <c r="AB171" s="7"/>
      <c r="AC171" s="7">
        <f t="shared" si="58"/>
        <v>25000</v>
      </c>
      <c r="AD171" s="7">
        <f t="shared" si="65"/>
        <v>25000</v>
      </c>
      <c r="AE171" s="7">
        <f t="shared" si="69"/>
        <v>0</v>
      </c>
      <c r="AF171" s="12">
        <v>0</v>
      </c>
      <c r="AG171" s="117"/>
      <c r="AH171" s="117"/>
      <c r="AI171" s="118"/>
      <c r="AJ171" s="118"/>
      <c r="AK171" s="7">
        <f t="shared" si="59"/>
        <v>25000</v>
      </c>
      <c r="AL171" s="27">
        <f t="shared" si="66"/>
        <v>0</v>
      </c>
      <c r="AM171" s="27">
        <f t="shared" si="72"/>
        <v>0</v>
      </c>
      <c r="AN171" s="27"/>
      <c r="AO171" s="27"/>
      <c r="AP171" s="7">
        <f t="shared" si="60"/>
        <v>0</v>
      </c>
      <c r="AQ171" s="27">
        <f t="shared" si="67"/>
        <v>0</v>
      </c>
      <c r="AR171" s="27"/>
      <c r="AS171" s="27">
        <f t="shared" si="61"/>
        <v>0</v>
      </c>
    </row>
    <row r="172" spans="1:45" s="4" customFormat="1" ht="60" customHeight="1">
      <c r="A172" s="153" t="s">
        <v>269</v>
      </c>
      <c r="B172" s="153"/>
      <c r="C172" s="153"/>
      <c r="D172" s="153"/>
      <c r="E172" s="37"/>
      <c r="F172" s="37"/>
      <c r="G172" s="57"/>
      <c r="H172" s="57"/>
      <c r="I172" s="34"/>
      <c r="J172" s="34"/>
      <c r="K172" s="34"/>
      <c r="L172" s="34"/>
      <c r="M172" s="38">
        <f>M173+M174+M175+M176</f>
        <v>1323771.94</v>
      </c>
      <c r="N172" s="38">
        <f t="shared" ref="N172:Q172" si="76">N173+N174+N175</f>
        <v>3742.74</v>
      </c>
      <c r="O172" s="38">
        <f t="shared" si="76"/>
        <v>3742.74</v>
      </c>
      <c r="P172" s="38">
        <f t="shared" si="76"/>
        <v>3742.74</v>
      </c>
      <c r="Q172" s="38">
        <f t="shared" si="76"/>
        <v>3742.74</v>
      </c>
      <c r="R172" s="38">
        <f>R173+R174+R175+R176</f>
        <v>117742.74</v>
      </c>
      <c r="S172" s="38">
        <f t="shared" ref="S172:AM172" si="77">S173+S174+S175+S176</f>
        <v>200000</v>
      </c>
      <c r="T172" s="38">
        <f t="shared" si="77"/>
        <v>200000</v>
      </c>
      <c r="U172" s="38">
        <f t="shared" si="77"/>
        <v>200000</v>
      </c>
      <c r="V172" s="38">
        <f t="shared" si="77"/>
        <v>200000</v>
      </c>
      <c r="W172" s="38"/>
      <c r="X172" s="38"/>
      <c r="Y172" s="7">
        <f t="shared" si="63"/>
        <v>1323771.94</v>
      </c>
      <c r="Z172" s="7">
        <f t="shared" si="64"/>
        <v>117742.74</v>
      </c>
      <c r="AA172" s="7"/>
      <c r="AB172" s="7"/>
      <c r="AC172" s="7">
        <f t="shared" si="58"/>
        <v>1323771.94</v>
      </c>
      <c r="AD172" s="7">
        <f t="shared" si="65"/>
        <v>117742.74</v>
      </c>
      <c r="AE172" s="14">
        <f t="shared" si="77"/>
        <v>515500</v>
      </c>
      <c r="AF172" s="14">
        <f t="shared" si="77"/>
        <v>0</v>
      </c>
      <c r="AG172" s="14">
        <f t="shared" si="77"/>
        <v>0</v>
      </c>
      <c r="AH172" s="14">
        <f t="shared" si="77"/>
        <v>0</v>
      </c>
      <c r="AI172" s="14"/>
      <c r="AJ172" s="14"/>
      <c r="AK172" s="7">
        <f t="shared" si="59"/>
        <v>117742.74</v>
      </c>
      <c r="AL172" s="27">
        <f t="shared" si="66"/>
        <v>515500</v>
      </c>
      <c r="AM172" s="14">
        <f t="shared" si="77"/>
        <v>690529.2</v>
      </c>
      <c r="AN172" s="14"/>
      <c r="AO172" s="14"/>
      <c r="AP172" s="7">
        <f t="shared" si="60"/>
        <v>515500</v>
      </c>
      <c r="AQ172" s="27">
        <f t="shared" si="67"/>
        <v>690529.2</v>
      </c>
      <c r="AR172" s="27"/>
      <c r="AS172" s="27">
        <f t="shared" si="61"/>
        <v>690529.2</v>
      </c>
    </row>
    <row r="173" spans="1:45" s="4" customFormat="1" ht="128.25" customHeight="1">
      <c r="A173" s="36" t="s">
        <v>327</v>
      </c>
      <c r="B173" s="37" t="s">
        <v>262</v>
      </c>
      <c r="C173" s="33" t="s">
        <v>12</v>
      </c>
      <c r="D173" s="33" t="s">
        <v>7</v>
      </c>
      <c r="E173" s="33" t="s">
        <v>9</v>
      </c>
      <c r="F173" s="37" t="s">
        <v>136</v>
      </c>
      <c r="G173" s="57"/>
      <c r="H173" s="57"/>
      <c r="I173" s="34"/>
      <c r="J173" s="34"/>
      <c r="K173" s="34"/>
      <c r="L173" s="34"/>
      <c r="M173" s="38">
        <f>R173+AE173+AM173</f>
        <v>494113.44</v>
      </c>
      <c r="N173" s="38">
        <v>3742.74</v>
      </c>
      <c r="O173" s="38">
        <v>3742.74</v>
      </c>
      <c r="P173" s="38">
        <v>3742.74</v>
      </c>
      <c r="Q173" s="38">
        <v>3742.74</v>
      </c>
      <c r="R173" s="38">
        <v>3742.74</v>
      </c>
      <c r="S173" s="34">
        <v>200000</v>
      </c>
      <c r="T173" s="34">
        <v>200000</v>
      </c>
      <c r="U173" s="34">
        <v>200000</v>
      </c>
      <c r="V173" s="34">
        <v>200000</v>
      </c>
      <c r="W173" s="34"/>
      <c r="X173" s="34"/>
      <c r="Y173" s="7">
        <f t="shared" si="63"/>
        <v>494113.44</v>
      </c>
      <c r="Z173" s="7">
        <f t="shared" si="64"/>
        <v>3742.74</v>
      </c>
      <c r="AA173" s="7"/>
      <c r="AB173" s="7"/>
      <c r="AC173" s="7">
        <f t="shared" si="58"/>
        <v>494113.44</v>
      </c>
      <c r="AD173" s="7">
        <f t="shared" si="65"/>
        <v>3742.74</v>
      </c>
      <c r="AE173" s="7">
        <v>200000</v>
      </c>
      <c r="AF173" s="12"/>
      <c r="AG173" s="117"/>
      <c r="AH173" s="117"/>
      <c r="AI173" s="118"/>
      <c r="AJ173" s="118"/>
      <c r="AK173" s="7">
        <f t="shared" si="59"/>
        <v>3742.74</v>
      </c>
      <c r="AL173" s="27">
        <f t="shared" si="66"/>
        <v>200000</v>
      </c>
      <c r="AM173" s="27">
        <v>290370.7</v>
      </c>
      <c r="AN173" s="27"/>
      <c r="AO173" s="27"/>
      <c r="AP173" s="7">
        <f t="shared" si="60"/>
        <v>200000</v>
      </c>
      <c r="AQ173" s="27">
        <f t="shared" si="67"/>
        <v>290370.7</v>
      </c>
      <c r="AR173" s="27"/>
      <c r="AS173" s="27">
        <f t="shared" si="61"/>
        <v>290370.7</v>
      </c>
    </row>
    <row r="174" spans="1:45" s="4" customFormat="1" ht="134.25" customHeight="1">
      <c r="A174" s="36" t="s">
        <v>328</v>
      </c>
      <c r="B174" s="37" t="s">
        <v>21</v>
      </c>
      <c r="C174" s="33" t="s">
        <v>12</v>
      </c>
      <c r="D174" s="33" t="s">
        <v>7</v>
      </c>
      <c r="E174" s="33" t="s">
        <v>9</v>
      </c>
      <c r="F174" s="37" t="s">
        <v>136</v>
      </c>
      <c r="G174" s="57"/>
      <c r="H174" s="57"/>
      <c r="I174" s="34"/>
      <c r="J174" s="34"/>
      <c r="K174" s="34"/>
      <c r="L174" s="34"/>
      <c r="M174" s="38">
        <f>R174+AE174+AM174</f>
        <v>233363.5</v>
      </c>
      <c r="N174" s="34"/>
      <c r="O174" s="34"/>
      <c r="P174" s="34"/>
      <c r="Q174" s="34"/>
      <c r="R174" s="34">
        <v>5000</v>
      </c>
      <c r="S174" s="34"/>
      <c r="T174" s="57"/>
      <c r="U174" s="88"/>
      <c r="V174" s="88"/>
      <c r="W174" s="88"/>
      <c r="X174" s="88"/>
      <c r="Y174" s="7">
        <f t="shared" si="63"/>
        <v>233363.5</v>
      </c>
      <c r="Z174" s="7">
        <f t="shared" si="64"/>
        <v>5000</v>
      </c>
      <c r="AA174" s="7"/>
      <c r="AB174" s="7"/>
      <c r="AC174" s="7">
        <f t="shared" si="58"/>
        <v>233363.5</v>
      </c>
      <c r="AD174" s="7">
        <f t="shared" si="65"/>
        <v>5000</v>
      </c>
      <c r="AE174" s="7">
        <v>100000</v>
      </c>
      <c r="AF174" s="12"/>
      <c r="AG174" s="117"/>
      <c r="AH174" s="117"/>
      <c r="AI174" s="118"/>
      <c r="AJ174" s="118"/>
      <c r="AK174" s="7">
        <f t="shared" si="59"/>
        <v>5000</v>
      </c>
      <c r="AL174" s="27">
        <f t="shared" si="66"/>
        <v>100000</v>
      </c>
      <c r="AM174" s="27">
        <v>128363.5</v>
      </c>
      <c r="AN174" s="27"/>
      <c r="AO174" s="27"/>
      <c r="AP174" s="7">
        <f t="shared" si="60"/>
        <v>100000</v>
      </c>
      <c r="AQ174" s="27">
        <f t="shared" si="67"/>
        <v>128363.5</v>
      </c>
      <c r="AR174" s="27"/>
      <c r="AS174" s="27">
        <f t="shared" si="61"/>
        <v>128363.5</v>
      </c>
    </row>
    <row r="175" spans="1:45" s="4" customFormat="1" ht="129.75" customHeight="1">
      <c r="A175" s="36" t="s">
        <v>332</v>
      </c>
      <c r="B175" s="37" t="s">
        <v>270</v>
      </c>
      <c r="C175" s="33" t="s">
        <v>12</v>
      </c>
      <c r="D175" s="33" t="s">
        <v>7</v>
      </c>
      <c r="E175" s="33" t="s">
        <v>9</v>
      </c>
      <c r="F175" s="37" t="s">
        <v>75</v>
      </c>
      <c r="G175" s="57"/>
      <c r="H175" s="57"/>
      <c r="I175" s="34"/>
      <c r="J175" s="34"/>
      <c r="K175" s="34"/>
      <c r="L175" s="34"/>
      <c r="M175" s="34">
        <v>181000</v>
      </c>
      <c r="N175" s="34"/>
      <c r="O175" s="34"/>
      <c r="P175" s="34"/>
      <c r="Q175" s="34"/>
      <c r="R175" s="34">
        <v>100000</v>
      </c>
      <c r="S175" s="34"/>
      <c r="T175" s="57"/>
      <c r="U175" s="88"/>
      <c r="V175" s="88"/>
      <c r="W175" s="88"/>
      <c r="X175" s="88"/>
      <c r="Y175" s="7">
        <f t="shared" si="63"/>
        <v>181000</v>
      </c>
      <c r="Z175" s="7">
        <f t="shared" si="64"/>
        <v>100000</v>
      </c>
      <c r="AA175" s="7"/>
      <c r="AB175" s="7"/>
      <c r="AC175" s="7">
        <f t="shared" si="58"/>
        <v>181000</v>
      </c>
      <c r="AD175" s="7">
        <f t="shared" si="65"/>
        <v>100000</v>
      </c>
      <c r="AE175" s="7">
        <v>81000</v>
      </c>
      <c r="AF175" s="12"/>
      <c r="AG175" s="117"/>
      <c r="AH175" s="117"/>
      <c r="AI175" s="118"/>
      <c r="AJ175" s="118"/>
      <c r="AK175" s="7">
        <f t="shared" si="59"/>
        <v>100000</v>
      </c>
      <c r="AL175" s="27">
        <f t="shared" si="66"/>
        <v>81000</v>
      </c>
      <c r="AM175" s="27">
        <v>0</v>
      </c>
      <c r="AN175" s="27"/>
      <c r="AO175" s="27"/>
      <c r="AP175" s="7">
        <f t="shared" si="60"/>
        <v>81000</v>
      </c>
      <c r="AQ175" s="27">
        <f t="shared" si="67"/>
        <v>0</v>
      </c>
      <c r="AR175" s="27"/>
      <c r="AS175" s="27">
        <f t="shared" si="61"/>
        <v>0</v>
      </c>
    </row>
    <row r="176" spans="1:45" s="4" customFormat="1" ht="128.25" customHeight="1">
      <c r="A176" s="36" t="s">
        <v>293</v>
      </c>
      <c r="B176" s="37" t="s">
        <v>271</v>
      </c>
      <c r="C176" s="33" t="s">
        <v>111</v>
      </c>
      <c r="D176" s="74" t="s">
        <v>6</v>
      </c>
      <c r="E176" s="33" t="s">
        <v>41</v>
      </c>
      <c r="F176" s="37" t="s">
        <v>136</v>
      </c>
      <c r="G176" s="57"/>
      <c r="H176" s="57"/>
      <c r="I176" s="34"/>
      <c r="J176" s="34"/>
      <c r="K176" s="34"/>
      <c r="L176" s="34"/>
      <c r="M176" s="34">
        <f>R176+AE176+AM176</f>
        <v>415295</v>
      </c>
      <c r="N176" s="34"/>
      <c r="O176" s="34"/>
      <c r="P176" s="34"/>
      <c r="Q176" s="34"/>
      <c r="R176" s="34">
        <v>9000</v>
      </c>
      <c r="S176" s="34"/>
      <c r="T176" s="57"/>
      <c r="U176" s="88"/>
      <c r="V176" s="88"/>
      <c r="W176" s="88"/>
      <c r="X176" s="88"/>
      <c r="Y176" s="7">
        <f t="shared" si="63"/>
        <v>415295</v>
      </c>
      <c r="Z176" s="7">
        <f t="shared" si="64"/>
        <v>9000</v>
      </c>
      <c r="AA176" s="7"/>
      <c r="AB176" s="7"/>
      <c r="AC176" s="7">
        <f t="shared" si="58"/>
        <v>415295</v>
      </c>
      <c r="AD176" s="7">
        <f t="shared" si="65"/>
        <v>9000</v>
      </c>
      <c r="AE176" s="7">
        <v>134500</v>
      </c>
      <c r="AF176" s="12"/>
      <c r="AG176" s="117"/>
      <c r="AH176" s="117"/>
      <c r="AI176" s="118"/>
      <c r="AJ176" s="118"/>
      <c r="AK176" s="7">
        <f t="shared" si="59"/>
        <v>9000</v>
      </c>
      <c r="AL176" s="27">
        <f t="shared" si="66"/>
        <v>134500</v>
      </c>
      <c r="AM176" s="27">
        <v>271795</v>
      </c>
      <c r="AN176" s="27"/>
      <c r="AO176" s="27"/>
      <c r="AP176" s="7">
        <f t="shared" si="60"/>
        <v>134500</v>
      </c>
      <c r="AQ176" s="27">
        <f t="shared" si="67"/>
        <v>271795</v>
      </c>
      <c r="AR176" s="27"/>
      <c r="AS176" s="27">
        <f t="shared" si="61"/>
        <v>271795</v>
      </c>
    </row>
    <row r="177" spans="1:45" s="4" customFormat="1" ht="47.25" customHeight="1">
      <c r="A177" s="158" t="s">
        <v>378</v>
      </c>
      <c r="B177" s="164"/>
      <c r="C177" s="164"/>
      <c r="D177" s="165"/>
      <c r="E177" s="33"/>
      <c r="F177" s="37"/>
      <c r="G177" s="57"/>
      <c r="H177" s="57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57"/>
      <c r="U177" s="88"/>
      <c r="V177" s="88"/>
      <c r="W177" s="88"/>
      <c r="X177" s="88"/>
      <c r="Y177" s="7"/>
      <c r="Z177" s="7"/>
      <c r="AA177" s="7"/>
      <c r="AB177" s="7">
        <f>AB178</f>
        <v>70102</v>
      </c>
      <c r="AC177" s="7">
        <f t="shared" si="58"/>
        <v>70102</v>
      </c>
      <c r="AD177" s="7"/>
      <c r="AE177" s="7"/>
      <c r="AF177" s="12"/>
      <c r="AG177" s="117"/>
      <c r="AH177" s="117"/>
      <c r="AI177" s="118"/>
      <c r="AJ177" s="119">
        <f>AJ178</f>
        <v>5000</v>
      </c>
      <c r="AK177" s="7">
        <f t="shared" si="59"/>
        <v>5000</v>
      </c>
      <c r="AL177" s="27"/>
      <c r="AM177" s="27"/>
      <c r="AN177" s="27"/>
      <c r="AO177" s="119">
        <f>AO178</f>
        <v>5000</v>
      </c>
      <c r="AP177" s="131">
        <f t="shared" si="60"/>
        <v>5000</v>
      </c>
      <c r="AQ177" s="24"/>
      <c r="AR177" s="119">
        <f>AR178</f>
        <v>5000</v>
      </c>
      <c r="AS177" s="27">
        <f t="shared" si="61"/>
        <v>5000</v>
      </c>
    </row>
    <row r="178" spans="1:45" s="4" customFormat="1" ht="141" customHeight="1">
      <c r="A178" s="36" t="s">
        <v>361</v>
      </c>
      <c r="B178" s="37" t="s">
        <v>362</v>
      </c>
      <c r="C178" s="33" t="s">
        <v>12</v>
      </c>
      <c r="D178" s="33" t="s">
        <v>7</v>
      </c>
      <c r="E178" s="33" t="s">
        <v>9</v>
      </c>
      <c r="F178" s="37" t="s">
        <v>363</v>
      </c>
      <c r="G178" s="114"/>
      <c r="H178" s="114"/>
      <c r="I178" s="114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114"/>
      <c r="U178" s="117"/>
      <c r="V178" s="117"/>
      <c r="W178" s="117"/>
      <c r="X178" s="117"/>
      <c r="Y178" s="117"/>
      <c r="Z178" s="117"/>
      <c r="AA178" s="117"/>
      <c r="AB178" s="119">
        <v>70102</v>
      </c>
      <c r="AC178" s="7">
        <f t="shared" si="58"/>
        <v>70102</v>
      </c>
      <c r="AD178" s="117"/>
      <c r="AE178" s="117"/>
      <c r="AF178" s="117"/>
      <c r="AG178" s="117"/>
      <c r="AH178" s="117"/>
      <c r="AI178" s="117"/>
      <c r="AJ178" s="119">
        <v>5000</v>
      </c>
      <c r="AK178" s="7">
        <f t="shared" si="59"/>
        <v>5000</v>
      </c>
      <c r="AL178" s="117"/>
      <c r="AM178" s="117"/>
      <c r="AN178" s="117"/>
      <c r="AO178" s="119">
        <v>5000</v>
      </c>
      <c r="AP178" s="131">
        <f t="shared" si="60"/>
        <v>5000</v>
      </c>
      <c r="AQ178" s="119"/>
      <c r="AR178" s="119">
        <v>5000</v>
      </c>
      <c r="AS178" s="27">
        <f t="shared" si="61"/>
        <v>5000</v>
      </c>
    </row>
    <row r="179" spans="1:45" s="4" customFormat="1" ht="15.75" customHeight="1">
      <c r="A179" s="132" t="s">
        <v>172</v>
      </c>
      <c r="B179" s="152"/>
      <c r="C179" s="152"/>
      <c r="D179" s="152"/>
      <c r="E179" s="152"/>
      <c r="F179" s="152"/>
      <c r="G179" s="152"/>
      <c r="H179" s="152"/>
      <c r="I179" s="152"/>
      <c r="J179" s="152"/>
      <c r="K179" s="152"/>
      <c r="L179" s="152"/>
      <c r="M179" s="152"/>
      <c r="N179" s="152"/>
      <c r="O179" s="152"/>
      <c r="P179" s="152"/>
      <c r="Q179" s="152"/>
      <c r="R179" s="152"/>
      <c r="S179" s="152"/>
      <c r="T179" s="152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</row>
    <row r="180" spans="1:45" s="4" customFormat="1" ht="6.75" customHeight="1">
      <c r="A180" s="28" t="s">
        <v>288</v>
      </c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</row>
    <row r="181" spans="1:45" s="4" customFormat="1" ht="54" customHeight="1">
      <c r="A181" s="132" t="s">
        <v>345</v>
      </c>
      <c r="B181" s="132"/>
      <c r="C181" s="132"/>
      <c r="D181" s="132"/>
      <c r="E181" s="132"/>
      <c r="F181" s="132"/>
      <c r="G181" s="132"/>
      <c r="H181" s="132"/>
      <c r="I181" s="132"/>
      <c r="J181" s="132"/>
      <c r="K181" s="132"/>
      <c r="L181" s="132"/>
      <c r="M181" s="132"/>
      <c r="N181" s="132"/>
      <c r="O181" s="132"/>
      <c r="P181" s="132"/>
      <c r="Q181" s="132"/>
      <c r="R181" s="132"/>
      <c r="S181" s="132"/>
      <c r="T181" s="132"/>
      <c r="U181" s="132"/>
      <c r="V181" s="132"/>
      <c r="W181" s="132"/>
      <c r="X181" s="132"/>
      <c r="Y181" s="132"/>
      <c r="Z181" s="132"/>
      <c r="AA181" s="132"/>
      <c r="AB181" s="132"/>
      <c r="AC181" s="132"/>
      <c r="AD181" s="132"/>
      <c r="AE181" s="132"/>
      <c r="AF181" s="132"/>
      <c r="AG181" s="132"/>
      <c r="AH181" s="132"/>
      <c r="AI181" s="132"/>
      <c r="AJ181" s="132"/>
      <c r="AK181" s="132"/>
      <c r="AL181" s="132"/>
      <c r="AM181" s="132"/>
      <c r="AN181" s="132"/>
      <c r="AO181" s="132"/>
      <c r="AP181" s="132"/>
      <c r="AQ181" s="132"/>
      <c r="AR181" s="132"/>
      <c r="AS181" s="132"/>
    </row>
    <row r="182" spans="1:45" s="4" customFormat="1" ht="17.2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</row>
    <row r="183" spans="1:45" s="4" customFormat="1" ht="16.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</row>
    <row r="184" spans="1:45" s="4" customFormat="1" ht="15.7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</row>
    <row r="185" spans="1:45" s="4" customFormat="1" ht="15.7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</row>
    <row r="186" spans="1:45" s="4" customFormat="1" ht="15.7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</row>
    <row r="187" spans="1:45" ht="15.7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10"/>
      <c r="P187" s="10"/>
      <c r="Q187" s="10"/>
      <c r="R187" s="10"/>
      <c r="S187" s="10"/>
      <c r="T187" s="9"/>
    </row>
    <row r="188" spans="1:45" ht="15.7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</row>
    <row r="189" spans="1:45" ht="15.7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</row>
  </sheetData>
  <mergeCells count="80">
    <mergeCell ref="AE7:AE8"/>
    <mergeCell ref="AH7:AH8"/>
    <mergeCell ref="I7:I8"/>
    <mergeCell ref="G7:G8"/>
    <mergeCell ref="AM7:AM8"/>
    <mergeCell ref="O7:O8"/>
    <mergeCell ref="L7:L8"/>
    <mergeCell ref="M7:M8"/>
    <mergeCell ref="Q7:Q8"/>
    <mergeCell ref="R7:R8"/>
    <mergeCell ref="V7:V8"/>
    <mergeCell ref="Z7:Z8"/>
    <mergeCell ref="Y7:Y8"/>
    <mergeCell ref="X7:X8"/>
    <mergeCell ref="P7:P8"/>
    <mergeCell ref="AF7:AF8"/>
    <mergeCell ref="U7:U8"/>
    <mergeCell ref="T7:T8"/>
    <mergeCell ref="A125:D125"/>
    <mergeCell ref="A75:D75"/>
    <mergeCell ref="AG7:AG8"/>
    <mergeCell ref="A30:D30"/>
    <mergeCell ref="A29:D29"/>
    <mergeCell ref="A11:D11"/>
    <mergeCell ref="A24:D24"/>
    <mergeCell ref="E7:E8"/>
    <mergeCell ref="C7:C8"/>
    <mergeCell ref="D7:D8"/>
    <mergeCell ref="A7:A8"/>
    <mergeCell ref="A10:D10"/>
    <mergeCell ref="A68:B68"/>
    <mergeCell ref="H7:H8"/>
    <mergeCell ref="F7:F8"/>
    <mergeCell ref="K7:K8"/>
    <mergeCell ref="A179:T179"/>
    <mergeCell ref="A160:D160"/>
    <mergeCell ref="A127:D127"/>
    <mergeCell ref="A172:D172"/>
    <mergeCell ref="A146:D146"/>
    <mergeCell ref="A156:D156"/>
    <mergeCell ref="A141:D141"/>
    <mergeCell ref="A168:D168"/>
    <mergeCell ref="A164:D164"/>
    <mergeCell ref="A170:D170"/>
    <mergeCell ref="A135:E135"/>
    <mergeCell ref="A131:D131"/>
    <mergeCell ref="A137:E137"/>
    <mergeCell ref="A177:D177"/>
    <mergeCell ref="AN7:AN8"/>
    <mergeCell ref="A6:T6"/>
    <mergeCell ref="A114:D114"/>
    <mergeCell ref="W7:W8"/>
    <mergeCell ref="N7:N8"/>
    <mergeCell ref="A101:D101"/>
    <mergeCell ref="S7:S8"/>
    <mergeCell ref="A12:D12"/>
    <mergeCell ref="A26:D26"/>
    <mergeCell ref="A22:D22"/>
    <mergeCell ref="A65:D65"/>
    <mergeCell ref="A66:B66"/>
    <mergeCell ref="A54:D54"/>
    <mergeCell ref="A81:D81"/>
    <mergeCell ref="B7:B8"/>
    <mergeCell ref="J7:J8"/>
    <mergeCell ref="A181:AS181"/>
    <mergeCell ref="AS7:AS8"/>
    <mergeCell ref="A5:AS5"/>
    <mergeCell ref="AB7:AB8"/>
    <mergeCell ref="AC7:AC8"/>
    <mergeCell ref="AJ7:AJ8"/>
    <mergeCell ref="AK7:AK8"/>
    <mergeCell ref="AO7:AO8"/>
    <mergeCell ref="AP7:AP8"/>
    <mergeCell ref="AR7:AR8"/>
    <mergeCell ref="AQ7:AQ8"/>
    <mergeCell ref="AA7:AA8"/>
    <mergeCell ref="AD7:AD8"/>
    <mergeCell ref="AI7:AI8"/>
    <mergeCell ref="AL7:AL8"/>
    <mergeCell ref="A124:D124"/>
  </mergeCells>
  <phoneticPr fontId="5" type="noConversion"/>
  <pageMargins left="0.55118110236220474" right="0.39370078740157483" top="0.98425196850393704" bottom="0.59055118110236227" header="0.31496062992125984" footer="0.31496062992125984"/>
  <pageSetup paperSize="9" scale="39" fitToHeight="0" orientation="landscape" horizontalDpi="4294967295" verticalDpi="4294967295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Долгопольский Александр Олегович</dc:creator>
  <cp:lastModifiedBy>minfin user</cp:lastModifiedBy>
  <cp:lastPrinted>2019-10-22T07:55:38Z</cp:lastPrinted>
  <dcterms:created xsi:type="dcterms:W3CDTF">2014-05-08T06:25:05Z</dcterms:created>
  <dcterms:modified xsi:type="dcterms:W3CDTF">2019-10-24T09:57:41Z</dcterms:modified>
</cp:coreProperties>
</file>