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4805" windowHeight="8010"/>
  </bookViews>
  <sheets>
    <sheet name="Table2" sheetId="1" r:id="rId1"/>
  </sheets>
  <definedNames>
    <definedName name="_xlnm.Print_Titles" localSheetId="0">Table2!$4:$9</definedName>
    <definedName name="_xlnm.Print_Area" localSheetId="0">Table2!$A$1:$U$37</definedName>
  </definedNames>
  <calcPr calcId="125725"/>
</workbook>
</file>

<file path=xl/calcChain.xml><?xml version="1.0" encoding="utf-8"?>
<calcChain xmlns="http://schemas.openxmlformats.org/spreadsheetml/2006/main">
  <c r="K35" i="1"/>
  <c r="K34"/>
  <c r="K33"/>
  <c r="K31"/>
  <c r="K30"/>
  <c r="K32"/>
  <c r="K29"/>
  <c r="K28"/>
  <c r="K27"/>
  <c r="K26" l="1"/>
  <c r="Z26" s="1"/>
  <c r="K25"/>
  <c r="Z25" s="1"/>
  <c r="K24"/>
  <c r="Z24" s="1"/>
  <c r="K23"/>
  <c r="Z23" s="1"/>
  <c r="K22"/>
  <c r="K21"/>
  <c r="Z21"/>
  <c r="K20"/>
  <c r="Z20" s="1"/>
  <c r="K19"/>
  <c r="K18"/>
  <c r="Z18" s="1"/>
  <c r="K17"/>
  <c r="Z17" s="1"/>
  <c r="K16"/>
  <c r="Z16" s="1"/>
  <c r="K15"/>
  <c r="Z15" s="1"/>
  <c r="K14"/>
  <c r="Z14" s="1"/>
  <c r="K13"/>
  <c r="Z13" s="1"/>
  <c r="K11"/>
  <c r="K10"/>
  <c r="X10"/>
  <c r="Z19"/>
  <c r="Z22"/>
  <c r="Z27"/>
  <c r="Z28"/>
  <c r="Z29"/>
  <c r="Z30"/>
  <c r="Z31"/>
  <c r="Z32"/>
  <c r="Z33"/>
  <c r="Z34"/>
  <c r="Z35"/>
  <c r="Z36"/>
  <c r="Z10"/>
  <c r="X13" l="1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K12"/>
  <c r="Z12" s="1"/>
  <c r="Z11"/>
  <c r="X12" l="1"/>
  <c r="X11"/>
  <c r="M37" l="1"/>
  <c r="G10" l="1"/>
  <c r="H10" l="1"/>
  <c r="K37"/>
  <c r="I10" l="1"/>
  <c r="G11" l="1"/>
  <c r="H11" s="1"/>
  <c r="G12"/>
  <c r="G13"/>
  <c r="G14"/>
  <c r="H14" s="1"/>
  <c r="G15"/>
  <c r="H15" s="1"/>
  <c r="G16"/>
  <c r="G17"/>
  <c r="H17" s="1"/>
  <c r="G18"/>
  <c r="H18" s="1"/>
  <c r="G19"/>
  <c r="H19" s="1"/>
  <c r="G20"/>
  <c r="G21"/>
  <c r="H21" s="1"/>
  <c r="G22"/>
  <c r="H22" s="1"/>
  <c r="G23"/>
  <c r="H23" s="1"/>
  <c r="G24"/>
  <c r="G25"/>
  <c r="G26"/>
  <c r="H26" s="1"/>
  <c r="G27"/>
  <c r="G28"/>
  <c r="H28" s="1"/>
  <c r="G29"/>
  <c r="H29" s="1"/>
  <c r="G30"/>
  <c r="H30" s="1"/>
  <c r="G31"/>
  <c r="H31" s="1"/>
  <c r="G32"/>
  <c r="G33"/>
  <c r="H33" s="1"/>
  <c r="G34"/>
  <c r="H34" s="1"/>
  <c r="G35"/>
  <c r="H35" s="1"/>
  <c r="I15" l="1"/>
  <c r="I17"/>
  <c r="I33"/>
  <c r="I19"/>
  <c r="I35"/>
  <c r="I31"/>
  <c r="I28"/>
  <c r="H24"/>
  <c r="I21"/>
  <c r="H13"/>
  <c r="H32"/>
  <c r="H27"/>
  <c r="H20"/>
  <c r="H16"/>
  <c r="I26"/>
  <c r="I22"/>
  <c r="G37"/>
  <c r="I11"/>
  <c r="I23"/>
  <c r="I29"/>
  <c r="I34"/>
  <c r="H25"/>
  <c r="H12"/>
  <c r="I30"/>
  <c r="I18"/>
  <c r="I14"/>
  <c r="I16" l="1"/>
  <c r="H37"/>
  <c r="I36" s="1"/>
  <c r="I13"/>
  <c r="I20"/>
  <c r="I25"/>
  <c r="I24"/>
  <c r="I32"/>
  <c r="I12"/>
  <c r="I27"/>
  <c r="L37" l="1"/>
  <c r="I37"/>
</calcChain>
</file>

<file path=xl/sharedStrings.xml><?xml version="1.0" encoding="utf-8"?>
<sst xmlns="http://schemas.openxmlformats.org/spreadsheetml/2006/main" count="71" uniqueCount="66">
  <si>
    <t/>
  </si>
  <si>
    <t>Наименование муниципального образования</t>
  </si>
  <si>
    <t>Расчет на 2019 год</t>
  </si>
  <si>
    <t>Расчет на 2020 год</t>
  </si>
  <si>
    <t>Расчет на 2021 год</t>
  </si>
  <si>
    <t>ИТОГО объем субвенций на 2019 год, тыс. руб.</t>
  </si>
  <si>
    <t>Количество первых детей в семье, на которых выплачи-
вается КЧРП</t>
  </si>
  <si>
    <t>Количество вторых детей в семье, на которых выплачи-
вается КЧРП</t>
  </si>
  <si>
    <t>Количество третьих детей в семье, на которых выплачи-
вается КЧРП</t>
  </si>
  <si>
    <t>ИТОГО объем субвенций на 2020 год, тыс. руб.</t>
  </si>
  <si>
    <t>ИТОГО объем субвенций на 2021 год, тыс. руб.</t>
  </si>
  <si>
    <t>1</t>
  </si>
  <si>
    <t>2</t>
  </si>
  <si>
    <t>3</t>
  </si>
  <si>
    <t>4</t>
  </si>
  <si>
    <t>5</t>
  </si>
  <si>
    <t>6</t>
  </si>
  <si>
    <t>7=гр.2*(0,2*гр.3+ 0,5*гр.4+0,7*гр.5)*гр.6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</si>
  <si>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</si>
  <si>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</si>
  <si>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</si>
  <si>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</si>
  <si>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</si>
  <si>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</si>
  <si>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</si>
  <si>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</si>
  <si>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</si>
  <si>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</si>
  <si>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"Мезенский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</si>
  <si>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</si>
  <si>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</si>
  <si>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</si>
  <si>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</si>
  <si>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</si>
  <si>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</si>
  <si>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</si>
  <si>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</si>
  <si>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</si>
  <si>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</si>
  <si>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</si>
  <si>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</si>
  <si>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</si>
  <si>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</si>
  <si>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МО "Новая Земля"</t>
  </si>
  <si>
    <t>Не распределено по МО АО</t>
  </si>
  <si>
    <t>ВСЕГО</t>
  </si>
  <si>
    <t>11=гр.2*(0,2*гр.3+ 0,5*гр.4+0,7*гр.5)*гр.10</t>
  </si>
  <si>
    <t>8 =гр.7 х  5%</t>
  </si>
  <si>
    <t>9=гр.7-гр.8</t>
  </si>
  <si>
    <t>18=гр.2*(0,2*гр.8+ 0,5*гр.9+0,7*гр.10)*5,49 мес.</t>
  </si>
  <si>
    <t>22=гр.2*(0,2-гр.12+ 0,5*гр.13+0,7*гр.14)*5,49 мес.</t>
  </si>
  <si>
    <t xml:space="preserve">Расчет субвенций бюджетам муниципальных образований Архангельской области на компенсацию родительской платы за присмотр и уход за ребенком в образовательных организациях, реализующих образовательную программу дошкольного образования на 2019 год </t>
  </si>
  <si>
    <t>Количество первых детей в семье, на которых выплачивается КЧРП, чел.</t>
  </si>
  <si>
    <t>Количество вторых детей в семье, на которых выплачивается КЧРП, чел.</t>
  </si>
  <si>
    <t>Количество третьих детей в семье, на которых выплачивается КЧРП, чел.</t>
  </si>
  <si>
    <t>Количество месяцев выплат исходя их фактической потребности, ед.</t>
  </si>
  <si>
    <t>Средний размер родительской платы в месяц, рублей</t>
  </si>
  <si>
    <t>Количество месяцев выплат, ед.</t>
  </si>
  <si>
    <t>Всего, тыс. рублей</t>
  </si>
  <si>
    <t>ИТОГО объем субвенций на 2019 год с учетом фактической потребности, тыс. руб.</t>
  </si>
  <si>
    <t>в том числе нераспределенный остаток в сумме  5 %, тыс. руб.</t>
  </si>
  <si>
    <t xml:space="preserve">из них </t>
  </si>
  <si>
    <t>Предлагаемая дополнительная потребноть (+), экономия (-), тыс. руб.</t>
  </si>
  <si>
    <t>Учтено согласно областному закону об областном бюджете (в ред. от 02.07.2019 № 121-9-ОЗ)</t>
  </si>
  <si>
    <t>Приложение № 34</t>
  </si>
  <si>
    <t>к пояснительной записке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</si>
</sst>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"/>
    <numFmt numFmtId="165" formatCode="0.00000"/>
  </numFmts>
  <fonts count="9">
    <font>
      <sz val="10"/>
      <color rgb="FF000000"/>
      <name val="Times New Roman"/>
      <family val="2"/>
    </font>
    <font>
      <b/>
      <sz val="9"/>
      <color rgb="FF000000"/>
      <name val="Times New Roman"/>
    </font>
    <font>
      <b/>
      <sz val="7"/>
      <color rgb="FF000000"/>
      <name val="Times New Roman"/>
    </font>
    <font>
      <sz val="7"/>
      <color rgb="FF000000"/>
      <name val="Times New Roman"/>
    </font>
    <font>
      <sz val="6"/>
      <color rgb="FF000000"/>
      <name val="Times New Roman"/>
    </font>
    <font>
      <sz val="10"/>
      <color rgb="FF000000"/>
      <name val="Times New Roman"/>
      <family val="2"/>
    </font>
    <font>
      <sz val="7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top" wrapText="1"/>
    </xf>
    <xf numFmtId="43" fontId="5" fillId="0" borderId="0" applyFont="0" applyFill="0" applyBorder="0" applyAlignment="0" applyProtection="0"/>
  </cellStyleXfs>
  <cellXfs count="44">
    <xf numFmtId="0" fontId="0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43" fontId="0" fillId="0" borderId="0" xfId="1" applyFont="1" applyFill="1" applyAlignment="1">
      <alignment vertical="top" wrapText="1"/>
    </xf>
    <xf numFmtId="3" fontId="0" fillId="0" borderId="0" xfId="0" applyNumberFormat="1" applyFont="1" applyFill="1" applyAlignment="1">
      <alignment vertical="top" wrapText="1"/>
    </xf>
    <xf numFmtId="165" fontId="0" fillId="0" borderId="0" xfId="0" applyNumberFormat="1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9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0" fillId="0" borderId="0" xfId="0" applyNumberFormat="1" applyFont="1" applyFill="1" applyAlignment="1">
      <alignment vertical="top" wrapText="1"/>
    </xf>
    <xf numFmtId="43" fontId="0" fillId="0" borderId="0" xfId="0" applyNumberFormat="1" applyFont="1" applyFill="1" applyAlignment="1">
      <alignment vertical="top" wrapText="1"/>
    </xf>
    <xf numFmtId="0" fontId="0" fillId="0" borderId="12" xfId="0" applyFont="1" applyFill="1" applyBorder="1" applyAlignment="1">
      <alignment vertical="top" wrapText="1"/>
    </xf>
    <xf numFmtId="0" fontId="8" fillId="0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1"/>
  <sheetViews>
    <sheetView tabSelected="1" view="pageBreakPreview" zoomScale="130" zoomScaleNormal="140" zoomScaleSheetLayoutView="130" workbookViewId="0">
      <selection activeCell="J14" sqref="J14"/>
    </sheetView>
  </sheetViews>
  <sheetFormatPr defaultRowHeight="12.75"/>
  <cols>
    <col min="1" max="1" width="31.83203125" customWidth="1"/>
    <col min="2" max="2" width="10.33203125" customWidth="1"/>
    <col min="3" max="3" width="7.83203125" customWidth="1"/>
    <col min="4" max="4" width="8.6640625" customWidth="1"/>
    <col min="5" max="5" width="8" customWidth="1"/>
    <col min="6" max="6" width="5.83203125" customWidth="1"/>
    <col min="7" max="8" width="10.5" customWidth="1"/>
    <col min="9" max="9" width="8.5" customWidth="1"/>
    <col min="10" max="10" width="10.33203125" customWidth="1"/>
    <col min="11" max="11" width="10.1640625" customWidth="1"/>
    <col min="12" max="12" width="12" customWidth="1"/>
    <col min="13" max="13" width="12.5" customWidth="1"/>
    <col min="14" max="14" width="8.6640625" hidden="1" customWidth="1"/>
    <col min="15" max="15" width="8.5" hidden="1" customWidth="1"/>
    <col min="16" max="16" width="8.6640625" hidden="1" customWidth="1"/>
    <col min="17" max="17" width="9.33203125" hidden="1" customWidth="1"/>
    <col min="18" max="18" width="8.33203125" hidden="1" customWidth="1"/>
    <col min="19" max="20" width="8.6640625" hidden="1" customWidth="1"/>
    <col min="21" max="21" width="10.5" hidden="1" customWidth="1"/>
    <col min="22" max="22" width="0" hidden="1" customWidth="1"/>
    <col min="23" max="23" width="10.33203125" hidden="1" customWidth="1"/>
    <col min="24" max="24" width="0" hidden="1" customWidth="1"/>
    <col min="25" max="25" width="17.6640625" hidden="1" customWidth="1"/>
    <col min="26" max="26" width="0" hidden="1" customWidth="1"/>
  </cols>
  <sheetData>
    <row r="1" spans="1:27">
      <c r="J1" s="42"/>
      <c r="K1" s="42"/>
      <c r="L1" s="43" t="s">
        <v>64</v>
      </c>
      <c r="M1" s="42"/>
    </row>
    <row r="2" spans="1:27">
      <c r="J2" s="42"/>
      <c r="K2" s="42"/>
      <c r="L2" s="43" t="s">
        <v>65</v>
      </c>
      <c r="M2" s="42"/>
    </row>
    <row r="3" spans="1:27">
      <c r="A3" t="s">
        <v>0</v>
      </c>
    </row>
    <row r="4" spans="1:27" ht="37.35" customHeight="1">
      <c r="A4" s="23" t="s">
        <v>51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7" ht="11.25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7" ht="18.2" customHeight="1">
      <c r="A6" s="25" t="s">
        <v>1</v>
      </c>
      <c r="B6" s="26" t="s">
        <v>56</v>
      </c>
      <c r="C6" s="28" t="s">
        <v>2</v>
      </c>
      <c r="D6" s="29"/>
      <c r="E6" s="29"/>
      <c r="F6" s="29"/>
      <c r="G6" s="29"/>
      <c r="H6" s="29"/>
      <c r="I6" s="29"/>
      <c r="J6" s="29"/>
      <c r="K6" s="30"/>
      <c r="L6" s="29"/>
      <c r="M6" s="29"/>
      <c r="N6" s="25" t="s">
        <v>3</v>
      </c>
      <c r="O6" s="25"/>
      <c r="P6" s="25"/>
      <c r="Q6" s="25"/>
      <c r="R6" s="25" t="s">
        <v>4</v>
      </c>
      <c r="S6" s="25"/>
      <c r="T6" s="25"/>
      <c r="U6" s="25"/>
      <c r="AA6" s="21"/>
    </row>
    <row r="7" spans="1:27" ht="18.2" customHeight="1">
      <c r="A7" s="25"/>
      <c r="B7" s="27"/>
      <c r="C7" s="31" t="s">
        <v>52</v>
      </c>
      <c r="D7" s="31" t="s">
        <v>53</v>
      </c>
      <c r="E7" s="31" t="s">
        <v>54</v>
      </c>
      <c r="F7" s="31" t="s">
        <v>57</v>
      </c>
      <c r="G7" s="31" t="s">
        <v>58</v>
      </c>
      <c r="H7" s="31" t="s">
        <v>60</v>
      </c>
      <c r="I7" s="33" t="s">
        <v>5</v>
      </c>
      <c r="J7" s="31" t="s">
        <v>55</v>
      </c>
      <c r="K7" s="36" t="s">
        <v>59</v>
      </c>
      <c r="L7" s="31" t="s">
        <v>61</v>
      </c>
      <c r="M7" s="32"/>
      <c r="N7" s="38" t="s">
        <v>6</v>
      </c>
      <c r="O7" s="34" t="s">
        <v>7</v>
      </c>
      <c r="P7" s="34" t="s">
        <v>8</v>
      </c>
      <c r="Q7" s="40" t="s">
        <v>9</v>
      </c>
      <c r="R7" s="34" t="s">
        <v>6</v>
      </c>
      <c r="S7" s="34" t="s">
        <v>7</v>
      </c>
      <c r="T7" s="34" t="s">
        <v>8</v>
      </c>
      <c r="U7" s="14"/>
    </row>
    <row r="8" spans="1:27" ht="106.9" customHeight="1">
      <c r="A8" s="25" t="s">
        <v>0</v>
      </c>
      <c r="B8" s="27" t="s">
        <v>0</v>
      </c>
      <c r="C8" s="32"/>
      <c r="D8" s="32"/>
      <c r="E8" s="32"/>
      <c r="F8" s="32"/>
      <c r="G8" s="32"/>
      <c r="H8" s="32"/>
      <c r="I8" s="33"/>
      <c r="J8" s="31"/>
      <c r="K8" s="37"/>
      <c r="L8" s="22" t="s">
        <v>63</v>
      </c>
      <c r="M8" s="22" t="s">
        <v>62</v>
      </c>
      <c r="N8" s="39"/>
      <c r="O8" s="35"/>
      <c r="P8" s="35"/>
      <c r="Q8" s="41"/>
      <c r="R8" s="35"/>
      <c r="S8" s="35"/>
      <c r="T8" s="35"/>
      <c r="U8" s="1" t="s">
        <v>10</v>
      </c>
    </row>
    <row r="9" spans="1:27" ht="36" customHeight="1">
      <c r="A9" s="2" t="s">
        <v>11</v>
      </c>
      <c r="B9" s="2" t="s">
        <v>12</v>
      </c>
      <c r="C9" s="16" t="s">
        <v>13</v>
      </c>
      <c r="D9" s="16" t="s">
        <v>14</v>
      </c>
      <c r="E9" s="16" t="s">
        <v>15</v>
      </c>
      <c r="F9" s="16" t="s">
        <v>16</v>
      </c>
      <c r="G9" s="16" t="s">
        <v>17</v>
      </c>
      <c r="H9" s="17" t="s">
        <v>47</v>
      </c>
      <c r="I9" s="18" t="s">
        <v>48</v>
      </c>
      <c r="J9" s="16">
        <v>10</v>
      </c>
      <c r="K9" s="15" t="s">
        <v>46</v>
      </c>
      <c r="L9" s="2">
        <v>12</v>
      </c>
      <c r="M9" s="2">
        <v>13</v>
      </c>
      <c r="N9" s="2">
        <v>15</v>
      </c>
      <c r="O9" s="2">
        <v>16</v>
      </c>
      <c r="P9" s="2">
        <v>17</v>
      </c>
      <c r="Q9" s="2" t="s">
        <v>49</v>
      </c>
      <c r="R9" s="2">
        <v>19</v>
      </c>
      <c r="S9" s="2">
        <v>20</v>
      </c>
      <c r="T9" s="2">
        <v>21</v>
      </c>
      <c r="U9" s="2" t="s">
        <v>50</v>
      </c>
    </row>
    <row r="10" spans="1:27" ht="12" customHeight="1">
      <c r="A10" s="3" t="s">
        <v>18</v>
      </c>
      <c r="B10" s="4">
        <v>3200</v>
      </c>
      <c r="C10" s="5">
        <v>1285</v>
      </c>
      <c r="D10" s="5">
        <v>1319</v>
      </c>
      <c r="E10" s="5">
        <v>475</v>
      </c>
      <c r="F10" s="4">
        <v>6.55</v>
      </c>
      <c r="G10" s="4">
        <f>ROUND(B10*(0.2*C10+0.5*D10+0.7*E10)*F10/1000,)</f>
        <v>26179</v>
      </c>
      <c r="H10" s="4">
        <f>ROUND(G10*0.05,1)</f>
        <v>1309</v>
      </c>
      <c r="I10" s="4">
        <f>G10-H10+0.9</f>
        <v>24870.9</v>
      </c>
      <c r="J10" s="4">
        <v>6.3094999999999999</v>
      </c>
      <c r="K10" s="4">
        <f>ROUND(B10*(0.2*C10+0.5*D10+0.7*E10)*J10/1000,1)-0.6</f>
        <v>25217.200000000001</v>
      </c>
      <c r="L10" s="4">
        <v>1546.2</v>
      </c>
      <c r="M10" s="4">
        <v>-1199.9000000000001</v>
      </c>
      <c r="N10" s="5">
        <v>1242</v>
      </c>
      <c r="O10" s="5">
        <v>1330</v>
      </c>
      <c r="P10" s="5">
        <v>486</v>
      </c>
      <c r="Q10" s="6">
        <v>11814.2</v>
      </c>
      <c r="R10" s="5">
        <v>1223</v>
      </c>
      <c r="S10" s="5">
        <v>1314</v>
      </c>
      <c r="T10" s="5">
        <v>488</v>
      </c>
      <c r="U10" s="6">
        <v>11716.2</v>
      </c>
      <c r="W10" s="19">
        <v>25217.200000000001</v>
      </c>
      <c r="X10" s="19">
        <f>W10-K10</f>
        <v>0</v>
      </c>
      <c r="Y10" s="11">
        <v>25217.200000000001</v>
      </c>
      <c r="Z10" s="20">
        <f>Y10-K10</f>
        <v>0</v>
      </c>
    </row>
    <row r="11" spans="1:27" ht="12" customHeight="1">
      <c r="A11" s="3" t="s">
        <v>19</v>
      </c>
      <c r="B11" s="4">
        <v>1804.48</v>
      </c>
      <c r="C11" s="5">
        <v>243</v>
      </c>
      <c r="D11" s="5">
        <v>264</v>
      </c>
      <c r="E11" s="5">
        <v>132</v>
      </c>
      <c r="F11" s="4">
        <v>6.55</v>
      </c>
      <c r="G11" s="4">
        <f t="shared" ref="G11:G35" si="0">ROUND(B11*(0.2*C11+0.5*D11+0.7*E11)*F11/1000,)</f>
        <v>3227</v>
      </c>
      <c r="H11" s="4">
        <f>ROUND(G11*0.05,1)</f>
        <v>161.4</v>
      </c>
      <c r="I11" s="4">
        <f>G11-H11-0.1</f>
        <v>3065.5</v>
      </c>
      <c r="J11" s="4">
        <v>7.2690000000000001</v>
      </c>
      <c r="K11" s="4">
        <f>ROUND(B11*(0.2*C11+0.5*D11+0.7*E11)*J11/1000,1)+0.1</f>
        <v>3581</v>
      </c>
      <c r="L11" s="4">
        <v>515.5</v>
      </c>
      <c r="M11" s="4"/>
      <c r="N11" s="5">
        <v>234</v>
      </c>
      <c r="O11" s="5">
        <v>254</v>
      </c>
      <c r="P11" s="5">
        <v>128</v>
      </c>
      <c r="Q11" s="6">
        <v>1399.7</v>
      </c>
      <c r="R11" s="5">
        <v>222</v>
      </c>
      <c r="S11" s="5">
        <v>241</v>
      </c>
      <c r="T11" s="5">
        <v>121</v>
      </c>
      <c r="U11" s="6">
        <v>1326.4</v>
      </c>
      <c r="W11" s="19">
        <v>3581</v>
      </c>
      <c r="X11" s="19">
        <f t="shared" ref="X11:X36" si="1">W11-K11</f>
        <v>0</v>
      </c>
      <c r="Y11" s="11">
        <v>3581</v>
      </c>
      <c r="Z11" s="20">
        <f t="shared" ref="Z11:Z36" si="2">Y11-K11</f>
        <v>0</v>
      </c>
    </row>
    <row r="12" spans="1:27" ht="12" customHeight="1">
      <c r="A12" s="3" t="s">
        <v>20</v>
      </c>
      <c r="B12" s="4">
        <v>2555</v>
      </c>
      <c r="C12" s="5">
        <v>223</v>
      </c>
      <c r="D12" s="5">
        <v>228</v>
      </c>
      <c r="E12" s="5">
        <v>90</v>
      </c>
      <c r="F12" s="4">
        <v>6.55</v>
      </c>
      <c r="G12" s="4">
        <f t="shared" si="0"/>
        <v>3709</v>
      </c>
      <c r="H12" s="4">
        <f t="shared" ref="H12:H35" si="3">ROUND(G12*0.05,1)</f>
        <v>185.5</v>
      </c>
      <c r="I12" s="4">
        <f>G12-H12-0.2</f>
        <v>3523.3</v>
      </c>
      <c r="J12" s="4">
        <v>7.056</v>
      </c>
      <c r="K12" s="4">
        <f>ROUND(B12*(0.2*C12+0.5*D12+0.7*E12)*J12/1000,1)-0.4</f>
        <v>3994.6</v>
      </c>
      <c r="L12" s="4"/>
      <c r="M12" s="4">
        <v>471.29999999999973</v>
      </c>
      <c r="N12" s="5">
        <v>231</v>
      </c>
      <c r="O12" s="5">
        <v>233</v>
      </c>
      <c r="P12" s="5">
        <v>93</v>
      </c>
      <c r="Q12" s="6">
        <v>1714.1</v>
      </c>
      <c r="R12" s="5">
        <v>231</v>
      </c>
      <c r="S12" s="5">
        <v>233</v>
      </c>
      <c r="T12" s="5">
        <v>93</v>
      </c>
      <c r="U12" s="6">
        <v>1714.1</v>
      </c>
      <c r="W12" s="19">
        <v>3994.6</v>
      </c>
      <c r="X12" s="19">
        <f t="shared" si="1"/>
        <v>0</v>
      </c>
      <c r="Y12" s="11">
        <v>3994.6</v>
      </c>
      <c r="Z12" s="20">
        <f t="shared" si="2"/>
        <v>0</v>
      </c>
    </row>
    <row r="13" spans="1:27" ht="12" customHeight="1">
      <c r="A13" s="3" t="s">
        <v>21</v>
      </c>
      <c r="B13" s="4">
        <v>2400</v>
      </c>
      <c r="C13" s="5">
        <v>370</v>
      </c>
      <c r="D13" s="5">
        <v>350</v>
      </c>
      <c r="E13" s="5">
        <v>167</v>
      </c>
      <c r="F13" s="4">
        <v>6.55</v>
      </c>
      <c r="G13" s="4">
        <f t="shared" si="0"/>
        <v>5752</v>
      </c>
      <c r="H13" s="4">
        <f t="shared" si="3"/>
        <v>287.60000000000002</v>
      </c>
      <c r="I13" s="4">
        <f>G13-H13+0.1</f>
        <v>5464.5</v>
      </c>
      <c r="J13" s="4">
        <v>7.1890000000000001</v>
      </c>
      <c r="K13" s="4">
        <f>ROUND(B13*(0.2*C13+0.5*D13+0.7*E13)*J13/1000,1)-0.7</f>
        <v>6312.4000000000005</v>
      </c>
      <c r="L13" s="4">
        <v>690</v>
      </c>
      <c r="M13" s="4">
        <v>157.88000000000011</v>
      </c>
      <c r="N13" s="5">
        <v>370</v>
      </c>
      <c r="O13" s="5">
        <v>350</v>
      </c>
      <c r="P13" s="5">
        <v>167</v>
      </c>
      <c r="Q13" s="6">
        <v>2586.1999999999998</v>
      </c>
      <c r="R13" s="5">
        <v>370</v>
      </c>
      <c r="S13" s="5">
        <v>350</v>
      </c>
      <c r="T13" s="5">
        <v>167</v>
      </c>
      <c r="U13" s="6">
        <v>2586.1999999999998</v>
      </c>
      <c r="W13" s="19">
        <v>6312.4</v>
      </c>
      <c r="X13" s="19">
        <f t="shared" si="1"/>
        <v>0</v>
      </c>
      <c r="Y13" s="11">
        <v>6312.4</v>
      </c>
      <c r="Z13" s="20">
        <f t="shared" si="2"/>
        <v>0</v>
      </c>
    </row>
    <row r="14" spans="1:27" ht="12" customHeight="1">
      <c r="A14" s="3" t="s">
        <v>22</v>
      </c>
      <c r="B14" s="4">
        <v>2700</v>
      </c>
      <c r="C14" s="5">
        <v>380</v>
      </c>
      <c r="D14" s="5">
        <v>468</v>
      </c>
      <c r="E14" s="5">
        <v>238</v>
      </c>
      <c r="F14" s="4">
        <v>6.55</v>
      </c>
      <c r="G14" s="4">
        <f t="shared" si="0"/>
        <v>8429</v>
      </c>
      <c r="H14" s="4">
        <f t="shared" si="3"/>
        <v>421.5</v>
      </c>
      <c r="I14" s="4">
        <f t="shared" ref="I14:I32" si="4">G14-H14</f>
        <v>8007.5</v>
      </c>
      <c r="J14" s="4">
        <v>6.2225000000000001</v>
      </c>
      <c r="K14" s="4">
        <f>ROUND(B14*(0.2*C14+0.5*D14+0.7*E14)*J14/1000,1)+0.3</f>
        <v>8007.5</v>
      </c>
      <c r="L14" s="4"/>
      <c r="M14" s="4"/>
      <c r="N14" s="5">
        <v>378</v>
      </c>
      <c r="O14" s="5">
        <v>465</v>
      </c>
      <c r="P14" s="5">
        <v>239</v>
      </c>
      <c r="Q14" s="6">
        <v>3780.1</v>
      </c>
      <c r="R14" s="5">
        <v>367</v>
      </c>
      <c r="S14" s="5">
        <v>462</v>
      </c>
      <c r="T14" s="5">
        <v>241</v>
      </c>
      <c r="U14" s="6">
        <v>3761.8</v>
      </c>
      <c r="W14" s="19">
        <v>8007.5</v>
      </c>
      <c r="X14" s="19">
        <f t="shared" si="1"/>
        <v>0</v>
      </c>
      <c r="Y14" s="11">
        <v>8007.5</v>
      </c>
      <c r="Z14" s="20">
        <f t="shared" si="2"/>
        <v>0</v>
      </c>
    </row>
    <row r="15" spans="1:27" ht="12" customHeight="1">
      <c r="A15" s="3" t="s">
        <v>23</v>
      </c>
      <c r="B15" s="4">
        <v>2861</v>
      </c>
      <c r="C15" s="5">
        <v>576</v>
      </c>
      <c r="D15" s="5">
        <v>552</v>
      </c>
      <c r="E15" s="5">
        <v>180</v>
      </c>
      <c r="F15" s="4">
        <v>6.55</v>
      </c>
      <c r="G15" s="4">
        <f t="shared" si="0"/>
        <v>9692</v>
      </c>
      <c r="H15" s="4">
        <f t="shared" si="3"/>
        <v>484.6</v>
      </c>
      <c r="I15" s="4">
        <f>G15-H15+0.4</f>
        <v>9207.7999999999993</v>
      </c>
      <c r="J15" s="4">
        <v>5.9335000000000004</v>
      </c>
      <c r="K15" s="4">
        <f>ROUND(B15*(0.2*C15+0.5*D15+0.7*E15)*J15/1000,1)-0.3</f>
        <v>8779.6</v>
      </c>
      <c r="L15" s="4"/>
      <c r="M15" s="4">
        <v>-428.19999999999891</v>
      </c>
      <c r="N15" s="5">
        <v>568</v>
      </c>
      <c r="O15" s="5">
        <v>553</v>
      </c>
      <c r="P15" s="5">
        <v>186</v>
      </c>
      <c r="Q15" s="6">
        <v>4383.8999999999996</v>
      </c>
      <c r="R15" s="5">
        <v>572</v>
      </c>
      <c r="S15" s="5">
        <v>545</v>
      </c>
      <c r="T15" s="5">
        <v>188</v>
      </c>
      <c r="U15" s="6">
        <v>4368.7</v>
      </c>
      <c r="W15" s="19">
        <v>8779.6</v>
      </c>
      <c r="X15" s="19">
        <f t="shared" si="1"/>
        <v>0</v>
      </c>
      <c r="Y15" s="11">
        <v>8779.6</v>
      </c>
      <c r="Z15" s="20">
        <f t="shared" si="2"/>
        <v>0</v>
      </c>
    </row>
    <row r="16" spans="1:27" ht="12" customHeight="1">
      <c r="A16" s="3" t="s">
        <v>24</v>
      </c>
      <c r="B16" s="4">
        <v>2278.64</v>
      </c>
      <c r="C16" s="5">
        <v>342</v>
      </c>
      <c r="D16" s="5">
        <v>411</v>
      </c>
      <c r="E16" s="5">
        <v>148</v>
      </c>
      <c r="F16" s="4">
        <v>6.55</v>
      </c>
      <c r="G16" s="4">
        <f t="shared" si="0"/>
        <v>5634</v>
      </c>
      <c r="H16" s="4">
        <f t="shared" si="3"/>
        <v>281.7</v>
      </c>
      <c r="I16" s="4">
        <f>G16-H16+0.4</f>
        <v>5352.7</v>
      </c>
      <c r="J16" s="4">
        <v>6.8324999999999996</v>
      </c>
      <c r="K16" s="4">
        <f>ROUND(B16*(0.2*C16+0.5*D16+0.7*E16)*J16/1000,1)+0.3</f>
        <v>5877.5</v>
      </c>
      <c r="L16" s="4">
        <v>693.9</v>
      </c>
      <c r="M16" s="4">
        <v>-169.10000000000036</v>
      </c>
      <c r="N16" s="5">
        <v>318</v>
      </c>
      <c r="O16" s="5">
        <v>398</v>
      </c>
      <c r="P16" s="5">
        <v>141</v>
      </c>
      <c r="Q16" s="6">
        <v>2424.5</v>
      </c>
      <c r="R16" s="5">
        <v>318</v>
      </c>
      <c r="S16" s="5">
        <v>398</v>
      </c>
      <c r="T16" s="5">
        <v>141</v>
      </c>
      <c r="U16" s="6">
        <v>2424.5</v>
      </c>
      <c r="W16" s="19">
        <v>5877.5</v>
      </c>
      <c r="X16" s="19">
        <f t="shared" si="1"/>
        <v>0</v>
      </c>
      <c r="Y16" s="11">
        <v>5877.4999999999991</v>
      </c>
      <c r="Z16" s="20">
        <f t="shared" si="2"/>
        <v>0</v>
      </c>
    </row>
    <row r="17" spans="1:26" ht="12" customHeight="1">
      <c r="A17" s="3" t="s">
        <v>25</v>
      </c>
      <c r="B17" s="4">
        <v>2125.62</v>
      </c>
      <c r="C17" s="5">
        <v>257</v>
      </c>
      <c r="D17" s="5">
        <v>269</v>
      </c>
      <c r="E17" s="5">
        <v>116</v>
      </c>
      <c r="F17" s="4">
        <v>6.55</v>
      </c>
      <c r="G17" s="4">
        <f t="shared" si="0"/>
        <v>3719</v>
      </c>
      <c r="H17" s="4">
        <f t="shared" si="3"/>
        <v>186</v>
      </c>
      <c r="I17" s="4">
        <f t="shared" si="4"/>
        <v>3533</v>
      </c>
      <c r="J17" s="4">
        <v>7.516</v>
      </c>
      <c r="K17" s="4">
        <f>ROUND(B17*(0.2*C17+0.5*D17+0.7*E17)*J17/1000,1)+0.2</f>
        <v>4267.3999999999996</v>
      </c>
      <c r="L17" s="4">
        <v>734.4</v>
      </c>
      <c r="M17" s="4"/>
      <c r="N17" s="5">
        <v>248</v>
      </c>
      <c r="O17" s="5">
        <v>263</v>
      </c>
      <c r="P17" s="5">
        <v>122</v>
      </c>
      <c r="Q17" s="6">
        <v>1668.3</v>
      </c>
      <c r="R17" s="5">
        <v>232</v>
      </c>
      <c r="S17" s="5">
        <v>250</v>
      </c>
      <c r="T17" s="5">
        <v>122</v>
      </c>
      <c r="U17" s="6">
        <v>1607.6</v>
      </c>
      <c r="W17" s="19">
        <v>4267.3999999999996</v>
      </c>
      <c r="X17" s="19">
        <f t="shared" si="1"/>
        <v>0</v>
      </c>
      <c r="Y17" s="11">
        <v>4267.3999999999996</v>
      </c>
      <c r="Z17" s="20">
        <f t="shared" si="2"/>
        <v>0</v>
      </c>
    </row>
    <row r="18" spans="1:26" ht="12" customHeight="1">
      <c r="A18" s="3" t="s">
        <v>26</v>
      </c>
      <c r="B18" s="4">
        <v>2213.04</v>
      </c>
      <c r="C18" s="5">
        <v>336</v>
      </c>
      <c r="D18" s="5">
        <v>378</v>
      </c>
      <c r="E18" s="5">
        <v>116</v>
      </c>
      <c r="F18" s="4">
        <v>6.55</v>
      </c>
      <c r="G18" s="4">
        <f t="shared" si="0"/>
        <v>4891</v>
      </c>
      <c r="H18" s="4">
        <f t="shared" si="3"/>
        <v>244.6</v>
      </c>
      <c r="I18" s="4">
        <f t="shared" si="4"/>
        <v>4646.3999999999996</v>
      </c>
      <c r="J18" s="4">
        <v>6.4580000000000002</v>
      </c>
      <c r="K18" s="4">
        <f>ROUND(B18*(0.2*C18+0.5*D18+0.7*E18)*J18/1000,1)+0.1</f>
        <v>4822.2000000000007</v>
      </c>
      <c r="L18" s="4"/>
      <c r="M18" s="4">
        <v>175.80000000000018</v>
      </c>
      <c r="N18" s="5">
        <v>336</v>
      </c>
      <c r="O18" s="5">
        <v>370</v>
      </c>
      <c r="P18" s="5">
        <v>118</v>
      </c>
      <c r="Q18" s="6">
        <v>2182.1</v>
      </c>
      <c r="R18" s="5">
        <v>333</v>
      </c>
      <c r="S18" s="5">
        <v>374</v>
      </c>
      <c r="T18" s="5">
        <v>117</v>
      </c>
      <c r="U18" s="6">
        <v>2186.6</v>
      </c>
      <c r="W18" s="19">
        <v>4822.2</v>
      </c>
      <c r="X18" s="19">
        <f t="shared" si="1"/>
        <v>0</v>
      </c>
      <c r="Y18" s="11">
        <v>4822.2</v>
      </c>
      <c r="Z18" s="20">
        <f t="shared" si="2"/>
        <v>0</v>
      </c>
    </row>
    <row r="19" spans="1:26" ht="12" customHeight="1">
      <c r="A19" s="3" t="s">
        <v>27</v>
      </c>
      <c r="B19" s="4">
        <v>2385</v>
      </c>
      <c r="C19" s="5">
        <v>127</v>
      </c>
      <c r="D19" s="5">
        <v>138</v>
      </c>
      <c r="E19" s="5">
        <v>66</v>
      </c>
      <c r="F19" s="4">
        <v>6.55</v>
      </c>
      <c r="G19" s="4">
        <f t="shared" si="0"/>
        <v>2196</v>
      </c>
      <c r="H19" s="4">
        <f t="shared" si="3"/>
        <v>109.8</v>
      </c>
      <c r="I19" s="4">
        <f>G19-H19+0.5</f>
        <v>2086.6999999999998</v>
      </c>
      <c r="J19" s="4">
        <v>6.2229999999999999</v>
      </c>
      <c r="K19" s="4">
        <f>ROUND(B19*(0.2*C19+0.5*D19+0.7*E19)*J19/1000,1)-0.1</f>
        <v>2086.7000000000003</v>
      </c>
      <c r="L19" s="4"/>
      <c r="M19" s="4"/>
      <c r="N19" s="5">
        <v>121</v>
      </c>
      <c r="O19" s="5">
        <v>138</v>
      </c>
      <c r="P19" s="5">
        <v>64</v>
      </c>
      <c r="Q19" s="6">
        <v>969.3</v>
      </c>
      <c r="R19" s="5">
        <v>117</v>
      </c>
      <c r="S19" s="5">
        <v>139</v>
      </c>
      <c r="T19" s="5">
        <v>64</v>
      </c>
      <c r="U19" s="6">
        <v>967.2</v>
      </c>
      <c r="W19" s="19">
        <v>2086.6999999999998</v>
      </c>
      <c r="X19" s="19">
        <f t="shared" si="1"/>
        <v>0</v>
      </c>
      <c r="Y19" s="11">
        <v>2086.6999999999998</v>
      </c>
      <c r="Z19" s="20">
        <f t="shared" si="2"/>
        <v>0</v>
      </c>
    </row>
    <row r="20" spans="1:26" ht="12" customHeight="1">
      <c r="A20" s="3" t="s">
        <v>28</v>
      </c>
      <c r="B20" s="4">
        <v>2382.87</v>
      </c>
      <c r="C20" s="5">
        <v>167</v>
      </c>
      <c r="D20" s="5">
        <v>185</v>
      </c>
      <c r="E20" s="5">
        <v>72</v>
      </c>
      <c r="F20" s="4">
        <v>6.55</v>
      </c>
      <c r="G20" s="4">
        <f t="shared" si="0"/>
        <v>2752</v>
      </c>
      <c r="H20" s="4">
        <f t="shared" si="3"/>
        <v>137.6</v>
      </c>
      <c r="I20" s="4">
        <f>G20-H20-0.3</f>
        <v>2614.1</v>
      </c>
      <c r="J20" s="4">
        <v>6.9370000000000003</v>
      </c>
      <c r="K20" s="4">
        <f>ROUND(B20*(0.2*C20+0.5*D20+0.7*E20)*J20/1000,1)-0.1</f>
        <v>2914.1</v>
      </c>
      <c r="L20" s="4"/>
      <c r="M20" s="4">
        <v>299.97300000000041</v>
      </c>
      <c r="N20" s="5">
        <v>158</v>
      </c>
      <c r="O20" s="5">
        <v>172</v>
      </c>
      <c r="P20" s="5">
        <v>61</v>
      </c>
      <c r="Q20" s="6">
        <v>1124.9000000000001</v>
      </c>
      <c r="R20" s="5">
        <v>163</v>
      </c>
      <c r="S20" s="5">
        <v>165</v>
      </c>
      <c r="T20" s="5">
        <v>58</v>
      </c>
      <c r="U20" s="6">
        <v>1092.5999999999999</v>
      </c>
      <c r="W20" s="19">
        <v>2914.1</v>
      </c>
      <c r="X20" s="19">
        <f t="shared" si="1"/>
        <v>0</v>
      </c>
      <c r="Y20" s="11">
        <v>2914.1</v>
      </c>
      <c r="Z20" s="20">
        <f t="shared" si="2"/>
        <v>0</v>
      </c>
    </row>
    <row r="21" spans="1:26" ht="12" customHeight="1">
      <c r="A21" s="3" t="s">
        <v>29</v>
      </c>
      <c r="B21" s="4">
        <v>2567</v>
      </c>
      <c r="C21" s="5">
        <v>680</v>
      </c>
      <c r="D21" s="5">
        <v>717</v>
      </c>
      <c r="E21" s="5">
        <v>217</v>
      </c>
      <c r="F21" s="4">
        <v>6.55</v>
      </c>
      <c r="G21" s="4">
        <f t="shared" si="0"/>
        <v>10868</v>
      </c>
      <c r="H21" s="4">
        <f t="shared" si="3"/>
        <v>543.4</v>
      </c>
      <c r="I21" s="4">
        <f>G21-H21+0.8</f>
        <v>10325.4</v>
      </c>
      <c r="J21" s="4">
        <v>6.5640000000000001</v>
      </c>
      <c r="K21" s="4">
        <f>ROUND(B21*(0.2*C21+0.5*D21+0.7*E21)*J21/1000,1)+0.1</f>
        <v>10891.800000000001</v>
      </c>
      <c r="L21" s="4"/>
      <c r="M21" s="4">
        <v>566.39999999999964</v>
      </c>
      <c r="N21" s="5">
        <v>670</v>
      </c>
      <c r="O21" s="5">
        <v>706</v>
      </c>
      <c r="P21" s="5">
        <v>202</v>
      </c>
      <c r="Q21" s="6">
        <v>4750.6000000000004</v>
      </c>
      <c r="R21" s="5">
        <v>668</v>
      </c>
      <c r="S21" s="5">
        <v>715</v>
      </c>
      <c r="T21" s="5">
        <v>189</v>
      </c>
      <c r="U21" s="6">
        <v>4712.8</v>
      </c>
      <c r="W21" s="19">
        <v>10891.8</v>
      </c>
      <c r="X21" s="19">
        <f t="shared" si="1"/>
        <v>0</v>
      </c>
      <c r="Y21" s="11">
        <v>10891.8</v>
      </c>
      <c r="Z21" s="20">
        <f t="shared" si="2"/>
        <v>0</v>
      </c>
    </row>
    <row r="22" spans="1:26" ht="12" customHeight="1">
      <c r="A22" s="3" t="s">
        <v>30</v>
      </c>
      <c r="B22" s="4">
        <v>2250</v>
      </c>
      <c r="C22" s="5">
        <v>564</v>
      </c>
      <c r="D22" s="5">
        <v>602</v>
      </c>
      <c r="E22" s="5">
        <v>232</v>
      </c>
      <c r="F22" s="4">
        <v>6.55</v>
      </c>
      <c r="G22" s="4">
        <f t="shared" si="0"/>
        <v>8492</v>
      </c>
      <c r="H22" s="4">
        <f t="shared" si="3"/>
        <v>424.6</v>
      </c>
      <c r="I22" s="4">
        <f>G22-H22-0</f>
        <v>8067.4</v>
      </c>
      <c r="J22" s="4">
        <v>6.1420000000000003</v>
      </c>
      <c r="K22" s="4">
        <f>ROUND(B22*(0.2*C22+0.5*D22+0.7*E22)*J22/1000,1)-0.4</f>
        <v>7962.4000000000005</v>
      </c>
      <c r="L22" s="4"/>
      <c r="M22" s="4">
        <v>-105</v>
      </c>
      <c r="N22" s="5">
        <v>558</v>
      </c>
      <c r="O22" s="5">
        <v>599</v>
      </c>
      <c r="P22" s="5">
        <v>229</v>
      </c>
      <c r="Q22" s="6">
        <v>3786.2</v>
      </c>
      <c r="R22" s="5">
        <v>550</v>
      </c>
      <c r="S22" s="5">
        <v>595</v>
      </c>
      <c r="T22" s="5">
        <v>231</v>
      </c>
      <c r="U22" s="6">
        <v>3771.7</v>
      </c>
      <c r="W22" s="19">
        <v>7962.4</v>
      </c>
      <c r="X22" s="19">
        <f t="shared" si="1"/>
        <v>0</v>
      </c>
      <c r="Y22" s="11">
        <v>7962.4</v>
      </c>
      <c r="Z22" s="20">
        <f t="shared" si="2"/>
        <v>0</v>
      </c>
    </row>
    <row r="23" spans="1:26" ht="12" customHeight="1">
      <c r="A23" s="3" t="s">
        <v>31</v>
      </c>
      <c r="B23" s="4">
        <v>2038.61</v>
      </c>
      <c r="C23" s="5">
        <v>421</v>
      </c>
      <c r="D23" s="5">
        <v>430</v>
      </c>
      <c r="E23" s="5">
        <v>186</v>
      </c>
      <c r="F23" s="4">
        <v>6.55</v>
      </c>
      <c r="G23" s="4">
        <f t="shared" si="0"/>
        <v>5734</v>
      </c>
      <c r="H23" s="4">
        <f t="shared" si="3"/>
        <v>286.7</v>
      </c>
      <c r="I23" s="4">
        <f>G23-H23-0.1</f>
        <v>5447.2</v>
      </c>
      <c r="J23" s="4">
        <v>8.3315000000000001</v>
      </c>
      <c r="K23" s="4">
        <f>ROUND(B23*(0.2*C23+0.5*D23+0.7*E23)*J23/1000,1)-0.2</f>
        <v>7293</v>
      </c>
      <c r="L23" s="4">
        <v>1045.8</v>
      </c>
      <c r="M23" s="4">
        <v>800</v>
      </c>
      <c r="N23" s="5">
        <v>438</v>
      </c>
      <c r="O23" s="5">
        <v>446</v>
      </c>
      <c r="P23" s="5">
        <v>195</v>
      </c>
      <c r="Q23" s="6">
        <v>2684.2</v>
      </c>
      <c r="R23" s="5">
        <v>438</v>
      </c>
      <c r="S23" s="5">
        <v>446</v>
      </c>
      <c r="T23" s="5">
        <v>195</v>
      </c>
      <c r="U23" s="6">
        <v>2684.2</v>
      </c>
      <c r="W23" s="19">
        <v>7293</v>
      </c>
      <c r="X23" s="19">
        <f t="shared" si="1"/>
        <v>0</v>
      </c>
      <c r="Y23" s="11">
        <v>7293</v>
      </c>
      <c r="Z23" s="20">
        <f t="shared" si="2"/>
        <v>0</v>
      </c>
    </row>
    <row r="24" spans="1:26" ht="12" customHeight="1">
      <c r="A24" s="3" t="s">
        <v>32</v>
      </c>
      <c r="B24" s="4">
        <v>2930</v>
      </c>
      <c r="C24" s="5">
        <v>855</v>
      </c>
      <c r="D24" s="5">
        <v>965</v>
      </c>
      <c r="E24" s="5">
        <v>340</v>
      </c>
      <c r="F24" s="4">
        <v>6.55</v>
      </c>
      <c r="G24" s="4">
        <f t="shared" si="0"/>
        <v>17109</v>
      </c>
      <c r="H24" s="4">
        <f t="shared" si="3"/>
        <v>855.5</v>
      </c>
      <c r="I24" s="4">
        <f>G24-H24+0.8</f>
        <v>16254.3</v>
      </c>
      <c r="J24" s="4">
        <v>5.2192999999999996</v>
      </c>
      <c r="K24" s="4">
        <f>ROUND(B24*(0.2*C24+0.5*D24+0.7*E24)*J24/1000,1)-0.1</f>
        <v>13633.199999999999</v>
      </c>
      <c r="L24" s="4">
        <v>0</v>
      </c>
      <c r="M24" s="4">
        <v>-2621.1100000000006</v>
      </c>
      <c r="N24" s="5">
        <v>823</v>
      </c>
      <c r="O24" s="5">
        <v>954</v>
      </c>
      <c r="P24" s="5">
        <v>316</v>
      </c>
      <c r="Q24" s="6">
        <v>7445</v>
      </c>
      <c r="R24" s="5">
        <v>821</v>
      </c>
      <c r="S24" s="5">
        <v>938</v>
      </c>
      <c r="T24" s="5">
        <v>311</v>
      </c>
      <c r="U24" s="6">
        <v>7342.3</v>
      </c>
      <c r="W24" s="19">
        <v>13633.2</v>
      </c>
      <c r="X24" s="19">
        <f t="shared" si="1"/>
        <v>0</v>
      </c>
      <c r="Y24" s="11">
        <v>13633.2</v>
      </c>
      <c r="Z24" s="20">
        <f t="shared" si="2"/>
        <v>0</v>
      </c>
    </row>
    <row r="25" spans="1:26" ht="12" customHeight="1">
      <c r="A25" s="3" t="s">
        <v>33</v>
      </c>
      <c r="B25" s="4">
        <v>1996.28</v>
      </c>
      <c r="C25" s="5">
        <v>714</v>
      </c>
      <c r="D25" s="5">
        <v>617</v>
      </c>
      <c r="E25" s="5">
        <v>233</v>
      </c>
      <c r="F25" s="4">
        <v>6.55</v>
      </c>
      <c r="G25" s="4">
        <f t="shared" si="0"/>
        <v>8034</v>
      </c>
      <c r="H25" s="4">
        <f t="shared" si="3"/>
        <v>401.7</v>
      </c>
      <c r="I25" s="4">
        <f>G25-H25-0.1</f>
        <v>7632.2</v>
      </c>
      <c r="J25" s="4">
        <v>6.62765</v>
      </c>
      <c r="K25" s="4">
        <f>ROUND(B25*(0.2*C25+0.5*D25+0.7*E25)*J25/1000,1)</f>
        <v>8128.9</v>
      </c>
      <c r="L25" s="4">
        <v>1134.6999999999998</v>
      </c>
      <c r="M25" s="4">
        <v>-638</v>
      </c>
      <c r="N25" s="5">
        <v>753</v>
      </c>
      <c r="O25" s="5">
        <v>652</v>
      </c>
      <c r="P25" s="5">
        <v>248</v>
      </c>
      <c r="Q25" s="6">
        <v>3822.5</v>
      </c>
      <c r="R25" s="5">
        <v>811</v>
      </c>
      <c r="S25" s="5">
        <v>721</v>
      </c>
      <c r="T25" s="5">
        <v>266</v>
      </c>
      <c r="U25" s="6">
        <v>4167.6000000000004</v>
      </c>
      <c r="W25" s="19">
        <v>8128.9</v>
      </c>
      <c r="X25" s="19">
        <f t="shared" si="1"/>
        <v>0</v>
      </c>
      <c r="Y25" s="11">
        <v>8128.9</v>
      </c>
      <c r="Z25" s="20">
        <f t="shared" si="2"/>
        <v>0</v>
      </c>
    </row>
    <row r="26" spans="1:26" ht="12" customHeight="1">
      <c r="A26" s="3" t="s">
        <v>34</v>
      </c>
      <c r="B26" s="4">
        <v>1702.18</v>
      </c>
      <c r="C26" s="5">
        <v>689</v>
      </c>
      <c r="D26" s="5">
        <v>704</v>
      </c>
      <c r="E26" s="5">
        <v>253</v>
      </c>
      <c r="F26" s="4">
        <v>6.55</v>
      </c>
      <c r="G26" s="4">
        <f t="shared" si="0"/>
        <v>7435</v>
      </c>
      <c r="H26" s="4">
        <f t="shared" si="3"/>
        <v>371.8</v>
      </c>
      <c r="I26" s="4">
        <f>G26-H26+0.7</f>
        <v>7063.9</v>
      </c>
      <c r="J26" s="4">
        <v>9.0023999999999997</v>
      </c>
      <c r="K26" s="4">
        <f>ROUND(B26*(0.2*C26+0.5*D26+0.7*E26)*J26/1000,1)</f>
        <v>10219.4</v>
      </c>
      <c r="L26" s="4">
        <v>2734.1</v>
      </c>
      <c r="M26" s="4">
        <v>421.44000000000051</v>
      </c>
      <c r="N26" s="5">
        <v>689</v>
      </c>
      <c r="O26" s="5">
        <v>704</v>
      </c>
      <c r="P26" s="5">
        <v>253</v>
      </c>
      <c r="Q26" s="6">
        <v>3343.1</v>
      </c>
      <c r="R26" s="5">
        <v>689</v>
      </c>
      <c r="S26" s="5">
        <v>704</v>
      </c>
      <c r="T26" s="5">
        <v>253</v>
      </c>
      <c r="U26" s="6">
        <v>3343.1</v>
      </c>
      <c r="W26" s="19">
        <v>10219.4</v>
      </c>
      <c r="X26" s="19">
        <f t="shared" si="1"/>
        <v>0</v>
      </c>
      <c r="Y26">
        <v>10219.4</v>
      </c>
      <c r="Z26" s="20">
        <f t="shared" si="2"/>
        <v>0</v>
      </c>
    </row>
    <row r="27" spans="1:26" ht="12" customHeight="1">
      <c r="A27" s="3" t="s">
        <v>35</v>
      </c>
      <c r="B27" s="4">
        <v>2360</v>
      </c>
      <c r="C27" s="5">
        <v>396</v>
      </c>
      <c r="D27" s="5">
        <v>382</v>
      </c>
      <c r="E27" s="5">
        <v>130</v>
      </c>
      <c r="F27" s="4">
        <v>6.55</v>
      </c>
      <c r="G27" s="4">
        <f t="shared" si="0"/>
        <v>5583</v>
      </c>
      <c r="H27" s="4">
        <f t="shared" si="3"/>
        <v>279.2</v>
      </c>
      <c r="I27" s="4">
        <f>G27-H27+0.6</f>
        <v>5304.4000000000005</v>
      </c>
      <c r="J27" s="4">
        <v>6.9260000000000002</v>
      </c>
      <c r="K27" s="4">
        <f>ROUND(B27*(0.2*C27+0.5*D27+0.7*E27)*J27/1000,1)+0.5</f>
        <v>5904.4</v>
      </c>
      <c r="L27" s="4"/>
      <c r="M27" s="4">
        <v>600</v>
      </c>
      <c r="N27" s="5">
        <v>396</v>
      </c>
      <c r="O27" s="5">
        <v>382</v>
      </c>
      <c r="P27" s="5">
        <v>130</v>
      </c>
      <c r="Q27" s="6">
        <v>2510.4</v>
      </c>
      <c r="R27" s="5">
        <v>396</v>
      </c>
      <c r="S27" s="5">
        <v>382</v>
      </c>
      <c r="T27" s="5">
        <v>130</v>
      </c>
      <c r="U27" s="6">
        <v>2510.4</v>
      </c>
      <c r="W27" s="19">
        <v>5904.4</v>
      </c>
      <c r="X27" s="19">
        <f t="shared" si="1"/>
        <v>0</v>
      </c>
      <c r="Y27">
        <v>5904.4</v>
      </c>
      <c r="Z27" s="20">
        <f t="shared" si="2"/>
        <v>0</v>
      </c>
    </row>
    <row r="28" spans="1:26" ht="12" customHeight="1">
      <c r="A28" s="3" t="s">
        <v>36</v>
      </c>
      <c r="B28" s="4">
        <v>2262</v>
      </c>
      <c r="C28" s="5">
        <v>253</v>
      </c>
      <c r="D28" s="5">
        <v>301</v>
      </c>
      <c r="E28" s="5">
        <v>139</v>
      </c>
      <c r="F28" s="4">
        <v>6.55</v>
      </c>
      <c r="G28" s="4">
        <f t="shared" si="0"/>
        <v>4421</v>
      </c>
      <c r="H28" s="4">
        <f t="shared" si="3"/>
        <v>221.1</v>
      </c>
      <c r="I28" s="4">
        <f>G28-H28+0.3</f>
        <v>4200.2</v>
      </c>
      <c r="J28" s="4">
        <v>6.6512000000000002</v>
      </c>
      <c r="K28" s="4">
        <f>ROUND(B28*(0.2*C28+0.5*D28+0.7*E28)*J28/1000,1)</f>
        <v>4489.3999999999996</v>
      </c>
      <c r="L28" s="4"/>
      <c r="M28" s="4">
        <v>289.22000000000025</v>
      </c>
      <c r="N28" s="5">
        <v>253</v>
      </c>
      <c r="O28" s="5">
        <v>301</v>
      </c>
      <c r="P28" s="5">
        <v>139</v>
      </c>
      <c r="Q28" s="6">
        <v>1987.8</v>
      </c>
      <c r="R28" s="5">
        <v>253</v>
      </c>
      <c r="S28" s="5">
        <v>301</v>
      </c>
      <c r="T28" s="5">
        <v>139</v>
      </c>
      <c r="U28" s="6">
        <v>1987.8</v>
      </c>
      <c r="W28" s="19">
        <v>4489.3999999999996</v>
      </c>
      <c r="X28" s="19">
        <f t="shared" si="1"/>
        <v>0</v>
      </c>
      <c r="Y28">
        <v>4489.3999999999996</v>
      </c>
      <c r="Z28" s="20">
        <f t="shared" si="2"/>
        <v>0</v>
      </c>
    </row>
    <row r="29" spans="1:26" ht="12" customHeight="1">
      <c r="A29" s="3" t="s">
        <v>37</v>
      </c>
      <c r="B29" s="4">
        <v>2807.54</v>
      </c>
      <c r="C29" s="5">
        <v>10380</v>
      </c>
      <c r="D29" s="5">
        <v>6855</v>
      </c>
      <c r="E29" s="5">
        <v>1107</v>
      </c>
      <c r="F29" s="4">
        <v>6.55</v>
      </c>
      <c r="G29" s="4">
        <f t="shared" si="0"/>
        <v>115456</v>
      </c>
      <c r="H29" s="4">
        <f>ROUND(G29*0.05,1)</f>
        <v>5772.8</v>
      </c>
      <c r="I29" s="4">
        <f>G29-H29+4.1</f>
        <v>109687.3</v>
      </c>
      <c r="J29" s="4">
        <v>7.2884700000000002</v>
      </c>
      <c r="K29" s="4">
        <f>ROUND(B29*(0.2*C29+0.5*D29+0.7*E29)*J29/1000,1)</f>
        <v>128472.8</v>
      </c>
      <c r="L29" s="4">
        <v>10331</v>
      </c>
      <c r="M29" s="4">
        <v>8454.5000000000146</v>
      </c>
      <c r="N29" s="5">
        <v>10631</v>
      </c>
      <c r="O29" s="5">
        <v>7164</v>
      </c>
      <c r="P29" s="5">
        <v>1208</v>
      </c>
      <c r="Q29" s="6">
        <v>54188.2</v>
      </c>
      <c r="R29" s="5">
        <v>10672</v>
      </c>
      <c r="S29" s="5">
        <v>7219</v>
      </c>
      <c r="T29" s="5">
        <v>1244</v>
      </c>
      <c r="U29" s="6">
        <v>54691.7</v>
      </c>
      <c r="W29" s="19">
        <v>128472.8</v>
      </c>
      <c r="X29" s="19">
        <f t="shared" si="1"/>
        <v>0</v>
      </c>
      <c r="Y29">
        <v>128472.80000000002</v>
      </c>
      <c r="Z29" s="20">
        <f t="shared" si="2"/>
        <v>0</v>
      </c>
    </row>
    <row r="30" spans="1:26" ht="12" customHeight="1">
      <c r="A30" s="3" t="s">
        <v>38</v>
      </c>
      <c r="B30" s="4">
        <v>2675.95</v>
      </c>
      <c r="C30" s="5">
        <v>6600</v>
      </c>
      <c r="D30" s="5">
        <v>4717</v>
      </c>
      <c r="E30" s="5">
        <v>758</v>
      </c>
      <c r="F30" s="4">
        <v>6.55</v>
      </c>
      <c r="G30" s="4">
        <f t="shared" si="0"/>
        <v>73775</v>
      </c>
      <c r="H30" s="4">
        <f t="shared" si="3"/>
        <v>3688.8</v>
      </c>
      <c r="I30" s="4">
        <f>G30-H30+2.3</f>
        <v>70088.5</v>
      </c>
      <c r="J30" s="4">
        <v>8.7964000000000002</v>
      </c>
      <c r="K30" s="4">
        <f>ROUND(B30*(0.2*C30+0.5*D30+0.7*E30)*J30/1000,1)+0.1</f>
        <v>99077</v>
      </c>
      <c r="L30" s="4">
        <v>27639.399999999998</v>
      </c>
      <c r="M30" s="4">
        <v>1349.0999999999913</v>
      </c>
      <c r="N30" s="5">
        <v>6730</v>
      </c>
      <c r="O30" s="5">
        <v>4809</v>
      </c>
      <c r="P30" s="5">
        <v>774</v>
      </c>
      <c r="Q30" s="6">
        <v>33826.199999999997</v>
      </c>
      <c r="R30" s="5">
        <v>6730</v>
      </c>
      <c r="S30" s="5">
        <v>4809</v>
      </c>
      <c r="T30" s="5">
        <v>774</v>
      </c>
      <c r="U30" s="6">
        <v>33826.199999999997</v>
      </c>
      <c r="W30" s="19">
        <v>99077</v>
      </c>
      <c r="X30" s="19">
        <f t="shared" si="1"/>
        <v>0</v>
      </c>
      <c r="Y30">
        <v>99076.999999999985</v>
      </c>
      <c r="Z30" s="20">
        <f t="shared" si="2"/>
        <v>0</v>
      </c>
    </row>
    <row r="31" spans="1:26" ht="12" customHeight="1">
      <c r="A31" s="3" t="s">
        <v>39</v>
      </c>
      <c r="B31" s="4">
        <v>2824.26</v>
      </c>
      <c r="C31" s="5">
        <v>2514</v>
      </c>
      <c r="D31" s="5">
        <v>2403</v>
      </c>
      <c r="E31" s="5">
        <v>506</v>
      </c>
      <c r="F31" s="4">
        <v>6.55</v>
      </c>
      <c r="G31" s="4">
        <f t="shared" si="0"/>
        <v>38080</v>
      </c>
      <c r="H31" s="4">
        <f t="shared" si="3"/>
        <v>1904</v>
      </c>
      <c r="I31" s="4">
        <f>G31-H31+1.2</f>
        <v>36177.199999999997</v>
      </c>
      <c r="J31" s="4">
        <v>8.1083999999999996</v>
      </c>
      <c r="K31" s="4">
        <f>ROUND(B31*(0.2*C31+0.5*D31+0.7*E31)*J31/1000,1)</f>
        <v>47140.1</v>
      </c>
      <c r="L31" s="4">
        <v>10962.9</v>
      </c>
      <c r="M31" s="4"/>
      <c r="N31" s="5">
        <v>2567</v>
      </c>
      <c r="O31" s="5">
        <v>2370</v>
      </c>
      <c r="P31" s="5">
        <v>503</v>
      </c>
      <c r="Q31" s="6">
        <v>17054.900000000001</v>
      </c>
      <c r="R31" s="5">
        <v>2564</v>
      </c>
      <c r="S31" s="5">
        <v>2394</v>
      </c>
      <c r="T31" s="5">
        <v>484</v>
      </c>
      <c r="U31" s="6">
        <v>17039.099999999999</v>
      </c>
      <c r="W31" s="19">
        <v>47140.1</v>
      </c>
      <c r="X31" s="19">
        <f t="shared" si="1"/>
        <v>0</v>
      </c>
      <c r="Y31">
        <v>47140.1</v>
      </c>
      <c r="Z31" s="20">
        <f t="shared" si="2"/>
        <v>0</v>
      </c>
    </row>
    <row r="32" spans="1:26" ht="12" customHeight="1">
      <c r="A32" s="3" t="s">
        <v>40</v>
      </c>
      <c r="B32" s="4">
        <v>1554.26</v>
      </c>
      <c r="C32" s="5">
        <v>1325</v>
      </c>
      <c r="D32" s="5">
        <v>1147</v>
      </c>
      <c r="E32" s="5">
        <v>320</v>
      </c>
      <c r="F32" s="4">
        <v>6.55</v>
      </c>
      <c r="G32" s="4">
        <f t="shared" si="0"/>
        <v>10817</v>
      </c>
      <c r="H32" s="4">
        <f t="shared" si="3"/>
        <v>540.9</v>
      </c>
      <c r="I32" s="4">
        <f t="shared" si="4"/>
        <v>10276.1</v>
      </c>
      <c r="J32" s="4">
        <v>8.8409999999999993</v>
      </c>
      <c r="K32" s="4">
        <f>ROUND(B32*(0.2*C32+0.5*D32+0.7*E32)*J32/1000,1)+0.6</f>
        <v>14600.6</v>
      </c>
      <c r="L32" s="4">
        <v>5324.5</v>
      </c>
      <c r="M32" s="4">
        <v>-1000</v>
      </c>
      <c r="N32" s="5">
        <v>1319</v>
      </c>
      <c r="O32" s="5">
        <v>1156</v>
      </c>
      <c r="P32" s="5">
        <v>320</v>
      </c>
      <c r="Q32" s="6">
        <v>4878.3999999999996</v>
      </c>
      <c r="R32" s="5">
        <v>1298</v>
      </c>
      <c r="S32" s="5">
        <v>1181</v>
      </c>
      <c r="T32" s="5">
        <v>320</v>
      </c>
      <c r="U32" s="6">
        <v>4916.3999999999996</v>
      </c>
      <c r="W32" s="19">
        <v>14600.6</v>
      </c>
      <c r="X32" s="19">
        <f t="shared" si="1"/>
        <v>0</v>
      </c>
      <c r="Y32">
        <v>14600.6</v>
      </c>
      <c r="Z32" s="20">
        <f t="shared" si="2"/>
        <v>0</v>
      </c>
    </row>
    <row r="33" spans="1:26" ht="12" customHeight="1">
      <c r="A33" s="3" t="s">
        <v>41</v>
      </c>
      <c r="B33" s="4">
        <v>2837.4</v>
      </c>
      <c r="C33" s="5">
        <v>1359</v>
      </c>
      <c r="D33" s="5">
        <v>1230</v>
      </c>
      <c r="E33" s="5">
        <v>223</v>
      </c>
      <c r="F33" s="4">
        <v>6.55</v>
      </c>
      <c r="G33" s="4">
        <f t="shared" si="0"/>
        <v>19382</v>
      </c>
      <c r="H33" s="4">
        <f t="shared" si="3"/>
        <v>969.1</v>
      </c>
      <c r="I33" s="4">
        <f>G33-H33+0.9</f>
        <v>18413.800000000003</v>
      </c>
      <c r="J33" s="4">
        <v>8.4314999999999998</v>
      </c>
      <c r="K33" s="4">
        <f>ROUND(B33*(0.2*C33+0.5*D33+0.7*E33)*J33/1000,1)-0.3</f>
        <v>24949.600000000002</v>
      </c>
      <c r="L33" s="4">
        <v>6738.7999999999993</v>
      </c>
      <c r="M33" s="4">
        <v>-203</v>
      </c>
      <c r="N33" s="5">
        <v>1336</v>
      </c>
      <c r="O33" s="5">
        <v>1230</v>
      </c>
      <c r="P33" s="5">
        <v>232</v>
      </c>
      <c r="Q33" s="6">
        <v>8728.7999999999993</v>
      </c>
      <c r="R33" s="5">
        <v>1331</v>
      </c>
      <c r="S33" s="5">
        <v>1235</v>
      </c>
      <c r="T33" s="5">
        <v>236</v>
      </c>
      <c r="U33" s="6">
        <v>8764.7999999999993</v>
      </c>
      <c r="W33" s="19">
        <v>24949.599999999999</v>
      </c>
      <c r="X33" s="19">
        <f t="shared" si="1"/>
        <v>0</v>
      </c>
      <c r="Y33">
        <v>24949.599999999999</v>
      </c>
      <c r="Z33" s="20">
        <f t="shared" si="2"/>
        <v>0</v>
      </c>
    </row>
    <row r="34" spans="1:26" ht="12" customHeight="1">
      <c r="A34" s="3" t="s">
        <v>42</v>
      </c>
      <c r="B34" s="4">
        <v>3159.21</v>
      </c>
      <c r="C34" s="5">
        <v>940</v>
      </c>
      <c r="D34" s="5">
        <v>900</v>
      </c>
      <c r="E34" s="5">
        <v>160</v>
      </c>
      <c r="F34" s="4">
        <v>6.55</v>
      </c>
      <c r="G34" s="4">
        <f t="shared" si="0"/>
        <v>15520</v>
      </c>
      <c r="H34" s="4">
        <f t="shared" si="3"/>
        <v>776</v>
      </c>
      <c r="I34" s="4">
        <f>G34-H34+0.1</f>
        <v>14744.1</v>
      </c>
      <c r="J34" s="4">
        <v>6.3216999999999999</v>
      </c>
      <c r="K34" s="4">
        <f>ROUND(B34*(0.2*C34+0.5*D34+0.7*E34)*J34/1000,1)+0.1</f>
        <v>14978.800000000001</v>
      </c>
      <c r="L34" s="4">
        <v>1125.5</v>
      </c>
      <c r="M34" s="4">
        <v>-890.80999999999949</v>
      </c>
      <c r="N34" s="5">
        <v>940</v>
      </c>
      <c r="O34" s="5">
        <v>900</v>
      </c>
      <c r="P34" s="5">
        <v>160</v>
      </c>
      <c r="Q34" s="6">
        <v>6977.9</v>
      </c>
      <c r="R34" s="5">
        <v>940</v>
      </c>
      <c r="S34" s="5">
        <v>900</v>
      </c>
      <c r="T34" s="5">
        <v>160</v>
      </c>
      <c r="U34" s="6">
        <v>6977.9</v>
      </c>
      <c r="W34" s="19">
        <v>14978.8</v>
      </c>
      <c r="X34" s="19">
        <f t="shared" si="1"/>
        <v>0</v>
      </c>
      <c r="Y34">
        <v>14978.8</v>
      </c>
      <c r="Z34" s="20">
        <f t="shared" si="2"/>
        <v>0</v>
      </c>
    </row>
    <row r="35" spans="1:26" ht="12" customHeight="1">
      <c r="A35" s="3" t="s">
        <v>43</v>
      </c>
      <c r="B35" s="4">
        <v>3127.5</v>
      </c>
      <c r="C35" s="5">
        <v>75</v>
      </c>
      <c r="D35" s="5">
        <v>65</v>
      </c>
      <c r="E35" s="5">
        <v>14</v>
      </c>
      <c r="F35" s="4">
        <v>6.55</v>
      </c>
      <c r="G35" s="4">
        <f t="shared" si="0"/>
        <v>1174</v>
      </c>
      <c r="H35" s="4">
        <f t="shared" si="3"/>
        <v>58.7</v>
      </c>
      <c r="I35" s="4">
        <f>G35-H35-0.2</f>
        <v>1115.0999999999999</v>
      </c>
      <c r="J35" s="4">
        <v>6.2220000000000004</v>
      </c>
      <c r="K35" s="4">
        <f>ROUND(B35*(0.2*C35+0.5*D35+0.7*E35)*J35/1000,1)+0.1</f>
        <v>1115.0999999999999</v>
      </c>
      <c r="L35" s="4"/>
      <c r="M35" s="4"/>
      <c r="N35" s="5">
        <v>80</v>
      </c>
      <c r="O35" s="5">
        <v>70</v>
      </c>
      <c r="P35" s="5">
        <v>14</v>
      </c>
      <c r="Q35" s="6">
        <v>560</v>
      </c>
      <c r="R35" s="5">
        <v>80</v>
      </c>
      <c r="S35" s="5">
        <v>70</v>
      </c>
      <c r="T35" s="5">
        <v>14</v>
      </c>
      <c r="U35" s="6">
        <v>560</v>
      </c>
      <c r="W35" s="19">
        <v>1115.0999999999999</v>
      </c>
      <c r="X35" s="19">
        <f t="shared" si="1"/>
        <v>0</v>
      </c>
      <c r="Y35">
        <v>1115.0999999999999</v>
      </c>
      <c r="Z35" s="20">
        <f t="shared" si="2"/>
        <v>0</v>
      </c>
    </row>
    <row r="36" spans="1:26" ht="12" customHeight="1">
      <c r="A36" s="3" t="s">
        <v>44</v>
      </c>
      <c r="B36" s="4">
        <v>0</v>
      </c>
      <c r="C36" s="5">
        <v>0</v>
      </c>
      <c r="D36" s="5">
        <v>0</v>
      </c>
      <c r="E36" s="5">
        <v>0</v>
      </c>
      <c r="F36" s="4">
        <v>0</v>
      </c>
      <c r="G36" s="4"/>
      <c r="H36" s="4"/>
      <c r="I36" s="4">
        <f>H37</f>
        <v>20903.600000000002</v>
      </c>
      <c r="J36" s="4"/>
      <c r="K36" s="4">
        <v>20903.599999999999</v>
      </c>
      <c r="L36" s="4"/>
      <c r="M36" s="4"/>
      <c r="N36" s="5">
        <v>0</v>
      </c>
      <c r="O36" s="5">
        <v>0</v>
      </c>
      <c r="P36" s="5">
        <v>0</v>
      </c>
      <c r="Q36" s="6">
        <v>10031.1</v>
      </c>
      <c r="R36" s="5">
        <v>0</v>
      </c>
      <c r="S36" s="5">
        <v>0</v>
      </c>
      <c r="T36" s="5">
        <v>0</v>
      </c>
      <c r="U36" s="6">
        <v>10055.1</v>
      </c>
      <c r="W36" s="19">
        <v>20903.599999999999</v>
      </c>
      <c r="X36" s="19">
        <f t="shared" si="1"/>
        <v>0</v>
      </c>
      <c r="Y36">
        <v>20903.599999999999</v>
      </c>
      <c r="Z36" s="20">
        <f t="shared" si="2"/>
        <v>0</v>
      </c>
    </row>
    <row r="37" spans="1:26" ht="21.6" customHeight="1">
      <c r="A37" s="7" t="s">
        <v>45</v>
      </c>
      <c r="B37" s="8">
        <v>2586</v>
      </c>
      <c r="C37" s="9">
        <v>32071</v>
      </c>
      <c r="D37" s="9">
        <v>26597</v>
      </c>
      <c r="E37" s="9">
        <v>6618</v>
      </c>
      <c r="F37" s="8">
        <v>6.55</v>
      </c>
      <c r="G37" s="10">
        <f>SUM(G10:G36)</f>
        <v>418060</v>
      </c>
      <c r="H37" s="10">
        <f t="shared" ref="H37:M37" si="5">SUM(H10:H36)</f>
        <v>20903.600000000002</v>
      </c>
      <c r="I37" s="10">
        <f t="shared" si="5"/>
        <v>418073.09999999992</v>
      </c>
      <c r="J37" s="8">
        <v>8.17</v>
      </c>
      <c r="K37" s="10">
        <f t="shared" si="5"/>
        <v>495620.29999999987</v>
      </c>
      <c r="L37" s="10">
        <f t="shared" si="5"/>
        <v>71216.7</v>
      </c>
      <c r="M37" s="10">
        <f t="shared" si="5"/>
        <v>6330.4930000000077</v>
      </c>
      <c r="N37" s="9">
        <v>32387</v>
      </c>
      <c r="O37" s="9">
        <v>26969</v>
      </c>
      <c r="P37" s="9">
        <v>6728</v>
      </c>
      <c r="Q37" s="10">
        <v>200622.6</v>
      </c>
      <c r="R37" s="9">
        <v>32389</v>
      </c>
      <c r="S37" s="9">
        <v>27081</v>
      </c>
      <c r="T37" s="9">
        <v>6746</v>
      </c>
      <c r="U37" s="10">
        <v>201103</v>
      </c>
    </row>
    <row r="39" spans="1:26">
      <c r="E39" s="12"/>
    </row>
    <row r="41" spans="1:26">
      <c r="F41" s="13"/>
    </row>
  </sheetData>
  <mergeCells count="24">
    <mergeCell ref="R7:R8"/>
    <mergeCell ref="S7:S8"/>
    <mergeCell ref="T7:T8"/>
    <mergeCell ref="K7:K8"/>
    <mergeCell ref="N7:N8"/>
    <mergeCell ref="O7:O8"/>
    <mergeCell ref="P7:P8"/>
    <mergeCell ref="Q7:Q8"/>
    <mergeCell ref="A4:U4"/>
    <mergeCell ref="A5:U5"/>
    <mergeCell ref="A6:A8"/>
    <mergeCell ref="B6:B8"/>
    <mergeCell ref="N6:Q6"/>
    <mergeCell ref="R6:U6"/>
    <mergeCell ref="C6:M6"/>
    <mergeCell ref="L7:M7"/>
    <mergeCell ref="C7:C8"/>
    <mergeCell ref="D7:D8"/>
    <mergeCell ref="E7:E8"/>
    <mergeCell ref="F7:F8"/>
    <mergeCell ref="G7:G8"/>
    <mergeCell ref="H7:H8"/>
    <mergeCell ref="I7:I8"/>
    <mergeCell ref="J7:J8"/>
  </mergeCells>
  <pageMargins left="0.98425196850393704" right="0" top="0.39370078740157483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Table2</vt:lpstr>
      <vt:lpstr>Table2!Заголовки_для_печати</vt:lpstr>
      <vt:lpstr>Table2!Область_печати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Силантьева</dc:creator>
  <cp:lastModifiedBy>minfin user</cp:lastModifiedBy>
  <cp:lastPrinted>2019-10-25T11:06:00Z</cp:lastPrinted>
  <dcterms:created xsi:type="dcterms:W3CDTF">2006-09-16T00:00:00Z</dcterms:created>
  <dcterms:modified xsi:type="dcterms:W3CDTF">2019-10-25T11:09:54Z</dcterms:modified>
</cp:coreProperties>
</file>