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360" yWindow="300" windowWidth="23250" windowHeight="12525"/>
  </bookViews>
  <sheets>
    <sheet name="расчет + ПАО ТГК-2" sheetId="3" r:id="rId1"/>
  </sheets>
  <definedNames>
    <definedName name="_xlnm.Print_Titles" localSheetId="0">'расчет + ПАО ТГК-2'!$A:$B,'расчет + ПАО ТГК-2'!$6:$7</definedName>
  </definedNames>
  <calcPr calcId="125725"/>
</workbook>
</file>

<file path=xl/calcChain.xml><?xml version="1.0" encoding="utf-8"?>
<calcChain xmlns="http://schemas.openxmlformats.org/spreadsheetml/2006/main">
  <c r="Q48" i="3"/>
  <c r="R31" l="1"/>
  <c r="S23"/>
  <c r="E19" l="1"/>
  <c r="E18"/>
  <c r="E20"/>
  <c r="E21"/>
  <c r="E15"/>
  <c r="E14"/>
  <c r="E16"/>
  <c r="E17"/>
  <c r="F31"/>
  <c r="E31"/>
  <c r="C31"/>
  <c r="S30"/>
  <c r="O30"/>
  <c r="N30"/>
  <c r="L30"/>
  <c r="M30"/>
  <c r="S29"/>
  <c r="O29"/>
  <c r="N29"/>
  <c r="L29"/>
  <c r="M29"/>
  <c r="S28"/>
  <c r="O28"/>
  <c r="N28"/>
  <c r="L28"/>
  <c r="M28"/>
  <c r="S27"/>
  <c r="O27"/>
  <c r="N27"/>
  <c r="M27"/>
  <c r="L27"/>
  <c r="G27"/>
  <c r="S26"/>
  <c r="O26"/>
  <c r="N26"/>
  <c r="M26"/>
  <c r="L26"/>
  <c r="G26"/>
  <c r="S25"/>
  <c r="O25"/>
  <c r="N25"/>
  <c r="M25"/>
  <c r="L25"/>
  <c r="G25"/>
  <c r="S24"/>
  <c r="O24"/>
  <c r="N24"/>
  <c r="M24"/>
  <c r="L24"/>
  <c r="G24"/>
  <c r="O23"/>
  <c r="N23"/>
  <c r="M23"/>
  <c r="L23"/>
  <c r="D31"/>
  <c r="L31" l="1"/>
  <c r="M31"/>
  <c r="S31"/>
  <c r="O31"/>
  <c r="N31"/>
  <c r="P24"/>
  <c r="P26"/>
  <c r="P23"/>
  <c r="P25"/>
  <c r="P27"/>
  <c r="P29"/>
  <c r="P28"/>
  <c r="P30"/>
  <c r="G23"/>
  <c r="G28"/>
  <c r="G29"/>
  <c r="G30"/>
  <c r="O21"/>
  <c r="O20"/>
  <c r="O19"/>
  <c r="O18"/>
  <c r="O17"/>
  <c r="O16"/>
  <c r="O15"/>
  <c r="O14"/>
  <c r="N14"/>
  <c r="N15"/>
  <c r="N16"/>
  <c r="N17"/>
  <c r="N18"/>
  <c r="O32"/>
  <c r="R47"/>
  <c r="F47"/>
  <c r="E47"/>
  <c r="C47"/>
  <c r="S46"/>
  <c r="O46"/>
  <c r="N46"/>
  <c r="L46"/>
  <c r="D46"/>
  <c r="M46" s="1"/>
  <c r="S45"/>
  <c r="O45"/>
  <c r="N45"/>
  <c r="L45"/>
  <c r="D45"/>
  <c r="M45" s="1"/>
  <c r="S44"/>
  <c r="O44"/>
  <c r="N44"/>
  <c r="L44"/>
  <c r="D44"/>
  <c r="M44" s="1"/>
  <c r="S43"/>
  <c r="O43"/>
  <c r="N43"/>
  <c r="L43"/>
  <c r="D43"/>
  <c r="M43" s="1"/>
  <c r="F42"/>
  <c r="E42"/>
  <c r="C42"/>
  <c r="R41"/>
  <c r="S41" s="1"/>
  <c r="O41"/>
  <c r="N41"/>
  <c r="L41"/>
  <c r="D41"/>
  <c r="G41" s="1"/>
  <c r="R40"/>
  <c r="S40" s="1"/>
  <c r="O40"/>
  <c r="N40"/>
  <c r="L40"/>
  <c r="D40"/>
  <c r="M40" s="1"/>
  <c r="R39"/>
  <c r="S39" s="1"/>
  <c r="O39"/>
  <c r="N39"/>
  <c r="L39"/>
  <c r="D39"/>
  <c r="M39" s="1"/>
  <c r="R38"/>
  <c r="S38" s="1"/>
  <c r="O38"/>
  <c r="N38"/>
  <c r="L38"/>
  <c r="D38"/>
  <c r="M38" s="1"/>
  <c r="R37"/>
  <c r="S37" s="1"/>
  <c r="O37"/>
  <c r="N37"/>
  <c r="L37"/>
  <c r="D37"/>
  <c r="G37" s="1"/>
  <c r="R36"/>
  <c r="S36" s="1"/>
  <c r="O36"/>
  <c r="N36"/>
  <c r="L36"/>
  <c r="D36"/>
  <c r="M36" s="1"/>
  <c r="R35"/>
  <c r="S35" s="1"/>
  <c r="O35"/>
  <c r="N35"/>
  <c r="L35"/>
  <c r="D35"/>
  <c r="M35" s="1"/>
  <c r="R34"/>
  <c r="S34" s="1"/>
  <c r="O34"/>
  <c r="N34"/>
  <c r="L34"/>
  <c r="D34"/>
  <c r="M34" s="1"/>
  <c r="R33"/>
  <c r="O33"/>
  <c r="N33"/>
  <c r="L33"/>
  <c r="D33"/>
  <c r="G33" s="1"/>
  <c r="R32"/>
  <c r="S32" s="1"/>
  <c r="N32"/>
  <c r="L32"/>
  <c r="D32"/>
  <c r="R22"/>
  <c r="F22"/>
  <c r="E22"/>
  <c r="C22"/>
  <c r="S21"/>
  <c r="N21"/>
  <c r="L21"/>
  <c r="D21"/>
  <c r="M21" s="1"/>
  <c r="S20"/>
  <c r="N20"/>
  <c r="L20"/>
  <c r="D20"/>
  <c r="M20" s="1"/>
  <c r="S19"/>
  <c r="N19"/>
  <c r="L19"/>
  <c r="D19"/>
  <c r="M19" s="1"/>
  <c r="S18"/>
  <c r="L18"/>
  <c r="D18"/>
  <c r="M18" s="1"/>
  <c r="S17"/>
  <c r="L17"/>
  <c r="D17"/>
  <c r="M17" s="1"/>
  <c r="S16"/>
  <c r="L16"/>
  <c r="D16"/>
  <c r="M16" s="1"/>
  <c r="S15"/>
  <c r="L15"/>
  <c r="D15"/>
  <c r="M15" s="1"/>
  <c r="S14"/>
  <c r="L14"/>
  <c r="D14"/>
  <c r="M14" s="1"/>
  <c r="R13"/>
  <c r="F13"/>
  <c r="E13"/>
  <c r="C13"/>
  <c r="S12"/>
  <c r="O12"/>
  <c r="N12"/>
  <c r="L12"/>
  <c r="D12"/>
  <c r="G12" s="1"/>
  <c r="S11"/>
  <c r="O11"/>
  <c r="N11"/>
  <c r="L11"/>
  <c r="D11"/>
  <c r="G11" s="1"/>
  <c r="S10"/>
  <c r="O10"/>
  <c r="N10"/>
  <c r="L10"/>
  <c r="D10"/>
  <c r="G10" s="1"/>
  <c r="S9"/>
  <c r="O9"/>
  <c r="N9"/>
  <c r="L9"/>
  <c r="D9"/>
  <c r="G9" s="1"/>
  <c r="S8"/>
  <c r="O8"/>
  <c r="N8"/>
  <c r="L8"/>
  <c r="D8"/>
  <c r="G8" s="1"/>
  <c r="G20" l="1"/>
  <c r="M47"/>
  <c r="O42"/>
  <c r="M37"/>
  <c r="P37" s="1"/>
  <c r="L47"/>
  <c r="P17"/>
  <c r="N42"/>
  <c r="G39"/>
  <c r="N47"/>
  <c r="G44"/>
  <c r="L13"/>
  <c r="M11"/>
  <c r="P11" s="1"/>
  <c r="P39"/>
  <c r="O47"/>
  <c r="P44"/>
  <c r="S13"/>
  <c r="G14"/>
  <c r="G15"/>
  <c r="G16"/>
  <c r="G17"/>
  <c r="G18"/>
  <c r="G19"/>
  <c r="G34"/>
  <c r="G46"/>
  <c r="P34"/>
  <c r="P46"/>
  <c r="M9"/>
  <c r="P9" s="1"/>
  <c r="C48"/>
  <c r="F48"/>
  <c r="M8"/>
  <c r="M10"/>
  <c r="P10" s="1"/>
  <c r="M12"/>
  <c r="P12" s="1"/>
  <c r="G21"/>
  <c r="L42"/>
  <c r="R42"/>
  <c r="R48" s="1"/>
  <c r="P36"/>
  <c r="G38"/>
  <c r="D13"/>
  <c r="D22"/>
  <c r="D42"/>
  <c r="M33"/>
  <c r="P33" s="1"/>
  <c r="G35"/>
  <c r="P38"/>
  <c r="M41"/>
  <c r="P41" s="1"/>
  <c r="G43"/>
  <c r="S47"/>
  <c r="G45"/>
  <c r="D47"/>
  <c r="L22"/>
  <c r="P40"/>
  <c r="E48"/>
  <c r="P31"/>
  <c r="T31" s="1"/>
  <c r="M22"/>
  <c r="P21"/>
  <c r="S22"/>
  <c r="G31"/>
  <c r="N13"/>
  <c r="G13"/>
  <c r="O13"/>
  <c r="P19"/>
  <c r="O22"/>
  <c r="P15"/>
  <c r="N22"/>
  <c r="P14"/>
  <c r="P16"/>
  <c r="P18"/>
  <c r="P20"/>
  <c r="P35"/>
  <c r="P43"/>
  <c r="P45"/>
  <c r="G32"/>
  <c r="S33"/>
  <c r="S42" s="1"/>
  <c r="G36"/>
  <c r="G40"/>
  <c r="P8"/>
  <c r="M32"/>
  <c r="L48" l="1"/>
  <c r="O48"/>
  <c r="M13"/>
  <c r="M48" s="1"/>
  <c r="G22"/>
  <c r="M42"/>
  <c r="N48"/>
  <c r="D48"/>
  <c r="G47"/>
  <c r="P32"/>
  <c r="P42" s="1"/>
  <c r="T42" s="1"/>
  <c r="S48"/>
  <c r="P13"/>
  <c r="T13" s="1"/>
  <c r="P47"/>
  <c r="P22"/>
  <c r="T22" s="1"/>
  <c r="G42"/>
  <c r="G48" l="1"/>
  <c r="P48"/>
  <c r="T47"/>
  <c r="T48" s="1"/>
  <c r="T51" s="1"/>
</calcChain>
</file>

<file path=xl/sharedStrings.xml><?xml version="1.0" encoding="utf-8"?>
<sst xmlns="http://schemas.openxmlformats.org/spreadsheetml/2006/main" count="76" uniqueCount="58">
  <si>
    <t>1 квартал</t>
  </si>
  <si>
    <t>2 квартал</t>
  </si>
  <si>
    <t>3 квартал</t>
  </si>
  <si>
    <t>4 квартал</t>
  </si>
  <si>
    <t>Предприятие</t>
  </si>
  <si>
    <t>Группы потребителей</t>
  </si>
  <si>
    <t>1 полугодие</t>
  </si>
  <si>
    <t>2 полугодие</t>
  </si>
  <si>
    <t xml:space="preserve">1 полугодие </t>
  </si>
  <si>
    <t>ООО "Беломорэнерго"</t>
  </si>
  <si>
    <t>прочие потребители</t>
  </si>
  <si>
    <t>потребители, приравненные к населению (гаражи, хоз. постройки, прочие)/одноставочный тариф)</t>
  </si>
  <si>
    <t>Итого</t>
  </si>
  <si>
    <t>АО "Архангельская областная энергетическая компания"</t>
  </si>
  <si>
    <t>потребители приравненные к категории население одноставочный (религиозные)</t>
  </si>
  <si>
    <t>ООО "Поморские электросети"</t>
  </si>
  <si>
    <t>иные прочие потребители</t>
  </si>
  <si>
    <t>Всего</t>
  </si>
  <si>
    <t>1 квартал факт</t>
  </si>
  <si>
    <t>итого 2019 год</t>
  </si>
  <si>
    <t>население одноставочный тариф</t>
  </si>
  <si>
    <t>население газ плиты /одноставочный тариф по двум зонам  день/</t>
  </si>
  <si>
    <t>население газпл /одноставочный тариф по двум зонам ночь/</t>
  </si>
  <si>
    <t>население эл пл /одноставочный тариф по двум зонам день/</t>
  </si>
  <si>
    <t>население элпл /одноставочный тариф по двум зонам ночь/</t>
  </si>
  <si>
    <t>население газ пл /одноставочный тариф/</t>
  </si>
  <si>
    <t>религиозные /одноставочный тариф/</t>
  </si>
  <si>
    <t>приравненные к населнию  (гаражи)</t>
  </si>
  <si>
    <t>садоводческие товарищества</t>
  </si>
  <si>
    <t>осужденные</t>
  </si>
  <si>
    <t>4 квартал план</t>
  </si>
  <si>
    <t>потребители приравненные к категории население (религиозные) ночь</t>
  </si>
  <si>
    <t>потребители приравненные к категории население (религиозные) день</t>
  </si>
  <si>
    <t>потребители приравненные к населению (гаражи, хоз.постройки)</t>
  </si>
  <si>
    <t>Объем отпуска электрической энергии потребителям, к ВТ*ч</t>
  </si>
  <si>
    <t>Экономически обоснованный тариф на эл. энергию (без НДС),
 руб./кВт*ч</t>
  </si>
  <si>
    <t>Потребность в средствах субсидии, руб.</t>
  </si>
  <si>
    <t xml:space="preserve">Кредиторская задолженность  на 01.01.2019 г. </t>
  </si>
  <si>
    <t>Потребность, руб.</t>
  </si>
  <si>
    <t>декабрь 2019</t>
  </si>
  <si>
    <t>Потребность в средствах субсидии без учета декабря 2019, руб.,</t>
  </si>
  <si>
    <t>ЛИМИТ 2019</t>
  </si>
  <si>
    <t>Отпускной тариф для населения, потребителей приравленнных к категории "население",прочих потребителей (без НДС),
 руб./кВт*ч</t>
  </si>
  <si>
    <t>2 квартал факт</t>
  </si>
  <si>
    <r>
      <t xml:space="preserve">население </t>
    </r>
    <r>
      <rPr>
        <sz val="9"/>
        <rFont val="Times New Roman"/>
        <family val="1"/>
        <charset val="204"/>
      </rPr>
      <t xml:space="preserve"> /одноставочный тариф по двум зонам/день</t>
    </r>
  </si>
  <si>
    <t>население /одноставочный тариф по двум зонам/ночь</t>
  </si>
  <si>
    <t>население/одноставочный тариф по двум зонам/день</t>
  </si>
  <si>
    <t>ООО "ТГК -2 Энергосбыт"</t>
  </si>
  <si>
    <t>население электроплитыпл /одноставочный тариф/</t>
  </si>
  <si>
    <t>население /одноставочный тариф/день</t>
  </si>
  <si>
    <t>население /одноставочный тариф/ночь</t>
  </si>
  <si>
    <t>3 квартал план/факт</t>
  </si>
  <si>
    <t>ПАО "ТГК-2"</t>
  </si>
  <si>
    <t>Дополнительная потребность</t>
  </si>
  <si>
    <t xml:space="preserve">Объем отпуска, кВт*ч </t>
  </si>
  <si>
    <t xml:space="preserve">Плановый расчет 
потребности в средствах субсидии на возмещение недополученных доходов, возникающих в результате государственного регулирования тарифов на электрическую энергию, поставляемую покупателям на розничных рынках Архангельской области
 в 2019 году </t>
  </si>
  <si>
    <t xml:space="preserve">                                    к пояснительной записке</t>
  </si>
  <si>
    <t xml:space="preserve">                                    Приложение № 22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</si>
</sst>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name val="Tahoma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ahoma"/>
      <family val="2"/>
      <charset val="204"/>
    </font>
    <font>
      <b/>
      <sz val="1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</cellStyleXfs>
  <cellXfs count="41">
    <xf numFmtId="0" fontId="0" fillId="0" borderId="0" xfId="0"/>
    <xf numFmtId="0" fontId="7" fillId="0" borderId="1" xfId="0" applyFont="1" applyFill="1" applyBorder="1" applyAlignment="1">
      <alignment horizontal="left" vertical="center" wrapText="1" shrinkToFi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 wrapText="1"/>
    </xf>
    <xf numFmtId="0" fontId="9" fillId="0" borderId="0" xfId="0" applyFont="1" applyFill="1"/>
    <xf numFmtId="0" fontId="10" fillId="0" borderId="0" xfId="0" applyFont="1" applyFill="1"/>
    <xf numFmtId="0" fontId="8" fillId="0" borderId="0" xfId="0" applyFont="1" applyFill="1"/>
    <xf numFmtId="0" fontId="6" fillId="0" borderId="1" xfId="0" applyFont="1" applyFill="1" applyBorder="1" applyAlignment="1">
      <alignment horizontal="left" vertical="center" wrapText="1" shrinkToFit="1"/>
    </xf>
    <xf numFmtId="4" fontId="7" fillId="0" borderId="1" xfId="0" applyNumberFormat="1" applyFont="1" applyFill="1" applyBorder="1" applyAlignment="1">
      <alignment horizontal="center" vertical="center" wrapText="1" shrinkToFi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 shrinkToFit="1"/>
    </xf>
    <xf numFmtId="4" fontId="2" fillId="0" borderId="1" xfId="1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center" wrapText="1" shrinkToFit="1"/>
    </xf>
    <xf numFmtId="4" fontId="6" fillId="0" borderId="1" xfId="1" applyNumberFormat="1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/>
    </xf>
    <xf numFmtId="4" fontId="12" fillId="2" borderId="1" xfId="1" applyNumberFormat="1" applyFont="1" applyFill="1" applyBorder="1" applyAlignment="1">
      <alignment horizontal="center" vertical="center" wrapText="1" shrinkToFit="1"/>
    </xf>
    <xf numFmtId="4" fontId="12" fillId="2" borderId="1" xfId="1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4" fontId="0" fillId="0" borderId="0" xfId="0" applyNumberFormat="1"/>
    <xf numFmtId="4" fontId="10" fillId="0" borderId="1" xfId="1" applyNumberFormat="1" applyFont="1" applyFill="1" applyBorder="1" applyAlignment="1">
      <alignment horizontal="center" vertical="center"/>
    </xf>
    <xf numFmtId="43" fontId="14" fillId="0" borderId="0" xfId="0" applyNumberFormat="1" applyFont="1" applyAlignment="1">
      <alignment horizontal="center" vertical="center"/>
    </xf>
    <xf numFmtId="43" fontId="14" fillId="0" borderId="0" xfId="0" applyNumberFormat="1" applyFont="1"/>
    <xf numFmtId="0" fontId="11" fillId="0" borderId="0" xfId="2" applyFont="1" applyFill="1" applyBorder="1" applyAlignment="1">
      <alignment vertical="center" wrapText="1"/>
    </xf>
    <xf numFmtId="0" fontId="16" fillId="0" borderId="0" xfId="2" applyFont="1" applyFill="1" applyAlignment="1">
      <alignment horizontal="center" vertical="center" wrapText="1"/>
    </xf>
    <xf numFmtId="0" fontId="15" fillId="0" borderId="0" xfId="0" applyFont="1" applyFill="1" applyBorder="1" applyAlignment="1">
      <alignment horizontal="right"/>
    </xf>
    <xf numFmtId="0" fontId="17" fillId="0" borderId="0" xfId="2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 shrinkToFit="1"/>
    </xf>
    <xf numFmtId="49" fontId="12" fillId="2" borderId="1" xfId="0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0 2" xfId="5"/>
    <cellStyle name="Обычный 10 2 4 2" xfId="6"/>
    <cellStyle name="Обычный 2" xfId="3"/>
    <cellStyle name="Обычный 2 2" xfId="4"/>
    <cellStyle name="Обычный 7" xfId="2"/>
    <cellStyle name="Финансовый" xfId="1" builtinId="3"/>
  </cellStyles>
  <dxfs count="0"/>
  <tableStyles count="0" defaultTableStyle="TableStyleMedium9" defaultPivotStyle="PivotStyleLight16"/>
  <colors>
    <mruColors>
      <color rgb="FFFFCCFF"/>
      <color rgb="FFFFFFCC"/>
      <color rgb="FFCC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1"/>
  <sheetViews>
    <sheetView tabSelected="1" zoomScale="89" zoomScaleNormal="89" workbookViewId="0">
      <pane xSplit="2" ySplit="7" topLeftCell="C8" activePane="bottomRight" state="frozen"/>
      <selection pane="topRight" activeCell="C1" sqref="C1"/>
      <selection pane="bottomLeft" activeCell="A5" sqref="A5"/>
      <selection pane="bottomRight" activeCell="B3" sqref="B3"/>
    </sheetView>
  </sheetViews>
  <sheetFormatPr defaultRowHeight="15"/>
  <cols>
    <col min="1" max="1" width="19.140625" customWidth="1"/>
    <col min="2" max="2" width="38.85546875" customWidth="1"/>
    <col min="3" max="5" width="14.7109375" customWidth="1"/>
    <col min="6" max="6" width="13.5703125" customWidth="1"/>
    <col min="7" max="7" width="14" customWidth="1"/>
    <col min="8" max="11" width="15.42578125" customWidth="1"/>
    <col min="12" max="17" width="14.42578125" customWidth="1"/>
    <col min="18" max="19" width="19.140625" customWidth="1"/>
    <col min="20" max="20" width="19" customWidth="1"/>
  </cols>
  <sheetData>
    <row r="1" spans="1:23" s="5" customFormat="1" ht="18.75" customHeight="1">
      <c r="A1" s="26"/>
      <c r="B1" s="26"/>
      <c r="C1" s="28"/>
      <c r="D1" s="28"/>
      <c r="E1" s="28"/>
      <c r="F1" s="28"/>
      <c r="G1" s="28"/>
      <c r="H1" s="28"/>
      <c r="I1" s="30" t="s">
        <v>57</v>
      </c>
      <c r="J1" s="28"/>
      <c r="K1" s="28"/>
      <c r="L1" s="26"/>
      <c r="M1" s="26"/>
      <c r="N1" s="26"/>
      <c r="O1" s="26"/>
      <c r="P1" s="26"/>
      <c r="Q1" s="26"/>
      <c r="R1" s="26"/>
      <c r="S1" s="26"/>
      <c r="T1" s="26"/>
      <c r="U1" s="4"/>
      <c r="V1" s="4"/>
      <c r="W1" s="4"/>
    </row>
    <row r="2" spans="1:23" s="5" customFormat="1" ht="18.75" customHeight="1">
      <c r="A2" s="26"/>
      <c r="B2" s="26"/>
      <c r="C2" s="28"/>
      <c r="D2" s="28"/>
      <c r="E2" s="28"/>
      <c r="F2" s="28"/>
      <c r="G2" s="28"/>
      <c r="H2" s="28"/>
      <c r="I2" s="30" t="s">
        <v>56</v>
      </c>
      <c r="J2" s="28"/>
      <c r="K2" s="28"/>
      <c r="L2" s="26"/>
      <c r="M2" s="26"/>
      <c r="N2" s="26"/>
      <c r="O2" s="26"/>
      <c r="P2" s="26"/>
      <c r="Q2" s="26"/>
      <c r="R2" s="26"/>
      <c r="S2" s="26"/>
      <c r="T2" s="26"/>
      <c r="U2" s="4"/>
      <c r="V2" s="4"/>
      <c r="W2" s="4"/>
    </row>
    <row r="3" spans="1:23" s="5" customFormat="1" ht="20.25" customHeight="1">
      <c r="A3" s="26"/>
      <c r="B3" s="26"/>
      <c r="C3" s="28"/>
      <c r="D3" s="28"/>
      <c r="E3" s="28"/>
      <c r="F3" s="28"/>
      <c r="G3" s="28"/>
      <c r="H3" s="28"/>
      <c r="I3" s="28"/>
      <c r="J3" s="28"/>
      <c r="K3" s="28"/>
      <c r="L3" s="26"/>
      <c r="M3" s="26"/>
      <c r="N3" s="26"/>
      <c r="O3" s="26"/>
      <c r="P3" s="26"/>
      <c r="Q3" s="26"/>
      <c r="R3" s="26"/>
      <c r="S3" s="26"/>
      <c r="T3" s="26"/>
      <c r="U3" s="4"/>
      <c r="V3" s="4"/>
      <c r="W3" s="4"/>
    </row>
    <row r="4" spans="1:23" s="5" customFormat="1" ht="88.9" customHeight="1">
      <c r="A4" s="11"/>
      <c r="B4" s="11"/>
      <c r="C4" s="31" t="s">
        <v>55</v>
      </c>
      <c r="D4" s="31"/>
      <c r="E4" s="31"/>
      <c r="F4" s="31"/>
      <c r="G4" s="31"/>
      <c r="H4" s="31"/>
      <c r="I4" s="29"/>
      <c r="J4" s="29"/>
      <c r="K4" s="29"/>
      <c r="L4" s="11"/>
      <c r="M4" s="11"/>
      <c r="N4" s="11"/>
      <c r="O4" s="11"/>
      <c r="P4" s="11"/>
      <c r="Q4" s="11"/>
      <c r="R4" s="11"/>
      <c r="S4" s="11"/>
      <c r="T4" s="11"/>
      <c r="U4" s="4"/>
      <c r="V4" s="4"/>
      <c r="W4" s="4"/>
    </row>
    <row r="5" spans="1:23" s="5" customFormat="1" ht="19.5" customHeight="1">
      <c r="A5" s="10"/>
      <c r="B5" s="10"/>
      <c r="C5" s="27"/>
      <c r="D5" s="27"/>
      <c r="E5" s="27"/>
      <c r="F5" s="27"/>
      <c r="G5" s="27"/>
      <c r="H5" s="27"/>
      <c r="I5" s="27"/>
      <c r="J5" s="27"/>
      <c r="K5" s="27"/>
      <c r="L5" s="10"/>
      <c r="M5" s="10"/>
      <c r="N5" s="10"/>
      <c r="O5" s="10"/>
      <c r="P5" s="10"/>
      <c r="Q5" s="11"/>
      <c r="R5" s="10"/>
      <c r="S5" s="10"/>
      <c r="T5" s="10"/>
      <c r="U5" s="4"/>
      <c r="V5" s="4"/>
      <c r="W5" s="4"/>
    </row>
    <row r="6" spans="1:23" s="5" customFormat="1" ht="65.25" customHeight="1">
      <c r="A6" s="32" t="s">
        <v>4</v>
      </c>
      <c r="B6" s="32" t="s">
        <v>5</v>
      </c>
      <c r="C6" s="36" t="s">
        <v>34</v>
      </c>
      <c r="D6" s="36"/>
      <c r="E6" s="36"/>
      <c r="F6" s="36"/>
      <c r="G6" s="36"/>
      <c r="H6" s="37" t="s">
        <v>35</v>
      </c>
      <c r="I6" s="37"/>
      <c r="J6" s="37" t="s">
        <v>42</v>
      </c>
      <c r="K6" s="37"/>
      <c r="L6" s="32" t="s">
        <v>36</v>
      </c>
      <c r="M6" s="32"/>
      <c r="N6" s="32"/>
      <c r="O6" s="32"/>
      <c r="P6" s="32"/>
      <c r="Q6" s="33" t="s">
        <v>37</v>
      </c>
      <c r="R6" s="35" t="s">
        <v>39</v>
      </c>
      <c r="S6" s="35"/>
      <c r="T6" s="32" t="s">
        <v>40</v>
      </c>
    </row>
    <row r="7" spans="1:23" s="6" customFormat="1" ht="29.25" customHeight="1">
      <c r="A7" s="32"/>
      <c r="B7" s="32"/>
      <c r="C7" s="3" t="s">
        <v>18</v>
      </c>
      <c r="D7" s="3" t="s">
        <v>43</v>
      </c>
      <c r="E7" s="3" t="s">
        <v>51</v>
      </c>
      <c r="F7" s="3" t="s">
        <v>30</v>
      </c>
      <c r="G7" s="3" t="s">
        <v>19</v>
      </c>
      <c r="H7" s="17" t="s">
        <v>6</v>
      </c>
      <c r="I7" s="17" t="s">
        <v>7</v>
      </c>
      <c r="J7" s="17" t="s">
        <v>8</v>
      </c>
      <c r="K7" s="17" t="s">
        <v>7</v>
      </c>
      <c r="L7" s="3" t="s">
        <v>0</v>
      </c>
      <c r="M7" s="3" t="s">
        <v>1</v>
      </c>
      <c r="N7" s="3" t="s">
        <v>2</v>
      </c>
      <c r="O7" s="3" t="s">
        <v>3</v>
      </c>
      <c r="P7" s="3" t="s">
        <v>19</v>
      </c>
      <c r="Q7" s="34"/>
      <c r="R7" s="3" t="s">
        <v>54</v>
      </c>
      <c r="S7" s="3" t="s">
        <v>38</v>
      </c>
      <c r="T7" s="32"/>
      <c r="U7" s="5"/>
      <c r="V7" s="5"/>
      <c r="W7" s="5"/>
    </row>
    <row r="8" spans="1:23" s="7" customFormat="1" ht="24" customHeight="1">
      <c r="A8" s="39" t="s">
        <v>9</v>
      </c>
      <c r="B8" s="1" t="s">
        <v>20</v>
      </c>
      <c r="C8" s="12">
        <v>32703</v>
      </c>
      <c r="D8" s="12">
        <f>64516-C8</f>
        <v>31813</v>
      </c>
      <c r="E8" s="12">
        <v>12113</v>
      </c>
      <c r="F8" s="13">
        <v>0</v>
      </c>
      <c r="G8" s="12">
        <f>SUM(C8:F8)</f>
        <v>76629</v>
      </c>
      <c r="H8" s="12">
        <v>44.05</v>
      </c>
      <c r="I8" s="12">
        <v>44.05</v>
      </c>
      <c r="J8" s="12">
        <v>2.83</v>
      </c>
      <c r="K8" s="12">
        <v>2.87</v>
      </c>
      <c r="L8" s="12">
        <f>(H8-J8)*C8</f>
        <v>1348017.66</v>
      </c>
      <c r="M8" s="12">
        <f>(H8-J8)*D8</f>
        <v>1311331.8599999999</v>
      </c>
      <c r="N8" s="12">
        <f>(I8-K8)*E8</f>
        <v>498813.34</v>
      </c>
      <c r="O8" s="12">
        <f>(I8-K8)*F8</f>
        <v>0</v>
      </c>
      <c r="P8" s="12">
        <f>SUM(L8:O8)</f>
        <v>3158162.8599999994</v>
      </c>
      <c r="Q8" s="2"/>
      <c r="R8" s="9">
        <v>0</v>
      </c>
      <c r="S8" s="9">
        <f>(I8-K8)*R8</f>
        <v>0</v>
      </c>
      <c r="T8" s="14"/>
    </row>
    <row r="9" spans="1:23" s="7" customFormat="1" ht="24" customHeight="1">
      <c r="A9" s="39"/>
      <c r="B9" s="1" t="s">
        <v>44</v>
      </c>
      <c r="C9" s="12">
        <v>33918</v>
      </c>
      <c r="D9" s="12">
        <f>63527-C9</f>
        <v>29609</v>
      </c>
      <c r="E9" s="12">
        <v>11422</v>
      </c>
      <c r="F9" s="12">
        <v>0</v>
      </c>
      <c r="G9" s="12">
        <f>SUM(C9:F9)</f>
        <v>74949</v>
      </c>
      <c r="H9" s="12">
        <v>44.05</v>
      </c>
      <c r="I9" s="12">
        <v>44.05</v>
      </c>
      <c r="J9" s="12">
        <v>3.25</v>
      </c>
      <c r="K9" s="12">
        <v>3.3</v>
      </c>
      <c r="L9" s="12">
        <f>(H9-J9)*C9</f>
        <v>1383854.4</v>
      </c>
      <c r="M9" s="12">
        <f t="shared" ref="M9:N12" si="0">(H9-J9)*D9</f>
        <v>1208047.2</v>
      </c>
      <c r="N9" s="12">
        <f t="shared" si="0"/>
        <v>465446.5</v>
      </c>
      <c r="O9" s="12">
        <f>(I9-K9)*F9</f>
        <v>0</v>
      </c>
      <c r="P9" s="12">
        <f>SUM(L9:O9)</f>
        <v>3057348.0999999996</v>
      </c>
      <c r="Q9" s="2"/>
      <c r="R9" s="9">
        <v>0</v>
      </c>
      <c r="S9" s="9">
        <f>(I9-K9)*R9</f>
        <v>0</v>
      </c>
      <c r="T9" s="14"/>
    </row>
    <row r="10" spans="1:23" s="7" customFormat="1" ht="24" customHeight="1">
      <c r="A10" s="39"/>
      <c r="B10" s="1" t="s">
        <v>45</v>
      </c>
      <c r="C10" s="12">
        <v>10068</v>
      </c>
      <c r="D10" s="12">
        <f>19433-C10</f>
        <v>9365</v>
      </c>
      <c r="E10" s="12">
        <v>3898</v>
      </c>
      <c r="F10" s="12">
        <v>0</v>
      </c>
      <c r="G10" s="12">
        <f>SUM(C10:F10)</f>
        <v>23331</v>
      </c>
      <c r="H10" s="12">
        <v>44.05</v>
      </c>
      <c r="I10" s="12">
        <v>44.05</v>
      </c>
      <c r="J10" s="12">
        <v>0.88</v>
      </c>
      <c r="K10" s="12">
        <v>0.96</v>
      </c>
      <c r="L10" s="12">
        <f>(H10-J10)*C10</f>
        <v>434635.55999999994</v>
      </c>
      <c r="M10" s="12">
        <f t="shared" si="0"/>
        <v>404287.04999999993</v>
      </c>
      <c r="N10" s="12">
        <f t="shared" si="0"/>
        <v>167964.81999999998</v>
      </c>
      <c r="O10" s="12">
        <f>(I10-K10)*F10</f>
        <v>0</v>
      </c>
      <c r="P10" s="12">
        <f>SUM(L10:O10)</f>
        <v>1006887.4299999998</v>
      </c>
      <c r="Q10" s="2"/>
      <c r="R10" s="9">
        <v>0</v>
      </c>
      <c r="S10" s="9">
        <f>(I10-K10)*R10</f>
        <v>0</v>
      </c>
      <c r="T10" s="14"/>
    </row>
    <row r="11" spans="1:23" s="7" customFormat="1" ht="24" customHeight="1">
      <c r="A11" s="39"/>
      <c r="B11" s="1" t="s">
        <v>10</v>
      </c>
      <c r="C11" s="12">
        <v>92026</v>
      </c>
      <c r="D11" s="12">
        <f>145551-C11</f>
        <v>53525</v>
      </c>
      <c r="E11" s="12">
        <v>10638</v>
      </c>
      <c r="F11" s="12">
        <v>0</v>
      </c>
      <c r="G11" s="12">
        <f>SUM(C11:F11)</f>
        <v>156189</v>
      </c>
      <c r="H11" s="12">
        <v>44.05</v>
      </c>
      <c r="I11" s="12">
        <v>44.05</v>
      </c>
      <c r="J11" s="12">
        <v>7.95</v>
      </c>
      <c r="K11" s="12">
        <v>7.95</v>
      </c>
      <c r="L11" s="12">
        <f>(H11-J11)*C11</f>
        <v>3322138.5999999996</v>
      </c>
      <c r="M11" s="12">
        <f t="shared" si="0"/>
        <v>1932252.4999999998</v>
      </c>
      <c r="N11" s="12">
        <f t="shared" si="0"/>
        <v>384031.79999999993</v>
      </c>
      <c r="O11" s="12">
        <f>(I11-K11)*F11</f>
        <v>0</v>
      </c>
      <c r="P11" s="12">
        <f>SUM(L11:O11)</f>
        <v>5638422.8999999994</v>
      </c>
      <c r="Q11" s="2"/>
      <c r="R11" s="9">
        <v>0</v>
      </c>
      <c r="S11" s="9">
        <f>(I11-K11)*R11</f>
        <v>0</v>
      </c>
      <c r="T11" s="14"/>
    </row>
    <row r="12" spans="1:23" s="7" customFormat="1" ht="24" customHeight="1">
      <c r="A12" s="39"/>
      <c r="B12" s="1" t="s">
        <v>11</v>
      </c>
      <c r="C12" s="12">
        <v>182</v>
      </c>
      <c r="D12" s="12">
        <f>315-C12</f>
        <v>133</v>
      </c>
      <c r="E12" s="12">
        <v>27</v>
      </c>
      <c r="F12" s="12">
        <v>0</v>
      </c>
      <c r="G12" s="12">
        <f>SUM(C12:F12)</f>
        <v>342</v>
      </c>
      <c r="H12" s="12">
        <v>44.05</v>
      </c>
      <c r="I12" s="12">
        <v>44.05</v>
      </c>
      <c r="J12" s="12">
        <v>4.04</v>
      </c>
      <c r="K12" s="12">
        <v>4.09</v>
      </c>
      <c r="L12" s="12">
        <f>(H12-J12)*C12</f>
        <v>7281.82</v>
      </c>
      <c r="M12" s="12">
        <f t="shared" si="0"/>
        <v>5321.33</v>
      </c>
      <c r="N12" s="12">
        <f t="shared" si="0"/>
        <v>1078.9199999999998</v>
      </c>
      <c r="O12" s="12">
        <f>(I12-K12)*F12</f>
        <v>0</v>
      </c>
      <c r="P12" s="12">
        <f>SUM(L12:O12)</f>
        <v>13682.07</v>
      </c>
      <c r="Q12" s="2"/>
      <c r="R12" s="9">
        <v>0</v>
      </c>
      <c r="S12" s="9">
        <f>(I12-K12)*R12</f>
        <v>0</v>
      </c>
      <c r="T12" s="14"/>
    </row>
    <row r="13" spans="1:23" s="7" customFormat="1" ht="18.75" customHeight="1">
      <c r="A13" s="39"/>
      <c r="B13" s="8" t="s">
        <v>12</v>
      </c>
      <c r="C13" s="15">
        <f>SUM(C8:C12)</f>
        <v>168897</v>
      </c>
      <c r="D13" s="15">
        <f>SUM(D8:D12)</f>
        <v>124445</v>
      </c>
      <c r="E13" s="15">
        <f>SUM(E8:E12)</f>
        <v>38098</v>
      </c>
      <c r="F13" s="15">
        <f>SUM(F8:F12)</f>
        <v>0</v>
      </c>
      <c r="G13" s="15">
        <f>SUM(G8:G12)</f>
        <v>331440</v>
      </c>
      <c r="H13" s="15"/>
      <c r="I13" s="15"/>
      <c r="J13" s="15"/>
      <c r="K13" s="15"/>
      <c r="L13" s="15">
        <f>SUM(L8:L12)</f>
        <v>6495928.0399999991</v>
      </c>
      <c r="M13" s="15">
        <f>SUM(M8:M12)</f>
        <v>4861239.9399999995</v>
      </c>
      <c r="N13" s="15">
        <f>SUM(N8:N12)</f>
        <v>1517335.38</v>
      </c>
      <c r="O13" s="15">
        <f>SUM(O8:O12)</f>
        <v>0</v>
      </c>
      <c r="P13" s="15">
        <f>SUM(P8:P12)</f>
        <v>12874503.359999999</v>
      </c>
      <c r="Q13" s="2">
        <v>1884144.69</v>
      </c>
      <c r="R13" s="2">
        <f>SUM(R8:R12)</f>
        <v>0</v>
      </c>
      <c r="S13" s="2">
        <f>SUM(S8:S12)</f>
        <v>0</v>
      </c>
      <c r="T13" s="2">
        <f>P13+Q13-S13</f>
        <v>14758648.049999999</v>
      </c>
    </row>
    <row r="14" spans="1:23" s="7" customFormat="1" ht="24" customHeight="1">
      <c r="A14" s="39" t="s">
        <v>13</v>
      </c>
      <c r="B14" s="1" t="s">
        <v>46</v>
      </c>
      <c r="C14" s="12">
        <v>1751390</v>
      </c>
      <c r="D14" s="12">
        <f>3014227-C14</f>
        <v>1262837</v>
      </c>
      <c r="E14" s="12">
        <f>378403+440810</f>
        <v>819213</v>
      </c>
      <c r="F14" s="12">
        <v>0</v>
      </c>
      <c r="G14" s="12">
        <f t="shared" ref="G14:G41" si="1">SUM(C14:F14)</f>
        <v>3833440</v>
      </c>
      <c r="H14" s="12">
        <v>27.33</v>
      </c>
      <c r="I14" s="12">
        <v>27.33</v>
      </c>
      <c r="J14" s="12">
        <v>3.25</v>
      </c>
      <c r="K14" s="12">
        <v>3.3</v>
      </c>
      <c r="L14" s="12">
        <f>(H14-J14)*C14</f>
        <v>42173471.199999996</v>
      </c>
      <c r="M14" s="12">
        <f>(H14-J14)*D14</f>
        <v>30409114.959999997</v>
      </c>
      <c r="N14" s="12">
        <f>(I14-K14)*E14</f>
        <v>19685688.389999997</v>
      </c>
      <c r="O14" s="12">
        <f t="shared" ref="O14:O21" si="2">(34-K14)*F14</f>
        <v>0</v>
      </c>
      <c r="P14" s="12">
        <f>SUM(L14:O14)</f>
        <v>92268274.549999997</v>
      </c>
      <c r="Q14" s="2"/>
      <c r="R14" s="9">
        <v>0</v>
      </c>
      <c r="S14" s="9">
        <f>(I14-K14)*R14</f>
        <v>0</v>
      </c>
      <c r="T14" s="2"/>
    </row>
    <row r="15" spans="1:23" s="7" customFormat="1" ht="24" customHeight="1">
      <c r="A15" s="39"/>
      <c r="B15" s="1" t="s">
        <v>45</v>
      </c>
      <c r="C15" s="12">
        <v>849745</v>
      </c>
      <c r="D15" s="12">
        <f>1426494-C15</f>
        <v>576749</v>
      </c>
      <c r="E15" s="12">
        <f>151593+181755</f>
        <v>333348</v>
      </c>
      <c r="F15" s="12">
        <v>0</v>
      </c>
      <c r="G15" s="12">
        <f t="shared" si="1"/>
        <v>1759842</v>
      </c>
      <c r="H15" s="12">
        <v>27.33</v>
      </c>
      <c r="I15" s="12">
        <v>27.33</v>
      </c>
      <c r="J15" s="12">
        <v>0.88</v>
      </c>
      <c r="K15" s="12">
        <v>0.96</v>
      </c>
      <c r="L15" s="12">
        <f t="shared" ref="L15:L21" si="3">(H15-J15)*C15</f>
        <v>22475755.25</v>
      </c>
      <c r="M15" s="12">
        <f t="shared" ref="M15:N21" si="4">(H15-J15)*D15</f>
        <v>15255011.049999999</v>
      </c>
      <c r="N15" s="12">
        <f t="shared" si="4"/>
        <v>8790386.7599999998</v>
      </c>
      <c r="O15" s="12">
        <f t="shared" si="2"/>
        <v>0</v>
      </c>
      <c r="P15" s="12">
        <f t="shared" ref="P15:P21" si="5">SUM(L15:O15)</f>
        <v>46521153.059999995</v>
      </c>
      <c r="Q15" s="2"/>
      <c r="R15" s="9">
        <v>0</v>
      </c>
      <c r="S15" s="9">
        <f t="shared" ref="S15:S21" si="6">(I15-K15)*R15</f>
        <v>0</v>
      </c>
      <c r="T15" s="2"/>
    </row>
    <row r="16" spans="1:23" s="7" customFormat="1" ht="24" customHeight="1">
      <c r="A16" s="39"/>
      <c r="B16" s="1" t="s">
        <v>20</v>
      </c>
      <c r="C16" s="12">
        <v>2964752</v>
      </c>
      <c r="D16" s="12">
        <f>5602323-C16</f>
        <v>2637571</v>
      </c>
      <c r="E16" s="12">
        <f>955852+1076329</f>
        <v>2032181</v>
      </c>
      <c r="F16" s="12">
        <v>0</v>
      </c>
      <c r="G16" s="12">
        <f t="shared" si="1"/>
        <v>7634504</v>
      </c>
      <c r="H16" s="12">
        <v>27.33</v>
      </c>
      <c r="I16" s="12">
        <v>27.33</v>
      </c>
      <c r="J16" s="12">
        <v>2.83</v>
      </c>
      <c r="K16" s="12">
        <v>2.87</v>
      </c>
      <c r="L16" s="12">
        <f t="shared" si="3"/>
        <v>72636424</v>
      </c>
      <c r="M16" s="12">
        <f t="shared" si="4"/>
        <v>64620489.5</v>
      </c>
      <c r="N16" s="12">
        <f t="shared" si="4"/>
        <v>49707147.259999998</v>
      </c>
      <c r="O16" s="12">
        <f t="shared" si="2"/>
        <v>0</v>
      </c>
      <c r="P16" s="12">
        <f t="shared" si="5"/>
        <v>186964060.75999999</v>
      </c>
      <c r="Q16" s="2"/>
      <c r="R16" s="9">
        <v>0</v>
      </c>
      <c r="S16" s="9">
        <f t="shared" si="6"/>
        <v>0</v>
      </c>
      <c r="T16" s="2"/>
    </row>
    <row r="17" spans="1:20" s="7" customFormat="1" ht="24" customHeight="1">
      <c r="A17" s="39"/>
      <c r="B17" s="1" t="s">
        <v>10</v>
      </c>
      <c r="C17" s="12">
        <v>3238744</v>
      </c>
      <c r="D17" s="12">
        <f>5508533-C17</f>
        <v>2269789</v>
      </c>
      <c r="E17" s="12">
        <f>647992+727225</f>
        <v>1375217</v>
      </c>
      <c r="F17" s="12">
        <v>0</v>
      </c>
      <c r="G17" s="12">
        <f t="shared" si="1"/>
        <v>6883750</v>
      </c>
      <c r="H17" s="12">
        <v>27.33</v>
      </c>
      <c r="I17" s="12">
        <v>27.33</v>
      </c>
      <c r="J17" s="13">
        <v>7.95</v>
      </c>
      <c r="K17" s="13">
        <v>7.95</v>
      </c>
      <c r="L17" s="12">
        <f t="shared" si="3"/>
        <v>62766858.719999999</v>
      </c>
      <c r="M17" s="12">
        <f t="shared" si="4"/>
        <v>43988510.82</v>
      </c>
      <c r="N17" s="12">
        <f t="shared" si="4"/>
        <v>26651705.459999997</v>
      </c>
      <c r="O17" s="12">
        <f t="shared" si="2"/>
        <v>0</v>
      </c>
      <c r="P17" s="12">
        <f t="shared" si="5"/>
        <v>133407074.99999999</v>
      </c>
      <c r="Q17" s="2"/>
      <c r="R17" s="9">
        <v>0</v>
      </c>
      <c r="S17" s="9">
        <f t="shared" si="6"/>
        <v>0</v>
      </c>
      <c r="T17" s="2"/>
    </row>
    <row r="18" spans="1:20" s="7" customFormat="1" ht="24" customHeight="1">
      <c r="A18" s="39"/>
      <c r="B18" s="1" t="s">
        <v>32</v>
      </c>
      <c r="C18" s="12">
        <v>204899</v>
      </c>
      <c r="D18" s="12">
        <f>364471-C18</f>
        <v>159572</v>
      </c>
      <c r="E18" s="12">
        <f>59029+68575</f>
        <v>127604</v>
      </c>
      <c r="F18" s="12">
        <v>0</v>
      </c>
      <c r="G18" s="12">
        <f t="shared" si="1"/>
        <v>492075</v>
      </c>
      <c r="H18" s="12">
        <v>27.33</v>
      </c>
      <c r="I18" s="12">
        <v>27.33</v>
      </c>
      <c r="J18" s="12">
        <v>3.49</v>
      </c>
      <c r="K18" s="12">
        <v>3.53</v>
      </c>
      <c r="L18" s="12">
        <f t="shared" si="3"/>
        <v>4884792.1599999992</v>
      </c>
      <c r="M18" s="12">
        <f t="shared" si="4"/>
        <v>3804196.4799999995</v>
      </c>
      <c r="N18" s="12">
        <f t="shared" si="4"/>
        <v>3036975.1999999997</v>
      </c>
      <c r="O18" s="12">
        <f t="shared" si="2"/>
        <v>0</v>
      </c>
      <c r="P18" s="12">
        <f t="shared" si="5"/>
        <v>11725963.839999998</v>
      </c>
      <c r="Q18" s="2"/>
      <c r="R18" s="9">
        <v>0</v>
      </c>
      <c r="S18" s="9">
        <f t="shared" si="6"/>
        <v>0</v>
      </c>
      <c r="T18" s="2"/>
    </row>
    <row r="19" spans="1:20" s="7" customFormat="1" ht="24" customHeight="1">
      <c r="A19" s="39"/>
      <c r="B19" s="1" t="s">
        <v>31</v>
      </c>
      <c r="C19" s="12">
        <v>92729</v>
      </c>
      <c r="D19" s="12">
        <f>156817-C19</f>
        <v>64088</v>
      </c>
      <c r="E19" s="12">
        <f>17182+16588</f>
        <v>33770</v>
      </c>
      <c r="F19" s="12">
        <v>0</v>
      </c>
      <c r="G19" s="12">
        <f t="shared" si="1"/>
        <v>190587</v>
      </c>
      <c r="H19" s="12">
        <v>27.33</v>
      </c>
      <c r="I19" s="12">
        <v>27.33</v>
      </c>
      <c r="J19" s="12">
        <v>0.94</v>
      </c>
      <c r="K19" s="12">
        <v>1.03</v>
      </c>
      <c r="L19" s="12">
        <f t="shared" si="3"/>
        <v>2447118.3099999996</v>
      </c>
      <c r="M19" s="12">
        <f t="shared" si="4"/>
        <v>1691282.3199999998</v>
      </c>
      <c r="N19" s="12">
        <f t="shared" si="4"/>
        <v>888150.99999999988</v>
      </c>
      <c r="O19" s="12">
        <f t="shared" si="2"/>
        <v>0</v>
      </c>
      <c r="P19" s="12">
        <f t="shared" si="5"/>
        <v>5026551.629999999</v>
      </c>
      <c r="Q19" s="2"/>
      <c r="R19" s="9">
        <v>0</v>
      </c>
      <c r="S19" s="9">
        <f t="shared" si="6"/>
        <v>0</v>
      </c>
      <c r="T19" s="2"/>
    </row>
    <row r="20" spans="1:20" s="7" customFormat="1" ht="24" customHeight="1">
      <c r="A20" s="39"/>
      <c r="B20" s="1" t="s">
        <v>14</v>
      </c>
      <c r="C20" s="12">
        <v>115330</v>
      </c>
      <c r="D20" s="12">
        <f>218374-C20</f>
        <v>103044</v>
      </c>
      <c r="E20" s="12">
        <f>50304+49603</f>
        <v>99907</v>
      </c>
      <c r="F20" s="12">
        <v>0</v>
      </c>
      <c r="G20" s="12">
        <f t="shared" si="1"/>
        <v>318281</v>
      </c>
      <c r="H20" s="12">
        <v>27.33</v>
      </c>
      <c r="I20" s="12">
        <v>27.33</v>
      </c>
      <c r="J20" s="12">
        <v>3.03</v>
      </c>
      <c r="K20" s="12">
        <v>3.07</v>
      </c>
      <c r="L20" s="12">
        <f t="shared" si="3"/>
        <v>2802518.9999999995</v>
      </c>
      <c r="M20" s="12">
        <f t="shared" si="4"/>
        <v>2503969.1999999997</v>
      </c>
      <c r="N20" s="12">
        <f t="shared" si="4"/>
        <v>2423743.8199999998</v>
      </c>
      <c r="O20" s="12">
        <f t="shared" si="2"/>
        <v>0</v>
      </c>
      <c r="P20" s="12">
        <f t="shared" si="5"/>
        <v>7730232.0199999996</v>
      </c>
      <c r="Q20" s="2"/>
      <c r="R20" s="9">
        <v>0</v>
      </c>
      <c r="S20" s="9">
        <f t="shared" si="6"/>
        <v>0</v>
      </c>
      <c r="T20" s="2"/>
    </row>
    <row r="21" spans="1:20" s="7" customFormat="1" ht="24" customHeight="1">
      <c r="A21" s="39"/>
      <c r="B21" s="1" t="s">
        <v>33</v>
      </c>
      <c r="C21" s="12">
        <v>4900</v>
      </c>
      <c r="D21" s="12">
        <f>10602-C21</f>
        <v>5702</v>
      </c>
      <c r="E21" s="12">
        <f>2857+4574</f>
        <v>7431</v>
      </c>
      <c r="F21" s="12">
        <v>0</v>
      </c>
      <c r="G21" s="12">
        <f t="shared" si="1"/>
        <v>18033</v>
      </c>
      <c r="H21" s="12">
        <v>27.33</v>
      </c>
      <c r="I21" s="12">
        <v>27.33</v>
      </c>
      <c r="J21" s="12">
        <v>4.04</v>
      </c>
      <c r="K21" s="12">
        <v>4.09</v>
      </c>
      <c r="L21" s="12">
        <f t="shared" si="3"/>
        <v>114121</v>
      </c>
      <c r="M21" s="12">
        <f t="shared" si="4"/>
        <v>132799.57999999999</v>
      </c>
      <c r="N21" s="12">
        <f t="shared" si="4"/>
        <v>172696.44</v>
      </c>
      <c r="O21" s="12">
        <f t="shared" si="2"/>
        <v>0</v>
      </c>
      <c r="P21" s="12">
        <f t="shared" si="5"/>
        <v>419617.02</v>
      </c>
      <c r="Q21" s="2"/>
      <c r="R21" s="9">
        <v>0</v>
      </c>
      <c r="S21" s="9">
        <f t="shared" si="6"/>
        <v>0</v>
      </c>
      <c r="T21" s="2"/>
    </row>
    <row r="22" spans="1:20" s="7" customFormat="1" ht="18.75" customHeight="1">
      <c r="A22" s="39"/>
      <c r="B22" s="8" t="s">
        <v>12</v>
      </c>
      <c r="C22" s="15">
        <f>SUM(C14:C21)</f>
        <v>9222489</v>
      </c>
      <c r="D22" s="15">
        <f t="shared" ref="D22:O22" si="7">SUM(D14:D21)</f>
        <v>7079352</v>
      </c>
      <c r="E22" s="15">
        <f t="shared" si="7"/>
        <v>4828671</v>
      </c>
      <c r="F22" s="15">
        <f t="shared" si="7"/>
        <v>0</v>
      </c>
      <c r="G22" s="15">
        <f t="shared" si="7"/>
        <v>21130512</v>
      </c>
      <c r="H22" s="15"/>
      <c r="I22" s="15"/>
      <c r="J22" s="15"/>
      <c r="K22" s="15"/>
      <c r="L22" s="15">
        <f t="shared" si="7"/>
        <v>210301059.63999999</v>
      </c>
      <c r="M22" s="15">
        <f t="shared" si="7"/>
        <v>162405373.90999997</v>
      </c>
      <c r="N22" s="15">
        <f t="shared" si="7"/>
        <v>111356494.32999998</v>
      </c>
      <c r="O22" s="15">
        <f t="shared" si="7"/>
        <v>0</v>
      </c>
      <c r="P22" s="15">
        <f>SUM(P14:P21)</f>
        <v>484062927.87999994</v>
      </c>
      <c r="Q22" s="2">
        <v>64155315.4799999</v>
      </c>
      <c r="R22" s="2">
        <f>SUM(R14:R21)</f>
        <v>0</v>
      </c>
      <c r="S22" s="2">
        <f>SUM(S14:S21)</f>
        <v>0</v>
      </c>
      <c r="T22" s="2">
        <f>P22+Q22-S22</f>
        <v>548218243.3599999</v>
      </c>
    </row>
    <row r="23" spans="1:20" s="7" customFormat="1" ht="24" customHeight="1">
      <c r="A23" s="39" t="s">
        <v>52</v>
      </c>
      <c r="B23" s="1" t="s">
        <v>46</v>
      </c>
      <c r="C23" s="12">
        <v>0</v>
      </c>
      <c r="D23" s="12">
        <v>0</v>
      </c>
      <c r="E23" s="12">
        <v>391183.03</v>
      </c>
      <c r="F23" s="12">
        <v>1381408.68</v>
      </c>
      <c r="G23" s="12">
        <f t="shared" ref="G23:G30" si="8">SUM(C23:F23)</f>
        <v>1772591.71</v>
      </c>
      <c r="H23" s="12"/>
      <c r="I23" s="12">
        <v>34</v>
      </c>
      <c r="J23" s="12"/>
      <c r="K23" s="12">
        <v>3.3</v>
      </c>
      <c r="L23" s="12">
        <f>(H23-J23)*C23</f>
        <v>0</v>
      </c>
      <c r="M23" s="12">
        <f>(H23-J23)*D23</f>
        <v>0</v>
      </c>
      <c r="N23" s="12">
        <f>(I23-K23)*E23</f>
        <v>12009319.021</v>
      </c>
      <c r="O23" s="12">
        <f t="shared" ref="O23:O30" si="9">(34-K23)*F23</f>
        <v>42409246.475999996</v>
      </c>
      <c r="P23" s="12">
        <f>SUM(L23:O23)</f>
        <v>54418565.496999994</v>
      </c>
      <c r="Q23" s="2"/>
      <c r="R23" s="9">
        <v>483493.04</v>
      </c>
      <c r="S23" s="9">
        <f>(I23-K23)*R23</f>
        <v>14843236.328</v>
      </c>
      <c r="T23" s="2"/>
    </row>
    <row r="24" spans="1:20" s="7" customFormat="1" ht="24" customHeight="1">
      <c r="A24" s="39"/>
      <c r="B24" s="1" t="s">
        <v>45</v>
      </c>
      <c r="C24" s="12">
        <v>0</v>
      </c>
      <c r="D24" s="12">
        <v>0</v>
      </c>
      <c r="E24" s="12">
        <v>147053.44</v>
      </c>
      <c r="F24" s="12">
        <v>612537.39</v>
      </c>
      <c r="G24" s="12">
        <f t="shared" si="8"/>
        <v>759590.83000000007</v>
      </c>
      <c r="H24" s="12"/>
      <c r="I24" s="12">
        <v>34</v>
      </c>
      <c r="J24" s="12"/>
      <c r="K24" s="12">
        <v>0.96</v>
      </c>
      <c r="L24" s="12">
        <f t="shared" ref="L24:L30" si="10">(H24-J24)*C24</f>
        <v>0</v>
      </c>
      <c r="M24" s="12">
        <f t="shared" ref="M24:M30" si="11">(H24-J24)*D24</f>
        <v>0</v>
      </c>
      <c r="N24" s="12">
        <f t="shared" ref="N24:N30" si="12">(I24-K24)*E24</f>
        <v>4858645.6575999996</v>
      </c>
      <c r="O24" s="12">
        <f t="shared" si="9"/>
        <v>20238235.365600001</v>
      </c>
      <c r="P24" s="12">
        <f t="shared" ref="P24:P30" si="13">SUM(L24:O24)</f>
        <v>25096881.023200002</v>
      </c>
      <c r="Q24" s="2"/>
      <c r="R24" s="9">
        <v>214388.09</v>
      </c>
      <c r="S24" s="9">
        <f t="shared" ref="S24:S30" si="14">(I24-K24)*R24</f>
        <v>7083382.4935999997</v>
      </c>
      <c r="T24" s="2"/>
    </row>
    <row r="25" spans="1:20" s="7" customFormat="1" ht="24" customHeight="1">
      <c r="A25" s="39"/>
      <c r="B25" s="1" t="s">
        <v>20</v>
      </c>
      <c r="C25" s="12">
        <v>0</v>
      </c>
      <c r="D25" s="12">
        <v>0</v>
      </c>
      <c r="E25" s="12">
        <v>1052962.71</v>
      </c>
      <c r="F25" s="12">
        <v>2877906.19</v>
      </c>
      <c r="G25" s="12">
        <f t="shared" si="8"/>
        <v>3930868.9</v>
      </c>
      <c r="H25" s="12"/>
      <c r="I25" s="12">
        <v>34</v>
      </c>
      <c r="J25" s="12"/>
      <c r="K25" s="12">
        <v>2.87</v>
      </c>
      <c r="L25" s="12">
        <f t="shared" si="10"/>
        <v>0</v>
      </c>
      <c r="M25" s="12">
        <f t="shared" si="11"/>
        <v>0</v>
      </c>
      <c r="N25" s="12">
        <f t="shared" si="12"/>
        <v>32778729.162299998</v>
      </c>
      <c r="O25" s="12">
        <f t="shared" si="9"/>
        <v>89589219.694700003</v>
      </c>
      <c r="P25" s="12">
        <f t="shared" si="13"/>
        <v>122367948.85699999</v>
      </c>
      <c r="Q25" s="2"/>
      <c r="R25" s="9">
        <v>1007267.17</v>
      </c>
      <c r="S25" s="9">
        <f t="shared" si="14"/>
        <v>31356227.002100002</v>
      </c>
      <c r="T25" s="2"/>
    </row>
    <row r="26" spans="1:20" s="7" customFormat="1" ht="24" customHeight="1">
      <c r="A26" s="39"/>
      <c r="B26" s="1" t="s">
        <v>10</v>
      </c>
      <c r="C26" s="12">
        <v>0</v>
      </c>
      <c r="D26" s="12">
        <v>0</v>
      </c>
      <c r="E26" s="12">
        <v>915528.05</v>
      </c>
      <c r="F26" s="12">
        <v>3656820.23</v>
      </c>
      <c r="G26" s="12">
        <f t="shared" si="8"/>
        <v>4572348.28</v>
      </c>
      <c r="H26" s="12"/>
      <c r="I26" s="12">
        <v>34</v>
      </c>
      <c r="J26" s="13"/>
      <c r="K26" s="13">
        <v>7.95</v>
      </c>
      <c r="L26" s="12">
        <f t="shared" si="10"/>
        <v>0</v>
      </c>
      <c r="M26" s="12">
        <f t="shared" si="11"/>
        <v>0</v>
      </c>
      <c r="N26" s="12">
        <f t="shared" si="12"/>
        <v>23849505.702500001</v>
      </c>
      <c r="O26" s="12">
        <f t="shared" si="9"/>
        <v>95260166.991500005</v>
      </c>
      <c r="P26" s="12">
        <f t="shared" si="13"/>
        <v>119109672.69400001</v>
      </c>
      <c r="Q26" s="2"/>
      <c r="R26" s="9">
        <v>1279887.08</v>
      </c>
      <c r="S26" s="9">
        <f t="shared" si="14"/>
        <v>33341058.434000004</v>
      </c>
      <c r="T26" s="2"/>
    </row>
    <row r="27" spans="1:20" s="7" customFormat="1" ht="24" customHeight="1">
      <c r="A27" s="39"/>
      <c r="B27" s="1" t="s">
        <v>32</v>
      </c>
      <c r="C27" s="12">
        <v>0</v>
      </c>
      <c r="D27" s="12">
        <v>0</v>
      </c>
      <c r="E27" s="12">
        <v>50606.67</v>
      </c>
      <c r="F27" s="12">
        <v>151892</v>
      </c>
      <c r="G27" s="12">
        <f t="shared" si="8"/>
        <v>202498.66999999998</v>
      </c>
      <c r="H27" s="12"/>
      <c r="I27" s="12">
        <v>34</v>
      </c>
      <c r="J27" s="12"/>
      <c r="K27" s="12">
        <v>3.53</v>
      </c>
      <c r="L27" s="12">
        <f t="shared" si="10"/>
        <v>0</v>
      </c>
      <c r="M27" s="12">
        <f t="shared" si="11"/>
        <v>0</v>
      </c>
      <c r="N27" s="12">
        <f t="shared" si="12"/>
        <v>1541985.2348999998</v>
      </c>
      <c r="O27" s="12">
        <f t="shared" si="9"/>
        <v>4628149.24</v>
      </c>
      <c r="P27" s="12">
        <f t="shared" si="13"/>
        <v>6170134.4748999998</v>
      </c>
      <c r="Q27" s="2"/>
      <c r="R27" s="9">
        <v>53162.2</v>
      </c>
      <c r="S27" s="9">
        <f t="shared" si="14"/>
        <v>1619852.2339999999</v>
      </c>
      <c r="T27" s="2"/>
    </row>
    <row r="28" spans="1:20" s="7" customFormat="1" ht="24" customHeight="1">
      <c r="A28" s="39"/>
      <c r="B28" s="1" t="s">
        <v>31</v>
      </c>
      <c r="C28" s="12">
        <v>0</v>
      </c>
      <c r="D28" s="12">
        <v>0</v>
      </c>
      <c r="E28" s="12">
        <v>16762.330000000002</v>
      </c>
      <c r="F28" s="12">
        <v>61522</v>
      </c>
      <c r="G28" s="12">
        <f t="shared" si="8"/>
        <v>78284.33</v>
      </c>
      <c r="H28" s="12"/>
      <c r="I28" s="12">
        <v>34</v>
      </c>
      <c r="J28" s="12"/>
      <c r="K28" s="12">
        <v>1.03</v>
      </c>
      <c r="L28" s="12">
        <f t="shared" si="10"/>
        <v>0</v>
      </c>
      <c r="M28" s="12">
        <f t="shared" si="11"/>
        <v>0</v>
      </c>
      <c r="N28" s="12">
        <f t="shared" si="12"/>
        <v>552654.02010000008</v>
      </c>
      <c r="O28" s="12">
        <f t="shared" si="9"/>
        <v>2028380.3399999999</v>
      </c>
      <c r="P28" s="12">
        <f t="shared" si="13"/>
        <v>2581034.3601000002</v>
      </c>
      <c r="Q28" s="2"/>
      <c r="R28" s="9">
        <v>21532.7</v>
      </c>
      <c r="S28" s="9">
        <f t="shared" si="14"/>
        <v>709933.11899999995</v>
      </c>
      <c r="T28" s="2"/>
    </row>
    <row r="29" spans="1:20" s="7" customFormat="1" ht="24" customHeight="1">
      <c r="A29" s="39"/>
      <c r="B29" s="1" t="s">
        <v>14</v>
      </c>
      <c r="C29" s="12">
        <v>0</v>
      </c>
      <c r="D29" s="12">
        <v>0</v>
      </c>
      <c r="E29" s="12">
        <v>40196.33</v>
      </c>
      <c r="F29" s="12">
        <v>83056</v>
      </c>
      <c r="G29" s="12">
        <f t="shared" si="8"/>
        <v>123252.33</v>
      </c>
      <c r="H29" s="12"/>
      <c r="I29" s="12">
        <v>34</v>
      </c>
      <c r="J29" s="12"/>
      <c r="K29" s="12">
        <v>3.07</v>
      </c>
      <c r="L29" s="12">
        <f t="shared" si="10"/>
        <v>0</v>
      </c>
      <c r="M29" s="12">
        <f t="shared" si="11"/>
        <v>0</v>
      </c>
      <c r="N29" s="12">
        <f t="shared" si="12"/>
        <v>1243272.4869000001</v>
      </c>
      <c r="O29" s="12">
        <f t="shared" si="9"/>
        <v>2568922.08</v>
      </c>
      <c r="P29" s="12">
        <f t="shared" si="13"/>
        <v>3812194.5669</v>
      </c>
      <c r="Q29" s="2"/>
      <c r="R29" s="9">
        <v>29069.599999999999</v>
      </c>
      <c r="S29" s="9">
        <f t="shared" si="14"/>
        <v>899122.728</v>
      </c>
      <c r="T29" s="2"/>
    </row>
    <row r="30" spans="1:20" s="7" customFormat="1" ht="24" customHeight="1">
      <c r="A30" s="39"/>
      <c r="B30" s="1" t="s">
        <v>33</v>
      </c>
      <c r="C30" s="12">
        <v>0</v>
      </c>
      <c r="D30" s="12">
        <v>0</v>
      </c>
      <c r="E30" s="12">
        <v>1804.27</v>
      </c>
      <c r="F30" s="12">
        <v>6745.33</v>
      </c>
      <c r="G30" s="12">
        <f t="shared" si="8"/>
        <v>8549.6</v>
      </c>
      <c r="H30" s="12"/>
      <c r="I30" s="12">
        <v>34</v>
      </c>
      <c r="J30" s="12"/>
      <c r="K30" s="12">
        <v>4.09</v>
      </c>
      <c r="L30" s="12">
        <f t="shared" si="10"/>
        <v>0</v>
      </c>
      <c r="M30" s="12">
        <f t="shared" si="11"/>
        <v>0</v>
      </c>
      <c r="N30" s="12">
        <f t="shared" si="12"/>
        <v>53965.715700000001</v>
      </c>
      <c r="O30" s="12">
        <f t="shared" si="9"/>
        <v>201752.82029999999</v>
      </c>
      <c r="P30" s="12">
        <f t="shared" si="13"/>
        <v>255718.53599999999</v>
      </c>
      <c r="Q30" s="2"/>
      <c r="R30" s="9">
        <v>2360.87</v>
      </c>
      <c r="S30" s="9">
        <f t="shared" si="14"/>
        <v>70613.621700000003</v>
      </c>
      <c r="T30" s="2"/>
    </row>
    <row r="31" spans="1:20" s="7" customFormat="1" ht="17.25" customHeight="1">
      <c r="A31" s="39"/>
      <c r="B31" s="8" t="s">
        <v>12</v>
      </c>
      <c r="C31" s="15">
        <f>SUM(C23:C30)</f>
        <v>0</v>
      </c>
      <c r="D31" s="15">
        <f>SUM(D23:D30)</f>
        <v>0</v>
      </c>
      <c r="E31" s="15">
        <f>SUM(E23:E30)</f>
        <v>2616096.83</v>
      </c>
      <c r="F31" s="15">
        <f>SUM(F23:F30)</f>
        <v>8831887.8200000003</v>
      </c>
      <c r="G31" s="15">
        <f>SUM(G23:G30)</f>
        <v>11447984.649999999</v>
      </c>
      <c r="H31" s="15"/>
      <c r="I31" s="15"/>
      <c r="J31" s="15"/>
      <c r="K31" s="15"/>
      <c r="L31" s="15">
        <f>SUM(L23:L30)</f>
        <v>0</v>
      </c>
      <c r="M31" s="15">
        <f>SUM(M23:M30)</f>
        <v>0</v>
      </c>
      <c r="N31" s="15">
        <f>SUM(N23:N30)</f>
        <v>76888077.000999987</v>
      </c>
      <c r="O31" s="15">
        <f>SUM(O23:O30)</f>
        <v>256924073.00810006</v>
      </c>
      <c r="P31" s="15">
        <f>SUM(P23:P30)</f>
        <v>333812150.00910002</v>
      </c>
      <c r="Q31" s="2"/>
      <c r="R31" s="2">
        <f>SUM(R23:R30)</f>
        <v>3091160.7500000005</v>
      </c>
      <c r="S31" s="2">
        <f>SUM(S23:S30)</f>
        <v>89923425.9604</v>
      </c>
      <c r="T31" s="2">
        <f>P31+Q31-S31</f>
        <v>243888724.04870003</v>
      </c>
    </row>
    <row r="32" spans="1:20" s="7" customFormat="1" ht="24" customHeight="1">
      <c r="A32" s="39" t="s">
        <v>47</v>
      </c>
      <c r="B32" s="1" t="s">
        <v>21</v>
      </c>
      <c r="C32" s="12">
        <v>68775</v>
      </c>
      <c r="D32" s="12">
        <f>135164-C32</f>
        <v>66389</v>
      </c>
      <c r="E32" s="12">
        <v>20500</v>
      </c>
      <c r="F32" s="12">
        <v>25500</v>
      </c>
      <c r="G32" s="12">
        <f t="shared" si="1"/>
        <v>181164</v>
      </c>
      <c r="H32" s="12">
        <v>4.6500000000000004</v>
      </c>
      <c r="I32" s="23">
        <v>4.71</v>
      </c>
      <c r="J32" s="12">
        <v>3.3</v>
      </c>
      <c r="K32" s="12">
        <v>3.6</v>
      </c>
      <c r="L32" s="12">
        <f>(H32-J32)*C32</f>
        <v>92846.250000000044</v>
      </c>
      <c r="M32" s="12">
        <f>(H32-J32)*D32</f>
        <v>89625.150000000038</v>
      </c>
      <c r="N32" s="12">
        <f>(I32-K32)*E32</f>
        <v>22754.999999999996</v>
      </c>
      <c r="O32" s="12">
        <f>(I32-K32)*F32</f>
        <v>28304.999999999996</v>
      </c>
      <c r="P32" s="12">
        <f>SUM(L32:O32)</f>
        <v>233531.40000000008</v>
      </c>
      <c r="Q32" s="2"/>
      <c r="R32" s="9">
        <f>F32/3</f>
        <v>8500</v>
      </c>
      <c r="S32" s="9">
        <f>(I32-K32)*R32</f>
        <v>9434.9999999999982</v>
      </c>
      <c r="T32" s="2"/>
    </row>
    <row r="33" spans="1:20" s="7" customFormat="1" ht="24" customHeight="1">
      <c r="A33" s="39"/>
      <c r="B33" s="1" t="s">
        <v>22</v>
      </c>
      <c r="C33" s="12">
        <v>28041</v>
      </c>
      <c r="D33" s="12">
        <f>52552-C33</f>
        <v>24511</v>
      </c>
      <c r="E33" s="12">
        <v>6500</v>
      </c>
      <c r="F33" s="12">
        <v>12500</v>
      </c>
      <c r="G33" s="12">
        <f t="shared" si="1"/>
        <v>71552</v>
      </c>
      <c r="H33" s="12">
        <v>1.26</v>
      </c>
      <c r="I33" s="23">
        <v>1.38</v>
      </c>
      <c r="J33" s="12">
        <v>1.2</v>
      </c>
      <c r="K33" s="12">
        <v>1.31</v>
      </c>
      <c r="L33" s="12">
        <f t="shared" ref="L33:L41" si="15">(H33-J33)*C33</f>
        <v>1682.4600000000014</v>
      </c>
      <c r="M33" s="12">
        <f t="shared" ref="M33:N41" si="16">(H33-J33)*D33</f>
        <v>1470.6600000000012</v>
      </c>
      <c r="N33" s="12">
        <f t="shared" si="16"/>
        <v>454.99999999999898</v>
      </c>
      <c r="O33" s="12">
        <f t="shared" ref="O33:O41" si="17">(I33-K33)*F33</f>
        <v>874.99999999999795</v>
      </c>
      <c r="P33" s="12">
        <f t="shared" ref="P33:P41" si="18">SUM(L33:O33)</f>
        <v>4483.12</v>
      </c>
      <c r="Q33" s="2"/>
      <c r="R33" s="9">
        <f t="shared" ref="R33:R41" si="19">F33/3</f>
        <v>4166.666666666667</v>
      </c>
      <c r="S33" s="9">
        <f t="shared" ref="S33:S41" si="20">(I33-K33)*R33</f>
        <v>291.666666666666</v>
      </c>
      <c r="T33" s="2"/>
    </row>
    <row r="34" spans="1:20" s="7" customFormat="1" ht="24" customHeight="1">
      <c r="A34" s="39"/>
      <c r="B34" s="1" t="s">
        <v>25</v>
      </c>
      <c r="C34" s="12">
        <v>6232781</v>
      </c>
      <c r="D34" s="12">
        <f>11555793-C34</f>
        <v>5323012</v>
      </c>
      <c r="E34" s="12">
        <v>4967000</v>
      </c>
      <c r="F34" s="12">
        <v>6231100</v>
      </c>
      <c r="G34" s="12">
        <f t="shared" si="1"/>
        <v>22753893</v>
      </c>
      <c r="H34" s="12">
        <v>4.04</v>
      </c>
      <c r="I34" s="23">
        <v>4.09</v>
      </c>
      <c r="J34" s="12">
        <v>3.08</v>
      </c>
      <c r="K34" s="12">
        <v>3.37</v>
      </c>
      <c r="L34" s="12">
        <f t="shared" si="15"/>
        <v>5983469.7599999998</v>
      </c>
      <c r="M34" s="12">
        <f t="shared" si="16"/>
        <v>5110091.5199999996</v>
      </c>
      <c r="N34" s="12">
        <f t="shared" si="16"/>
        <v>3576239.9999999986</v>
      </c>
      <c r="O34" s="12">
        <f t="shared" si="17"/>
        <v>4486391.9999999981</v>
      </c>
      <c r="P34" s="12">
        <f t="shared" si="18"/>
        <v>19156193.279999994</v>
      </c>
      <c r="Q34" s="2"/>
      <c r="R34" s="9">
        <f t="shared" si="19"/>
        <v>2077033.3333333333</v>
      </c>
      <c r="S34" s="9">
        <f t="shared" si="20"/>
        <v>1495463.9999999995</v>
      </c>
      <c r="T34" s="2"/>
    </row>
    <row r="35" spans="1:20" s="7" customFormat="1" ht="24" customHeight="1">
      <c r="A35" s="39"/>
      <c r="B35" s="1" t="s">
        <v>23</v>
      </c>
      <c r="C35" s="12">
        <v>9886</v>
      </c>
      <c r="D35" s="12">
        <f>15070-C35</f>
        <v>5184</v>
      </c>
      <c r="E35" s="12">
        <v>500</v>
      </c>
      <c r="F35" s="12">
        <v>1500</v>
      </c>
      <c r="G35" s="12">
        <f t="shared" si="1"/>
        <v>17070</v>
      </c>
      <c r="H35" s="12">
        <v>3.49</v>
      </c>
      <c r="I35" s="23">
        <v>3.53</v>
      </c>
      <c r="J35" s="12">
        <v>2.48</v>
      </c>
      <c r="K35" s="12">
        <v>2.71</v>
      </c>
      <c r="L35" s="12">
        <f t="shared" si="15"/>
        <v>9984.8600000000024</v>
      </c>
      <c r="M35" s="12">
        <f t="shared" si="16"/>
        <v>5235.8400000000011</v>
      </c>
      <c r="N35" s="12">
        <f t="shared" si="16"/>
        <v>409.99999999999994</v>
      </c>
      <c r="O35" s="12">
        <f t="shared" si="17"/>
        <v>1229.9999999999998</v>
      </c>
      <c r="P35" s="12">
        <f t="shared" si="18"/>
        <v>16860.700000000004</v>
      </c>
      <c r="Q35" s="2"/>
      <c r="R35" s="9">
        <f t="shared" si="19"/>
        <v>500</v>
      </c>
      <c r="S35" s="9">
        <f t="shared" si="20"/>
        <v>409.99999999999994</v>
      </c>
      <c r="T35" s="2"/>
    </row>
    <row r="36" spans="1:20" s="7" customFormat="1" ht="24" customHeight="1">
      <c r="A36" s="39"/>
      <c r="B36" s="1" t="s">
        <v>24</v>
      </c>
      <c r="C36" s="12">
        <v>6600</v>
      </c>
      <c r="D36" s="12">
        <f>10039-C36</f>
        <v>3439</v>
      </c>
      <c r="E36" s="12">
        <v>500</v>
      </c>
      <c r="F36" s="12">
        <v>500</v>
      </c>
      <c r="G36" s="12">
        <f t="shared" si="1"/>
        <v>11039</v>
      </c>
      <c r="H36" s="12">
        <v>0.94</v>
      </c>
      <c r="I36" s="23">
        <v>1.03</v>
      </c>
      <c r="J36" s="12">
        <v>0.9</v>
      </c>
      <c r="K36" s="12">
        <v>0.98</v>
      </c>
      <c r="L36" s="12">
        <f t="shared" si="15"/>
        <v>263.99999999999949</v>
      </c>
      <c r="M36" s="12">
        <f t="shared" si="16"/>
        <v>137.55999999999975</v>
      </c>
      <c r="N36" s="12">
        <f t="shared" si="16"/>
        <v>25.000000000000021</v>
      </c>
      <c r="O36" s="12">
        <f t="shared" si="17"/>
        <v>25.000000000000021</v>
      </c>
      <c r="P36" s="12">
        <f t="shared" si="18"/>
        <v>451.55999999999926</v>
      </c>
      <c r="Q36" s="2"/>
      <c r="R36" s="9">
        <f t="shared" si="19"/>
        <v>166.66666666666666</v>
      </c>
      <c r="S36" s="9">
        <f t="shared" si="20"/>
        <v>8.333333333333341</v>
      </c>
      <c r="T36" s="2"/>
    </row>
    <row r="37" spans="1:20" s="7" customFormat="1" ht="24" customHeight="1">
      <c r="A37" s="39"/>
      <c r="B37" s="1" t="s">
        <v>48</v>
      </c>
      <c r="C37" s="12">
        <v>1260385</v>
      </c>
      <c r="D37" s="12">
        <f>2402430-C37</f>
        <v>1142045</v>
      </c>
      <c r="E37" s="12">
        <v>1067000</v>
      </c>
      <c r="F37" s="12">
        <v>1299000</v>
      </c>
      <c r="G37" s="12">
        <f t="shared" si="1"/>
        <v>4768430</v>
      </c>
      <c r="H37" s="12">
        <v>3.03</v>
      </c>
      <c r="I37" s="23">
        <v>3.07</v>
      </c>
      <c r="J37" s="12">
        <v>2.2999999999999998</v>
      </c>
      <c r="K37" s="12">
        <v>2.5299999999999998</v>
      </c>
      <c r="L37" s="12">
        <f t="shared" si="15"/>
        <v>920081.04999999993</v>
      </c>
      <c r="M37" s="12">
        <f t="shared" si="16"/>
        <v>833692.85</v>
      </c>
      <c r="N37" s="12">
        <f t="shared" si="16"/>
        <v>576180</v>
      </c>
      <c r="O37" s="12">
        <f t="shared" si="17"/>
        <v>701460</v>
      </c>
      <c r="P37" s="12">
        <f t="shared" si="18"/>
        <v>3031413.9</v>
      </c>
      <c r="Q37" s="2"/>
      <c r="R37" s="9">
        <f t="shared" si="19"/>
        <v>433000</v>
      </c>
      <c r="S37" s="9">
        <f t="shared" si="20"/>
        <v>233820.00000000003</v>
      </c>
      <c r="T37" s="2"/>
    </row>
    <row r="38" spans="1:20" s="7" customFormat="1" ht="24" customHeight="1">
      <c r="A38" s="39"/>
      <c r="B38" s="1" t="s">
        <v>26</v>
      </c>
      <c r="C38" s="12">
        <v>12385</v>
      </c>
      <c r="D38" s="12">
        <f>22498-C38</f>
        <v>10113</v>
      </c>
      <c r="E38" s="12">
        <v>10000</v>
      </c>
      <c r="F38" s="12">
        <v>11000</v>
      </c>
      <c r="G38" s="12">
        <f t="shared" si="1"/>
        <v>43498</v>
      </c>
      <c r="H38" s="12">
        <v>3.03</v>
      </c>
      <c r="I38" s="23">
        <v>3.07</v>
      </c>
      <c r="J38" s="12">
        <v>2.2999999999999998</v>
      </c>
      <c r="K38" s="12">
        <v>2.5299999999999998</v>
      </c>
      <c r="L38" s="12">
        <f t="shared" si="15"/>
        <v>9041.0499999999993</v>
      </c>
      <c r="M38" s="12">
        <f t="shared" si="16"/>
        <v>7382.49</v>
      </c>
      <c r="N38" s="12">
        <f t="shared" si="16"/>
        <v>5400</v>
      </c>
      <c r="O38" s="12">
        <f t="shared" si="17"/>
        <v>5940</v>
      </c>
      <c r="P38" s="12">
        <f t="shared" si="18"/>
        <v>27763.54</v>
      </c>
      <c r="Q38" s="2"/>
      <c r="R38" s="9">
        <f t="shared" si="19"/>
        <v>3666.6666666666665</v>
      </c>
      <c r="S38" s="9">
        <f t="shared" si="20"/>
        <v>1980</v>
      </c>
      <c r="T38" s="2"/>
    </row>
    <row r="39" spans="1:20" s="7" customFormat="1" ht="24" customHeight="1">
      <c r="A39" s="39"/>
      <c r="B39" s="1" t="s">
        <v>27</v>
      </c>
      <c r="C39" s="12">
        <v>129955</v>
      </c>
      <c r="D39" s="12">
        <f>282721-C39</f>
        <v>152766</v>
      </c>
      <c r="E39" s="12">
        <v>110000</v>
      </c>
      <c r="F39" s="12">
        <v>150000</v>
      </c>
      <c r="G39" s="12">
        <f t="shared" si="1"/>
        <v>542721</v>
      </c>
      <c r="H39" s="12">
        <v>4.04</v>
      </c>
      <c r="I39" s="23">
        <v>4.09</v>
      </c>
      <c r="J39" s="12">
        <v>3.08</v>
      </c>
      <c r="K39" s="12">
        <v>3.37</v>
      </c>
      <c r="L39" s="12">
        <f t="shared" si="15"/>
        <v>124756.79999999999</v>
      </c>
      <c r="M39" s="12">
        <f t="shared" si="16"/>
        <v>146655.35999999999</v>
      </c>
      <c r="N39" s="12">
        <f t="shared" si="16"/>
        <v>79199.999999999971</v>
      </c>
      <c r="O39" s="12">
        <f t="shared" si="17"/>
        <v>107999.99999999996</v>
      </c>
      <c r="P39" s="12">
        <f t="shared" si="18"/>
        <v>458612.15999999986</v>
      </c>
      <c r="Q39" s="2"/>
      <c r="R39" s="9">
        <f t="shared" si="19"/>
        <v>50000</v>
      </c>
      <c r="S39" s="9">
        <f t="shared" si="20"/>
        <v>35999.999999999985</v>
      </c>
      <c r="T39" s="2"/>
    </row>
    <row r="40" spans="1:20" s="7" customFormat="1" ht="24" customHeight="1">
      <c r="A40" s="39"/>
      <c r="B40" s="1" t="s">
        <v>28</v>
      </c>
      <c r="C40" s="12">
        <v>85961</v>
      </c>
      <c r="D40" s="12">
        <f>204338-C40</f>
        <v>118377</v>
      </c>
      <c r="E40" s="12">
        <v>187000</v>
      </c>
      <c r="F40" s="12">
        <v>123000</v>
      </c>
      <c r="G40" s="12">
        <f t="shared" si="1"/>
        <v>514338</v>
      </c>
      <c r="H40" s="12">
        <v>2.83</v>
      </c>
      <c r="I40" s="23">
        <v>2.87</v>
      </c>
      <c r="J40" s="12">
        <v>2.15</v>
      </c>
      <c r="K40" s="12">
        <v>2.36</v>
      </c>
      <c r="L40" s="12">
        <f t="shared" si="15"/>
        <v>58453.48000000001</v>
      </c>
      <c r="M40" s="12">
        <f t="shared" si="16"/>
        <v>80496.360000000015</v>
      </c>
      <c r="N40" s="12">
        <f t="shared" si="16"/>
        <v>95370.000000000044</v>
      </c>
      <c r="O40" s="12">
        <f t="shared" si="17"/>
        <v>62730.000000000029</v>
      </c>
      <c r="P40" s="12">
        <f t="shared" si="18"/>
        <v>297049.84000000008</v>
      </c>
      <c r="Q40" s="2"/>
      <c r="R40" s="9">
        <f t="shared" si="19"/>
        <v>41000</v>
      </c>
      <c r="S40" s="9">
        <f t="shared" si="20"/>
        <v>20910.000000000011</v>
      </c>
      <c r="T40" s="2"/>
    </row>
    <row r="41" spans="1:20" s="7" customFormat="1" ht="24" customHeight="1">
      <c r="A41" s="39"/>
      <c r="B41" s="1" t="s">
        <v>29</v>
      </c>
      <c r="C41" s="12">
        <v>184000</v>
      </c>
      <c r="D41" s="12">
        <f>299000-C41</f>
        <v>115000</v>
      </c>
      <c r="E41" s="12">
        <v>100000</v>
      </c>
      <c r="F41" s="12">
        <v>180000</v>
      </c>
      <c r="G41" s="12">
        <f t="shared" si="1"/>
        <v>579000</v>
      </c>
      <c r="H41" s="12">
        <v>4.04</v>
      </c>
      <c r="I41" s="23">
        <v>4.09</v>
      </c>
      <c r="J41" s="12">
        <v>3.08</v>
      </c>
      <c r="K41" s="12">
        <v>3.37</v>
      </c>
      <c r="L41" s="12">
        <f t="shared" si="15"/>
        <v>176640</v>
      </c>
      <c r="M41" s="12">
        <f t="shared" si="16"/>
        <v>110400</v>
      </c>
      <c r="N41" s="12">
        <f t="shared" si="16"/>
        <v>71999.999999999971</v>
      </c>
      <c r="O41" s="12">
        <f t="shared" si="17"/>
        <v>129599.99999999996</v>
      </c>
      <c r="P41" s="12">
        <f t="shared" si="18"/>
        <v>488639.99999999994</v>
      </c>
      <c r="Q41" s="2"/>
      <c r="R41" s="9">
        <f t="shared" si="19"/>
        <v>60000</v>
      </c>
      <c r="S41" s="9">
        <f t="shared" si="20"/>
        <v>43199.999999999985</v>
      </c>
      <c r="T41" s="2"/>
    </row>
    <row r="42" spans="1:20" s="7" customFormat="1" ht="19.5" customHeight="1">
      <c r="A42" s="39"/>
      <c r="B42" s="8" t="s">
        <v>12</v>
      </c>
      <c r="C42" s="15">
        <f>SUM(C32:C41)</f>
        <v>8018769</v>
      </c>
      <c r="D42" s="15">
        <f t="shared" ref="D42:O42" si="21">SUM(D32:D41)</f>
        <v>6960836</v>
      </c>
      <c r="E42" s="15">
        <f t="shared" si="21"/>
        <v>6469000</v>
      </c>
      <c r="F42" s="15">
        <f t="shared" si="21"/>
        <v>8034100</v>
      </c>
      <c r="G42" s="15">
        <f t="shared" si="21"/>
        <v>29482705</v>
      </c>
      <c r="H42" s="12"/>
      <c r="I42" s="23"/>
      <c r="J42" s="12"/>
      <c r="K42" s="15"/>
      <c r="L42" s="15">
        <f t="shared" si="21"/>
        <v>7377219.71</v>
      </c>
      <c r="M42" s="15">
        <f t="shared" si="21"/>
        <v>6385187.7899999991</v>
      </c>
      <c r="N42" s="15">
        <f t="shared" si="21"/>
        <v>4428034.9999999981</v>
      </c>
      <c r="O42" s="15">
        <f t="shared" si="21"/>
        <v>5524556.9999999981</v>
      </c>
      <c r="P42" s="15">
        <f>SUM(P32:P41)</f>
        <v>23714999.499999989</v>
      </c>
      <c r="Q42" s="2">
        <v>0</v>
      </c>
      <c r="R42" s="2">
        <f>SUM(R32:R41)</f>
        <v>2678033.3333333335</v>
      </c>
      <c r="S42" s="2">
        <f>SUM(S32:S41)</f>
        <v>1841518.9999999995</v>
      </c>
      <c r="T42" s="2">
        <f>P42+Q42-S42</f>
        <v>21873480.499999989</v>
      </c>
    </row>
    <row r="43" spans="1:20" s="7" customFormat="1" ht="24" customHeight="1">
      <c r="A43" s="39" t="s">
        <v>15</v>
      </c>
      <c r="B43" s="1" t="s">
        <v>49</v>
      </c>
      <c r="C43" s="12">
        <v>6552</v>
      </c>
      <c r="D43" s="12">
        <f>9107-C43</f>
        <v>2555</v>
      </c>
      <c r="E43" s="12">
        <v>2186</v>
      </c>
      <c r="F43" s="12">
        <v>3089</v>
      </c>
      <c r="G43" s="12">
        <f>SUM(C43:F43)</f>
        <v>14382</v>
      </c>
      <c r="H43" s="12">
        <v>67.53</v>
      </c>
      <c r="I43" s="12">
        <v>67.53</v>
      </c>
      <c r="J43" s="12">
        <v>3.25</v>
      </c>
      <c r="K43" s="12">
        <v>3.3</v>
      </c>
      <c r="L43" s="12">
        <f>(H43-J43)*C43</f>
        <v>421162.56</v>
      </c>
      <c r="M43" s="12">
        <f>(H43-J43)*D43</f>
        <v>164235.4</v>
      </c>
      <c r="N43" s="12">
        <f>(I43-K43)*E43</f>
        <v>140406.78</v>
      </c>
      <c r="O43" s="12">
        <f>(I43-K43)*F43</f>
        <v>198406.47</v>
      </c>
      <c r="P43" s="12">
        <f>SUM(L43:O43)</f>
        <v>924211.21</v>
      </c>
      <c r="Q43" s="2"/>
      <c r="R43" s="9">
        <v>1219</v>
      </c>
      <c r="S43" s="9">
        <f>(I43-K43)*R43</f>
        <v>78296.37000000001</v>
      </c>
      <c r="T43" s="2"/>
    </row>
    <row r="44" spans="1:20" s="7" customFormat="1" ht="24" customHeight="1">
      <c r="A44" s="39"/>
      <c r="B44" s="1" t="s">
        <v>50</v>
      </c>
      <c r="C44" s="12">
        <v>2559</v>
      </c>
      <c r="D44" s="12">
        <f>3407-C44</f>
        <v>848</v>
      </c>
      <c r="E44" s="12">
        <v>664</v>
      </c>
      <c r="F44" s="12">
        <v>1122</v>
      </c>
      <c r="G44" s="12">
        <f>SUM(C44:F44)</f>
        <v>5193</v>
      </c>
      <c r="H44" s="12">
        <v>67.53</v>
      </c>
      <c r="I44" s="12">
        <v>67.53</v>
      </c>
      <c r="J44" s="12">
        <v>0.88</v>
      </c>
      <c r="K44" s="12">
        <v>0.96</v>
      </c>
      <c r="L44" s="12">
        <f>(H44-J44)*C44</f>
        <v>170557.35</v>
      </c>
      <c r="M44" s="12">
        <f t="shared" ref="M44:N46" si="22">(H44-J44)*D44</f>
        <v>56519.200000000004</v>
      </c>
      <c r="N44" s="12">
        <f t="shared" si="22"/>
        <v>44202.48</v>
      </c>
      <c r="O44" s="12">
        <f>(I44-K44)*F44</f>
        <v>74691.540000000008</v>
      </c>
      <c r="P44" s="12">
        <f>SUM(L44:O44)</f>
        <v>345970.57000000007</v>
      </c>
      <c r="Q44" s="2"/>
      <c r="R44" s="9">
        <v>494</v>
      </c>
      <c r="S44" s="9">
        <f>(I44-K44)*R44</f>
        <v>32885.58</v>
      </c>
      <c r="T44" s="2"/>
    </row>
    <row r="45" spans="1:20" s="7" customFormat="1" ht="24" customHeight="1">
      <c r="A45" s="39"/>
      <c r="B45" s="1" t="s">
        <v>20</v>
      </c>
      <c r="C45" s="12">
        <v>61512</v>
      </c>
      <c r="D45" s="12">
        <f>105925-C45</f>
        <v>44413</v>
      </c>
      <c r="E45" s="12">
        <v>42405</v>
      </c>
      <c r="F45" s="12">
        <v>40492</v>
      </c>
      <c r="G45" s="12">
        <f>SUM(C45:F45)</f>
        <v>188822</v>
      </c>
      <c r="H45" s="12">
        <v>67.53</v>
      </c>
      <c r="I45" s="12">
        <v>67.53</v>
      </c>
      <c r="J45" s="12">
        <v>2.83</v>
      </c>
      <c r="K45" s="12">
        <v>2.87</v>
      </c>
      <c r="L45" s="12">
        <f>(H45-J45)*C45</f>
        <v>3979826.4000000004</v>
      </c>
      <c r="M45" s="12">
        <f t="shared" si="22"/>
        <v>2873521.1</v>
      </c>
      <c r="N45" s="12">
        <f t="shared" si="22"/>
        <v>2741907.3</v>
      </c>
      <c r="O45" s="12">
        <f>(I45-K45)*F45</f>
        <v>2618212.7199999997</v>
      </c>
      <c r="P45" s="12">
        <f>SUM(L45:O45)</f>
        <v>12213467.52</v>
      </c>
      <c r="Q45" s="2"/>
      <c r="R45" s="9">
        <v>9376</v>
      </c>
      <c r="S45" s="9">
        <f>(I45-K45)*R45</f>
        <v>606252.15999999992</v>
      </c>
      <c r="T45" s="2"/>
    </row>
    <row r="46" spans="1:20" s="7" customFormat="1" ht="24" customHeight="1">
      <c r="A46" s="39"/>
      <c r="B46" s="1" t="s">
        <v>16</v>
      </c>
      <c r="C46" s="12">
        <v>60457</v>
      </c>
      <c r="D46" s="12">
        <f>86703-C46</f>
        <v>26246</v>
      </c>
      <c r="E46" s="12">
        <v>21768</v>
      </c>
      <c r="F46" s="12">
        <v>35844</v>
      </c>
      <c r="G46" s="12">
        <f>SUM(C46:F46)</f>
        <v>144315</v>
      </c>
      <c r="H46" s="12">
        <v>67.53</v>
      </c>
      <c r="I46" s="12">
        <v>67.53</v>
      </c>
      <c r="J46" s="12">
        <v>7.95</v>
      </c>
      <c r="K46" s="12">
        <v>7.95</v>
      </c>
      <c r="L46" s="12">
        <f>(H46-J46)*C46</f>
        <v>3602028.06</v>
      </c>
      <c r="M46" s="12">
        <f t="shared" si="22"/>
        <v>1563736.68</v>
      </c>
      <c r="N46" s="12">
        <f t="shared" si="22"/>
        <v>1296937.44</v>
      </c>
      <c r="O46" s="12">
        <f>(I46-K46)*F46</f>
        <v>2135585.52</v>
      </c>
      <c r="P46" s="12">
        <f>SUM(L46:O46)</f>
        <v>8598287.6999999993</v>
      </c>
      <c r="Q46" s="2"/>
      <c r="R46" s="9">
        <v>8651</v>
      </c>
      <c r="S46" s="9">
        <f>(I46-K46)*R46</f>
        <v>515426.57999999996</v>
      </c>
      <c r="T46" s="2"/>
    </row>
    <row r="47" spans="1:20" s="7" customFormat="1" ht="24" customHeight="1">
      <c r="A47" s="39"/>
      <c r="B47" s="8" t="s">
        <v>12</v>
      </c>
      <c r="C47" s="15">
        <f>SUM(C43:C46)</f>
        <v>131080</v>
      </c>
      <c r="D47" s="15">
        <f t="shared" ref="D47:O47" si="23">SUM(D43:D46)</f>
        <v>74062</v>
      </c>
      <c r="E47" s="15">
        <f t="shared" si="23"/>
        <v>67023</v>
      </c>
      <c r="F47" s="15">
        <f t="shared" si="23"/>
        <v>80547</v>
      </c>
      <c r="G47" s="15">
        <f t="shared" si="23"/>
        <v>352712</v>
      </c>
      <c r="H47" s="15"/>
      <c r="I47" s="15"/>
      <c r="J47" s="15"/>
      <c r="K47" s="15"/>
      <c r="L47" s="15">
        <f t="shared" si="23"/>
        <v>8173574.370000001</v>
      </c>
      <c r="M47" s="15">
        <f t="shared" si="23"/>
        <v>4658012.38</v>
      </c>
      <c r="N47" s="15">
        <f t="shared" si="23"/>
        <v>4223454</v>
      </c>
      <c r="O47" s="15">
        <f t="shared" si="23"/>
        <v>5026896.25</v>
      </c>
      <c r="P47" s="15">
        <f>SUM(P43:P46)</f>
        <v>22081937</v>
      </c>
      <c r="Q47" s="16">
        <v>1210043</v>
      </c>
      <c r="R47" s="16">
        <f>SUM(R43:R46)</f>
        <v>19740</v>
      </c>
      <c r="S47" s="16">
        <f>SUM(S43:S46)</f>
        <v>1232860.69</v>
      </c>
      <c r="T47" s="2">
        <f>P47+Q47-S47</f>
        <v>22059119.309999999</v>
      </c>
    </row>
    <row r="48" spans="1:20" s="21" customFormat="1" ht="20.25" customHeight="1">
      <c r="A48" s="40" t="s">
        <v>17</v>
      </c>
      <c r="B48" s="40"/>
      <c r="C48" s="18">
        <f>C47+C22+C13+C42+C31</f>
        <v>17541235</v>
      </c>
      <c r="D48" s="18">
        <f>D47+D22+D13+D42+D31</f>
        <v>14238695</v>
      </c>
      <c r="E48" s="18">
        <f>E47+E22+E13+E42+E31</f>
        <v>14018888.83</v>
      </c>
      <c r="F48" s="18">
        <f>F47+F22+F13+F42+F31</f>
        <v>16946534.82</v>
      </c>
      <c r="G48" s="18">
        <f>G47+G22+G13+G42+G31</f>
        <v>62745353.649999999</v>
      </c>
      <c r="H48" s="19"/>
      <c r="I48" s="19"/>
      <c r="J48" s="20"/>
      <c r="K48" s="20"/>
      <c r="L48" s="18">
        <f>L47+L22+L13+L42+L31</f>
        <v>232347781.75999999</v>
      </c>
      <c r="M48" s="18">
        <f>M47+M22+M13+M42+M31</f>
        <v>178309814.01999995</v>
      </c>
      <c r="N48" s="18">
        <f>N47+N22+N13+N42+N31</f>
        <v>198413395.71099997</v>
      </c>
      <c r="O48" s="18">
        <f>O47+O22+O13+O42+O31</f>
        <v>267475526.25810006</v>
      </c>
      <c r="P48" s="18">
        <f>P47+P22+P13+P42+P31</f>
        <v>876546517.74909997</v>
      </c>
      <c r="Q48" s="18">
        <f>SUM(Q8:Q47)</f>
        <v>67249503.169999897</v>
      </c>
      <c r="R48" s="18">
        <f>R47+R22+R13+R42+R31</f>
        <v>5788934.083333334</v>
      </c>
      <c r="S48" s="18">
        <f>S47+S22+S13+S42+S31</f>
        <v>92997805.650399998</v>
      </c>
      <c r="T48" s="18">
        <f>T47+T22+T13+T42+T31</f>
        <v>850798215.26869988</v>
      </c>
    </row>
    <row r="50" spans="17:20" ht="15.75">
      <c r="R50" s="38" t="s">
        <v>41</v>
      </c>
      <c r="S50" s="38"/>
      <c r="T50" s="24">
        <v>780373400</v>
      </c>
    </row>
    <row r="51" spans="17:20" ht="15.75">
      <c r="Q51" s="22"/>
      <c r="R51" s="38" t="s">
        <v>53</v>
      </c>
      <c r="S51" s="38"/>
      <c r="T51" s="25">
        <f>T48-T50</f>
        <v>70424815.268699884</v>
      </c>
    </row>
  </sheetData>
  <mergeCells count="18">
    <mergeCell ref="R51:S51"/>
    <mergeCell ref="R50:S50"/>
    <mergeCell ref="A8:A13"/>
    <mergeCell ref="A14:A22"/>
    <mergeCell ref="A32:A42"/>
    <mergeCell ref="A48:B48"/>
    <mergeCell ref="A43:A47"/>
    <mergeCell ref="A23:A31"/>
    <mergeCell ref="A6:A7"/>
    <mergeCell ref="B6:B7"/>
    <mergeCell ref="C6:G6"/>
    <mergeCell ref="H6:I6"/>
    <mergeCell ref="J6:K6"/>
    <mergeCell ref="C4:H4"/>
    <mergeCell ref="L6:P6"/>
    <mergeCell ref="Q6:Q7"/>
    <mergeCell ref="R6:S6"/>
    <mergeCell ref="T6:T7"/>
  </mergeCells>
  <printOptions verticalCentered="1"/>
  <pageMargins left="0.19685039370078741" right="0.19685039370078741" top="0.55118110236220474" bottom="0.59055118110236227" header="0.31496062992125984" footer="0.31496062992125984"/>
  <pageSetup paperSize="9" scale="70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+ ПАО ТГК-2</vt:lpstr>
      <vt:lpstr>'расчет + ПАО ТГК-2'!Заголовки_для_печати</vt:lpstr>
    </vt:vector>
  </TitlesOfParts>
  <Company>Минестерство энергетики и связи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lubovtsova</dc:creator>
  <cp:lastModifiedBy>minfin user</cp:lastModifiedBy>
  <cp:lastPrinted>2019-10-25T10:25:30Z</cp:lastPrinted>
  <dcterms:created xsi:type="dcterms:W3CDTF">2016-01-14T10:10:37Z</dcterms:created>
  <dcterms:modified xsi:type="dcterms:W3CDTF">2019-10-25T10:25:32Z</dcterms:modified>
</cp:coreProperties>
</file>