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20" windowWidth="23250" windowHeight="12405"/>
  </bookViews>
  <sheets>
    <sheet name="2020" sheetId="13" r:id="rId1"/>
    <sheet name="2021" sheetId="14" r:id="rId2"/>
    <sheet name="2022" sheetId="15" r:id="rId3"/>
  </sheets>
  <definedNames>
    <definedName name="_xlnm.Print_Titles" localSheetId="0">'2020'!$A:$B,'2020'!$5:$6</definedName>
    <definedName name="_xlnm.Print_Titles" localSheetId="1">'2021'!$A:$B,'2021'!$4:$5</definedName>
    <definedName name="_xlnm.Print_Titles" localSheetId="2">'2022'!$A:$B,'2022'!$4:$5</definedName>
    <definedName name="_xlnm.Print_Area" localSheetId="0">'2020'!$A$1:$U$38</definedName>
  </definedNames>
  <calcPr calcId="125725"/>
</workbook>
</file>

<file path=xl/calcChain.xml><?xml version="1.0" encoding="utf-8"?>
<calcChain xmlns="http://schemas.openxmlformats.org/spreadsheetml/2006/main">
  <c r="Q15" i="13"/>
  <c r="F31" i="14" l="1"/>
  <c r="S36" l="1"/>
  <c r="S15"/>
  <c r="S13" i="15"/>
  <c r="S9"/>
  <c r="S8"/>
  <c r="S7"/>
  <c r="S6"/>
  <c r="S13" i="14"/>
  <c r="S9"/>
  <c r="S8"/>
  <c r="S7"/>
  <c r="S6"/>
  <c r="S14" i="13"/>
  <c r="S10"/>
  <c r="S9"/>
  <c r="S8"/>
  <c r="S7"/>
  <c r="O33" i="14" l="1"/>
  <c r="O34"/>
  <c r="O35"/>
  <c r="O32"/>
  <c r="O27"/>
  <c r="O28"/>
  <c r="O29"/>
  <c r="O30"/>
  <c r="O26"/>
  <c r="O24"/>
  <c r="O16"/>
  <c r="O17"/>
  <c r="O18"/>
  <c r="O19"/>
  <c r="O20"/>
  <c r="O21"/>
  <c r="O22"/>
  <c r="O23"/>
  <c r="O15"/>
  <c r="O10"/>
  <c r="O11"/>
  <c r="O12"/>
  <c r="N33"/>
  <c r="N34"/>
  <c r="N35"/>
  <c r="N32"/>
  <c r="N27"/>
  <c r="N28"/>
  <c r="N29"/>
  <c r="N30"/>
  <c r="N26"/>
  <c r="N16"/>
  <c r="N17"/>
  <c r="N18"/>
  <c r="N19"/>
  <c r="N20"/>
  <c r="N21"/>
  <c r="N22"/>
  <c r="N23"/>
  <c r="N24"/>
  <c r="N15"/>
  <c r="N10"/>
  <c r="N11"/>
  <c r="N12"/>
  <c r="M33"/>
  <c r="M34"/>
  <c r="M35"/>
  <c r="M32"/>
  <c r="M27"/>
  <c r="M28"/>
  <c r="M29"/>
  <c r="M30"/>
  <c r="M26"/>
  <c r="M10"/>
  <c r="M11"/>
  <c r="M12"/>
  <c r="L33"/>
  <c r="P33" s="1"/>
  <c r="L34"/>
  <c r="L35"/>
  <c r="P35" s="1"/>
  <c r="L32"/>
  <c r="P32" s="1"/>
  <c r="L27"/>
  <c r="L28"/>
  <c r="L29"/>
  <c r="P29" s="1"/>
  <c r="L30"/>
  <c r="P30" s="1"/>
  <c r="L26"/>
  <c r="L16"/>
  <c r="L17"/>
  <c r="L18"/>
  <c r="L19"/>
  <c r="L20"/>
  <c r="L21"/>
  <c r="L22"/>
  <c r="L23"/>
  <c r="L24"/>
  <c r="L15"/>
  <c r="L10"/>
  <c r="P10" s="1"/>
  <c r="L11"/>
  <c r="P11" s="1"/>
  <c r="L12"/>
  <c r="L25" l="1"/>
  <c r="P12"/>
  <c r="P28"/>
  <c r="P34"/>
  <c r="P36" s="1"/>
  <c r="N25"/>
  <c r="O25"/>
  <c r="P26"/>
  <c r="P31" s="1"/>
  <c r="P27"/>
  <c r="L31"/>
  <c r="S27" i="13"/>
  <c r="S28"/>
  <c r="S29"/>
  <c r="S30"/>
  <c r="S31"/>
  <c r="Q38"/>
  <c r="O34"/>
  <c r="O35"/>
  <c r="O36"/>
  <c r="O33"/>
  <c r="O28"/>
  <c r="O29"/>
  <c r="O30"/>
  <c r="O31"/>
  <c r="O27"/>
  <c r="O17"/>
  <c r="O26" s="1"/>
  <c r="O18"/>
  <c r="O19"/>
  <c r="O20"/>
  <c r="O21"/>
  <c r="O22"/>
  <c r="O23"/>
  <c r="O24"/>
  <c r="O25"/>
  <c r="O16"/>
  <c r="O11"/>
  <c r="O12"/>
  <c r="O13"/>
  <c r="N34"/>
  <c r="N35"/>
  <c r="N36"/>
  <c r="N33"/>
  <c r="N28"/>
  <c r="N29"/>
  <c r="N30"/>
  <c r="N31"/>
  <c r="N27"/>
  <c r="N17"/>
  <c r="N18"/>
  <c r="N19"/>
  <c r="N20"/>
  <c r="N21"/>
  <c r="N22"/>
  <c r="N23"/>
  <c r="N24"/>
  <c r="N25"/>
  <c r="N16"/>
  <c r="N11"/>
  <c r="N12"/>
  <c r="N13"/>
  <c r="M34"/>
  <c r="M35"/>
  <c r="M36"/>
  <c r="M33"/>
  <c r="M28"/>
  <c r="M29"/>
  <c r="M30"/>
  <c r="M31"/>
  <c r="M27"/>
  <c r="M11"/>
  <c r="M12"/>
  <c r="M13"/>
  <c r="L34"/>
  <c r="L35"/>
  <c r="L36"/>
  <c r="L33"/>
  <c r="L37" s="1"/>
  <c r="L28"/>
  <c r="L29"/>
  <c r="L30"/>
  <c r="L31"/>
  <c r="L27"/>
  <c r="L17"/>
  <c r="L18"/>
  <c r="L19"/>
  <c r="L20"/>
  <c r="L21"/>
  <c r="L22"/>
  <c r="L23"/>
  <c r="L24"/>
  <c r="L25"/>
  <c r="L16"/>
  <c r="L11"/>
  <c r="L12"/>
  <c r="L13"/>
  <c r="N26" l="1"/>
  <c r="L32"/>
  <c r="N37"/>
  <c r="O32"/>
  <c r="M32"/>
  <c r="M37"/>
  <c r="O37"/>
  <c r="L26"/>
  <c r="N32"/>
  <c r="D24" i="15"/>
  <c r="D23"/>
  <c r="D22"/>
  <c r="D21"/>
  <c r="D20"/>
  <c r="D19"/>
  <c r="D18"/>
  <c r="D17"/>
  <c r="D16"/>
  <c r="D15"/>
  <c r="F13"/>
  <c r="E13"/>
  <c r="D13"/>
  <c r="C13"/>
  <c r="F9"/>
  <c r="E9"/>
  <c r="D9"/>
  <c r="C9"/>
  <c r="F8"/>
  <c r="E8"/>
  <c r="D8"/>
  <c r="C8"/>
  <c r="F7"/>
  <c r="E7"/>
  <c r="D7"/>
  <c r="C7"/>
  <c r="F6"/>
  <c r="E6"/>
  <c r="D6"/>
  <c r="C6"/>
  <c r="D24" i="14"/>
  <c r="M24" s="1"/>
  <c r="P24" s="1"/>
  <c r="D23"/>
  <c r="M23" s="1"/>
  <c r="P23" s="1"/>
  <c r="D22"/>
  <c r="M22" s="1"/>
  <c r="P22" s="1"/>
  <c r="D21"/>
  <c r="M21" s="1"/>
  <c r="P21" s="1"/>
  <c r="D20"/>
  <c r="M20" s="1"/>
  <c r="P20" s="1"/>
  <c r="D19"/>
  <c r="M19" s="1"/>
  <c r="P19" s="1"/>
  <c r="D18"/>
  <c r="M18" s="1"/>
  <c r="P18" s="1"/>
  <c r="D17"/>
  <c r="M17" s="1"/>
  <c r="P17" s="1"/>
  <c r="D16"/>
  <c r="M16" s="1"/>
  <c r="P16" s="1"/>
  <c r="D15"/>
  <c r="M15" s="1"/>
  <c r="F13"/>
  <c r="O13" s="1"/>
  <c r="E13"/>
  <c r="N13" s="1"/>
  <c r="D13"/>
  <c r="M13" s="1"/>
  <c r="C13"/>
  <c r="L13" s="1"/>
  <c r="F9"/>
  <c r="O9" s="1"/>
  <c r="E9"/>
  <c r="N9" s="1"/>
  <c r="D9"/>
  <c r="M9" s="1"/>
  <c r="C9"/>
  <c r="L9" s="1"/>
  <c r="F8"/>
  <c r="O8" s="1"/>
  <c r="E8"/>
  <c r="N8" s="1"/>
  <c r="D8"/>
  <c r="M8" s="1"/>
  <c r="C8"/>
  <c r="L8" s="1"/>
  <c r="F7"/>
  <c r="O7" s="1"/>
  <c r="E7"/>
  <c r="N7" s="1"/>
  <c r="D7"/>
  <c r="M7" s="1"/>
  <c r="C7"/>
  <c r="L7" s="1"/>
  <c r="F6"/>
  <c r="O6" s="1"/>
  <c r="E6"/>
  <c r="N6" s="1"/>
  <c r="D6"/>
  <c r="M6" s="1"/>
  <c r="C6"/>
  <c r="L6" s="1"/>
  <c r="F14" i="13"/>
  <c r="O14" s="1"/>
  <c r="E14"/>
  <c r="N14" s="1"/>
  <c r="D14"/>
  <c r="M14" s="1"/>
  <c r="C14"/>
  <c r="L14" s="1"/>
  <c r="F10"/>
  <c r="O10" s="1"/>
  <c r="E10"/>
  <c r="N10" s="1"/>
  <c r="D10"/>
  <c r="M10" s="1"/>
  <c r="C10"/>
  <c r="L10" s="1"/>
  <c r="F9"/>
  <c r="O9" s="1"/>
  <c r="E9"/>
  <c r="N9" s="1"/>
  <c r="D9"/>
  <c r="M9" s="1"/>
  <c r="C9"/>
  <c r="L9" s="1"/>
  <c r="F8"/>
  <c r="O8" s="1"/>
  <c r="E8"/>
  <c r="N8" s="1"/>
  <c r="D8"/>
  <c r="M8" s="1"/>
  <c r="C8"/>
  <c r="L8" s="1"/>
  <c r="F7"/>
  <c r="O7" s="1"/>
  <c r="E7"/>
  <c r="N7" s="1"/>
  <c r="D7"/>
  <c r="M7" s="1"/>
  <c r="C7"/>
  <c r="L7" s="1"/>
  <c r="L15" s="1"/>
  <c r="G9" l="1"/>
  <c r="G8"/>
  <c r="L14" i="14"/>
  <c r="P6"/>
  <c r="P7"/>
  <c r="P8"/>
  <c r="P9"/>
  <c r="P13"/>
  <c r="M25"/>
  <c r="P15"/>
  <c r="P25" s="1"/>
  <c r="C15" i="13"/>
  <c r="O15"/>
  <c r="N15"/>
  <c r="G10"/>
  <c r="M15"/>
  <c r="S36" i="15"/>
  <c r="F36"/>
  <c r="E36"/>
  <c r="D36"/>
  <c r="C36"/>
  <c r="T35"/>
  <c r="O35"/>
  <c r="N35"/>
  <c r="M35"/>
  <c r="L35"/>
  <c r="G35"/>
  <c r="T34"/>
  <c r="O34"/>
  <c r="N34"/>
  <c r="M34"/>
  <c r="L34"/>
  <c r="G34"/>
  <c r="T33"/>
  <c r="O33"/>
  <c r="N33"/>
  <c r="M33"/>
  <c r="L33"/>
  <c r="G33"/>
  <c r="T32"/>
  <c r="O32"/>
  <c r="O36" s="1"/>
  <c r="N32"/>
  <c r="M32"/>
  <c r="L32"/>
  <c r="L36" s="1"/>
  <c r="G32"/>
  <c r="X31"/>
  <c r="W31"/>
  <c r="F31"/>
  <c r="E31"/>
  <c r="D31"/>
  <c r="C31"/>
  <c r="S30"/>
  <c r="T30" s="1"/>
  <c r="O30"/>
  <c r="N30"/>
  <c r="M30"/>
  <c r="L30"/>
  <c r="G30"/>
  <c r="S29"/>
  <c r="M29"/>
  <c r="L29"/>
  <c r="O29"/>
  <c r="G29"/>
  <c r="S28"/>
  <c r="T28" s="1"/>
  <c r="O28"/>
  <c r="N28"/>
  <c r="M28"/>
  <c r="L28"/>
  <c r="G28"/>
  <c r="S27"/>
  <c r="T27" s="1"/>
  <c r="O27"/>
  <c r="N27"/>
  <c r="M27"/>
  <c r="L27"/>
  <c r="G27"/>
  <c r="S26"/>
  <c r="O26"/>
  <c r="N26"/>
  <c r="M26"/>
  <c r="L26"/>
  <c r="G26"/>
  <c r="F25"/>
  <c r="E25"/>
  <c r="C25"/>
  <c r="S24"/>
  <c r="M24"/>
  <c r="L24"/>
  <c r="G24"/>
  <c r="X23"/>
  <c r="S23"/>
  <c r="M23"/>
  <c r="L23"/>
  <c r="G23"/>
  <c r="X22"/>
  <c r="S22"/>
  <c r="M22"/>
  <c r="L22"/>
  <c r="G22"/>
  <c r="X21"/>
  <c r="S21"/>
  <c r="M21"/>
  <c r="L21"/>
  <c r="G21"/>
  <c r="X20"/>
  <c r="S20"/>
  <c r="L20"/>
  <c r="O20"/>
  <c r="M20"/>
  <c r="X19"/>
  <c r="S19"/>
  <c r="L19"/>
  <c r="W19"/>
  <c r="X18"/>
  <c r="S18"/>
  <c r="M18"/>
  <c r="L18"/>
  <c r="W18"/>
  <c r="X17"/>
  <c r="S17"/>
  <c r="M17"/>
  <c r="L17"/>
  <c r="W17"/>
  <c r="X16"/>
  <c r="W16"/>
  <c r="S16"/>
  <c r="L16"/>
  <c r="M16"/>
  <c r="X15"/>
  <c r="S15"/>
  <c r="L15"/>
  <c r="L25" s="1"/>
  <c r="O15"/>
  <c r="S14"/>
  <c r="T13"/>
  <c r="O13"/>
  <c r="N13"/>
  <c r="M13"/>
  <c r="M12"/>
  <c r="L12"/>
  <c r="O12"/>
  <c r="G12"/>
  <c r="T11"/>
  <c r="M11"/>
  <c r="L11"/>
  <c r="O11"/>
  <c r="G11"/>
  <c r="T10"/>
  <c r="M10"/>
  <c r="L10"/>
  <c r="O10"/>
  <c r="G10"/>
  <c r="T9"/>
  <c r="M9"/>
  <c r="M8"/>
  <c r="T8"/>
  <c r="L7"/>
  <c r="T7"/>
  <c r="M7"/>
  <c r="T6"/>
  <c r="O6"/>
  <c r="L6"/>
  <c r="T33" i="13"/>
  <c r="O31" i="15" l="1"/>
  <c r="G31"/>
  <c r="P14" i="14"/>
  <c r="P37" s="1"/>
  <c r="L31" i="15"/>
  <c r="M36"/>
  <c r="M31"/>
  <c r="N36"/>
  <c r="S31"/>
  <c r="G9"/>
  <c r="C14"/>
  <c r="C37" s="1"/>
  <c r="G8"/>
  <c r="L9"/>
  <c r="L14" s="1"/>
  <c r="L37" s="1"/>
  <c r="G13"/>
  <c r="F14"/>
  <c r="F37" s="1"/>
  <c r="G36"/>
  <c r="D14"/>
  <c r="L13"/>
  <c r="G18"/>
  <c r="L8"/>
  <c r="S25"/>
  <c r="S37" s="1"/>
  <c r="G17"/>
  <c r="W20"/>
  <c r="M6"/>
  <c r="M14" s="1"/>
  <c r="P35"/>
  <c r="P33"/>
  <c r="T36"/>
  <c r="P32"/>
  <c r="P34"/>
  <c r="P27"/>
  <c r="P30"/>
  <c r="P26"/>
  <c r="P28"/>
  <c r="T16"/>
  <c r="T19"/>
  <c r="O18"/>
  <c r="T15"/>
  <c r="T20"/>
  <c r="T21"/>
  <c r="T22"/>
  <c r="O23"/>
  <c r="O24"/>
  <c r="X25"/>
  <c r="O19"/>
  <c r="O16"/>
  <c r="N7"/>
  <c r="N8"/>
  <c r="N9"/>
  <c r="T12"/>
  <c r="T14" s="1"/>
  <c r="O7"/>
  <c r="P7" s="1"/>
  <c r="O8"/>
  <c r="O9"/>
  <c r="P13"/>
  <c r="G6"/>
  <c r="O17"/>
  <c r="T17"/>
  <c r="N17"/>
  <c r="E14"/>
  <c r="E37" s="1"/>
  <c r="N6"/>
  <c r="W15"/>
  <c r="W25" s="1"/>
  <c r="M15"/>
  <c r="D25"/>
  <c r="G15"/>
  <c r="G7"/>
  <c r="N23"/>
  <c r="T23"/>
  <c r="N24"/>
  <c r="P24" s="1"/>
  <c r="T24"/>
  <c r="N18"/>
  <c r="T18"/>
  <c r="G19"/>
  <c r="M19"/>
  <c r="O21"/>
  <c r="O22"/>
  <c r="N10"/>
  <c r="P10" s="1"/>
  <c r="N11"/>
  <c r="P11" s="1"/>
  <c r="N12"/>
  <c r="P12" s="1"/>
  <c r="N15"/>
  <c r="G16"/>
  <c r="N19"/>
  <c r="G20"/>
  <c r="N29"/>
  <c r="N31" s="1"/>
  <c r="T29"/>
  <c r="N21"/>
  <c r="N22"/>
  <c r="P22" s="1"/>
  <c r="T26"/>
  <c r="N16"/>
  <c r="N20"/>
  <c r="P20" s="1"/>
  <c r="P21" l="1"/>
  <c r="O25"/>
  <c r="N25"/>
  <c r="N14"/>
  <c r="M25"/>
  <c r="O14"/>
  <c r="P36"/>
  <c r="G14"/>
  <c r="D37"/>
  <c r="P9"/>
  <c r="P8"/>
  <c r="P18"/>
  <c r="P29"/>
  <c r="P31" s="1"/>
  <c r="P23"/>
  <c r="P16"/>
  <c r="P17"/>
  <c r="T25"/>
  <c r="M37"/>
  <c r="P19"/>
  <c r="P15"/>
  <c r="P25" s="1"/>
  <c r="O37"/>
  <c r="T31"/>
  <c r="G25"/>
  <c r="P6"/>
  <c r="P14" s="1"/>
  <c r="G37" l="1"/>
  <c r="T37"/>
  <c r="N37"/>
  <c r="P37" l="1"/>
  <c r="F36" i="14" l="1"/>
  <c r="E36"/>
  <c r="D36"/>
  <c r="C36"/>
  <c r="T35"/>
  <c r="G35"/>
  <c r="T34"/>
  <c r="G34"/>
  <c r="T33"/>
  <c r="G33"/>
  <c r="T32"/>
  <c r="T36" s="1"/>
  <c r="G32"/>
  <c r="G36" s="1"/>
  <c r="X31"/>
  <c r="W31"/>
  <c r="E31"/>
  <c r="D31"/>
  <c r="C31"/>
  <c r="T30"/>
  <c r="S30"/>
  <c r="G30"/>
  <c r="S29"/>
  <c r="T29" s="1"/>
  <c r="G29"/>
  <c r="S28"/>
  <c r="T28" s="1"/>
  <c r="G28"/>
  <c r="S27"/>
  <c r="T27" s="1"/>
  <c r="G27"/>
  <c r="S26"/>
  <c r="G26"/>
  <c r="G31" s="1"/>
  <c r="F25"/>
  <c r="E25"/>
  <c r="C25"/>
  <c r="S24"/>
  <c r="T24" s="1"/>
  <c r="G24"/>
  <c r="X23"/>
  <c r="S23"/>
  <c r="T23" s="1"/>
  <c r="G23"/>
  <c r="X22"/>
  <c r="S22"/>
  <c r="T22" s="1"/>
  <c r="G22"/>
  <c r="X21"/>
  <c r="S21"/>
  <c r="T21" s="1"/>
  <c r="G21"/>
  <c r="X20"/>
  <c r="S20"/>
  <c r="T20" s="1"/>
  <c r="X19"/>
  <c r="W19"/>
  <c r="S19"/>
  <c r="T19" s="1"/>
  <c r="G19"/>
  <c r="X18"/>
  <c r="S18"/>
  <c r="T18" s="1"/>
  <c r="W18"/>
  <c r="X17"/>
  <c r="W17"/>
  <c r="S17"/>
  <c r="T17" s="1"/>
  <c r="G17"/>
  <c r="X16"/>
  <c r="S16"/>
  <c r="X15"/>
  <c r="X25" s="1"/>
  <c r="G15"/>
  <c r="W15"/>
  <c r="S14"/>
  <c r="T13"/>
  <c r="T12"/>
  <c r="G12"/>
  <c r="T11"/>
  <c r="G11"/>
  <c r="T10"/>
  <c r="G10"/>
  <c r="T9"/>
  <c r="T8"/>
  <c r="T7"/>
  <c r="T6"/>
  <c r="T14" s="1"/>
  <c r="S31" l="1"/>
  <c r="T16"/>
  <c r="S25"/>
  <c r="S37" s="1"/>
  <c r="C14"/>
  <c r="C37" s="1"/>
  <c r="E14"/>
  <c r="E37" s="1"/>
  <c r="G8"/>
  <c r="D25"/>
  <c r="O14"/>
  <c r="L36"/>
  <c r="O36"/>
  <c r="N36"/>
  <c r="Q36" i="15"/>
  <c r="R36" s="1"/>
  <c r="U36" s="1"/>
  <c r="Q14"/>
  <c r="R14" s="1"/>
  <c r="U14" s="1"/>
  <c r="M31" i="14"/>
  <c r="N31"/>
  <c r="M14"/>
  <c r="M36"/>
  <c r="O31"/>
  <c r="N14"/>
  <c r="G9"/>
  <c r="G13"/>
  <c r="D14"/>
  <c r="T15"/>
  <c r="G16"/>
  <c r="W16"/>
  <c r="W25" s="1"/>
  <c r="G20"/>
  <c r="W20"/>
  <c r="T26"/>
  <c r="G7"/>
  <c r="F14"/>
  <c r="F37" s="1"/>
  <c r="G6"/>
  <c r="G18"/>
  <c r="F32" i="13"/>
  <c r="E32"/>
  <c r="D32"/>
  <c r="C32"/>
  <c r="G31"/>
  <c r="T25" i="14" l="1"/>
  <c r="Q25" i="15" s="1"/>
  <c r="D37" i="14"/>
  <c r="T31"/>
  <c r="Q31" i="15" s="1"/>
  <c r="R31" s="1"/>
  <c r="G14" i="14"/>
  <c r="G25"/>
  <c r="T31" i="13"/>
  <c r="L37" i="14"/>
  <c r="N37"/>
  <c r="O37"/>
  <c r="G37"/>
  <c r="M37"/>
  <c r="P31" i="13"/>
  <c r="T37" i="14" l="1"/>
  <c r="R25" i="15"/>
  <c r="U25" s="1"/>
  <c r="Q37"/>
  <c r="U31"/>
  <c r="U37" l="1"/>
  <c r="R37"/>
  <c r="G28" i="13"/>
  <c r="T28" l="1"/>
  <c r="G30" l="1"/>
  <c r="P30"/>
  <c r="P29"/>
  <c r="T30"/>
  <c r="T29"/>
  <c r="P28"/>
  <c r="G29"/>
  <c r="S32" l="1"/>
  <c r="G27"/>
  <c r="G32" s="1"/>
  <c r="T27" l="1"/>
  <c r="T32" s="1"/>
  <c r="Q31" i="14" s="1"/>
  <c r="R31" s="1"/>
  <c r="U31" s="1"/>
  <c r="P27" i="13"/>
  <c r="P32" s="1"/>
  <c r="R32" s="1"/>
  <c r="U32" l="1"/>
  <c r="X32"/>
  <c r="W32"/>
  <c r="C37"/>
  <c r="C38" s="1"/>
  <c r="E26"/>
  <c r="F26"/>
  <c r="C26"/>
  <c r="E15"/>
  <c r="S37" l="1"/>
  <c r="S15"/>
  <c r="S17"/>
  <c r="S16"/>
  <c r="S18"/>
  <c r="S19"/>
  <c r="S20"/>
  <c r="S21"/>
  <c r="S22"/>
  <c r="S23"/>
  <c r="S24"/>
  <c r="T24" s="1"/>
  <c r="S25"/>
  <c r="S26" l="1"/>
  <c r="S38" s="1"/>
  <c r="D25" l="1"/>
  <c r="D24"/>
  <c r="M24" s="1"/>
  <c r="D23"/>
  <c r="D22"/>
  <c r="D21"/>
  <c r="D20"/>
  <c r="D19"/>
  <c r="D18"/>
  <c r="D17"/>
  <c r="D16"/>
  <c r="M16" s="1"/>
  <c r="G17" l="1"/>
  <c r="M17"/>
  <c r="M26" s="1"/>
  <c r="G23"/>
  <c r="M23"/>
  <c r="G25"/>
  <c r="M25"/>
  <c r="G19"/>
  <c r="M19"/>
  <c r="G22"/>
  <c r="M22"/>
  <c r="G21"/>
  <c r="M21"/>
  <c r="G20"/>
  <c r="M20"/>
  <c r="G18"/>
  <c r="M18"/>
  <c r="G24"/>
  <c r="D26"/>
  <c r="G16"/>
  <c r="G36"/>
  <c r="G14"/>
  <c r="G26" l="1"/>
  <c r="D37"/>
  <c r="D15"/>
  <c r="D38" l="1"/>
  <c r="G34"/>
  <c r="G13"/>
  <c r="G33" l="1"/>
  <c r="G11"/>
  <c r="G12"/>
  <c r="X24"/>
  <c r="X23"/>
  <c r="X22"/>
  <c r="P24"/>
  <c r="T22"/>
  <c r="T23"/>
  <c r="T25"/>
  <c r="F15" l="1"/>
  <c r="G7"/>
  <c r="G15" s="1"/>
  <c r="F37"/>
  <c r="E37"/>
  <c r="E38" s="1"/>
  <c r="P22"/>
  <c r="P25"/>
  <c r="P23"/>
  <c r="T16"/>
  <c r="F38" l="1"/>
  <c r="G35"/>
  <c r="G37" s="1"/>
  <c r="G38" s="1"/>
  <c r="P20"/>
  <c r="P18"/>
  <c r="P16"/>
  <c r="P21"/>
  <c r="P19"/>
  <c r="P17"/>
  <c r="P26" l="1"/>
  <c r="X21"/>
  <c r="W21"/>
  <c r="T21"/>
  <c r="X20"/>
  <c r="W20"/>
  <c r="T20"/>
  <c r="X19"/>
  <c r="W19"/>
  <c r="T19"/>
  <c r="X18"/>
  <c r="W18"/>
  <c r="T18"/>
  <c r="X17"/>
  <c r="W17"/>
  <c r="T17"/>
  <c r="X16"/>
  <c r="W16"/>
  <c r="W26" l="1"/>
  <c r="X26"/>
  <c r="T26"/>
  <c r="Q25" i="14" s="1"/>
  <c r="R25" s="1"/>
  <c r="U25" s="1"/>
  <c r="R26" i="13"/>
  <c r="U26" l="1"/>
  <c r="N38" l="1"/>
  <c r="P34" l="1"/>
  <c r="P35"/>
  <c r="P14"/>
  <c r="P12"/>
  <c r="P10"/>
  <c r="P36"/>
  <c r="P33"/>
  <c r="P13"/>
  <c r="P11"/>
  <c r="P7"/>
  <c r="P37" l="1"/>
  <c r="O38"/>
  <c r="T36" l="1"/>
  <c r="T35"/>
  <c r="T34"/>
  <c r="T37" l="1"/>
  <c r="Q36" i="14" s="1"/>
  <c r="R36" s="1"/>
  <c r="T7" i="13"/>
  <c r="U36" i="14" l="1"/>
  <c r="M38" i="13"/>
  <c r="P9"/>
  <c r="L38"/>
  <c r="P8" l="1"/>
  <c r="P15" s="1"/>
  <c r="R15" s="1"/>
  <c r="P38" l="1"/>
  <c r="T13"/>
  <c r="T12"/>
  <c r="T11"/>
  <c r="T10"/>
  <c r="T14"/>
  <c r="T9"/>
  <c r="T8"/>
  <c r="T15" l="1"/>
  <c r="T38" l="1"/>
  <c r="Q14" i="14"/>
  <c r="R37" i="13"/>
  <c r="Q37" i="14" l="1"/>
  <c r="R14"/>
  <c r="U37" i="13"/>
  <c r="U15"/>
  <c r="U14" i="14" l="1"/>
  <c r="U37" s="1"/>
  <c r="R37"/>
  <c r="U38" i="13"/>
  <c r="R38"/>
</calcChain>
</file>

<file path=xl/sharedStrings.xml><?xml version="1.0" encoding="utf-8"?>
<sst xmlns="http://schemas.openxmlformats.org/spreadsheetml/2006/main" count="233" uniqueCount="66">
  <si>
    <t>1 квартал</t>
  </si>
  <si>
    <t>2 квартал</t>
  </si>
  <si>
    <t>3 квартал</t>
  </si>
  <si>
    <t>4 квартал</t>
  </si>
  <si>
    <t>1 полугодие</t>
  </si>
  <si>
    <t>2 полугодие</t>
  </si>
  <si>
    <t>Итого</t>
  </si>
  <si>
    <t>Всего</t>
  </si>
  <si>
    <t>Предприятие</t>
  </si>
  <si>
    <t>Группы потребителей</t>
  </si>
  <si>
    <t>Экономически обоснованный тариф на эл. энергию (без НДС),
 руб./кВт*ч</t>
  </si>
  <si>
    <t>Потребность, руб.</t>
  </si>
  <si>
    <t xml:space="preserve"> - </t>
  </si>
  <si>
    <t>ООО "Поморские электросети"</t>
  </si>
  <si>
    <t>АО "Архангельская областная энергетическая компания"</t>
  </si>
  <si>
    <t xml:space="preserve">1 полугодие </t>
  </si>
  <si>
    <t>одноставочный тариф на электрическую энергию по двум зонам суток (ночь)</t>
  </si>
  <si>
    <t>потребители, приравненные к категории "население" (гаражи, хоз.постройки)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</si>
  <si>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</si>
  <si>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 по двум зонам суток (день)</t>
  </si>
  <si>
    <t>потребители приравненные к категории "население" (религиозные) одноставочный тариф на электрическую энергию по двум зонам суток (ночь)</t>
  </si>
  <si>
    <t>покупатели на розничных рынках Архангельской области (прочие потребители)</t>
  </si>
  <si>
    <t>всего</t>
  </si>
  <si>
    <t>Потребность в средствах субсидии, руб.</t>
  </si>
  <si>
    <t>Отпускной тариф для населения, потребителей приравленнных к категории "население", иных прочих потребителей (без НДС),
 руб./кВт*ч</t>
  </si>
  <si>
    <t>Объем отпуска электрической энергии потребителям
кВТ*ч</t>
  </si>
  <si>
    <t xml:space="preserve">Объем отпуска , 
кВт*ч </t>
  </si>
  <si>
    <t>население (одноставочный тариф на электрическую энергию)</t>
  </si>
  <si>
    <t>население (одноставочный тариф на электрическую энергию по двум зонам суток (ночь)</t>
  </si>
  <si>
    <t>население (одноставочный тариф на электрическую энергию по двум зонам суток (день)</t>
  </si>
  <si>
    <t xml:space="preserve"> городское население с газовыми плитами (одноставочный тариф на электрическую энергию по двум зонам суток (день)</t>
  </si>
  <si>
    <t xml:space="preserve">городское население с газовыми плитами (одноставочный тариф на электрическую энергию по двум зонам суток (ночь)  </t>
  </si>
  <si>
    <t>городское население с электроплитами (одноставочный тариф на электрическую энергию )</t>
  </si>
  <si>
    <t xml:space="preserve"> городское население с электроплитами (одноставочный тариф на электрическую энергию по двум зонам суток (день)</t>
  </si>
  <si>
    <t xml:space="preserve">городское население с электроплитами (одноставочный тариф на электрическую энергию по двум зонам суток (ночь) </t>
  </si>
  <si>
    <t>потребители приравненные к категории "население" (осужденные) одноставочный тариф на электрическую энергию</t>
  </si>
  <si>
    <t>потребители приравненные к категории "население" (садоводческие) одноставочный тариф на электрическую энергию</t>
  </si>
  <si>
    <t>ООО "ТГК-2 Энергосбыт"
(г. Коряжма)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</si>
  <si>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
 в 2020 году </t>
  </si>
  <si>
    <t xml:space="preserve">Дебиторская (-), кредиторская (+) задолженность
 на 01.01.2020 г. </t>
  </si>
  <si>
    <t>Потребность в средствах субсидии за январь - декабрь 2020 года с учетом дебиторской, кредиторской задолженности, руб.</t>
  </si>
  <si>
    <t>декабрь 2020 
(на уровне декабря 2018)</t>
  </si>
  <si>
    <t xml:space="preserve">1 квартал </t>
  </si>
  <si>
    <t xml:space="preserve">2 квартал </t>
  </si>
  <si>
    <t xml:space="preserve">3 квартал </t>
  </si>
  <si>
    <t xml:space="preserve">4 квартал </t>
  </si>
  <si>
    <t>Потребность в средствах субсидии
 (без учета декабря 2020),
 руб.,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</si>
  <si>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
 в 2021 году </t>
  </si>
  <si>
    <t xml:space="preserve">Дебиторская (-), кредиторская (+) задолженность
 на 01.01.2021 г. </t>
  </si>
  <si>
    <t>Потребность в средствах субсидии за январь - декабрь 2021 года с учетом дебиторской, кредиторской задолженности, руб.</t>
  </si>
  <si>
    <t>Потребность в средствах субсидии
 (без учета декабря 2021),
 руб.,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</si>
  <si>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
 в 2022 году </t>
  </si>
  <si>
    <t xml:space="preserve">Дебиторская (-), кредиторская (+) задолженность
 на 01.01.2022 г. </t>
  </si>
  <si>
    <t>Потребность в средствах субсидии за январь - декабрь 2022 года с учетом дебиторской, кредиторской задолженности, руб.</t>
  </si>
  <si>
    <t>Потребность в средствах субсидии
 (без учета декабря 2022),
 руб.,</t>
  </si>
  <si>
    <t>городское население с газовыми плитами (одноставочный тариф на электрическую энергию )</t>
  </si>
  <si>
    <t>ООО "ТГК-2 Энергосбыт"
(г. Мезень и раб. пос. Каменка)</t>
  </si>
  <si>
    <t>покупатели на розничных рынках Архангельской области (прочие потребители) по договорам энергоснабжения на уровне напряжения СН1</t>
  </si>
  <si>
    <t>покупатели на розничных рынках Архангельской области (прочие потребители) по договорам энергоснабжения на уровне напряжения СН2</t>
  </si>
  <si>
    <t>покупатели на розничных рынках Архангельской области (прочие потребители) по договорам энергоснабжения на уровне напряжения НН</t>
  </si>
  <si>
    <t>покупатели на розничных рынках Архангельской области (прочие потребители) по договорам купли-продажи</t>
  </si>
  <si>
    <t>покупатели на розничных рынках Архангельской области (прочие потребители - территориальные сетевые организации)</t>
  </si>
  <si>
    <t>декабрь 2021 
(объем отпуска эл. энергии на уровне декабря 2018)</t>
  </si>
  <si>
    <t>декабрь 2022 
(объем отпуска эл. энергии на уровне декабря 2018)</t>
  </si>
  <si>
    <t>Приложение № 13</t>
  </si>
  <si>
    <t>к пояснительной записке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</si>
</sst>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%"/>
    <numFmt numFmtId="166" formatCode="#,##0.000_ ;\-#,##0.000\ "/>
    <numFmt numFmtId="167" formatCode="#,##0.00_ ;\-#,##0.00\ 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8"/>
      <name val="Tahoma"/>
      <family val="2"/>
      <charset val="204"/>
    </font>
    <font>
      <b/>
      <sz val="10.5"/>
      <name val="Tahoma"/>
      <family val="2"/>
      <charset val="204"/>
    </font>
    <font>
      <sz val="10.5"/>
      <color theme="1"/>
      <name val="Calibri"/>
      <family val="2"/>
      <charset val="204"/>
      <scheme val="minor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sz val="10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b/>
      <sz val="10.5"/>
      <color rgb="FFFF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6"/>
      <name val="Tahoma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Tahoma"/>
      <family val="2"/>
      <charset val="204"/>
    </font>
    <font>
      <b/>
      <sz val="13"/>
      <name val="Tahoma"/>
      <family val="2"/>
      <charset val="204"/>
    </font>
    <font>
      <b/>
      <sz val="1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100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165" fontId="4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 applyAlignment="1">
      <alignment horizontal="left"/>
    </xf>
    <xf numFmtId="0" fontId="3" fillId="0" borderId="2" xfId="0" applyFont="1" applyFill="1" applyBorder="1" applyAlignment="1">
      <alignment horizontal="left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0" fillId="0" borderId="0" xfId="0" applyFont="1" applyFill="1"/>
    <xf numFmtId="49" fontId="5" fillId="0" borderId="0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167" fontId="12" fillId="0" borderId="0" xfId="0" applyNumberFormat="1" applyFont="1" applyFill="1" applyBorder="1" applyAlignment="1">
      <alignment horizontal="center" vertical="center" wrapText="1" shrinkToFit="1"/>
    </xf>
    <xf numFmtId="167" fontId="12" fillId="0" borderId="0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166" fontId="3" fillId="0" borderId="0" xfId="0" applyNumberFormat="1" applyFont="1" applyFill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 wrapText="1" shrinkToFit="1"/>
    </xf>
    <xf numFmtId="0" fontId="13" fillId="0" borderId="0" xfId="0" applyFont="1" applyFill="1"/>
    <xf numFmtId="0" fontId="15" fillId="0" borderId="0" xfId="0" applyFont="1" applyFill="1"/>
    <xf numFmtId="0" fontId="15" fillId="0" borderId="0" xfId="0" applyFont="1" applyFill="1" applyBorder="1"/>
    <xf numFmtId="0" fontId="15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center" vertical="center" wrapText="1" shrinkToFi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/>
    </xf>
    <xf numFmtId="0" fontId="7" fillId="0" borderId="5" xfId="0" applyFont="1" applyFill="1" applyBorder="1" applyAlignment="1">
      <alignment horizontal="center" vertical="center" wrapText="1" shrinkToFit="1"/>
    </xf>
    <xf numFmtId="4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4" fontId="7" fillId="0" borderId="1" xfId="0" applyNumberFormat="1" applyFont="1" applyFill="1" applyBorder="1" applyAlignment="1">
      <alignment horizontal="center" vertical="center" wrapText="1" shrinkToFit="1"/>
    </xf>
    <xf numFmtId="167" fontId="7" fillId="0" borderId="1" xfId="0" applyNumberFormat="1" applyFont="1" applyFill="1" applyBorder="1" applyAlignment="1">
      <alignment horizontal="center" vertical="center" wrapText="1" shrinkToFit="1"/>
    </xf>
    <xf numFmtId="4" fontId="7" fillId="0" borderId="1" xfId="1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4" fontId="7" fillId="0" borderId="2" xfId="1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7" fillId="0" borderId="0" xfId="0" applyFont="1" applyFill="1"/>
    <xf numFmtId="4" fontId="3" fillId="0" borderId="2" xfId="0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/>
    </xf>
    <xf numFmtId="4" fontId="0" fillId="0" borderId="0" xfId="0" applyNumberFormat="1" applyFill="1"/>
    <xf numFmtId="4" fontId="3" fillId="0" borderId="2" xfId="0" applyNumberFormat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 shrinkToFit="1"/>
    </xf>
    <xf numFmtId="4" fontId="3" fillId="2" borderId="2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 shrinkToFit="1"/>
    </xf>
    <xf numFmtId="4" fontId="7" fillId="2" borderId="2" xfId="0" applyNumberFormat="1" applyFont="1" applyFill="1" applyBorder="1" applyAlignment="1">
      <alignment horizontal="center" vertical="center" wrapText="1" shrinkToFi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left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49" fontId="9" fillId="2" borderId="2" xfId="0" applyNumberFormat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 wrapText="1"/>
    </xf>
    <xf numFmtId="0" fontId="13" fillId="0" borderId="0" xfId="0" applyFont="1" applyFill="1" applyAlignment="1">
      <alignment horizontal="right"/>
    </xf>
    <xf numFmtId="0" fontId="18" fillId="0" borderId="0" xfId="3" applyFont="1" applyFill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8" fillId="0" borderId="2" xfId="4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 shrinkToFi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8" fillId="0" borderId="5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3" fillId="0" borderId="0" xfId="0" applyFont="1" applyFill="1" applyAlignment="1"/>
  </cellXfs>
  <cellStyles count="8">
    <cellStyle name="Обычный" xfId="0" builtinId="0"/>
    <cellStyle name="Обычный 10 2" xfId="6"/>
    <cellStyle name="Обычный 10 2 4 2" xfId="7"/>
    <cellStyle name="Обычный 2" xfId="4"/>
    <cellStyle name="Обычный 2 2" xfId="5"/>
    <cellStyle name="Обычный 7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CCFFCC"/>
      <color rgb="FFCCFFFF"/>
      <color rgb="FFFFFFCC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GQ70"/>
  <sheetViews>
    <sheetView tabSelected="1" zoomScale="70" zoomScaleNormal="70" zoomScaleSheetLayoutView="9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I3" sqref="I3"/>
    </sheetView>
  </sheetViews>
  <sheetFormatPr defaultColWidth="9.140625" defaultRowHeight="15" outlineLevelRow="1" outlineLevelCol="1"/>
  <cols>
    <col min="1" max="1" width="21.85546875" style="1" customWidth="1"/>
    <col min="2" max="2" width="48.85546875" style="1" customWidth="1"/>
    <col min="3" max="3" width="20.85546875" style="1" customWidth="1"/>
    <col min="4" max="4" width="22" style="1" customWidth="1"/>
    <col min="5" max="6" width="20.140625" style="1" customWidth="1"/>
    <col min="7" max="7" width="23.5703125" style="1" customWidth="1"/>
    <col min="8" max="11" width="14" style="1" customWidth="1"/>
    <col min="12" max="13" width="21.5703125" style="1" customWidth="1"/>
    <col min="14" max="14" width="20.5703125" style="1" customWidth="1"/>
    <col min="15" max="16" width="21.5703125" style="1" customWidth="1"/>
    <col min="17" max="17" width="21.42578125" style="1" customWidth="1"/>
    <col min="18" max="18" width="30.42578125" style="1" hidden="1" customWidth="1" outlineLevel="1"/>
    <col min="19" max="19" width="21.7109375" style="1" hidden="1" customWidth="1" outlineLevel="1" collapsed="1"/>
    <col min="20" max="20" width="21.28515625" style="1" customWidth="1" collapsed="1"/>
    <col min="21" max="21" width="21.42578125" style="1" customWidth="1"/>
    <col min="22" max="22" width="9.140625" style="1"/>
    <col min="23" max="24" width="9.140625" style="1" hidden="1" customWidth="1" outlineLevel="1"/>
    <col min="25" max="25" width="9.140625" style="1" collapsed="1"/>
    <col min="26" max="16384" width="9.140625" style="1"/>
  </cols>
  <sheetData>
    <row r="1" spans="1:199" ht="20.25" customHeight="1">
      <c r="C1" s="74"/>
      <c r="D1" s="74"/>
      <c r="E1" s="74"/>
      <c r="F1" s="74"/>
      <c r="G1" s="74"/>
      <c r="H1" s="74"/>
      <c r="I1" s="99" t="s">
        <v>64</v>
      </c>
      <c r="J1" s="74"/>
      <c r="K1" s="74"/>
    </row>
    <row r="2" spans="1:199" ht="15.75" customHeight="1">
      <c r="C2" s="74"/>
      <c r="D2" s="74"/>
      <c r="E2" s="74"/>
      <c r="F2" s="74"/>
      <c r="G2" s="74"/>
      <c r="H2" s="74"/>
      <c r="I2" s="99" t="s">
        <v>65</v>
      </c>
      <c r="J2" s="74"/>
      <c r="K2" s="74"/>
    </row>
    <row r="3" spans="1:199" ht="105" customHeight="1">
      <c r="A3" s="73"/>
      <c r="B3" s="73"/>
      <c r="C3" s="75" t="s">
        <v>38</v>
      </c>
      <c r="D3" s="75"/>
      <c r="E3" s="75"/>
      <c r="F3" s="75"/>
      <c r="G3" s="75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199" ht="2.4500000000000002" customHeight="1">
      <c r="A4" s="3"/>
      <c r="B4" s="4"/>
      <c r="C4" s="3"/>
      <c r="D4" s="3"/>
      <c r="E4" s="3"/>
      <c r="F4" s="3"/>
      <c r="G4" s="3"/>
      <c r="H4" s="2"/>
      <c r="I4" s="5"/>
      <c r="J4" s="3"/>
      <c r="K4" s="5"/>
      <c r="L4" s="3"/>
      <c r="M4" s="3"/>
      <c r="N4" s="3"/>
      <c r="O4" s="3"/>
      <c r="P4" s="3"/>
      <c r="Q4" s="3"/>
      <c r="R4" s="3"/>
      <c r="S4" s="2"/>
      <c r="T4" s="2"/>
      <c r="U4" s="2"/>
    </row>
    <row r="5" spans="1:199" ht="113.25" customHeight="1">
      <c r="A5" s="77" t="s">
        <v>8</v>
      </c>
      <c r="B5" s="79" t="s">
        <v>9</v>
      </c>
      <c r="C5" s="81" t="s">
        <v>25</v>
      </c>
      <c r="D5" s="82"/>
      <c r="E5" s="82"/>
      <c r="F5" s="82"/>
      <c r="G5" s="83"/>
      <c r="H5" s="84" t="s">
        <v>10</v>
      </c>
      <c r="I5" s="85"/>
      <c r="J5" s="84" t="s">
        <v>24</v>
      </c>
      <c r="K5" s="85"/>
      <c r="L5" s="86" t="s">
        <v>23</v>
      </c>
      <c r="M5" s="87"/>
      <c r="N5" s="87"/>
      <c r="O5" s="87"/>
      <c r="P5" s="88"/>
      <c r="Q5" s="92" t="s">
        <v>39</v>
      </c>
      <c r="R5" s="92" t="s">
        <v>40</v>
      </c>
      <c r="S5" s="93" t="s">
        <v>41</v>
      </c>
      <c r="T5" s="94"/>
      <c r="U5" s="77" t="s">
        <v>46</v>
      </c>
    </row>
    <row r="6" spans="1:199" ht="46.5" customHeight="1">
      <c r="A6" s="77"/>
      <c r="B6" s="80"/>
      <c r="C6" s="60" t="s">
        <v>42</v>
      </c>
      <c r="D6" s="60" t="s">
        <v>43</v>
      </c>
      <c r="E6" s="60" t="s">
        <v>44</v>
      </c>
      <c r="F6" s="60" t="s">
        <v>45</v>
      </c>
      <c r="G6" s="60" t="s">
        <v>22</v>
      </c>
      <c r="H6" s="61" t="s">
        <v>4</v>
      </c>
      <c r="I6" s="61" t="s">
        <v>5</v>
      </c>
      <c r="J6" s="61" t="s">
        <v>15</v>
      </c>
      <c r="K6" s="61" t="s">
        <v>5</v>
      </c>
      <c r="L6" s="60" t="s">
        <v>0</v>
      </c>
      <c r="M6" s="60" t="s">
        <v>1</v>
      </c>
      <c r="N6" s="60" t="s">
        <v>2</v>
      </c>
      <c r="O6" s="60" t="s">
        <v>3</v>
      </c>
      <c r="P6" s="60" t="s">
        <v>22</v>
      </c>
      <c r="Q6" s="92"/>
      <c r="R6" s="92"/>
      <c r="S6" s="62" t="s">
        <v>26</v>
      </c>
      <c r="T6" s="62" t="s">
        <v>11</v>
      </c>
      <c r="U6" s="77"/>
    </row>
    <row r="7" spans="1:199" ht="30" customHeight="1">
      <c r="A7" s="91" t="s">
        <v>14</v>
      </c>
      <c r="B7" s="63" t="s">
        <v>27</v>
      </c>
      <c r="C7" s="54">
        <f>32703+2964752</f>
        <v>2997455</v>
      </c>
      <c r="D7" s="55">
        <f>31813+2637571</f>
        <v>2669384</v>
      </c>
      <c r="E7" s="55">
        <f>37066+3074644</f>
        <v>3111710</v>
      </c>
      <c r="F7" s="55">
        <f>38057+2786190</f>
        <v>2824247</v>
      </c>
      <c r="G7" s="55">
        <f>SUM(C7:F7)</f>
        <v>11602796</v>
      </c>
      <c r="H7" s="9">
        <v>33.6</v>
      </c>
      <c r="I7" s="9">
        <v>33.6</v>
      </c>
      <c r="J7" s="9">
        <v>2.87</v>
      </c>
      <c r="K7" s="9">
        <v>2.93</v>
      </c>
      <c r="L7" s="9">
        <f>(H7-J7)*C7</f>
        <v>92111792.150000006</v>
      </c>
      <c r="M7" s="9">
        <f>(H7-J7)*D7</f>
        <v>82030170.320000008</v>
      </c>
      <c r="N7" s="9">
        <f>E7*(I7-K7)</f>
        <v>95436145.700000003</v>
      </c>
      <c r="O7" s="9">
        <f>F7*(I7-K7)</f>
        <v>86619655.49000001</v>
      </c>
      <c r="P7" s="9">
        <f>SUM(L7:O7)</f>
        <v>356197763.66000003</v>
      </c>
      <c r="Q7" s="9" t="s">
        <v>12</v>
      </c>
      <c r="R7" s="9"/>
      <c r="S7" s="27">
        <f>936381+14799</f>
        <v>951180</v>
      </c>
      <c r="T7" s="9">
        <f>(I7-K7)*S7</f>
        <v>29172690.600000001</v>
      </c>
      <c r="U7" s="9"/>
    </row>
    <row r="8" spans="1:199" ht="30" customHeight="1">
      <c r="A8" s="89"/>
      <c r="B8" s="63" t="s">
        <v>29</v>
      </c>
      <c r="C8" s="56">
        <f>33918+1751390</f>
        <v>1785308</v>
      </c>
      <c r="D8" s="56">
        <f>29609+1262837</f>
        <v>1292446</v>
      </c>
      <c r="E8" s="56">
        <f>31637+1039704</f>
        <v>1071341</v>
      </c>
      <c r="F8" s="56">
        <f>35241+1355000</f>
        <v>1390241</v>
      </c>
      <c r="G8" s="55">
        <f>SUM(C8:F8)</f>
        <v>5539336</v>
      </c>
      <c r="H8" s="9">
        <v>33.6</v>
      </c>
      <c r="I8" s="9">
        <v>33.6</v>
      </c>
      <c r="J8" s="9">
        <v>3.3</v>
      </c>
      <c r="K8" s="9">
        <v>3.36</v>
      </c>
      <c r="L8" s="9">
        <f t="shared" ref="L8:L14" si="0">(H8-J8)*C8</f>
        <v>54094832.399999999</v>
      </c>
      <c r="M8" s="9">
        <f t="shared" ref="M8:M14" si="1">(H8-J8)*D8</f>
        <v>39161113.800000004</v>
      </c>
      <c r="N8" s="9">
        <f t="shared" ref="N8:N14" si="2">E8*(I8-K8)</f>
        <v>32397351.840000004</v>
      </c>
      <c r="O8" s="9">
        <f t="shared" ref="O8:O14" si="3">F8*(I8-K8)</f>
        <v>42040887.840000004</v>
      </c>
      <c r="P8" s="9">
        <f t="shared" ref="P8:P14" si="4">SUM(L8:O8)</f>
        <v>167694185.88</v>
      </c>
      <c r="Q8" s="9" t="s">
        <v>12</v>
      </c>
      <c r="R8" s="9"/>
      <c r="S8" s="27">
        <f>497404+13737</f>
        <v>511141</v>
      </c>
      <c r="T8" s="9">
        <f t="shared" ref="T8:T13" si="5">(I8-K8)*S8</f>
        <v>15456903.840000002</v>
      </c>
      <c r="U8" s="9"/>
    </row>
    <row r="9" spans="1:199" ht="30" customHeight="1">
      <c r="A9" s="89"/>
      <c r="B9" s="64" t="s">
        <v>28</v>
      </c>
      <c r="C9" s="56">
        <f>10068+849745</f>
        <v>859813</v>
      </c>
      <c r="D9" s="56">
        <f>9365+576749</f>
        <v>586114</v>
      </c>
      <c r="E9" s="56">
        <f>9305+369690</f>
        <v>378995</v>
      </c>
      <c r="F9" s="56">
        <f>10130+591345</f>
        <v>601475</v>
      </c>
      <c r="G9" s="55">
        <f>SUM(C9:F9)</f>
        <v>2426397</v>
      </c>
      <c r="H9" s="9">
        <v>33.6</v>
      </c>
      <c r="I9" s="9">
        <v>33.6</v>
      </c>
      <c r="J9" s="9">
        <v>0.96</v>
      </c>
      <c r="K9" s="9">
        <v>1.03</v>
      </c>
      <c r="L9" s="9">
        <f t="shared" si="0"/>
        <v>28064296.32</v>
      </c>
      <c r="M9" s="9">
        <f t="shared" si="1"/>
        <v>19130760.960000001</v>
      </c>
      <c r="N9" s="9">
        <f t="shared" si="2"/>
        <v>12343867.15</v>
      </c>
      <c r="O9" s="9">
        <f t="shared" si="3"/>
        <v>19590040.75</v>
      </c>
      <c r="P9" s="9">
        <f t="shared" si="4"/>
        <v>79128965.180000007</v>
      </c>
      <c r="Q9" s="9" t="s">
        <v>12</v>
      </c>
      <c r="R9" s="9"/>
      <c r="S9" s="27">
        <f>225637+4048</f>
        <v>229685</v>
      </c>
      <c r="T9" s="9">
        <f t="shared" si="5"/>
        <v>7480840.4500000002</v>
      </c>
      <c r="U9" s="9"/>
    </row>
    <row r="10" spans="1:199" ht="51" customHeight="1">
      <c r="A10" s="89"/>
      <c r="B10" s="64" t="s">
        <v>17</v>
      </c>
      <c r="C10" s="56">
        <f>182+4900</f>
        <v>5082</v>
      </c>
      <c r="D10" s="56">
        <f>133+5702</f>
        <v>5835</v>
      </c>
      <c r="E10" s="56">
        <f>56+4617</f>
        <v>4673</v>
      </c>
      <c r="F10" s="56">
        <f>134+4655</f>
        <v>4789</v>
      </c>
      <c r="G10" s="55">
        <f>SUM(C10:F10)</f>
        <v>20379</v>
      </c>
      <c r="H10" s="9">
        <v>33.6</v>
      </c>
      <c r="I10" s="9">
        <v>33.6</v>
      </c>
      <c r="J10" s="9">
        <v>4.09</v>
      </c>
      <c r="K10" s="9">
        <v>4.18</v>
      </c>
      <c r="L10" s="9">
        <f t="shared" si="0"/>
        <v>149969.82</v>
      </c>
      <c r="M10" s="9">
        <f t="shared" si="1"/>
        <v>172190.85</v>
      </c>
      <c r="N10" s="9">
        <f t="shared" si="2"/>
        <v>137479.66</v>
      </c>
      <c r="O10" s="9">
        <f t="shared" si="3"/>
        <v>140892.38</v>
      </c>
      <c r="P10" s="9">
        <f t="shared" si="4"/>
        <v>600532.71000000008</v>
      </c>
      <c r="Q10" s="9" t="s">
        <v>12</v>
      </c>
      <c r="R10" s="9"/>
      <c r="S10" s="27">
        <f>1781+27</f>
        <v>1808</v>
      </c>
      <c r="T10" s="9">
        <f t="shared" si="5"/>
        <v>53191.360000000001</v>
      </c>
      <c r="U10" s="9"/>
    </row>
    <row r="11" spans="1:199" ht="51" customHeight="1">
      <c r="A11" s="89"/>
      <c r="B11" s="64" t="s">
        <v>18</v>
      </c>
      <c r="C11" s="56">
        <v>115330</v>
      </c>
      <c r="D11" s="56">
        <v>103044</v>
      </c>
      <c r="E11" s="56">
        <v>117049</v>
      </c>
      <c r="F11" s="56">
        <v>100300</v>
      </c>
      <c r="G11" s="55">
        <f t="shared" ref="G11:G14" si="6">SUM(C11:F11)</f>
        <v>435723</v>
      </c>
      <c r="H11" s="9">
        <v>33.6</v>
      </c>
      <c r="I11" s="9">
        <v>33.6</v>
      </c>
      <c r="J11" s="9">
        <v>3.07</v>
      </c>
      <c r="K11" s="9">
        <v>3.13</v>
      </c>
      <c r="L11" s="9">
        <f t="shared" si="0"/>
        <v>3521024.9</v>
      </c>
      <c r="M11" s="9">
        <f t="shared" si="1"/>
        <v>3145933.3200000003</v>
      </c>
      <c r="N11" s="9">
        <f t="shared" si="2"/>
        <v>3566483.0300000003</v>
      </c>
      <c r="O11" s="9">
        <f t="shared" si="3"/>
        <v>3056141.0000000005</v>
      </c>
      <c r="P11" s="9">
        <f t="shared" si="4"/>
        <v>13289582.25</v>
      </c>
      <c r="Q11" s="9"/>
      <c r="R11" s="9"/>
      <c r="S11" s="27">
        <v>31858</v>
      </c>
      <c r="T11" s="9">
        <f t="shared" si="5"/>
        <v>970713.26000000013</v>
      </c>
      <c r="U11" s="9"/>
    </row>
    <row r="12" spans="1:199" ht="51" customHeight="1">
      <c r="A12" s="89"/>
      <c r="B12" s="64" t="s">
        <v>19</v>
      </c>
      <c r="C12" s="56">
        <v>204899</v>
      </c>
      <c r="D12" s="56">
        <v>159572</v>
      </c>
      <c r="E12" s="56">
        <v>126368</v>
      </c>
      <c r="F12" s="56">
        <v>152306</v>
      </c>
      <c r="G12" s="55">
        <f t="shared" si="6"/>
        <v>643145</v>
      </c>
      <c r="H12" s="9">
        <v>33.6</v>
      </c>
      <c r="I12" s="9">
        <v>33.6</v>
      </c>
      <c r="J12" s="9">
        <v>3.53</v>
      </c>
      <c r="K12" s="9">
        <v>3.6</v>
      </c>
      <c r="L12" s="9">
        <f t="shared" si="0"/>
        <v>6161312.9299999997</v>
      </c>
      <c r="M12" s="9">
        <f t="shared" si="1"/>
        <v>4798330.04</v>
      </c>
      <c r="N12" s="9">
        <f t="shared" si="2"/>
        <v>3791040</v>
      </c>
      <c r="O12" s="9">
        <f t="shared" si="3"/>
        <v>4569180</v>
      </c>
      <c r="P12" s="9">
        <f t="shared" si="4"/>
        <v>19319862.969999999</v>
      </c>
      <c r="Q12" s="9"/>
      <c r="R12" s="9"/>
      <c r="S12" s="27">
        <v>49285</v>
      </c>
      <c r="T12" s="9">
        <f t="shared" si="5"/>
        <v>1478550</v>
      </c>
      <c r="U12" s="9"/>
    </row>
    <row r="13" spans="1:199" ht="51" customHeight="1">
      <c r="A13" s="89"/>
      <c r="B13" s="64" t="s">
        <v>20</v>
      </c>
      <c r="C13" s="56">
        <v>92729</v>
      </c>
      <c r="D13" s="56">
        <v>64088</v>
      </c>
      <c r="E13" s="56">
        <v>52689</v>
      </c>
      <c r="F13" s="56">
        <v>61744</v>
      </c>
      <c r="G13" s="55">
        <f t="shared" si="6"/>
        <v>271250</v>
      </c>
      <c r="H13" s="9">
        <v>33.6</v>
      </c>
      <c r="I13" s="9">
        <v>33.6</v>
      </c>
      <c r="J13" s="9">
        <v>1.03</v>
      </c>
      <c r="K13" s="9">
        <v>1.1100000000000001</v>
      </c>
      <c r="L13" s="9">
        <f t="shared" si="0"/>
        <v>3020183.53</v>
      </c>
      <c r="M13" s="9">
        <f t="shared" si="1"/>
        <v>2087346.16</v>
      </c>
      <c r="N13" s="9">
        <f t="shared" si="2"/>
        <v>1711865.61</v>
      </c>
      <c r="O13" s="9">
        <f t="shared" si="3"/>
        <v>2006062.56</v>
      </c>
      <c r="P13" s="9">
        <f t="shared" si="4"/>
        <v>8825457.8599999994</v>
      </c>
      <c r="Q13" s="9"/>
      <c r="R13" s="9"/>
      <c r="S13" s="27">
        <v>20600</v>
      </c>
      <c r="T13" s="9">
        <f t="shared" si="5"/>
        <v>669294</v>
      </c>
      <c r="U13" s="9"/>
    </row>
    <row r="14" spans="1:199" ht="50.25" customHeight="1">
      <c r="A14" s="89"/>
      <c r="B14" s="64" t="s">
        <v>21</v>
      </c>
      <c r="C14" s="56">
        <f>92026+3238744</f>
        <v>3330770</v>
      </c>
      <c r="D14" s="56">
        <f>53525+2269789</f>
        <v>2323314</v>
      </c>
      <c r="E14" s="56">
        <f>31586+1846904</f>
        <v>1878490</v>
      </c>
      <c r="F14" s="56">
        <f>63375+2552734</f>
        <v>2616109</v>
      </c>
      <c r="G14" s="55">
        <f t="shared" si="6"/>
        <v>10148683</v>
      </c>
      <c r="H14" s="9">
        <v>33.6</v>
      </c>
      <c r="I14" s="9">
        <v>33.6</v>
      </c>
      <c r="J14" s="26">
        <v>7.95</v>
      </c>
      <c r="K14" s="26">
        <v>7.95</v>
      </c>
      <c r="L14" s="9">
        <f t="shared" si="0"/>
        <v>85434250.5</v>
      </c>
      <c r="M14" s="9">
        <f t="shared" si="1"/>
        <v>59593004.100000001</v>
      </c>
      <c r="N14" s="9">
        <f t="shared" si="2"/>
        <v>48183268.500000007</v>
      </c>
      <c r="O14" s="9">
        <f t="shared" si="3"/>
        <v>67103195.850000009</v>
      </c>
      <c r="P14" s="9">
        <f t="shared" si="4"/>
        <v>260313718.94999999</v>
      </c>
      <c r="Q14" s="9" t="s">
        <v>12</v>
      </c>
      <c r="R14" s="9"/>
      <c r="S14" s="27">
        <f>942834+27652</f>
        <v>970486</v>
      </c>
      <c r="T14" s="9">
        <f>(I14-K14)*S14</f>
        <v>24892965.900000002</v>
      </c>
      <c r="U14" s="9"/>
    </row>
    <row r="15" spans="1:199" s="28" customFormat="1" ht="30" customHeight="1">
      <c r="A15" s="90"/>
      <c r="B15" s="65" t="s">
        <v>6</v>
      </c>
      <c r="C15" s="57">
        <f>SUM(C7:C14)</f>
        <v>9391386</v>
      </c>
      <c r="D15" s="57">
        <f t="shared" ref="D15:F15" si="7">SUM(D7:D14)</f>
        <v>7203797</v>
      </c>
      <c r="E15" s="57">
        <f t="shared" si="7"/>
        <v>6741315</v>
      </c>
      <c r="F15" s="57">
        <f t="shared" si="7"/>
        <v>7751211</v>
      </c>
      <c r="G15" s="57">
        <f>SUM(G7:G14)</f>
        <v>31087709</v>
      </c>
      <c r="H15" s="43"/>
      <c r="I15" s="43"/>
      <c r="J15" s="43"/>
      <c r="K15" s="43"/>
      <c r="L15" s="43">
        <f>SUM(L7:L14)</f>
        <v>272557662.55000001</v>
      </c>
      <c r="M15" s="43">
        <f t="shared" ref="M15:P15" si="8">SUM(M7:M14)</f>
        <v>210118849.54999998</v>
      </c>
      <c r="N15" s="43">
        <f t="shared" si="8"/>
        <v>197567501.49000001</v>
      </c>
      <c r="O15" s="43">
        <f t="shared" si="8"/>
        <v>225126055.87</v>
      </c>
      <c r="P15" s="43">
        <f t="shared" si="8"/>
        <v>905370069.46000004</v>
      </c>
      <c r="Q15" s="44">
        <f>61607696.51+2342950.01</f>
        <v>63950646.519999996</v>
      </c>
      <c r="R15" s="44">
        <f>P15+Q15</f>
        <v>969320715.98000002</v>
      </c>
      <c r="S15" s="45">
        <f>SUM(S7:S14)</f>
        <v>2766043</v>
      </c>
      <c r="T15" s="45">
        <f>SUM(T7:T14)</f>
        <v>80175149.410000011</v>
      </c>
      <c r="U15" s="37">
        <f>R15-T15</f>
        <v>889145566.57000005</v>
      </c>
    </row>
    <row r="16" spans="1:199" s="2" customFormat="1" ht="41.25" customHeight="1">
      <c r="A16" s="91" t="s">
        <v>37</v>
      </c>
      <c r="B16" s="66" t="s">
        <v>55</v>
      </c>
      <c r="C16" s="55">
        <v>6232781</v>
      </c>
      <c r="D16" s="55">
        <f>11555793-C16</f>
        <v>5323012</v>
      </c>
      <c r="E16" s="55">
        <v>4967000</v>
      </c>
      <c r="F16" s="55">
        <v>6231100</v>
      </c>
      <c r="G16" s="55">
        <f>SUM(C16:F16)</f>
        <v>22753893</v>
      </c>
      <c r="H16" s="9">
        <v>4.09</v>
      </c>
      <c r="I16" s="9">
        <v>4.18</v>
      </c>
      <c r="J16" s="9">
        <v>3.37</v>
      </c>
      <c r="K16" s="9">
        <v>3.62</v>
      </c>
      <c r="L16" s="9">
        <f>(H16-J16)*C16</f>
        <v>4487602.3199999984</v>
      </c>
      <c r="M16" s="9">
        <f>(H16-J16)*D16</f>
        <v>3832568.6399999987</v>
      </c>
      <c r="N16" s="9">
        <f>(I16-K16)*E16</f>
        <v>2781519.9999999981</v>
      </c>
      <c r="O16" s="9">
        <f>(I16-K16)*F16</f>
        <v>3489415.9999999977</v>
      </c>
      <c r="P16" s="9">
        <f>SUM(L16:O16)</f>
        <v>14591106.959999993</v>
      </c>
      <c r="Q16" s="9" t="s">
        <v>12</v>
      </c>
      <c r="R16" s="9"/>
      <c r="S16" s="27">
        <f>F16/3</f>
        <v>2077033.3333333333</v>
      </c>
      <c r="T16" s="9">
        <f>(I16-K16)*S16</f>
        <v>1163138.6666666658</v>
      </c>
      <c r="U16" s="9"/>
      <c r="V16" s="24"/>
      <c r="W16" s="25">
        <f t="shared" ref="W16:W21" si="9">SUM(C16:D16)</f>
        <v>11555793</v>
      </c>
      <c r="X16" s="25">
        <f t="shared" ref="X16:X24" si="10">SUM(E16:F16)</f>
        <v>11198100</v>
      </c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</row>
    <row r="17" spans="1:199" s="2" customFormat="1" ht="46.5" customHeight="1">
      <c r="A17" s="89"/>
      <c r="B17" s="66" t="s">
        <v>30</v>
      </c>
      <c r="C17" s="55">
        <v>68775</v>
      </c>
      <c r="D17" s="55">
        <f>135164-C17</f>
        <v>66389</v>
      </c>
      <c r="E17" s="55">
        <v>20500</v>
      </c>
      <c r="F17" s="55">
        <v>25500</v>
      </c>
      <c r="G17" s="55">
        <f t="shared" ref="G17:G25" si="11">SUM(C17:F17)</f>
        <v>181164</v>
      </c>
      <c r="H17" s="9">
        <v>4.71</v>
      </c>
      <c r="I17" s="9">
        <v>4.8</v>
      </c>
      <c r="J17" s="9">
        <v>3.6</v>
      </c>
      <c r="K17" s="9">
        <v>4.07</v>
      </c>
      <c r="L17" s="9">
        <f t="shared" ref="L17:L25" si="12">(H17-J17)*C17</f>
        <v>76340.249999999985</v>
      </c>
      <c r="M17" s="9">
        <f t="shared" ref="M17:M25" si="13">(H17-J17)*D17</f>
        <v>73691.789999999994</v>
      </c>
      <c r="N17" s="9">
        <f t="shared" ref="N17:N25" si="14">(I17-K17)*E17</f>
        <v>14964.999999999991</v>
      </c>
      <c r="O17" s="9">
        <f t="shared" ref="O17:O25" si="15">(I17-K17)*F17</f>
        <v>18614.999999999989</v>
      </c>
      <c r="P17" s="9">
        <f t="shared" ref="P17:P21" si="16">SUM(L17:O17)</f>
        <v>183612.03999999998</v>
      </c>
      <c r="Q17" s="9" t="s">
        <v>12</v>
      </c>
      <c r="R17" s="9"/>
      <c r="S17" s="27">
        <f>F17/3</f>
        <v>8500</v>
      </c>
      <c r="T17" s="9">
        <f t="shared" ref="T17:T23" si="17">(I17-K17)*S17</f>
        <v>6204.9999999999964</v>
      </c>
      <c r="U17" s="9"/>
      <c r="V17" s="24"/>
      <c r="W17" s="25">
        <f t="shared" si="9"/>
        <v>135164</v>
      </c>
      <c r="X17" s="25">
        <f t="shared" si="10"/>
        <v>46000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</row>
    <row r="18" spans="1:199" s="2" customFormat="1" ht="51" customHeight="1">
      <c r="A18" s="89"/>
      <c r="B18" s="66" t="s">
        <v>31</v>
      </c>
      <c r="C18" s="55">
        <v>28041</v>
      </c>
      <c r="D18" s="55">
        <f>52552-C18</f>
        <v>24511</v>
      </c>
      <c r="E18" s="55">
        <v>6500</v>
      </c>
      <c r="F18" s="55">
        <v>12500</v>
      </c>
      <c r="G18" s="55">
        <f t="shared" si="11"/>
        <v>71552</v>
      </c>
      <c r="H18" s="9">
        <v>1.38</v>
      </c>
      <c r="I18" s="9">
        <v>1.48</v>
      </c>
      <c r="J18" s="9">
        <v>1.31</v>
      </c>
      <c r="K18" s="9">
        <v>1.48</v>
      </c>
      <c r="L18" s="9">
        <f t="shared" si="12"/>
        <v>1962.8699999999956</v>
      </c>
      <c r="M18" s="9">
        <f t="shared" si="13"/>
        <v>1715.7699999999961</v>
      </c>
      <c r="N18" s="9">
        <f t="shared" si="14"/>
        <v>0</v>
      </c>
      <c r="O18" s="9">
        <f t="shared" si="15"/>
        <v>0</v>
      </c>
      <c r="P18" s="9">
        <f t="shared" si="16"/>
        <v>3678.6399999999917</v>
      </c>
      <c r="Q18" s="9" t="s">
        <v>12</v>
      </c>
      <c r="R18" s="9"/>
      <c r="S18" s="27">
        <f t="shared" ref="S18:S25" si="18">F18/3</f>
        <v>4166.666666666667</v>
      </c>
      <c r="T18" s="9">
        <f t="shared" si="17"/>
        <v>0</v>
      </c>
      <c r="U18" s="9"/>
      <c r="V18" s="24"/>
      <c r="W18" s="25">
        <f t="shared" si="9"/>
        <v>52552</v>
      </c>
      <c r="X18" s="25">
        <f t="shared" si="10"/>
        <v>19000</v>
      </c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</row>
    <row r="19" spans="1:199" s="2" customFormat="1" ht="41.25" customHeight="1">
      <c r="A19" s="89"/>
      <c r="B19" s="66" t="s">
        <v>32</v>
      </c>
      <c r="C19" s="55">
        <v>1260385</v>
      </c>
      <c r="D19" s="55">
        <f>2402430-C19</f>
        <v>1142045</v>
      </c>
      <c r="E19" s="55">
        <v>1067000</v>
      </c>
      <c r="F19" s="55">
        <v>1299000</v>
      </c>
      <c r="G19" s="55">
        <f t="shared" si="11"/>
        <v>4768430</v>
      </c>
      <c r="H19" s="9">
        <v>3.07</v>
      </c>
      <c r="I19" s="9">
        <v>3.13</v>
      </c>
      <c r="J19" s="9">
        <v>2.5299999999999998</v>
      </c>
      <c r="K19" s="9">
        <v>2.72</v>
      </c>
      <c r="L19" s="9">
        <f t="shared" si="12"/>
        <v>680607.9</v>
      </c>
      <c r="M19" s="9">
        <f t="shared" si="13"/>
        <v>616704.30000000005</v>
      </c>
      <c r="N19" s="9">
        <f t="shared" si="14"/>
        <v>437469.99999999965</v>
      </c>
      <c r="O19" s="9">
        <f t="shared" si="15"/>
        <v>532589.99999999965</v>
      </c>
      <c r="P19" s="9">
        <f t="shared" si="16"/>
        <v>2267372.1999999993</v>
      </c>
      <c r="Q19" s="9" t="s">
        <v>12</v>
      </c>
      <c r="R19" s="9"/>
      <c r="S19" s="27">
        <f t="shared" si="18"/>
        <v>433000</v>
      </c>
      <c r="T19" s="9">
        <f t="shared" si="17"/>
        <v>177529.99999999988</v>
      </c>
      <c r="U19" s="9"/>
      <c r="V19" s="24"/>
      <c r="W19" s="25">
        <f t="shared" si="9"/>
        <v>2402430</v>
      </c>
      <c r="X19" s="25">
        <f t="shared" si="10"/>
        <v>2366000</v>
      </c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</row>
    <row r="20" spans="1:199" s="2" customFormat="1" ht="46.5" customHeight="1">
      <c r="A20" s="89"/>
      <c r="B20" s="66" t="s">
        <v>33</v>
      </c>
      <c r="C20" s="55">
        <v>9886</v>
      </c>
      <c r="D20" s="55">
        <f>15070-C20</f>
        <v>5184</v>
      </c>
      <c r="E20" s="55">
        <v>500</v>
      </c>
      <c r="F20" s="55">
        <v>1500</v>
      </c>
      <c r="G20" s="55">
        <f t="shared" si="11"/>
        <v>17070</v>
      </c>
      <c r="H20" s="9">
        <v>3.53</v>
      </c>
      <c r="I20" s="9">
        <v>3.6</v>
      </c>
      <c r="J20" s="9">
        <v>2.71</v>
      </c>
      <c r="K20" s="9">
        <v>3.06</v>
      </c>
      <c r="L20" s="9">
        <f t="shared" si="12"/>
        <v>8106.5199999999986</v>
      </c>
      <c r="M20" s="9">
        <f t="shared" si="13"/>
        <v>4250.8799999999992</v>
      </c>
      <c r="N20" s="9">
        <f t="shared" si="14"/>
        <v>270</v>
      </c>
      <c r="O20" s="9">
        <f t="shared" si="15"/>
        <v>810</v>
      </c>
      <c r="P20" s="9">
        <f t="shared" si="16"/>
        <v>13437.399999999998</v>
      </c>
      <c r="Q20" s="9" t="s">
        <v>12</v>
      </c>
      <c r="R20" s="9"/>
      <c r="S20" s="27">
        <f t="shared" si="18"/>
        <v>500</v>
      </c>
      <c r="T20" s="9">
        <f t="shared" si="17"/>
        <v>270</v>
      </c>
      <c r="U20" s="9"/>
      <c r="V20" s="24"/>
      <c r="W20" s="25">
        <f t="shared" si="9"/>
        <v>15070</v>
      </c>
      <c r="X20" s="25">
        <f t="shared" si="10"/>
        <v>2000</v>
      </c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</row>
    <row r="21" spans="1:199" s="2" customFormat="1" ht="55.15" customHeight="1">
      <c r="A21" s="89"/>
      <c r="B21" s="66" t="s">
        <v>34</v>
      </c>
      <c r="C21" s="55">
        <v>6600</v>
      </c>
      <c r="D21" s="55">
        <f>10039-C21</f>
        <v>3439</v>
      </c>
      <c r="E21" s="55">
        <v>500</v>
      </c>
      <c r="F21" s="55">
        <v>500</v>
      </c>
      <c r="G21" s="55">
        <f t="shared" si="11"/>
        <v>11039</v>
      </c>
      <c r="H21" s="9">
        <v>1.03</v>
      </c>
      <c r="I21" s="9">
        <v>1.1100000000000001</v>
      </c>
      <c r="J21" s="9">
        <v>0.98</v>
      </c>
      <c r="K21" s="9">
        <v>1.1100000000000001</v>
      </c>
      <c r="L21" s="9">
        <f t="shared" si="12"/>
        <v>330.00000000000028</v>
      </c>
      <c r="M21" s="9">
        <f t="shared" si="13"/>
        <v>171.95000000000016</v>
      </c>
      <c r="N21" s="9">
        <f t="shared" si="14"/>
        <v>0</v>
      </c>
      <c r="O21" s="9">
        <f t="shared" si="15"/>
        <v>0</v>
      </c>
      <c r="P21" s="9">
        <f t="shared" si="16"/>
        <v>501.95000000000044</v>
      </c>
      <c r="Q21" s="9" t="s">
        <v>12</v>
      </c>
      <c r="R21" s="9"/>
      <c r="S21" s="27">
        <f t="shared" si="18"/>
        <v>166.66666666666666</v>
      </c>
      <c r="T21" s="9">
        <f t="shared" si="17"/>
        <v>0</v>
      </c>
      <c r="U21" s="9"/>
      <c r="V21" s="24"/>
      <c r="W21" s="25">
        <f t="shared" si="9"/>
        <v>10039</v>
      </c>
      <c r="X21" s="25">
        <f t="shared" si="10"/>
        <v>1000</v>
      </c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</row>
    <row r="22" spans="1:199" ht="51" customHeight="1">
      <c r="A22" s="89"/>
      <c r="B22" s="64" t="s">
        <v>36</v>
      </c>
      <c r="C22" s="56">
        <v>85961</v>
      </c>
      <c r="D22" s="56">
        <f>204338-C22</f>
        <v>118377</v>
      </c>
      <c r="E22" s="56">
        <v>187000</v>
      </c>
      <c r="F22" s="56">
        <v>123000</v>
      </c>
      <c r="G22" s="55">
        <f t="shared" si="11"/>
        <v>514338</v>
      </c>
      <c r="H22" s="9">
        <v>2.87</v>
      </c>
      <c r="I22" s="9">
        <v>2.93</v>
      </c>
      <c r="J22" s="9">
        <v>2.36</v>
      </c>
      <c r="K22" s="9">
        <v>2.5299999999999998</v>
      </c>
      <c r="L22" s="9">
        <f t="shared" si="12"/>
        <v>43840.110000000022</v>
      </c>
      <c r="M22" s="9">
        <f t="shared" si="13"/>
        <v>60372.270000000026</v>
      </c>
      <c r="N22" s="9">
        <f t="shared" si="14"/>
        <v>74800.000000000073</v>
      </c>
      <c r="O22" s="9">
        <f t="shared" si="15"/>
        <v>49200.000000000044</v>
      </c>
      <c r="P22" s="9">
        <f t="shared" ref="P22" si="19">SUM(L22:O22)</f>
        <v>228212.38000000018</v>
      </c>
      <c r="Q22" s="9"/>
      <c r="R22" s="9"/>
      <c r="S22" s="27">
        <f t="shared" si="18"/>
        <v>41000</v>
      </c>
      <c r="T22" s="9">
        <f t="shared" ref="T22" si="20">(I22-K22)*S22</f>
        <v>16400.000000000015</v>
      </c>
      <c r="U22" s="9"/>
      <c r="X22" s="25">
        <f t="shared" si="10"/>
        <v>310000</v>
      </c>
    </row>
    <row r="23" spans="1:199" ht="51" customHeight="1">
      <c r="A23" s="89"/>
      <c r="B23" s="64" t="s">
        <v>35</v>
      </c>
      <c r="C23" s="56">
        <v>184000</v>
      </c>
      <c r="D23" s="56">
        <f>299000-C23</f>
        <v>115000</v>
      </c>
      <c r="E23" s="56">
        <v>100000</v>
      </c>
      <c r="F23" s="56">
        <v>180000</v>
      </c>
      <c r="G23" s="55">
        <f t="shared" si="11"/>
        <v>579000</v>
      </c>
      <c r="H23" s="9">
        <v>4.09</v>
      </c>
      <c r="I23" s="9">
        <v>4.18</v>
      </c>
      <c r="J23" s="9">
        <v>3.37</v>
      </c>
      <c r="K23" s="9">
        <v>3.62</v>
      </c>
      <c r="L23" s="9">
        <f t="shared" si="12"/>
        <v>132479.99999999994</v>
      </c>
      <c r="M23" s="9">
        <f t="shared" si="13"/>
        <v>82799.999999999971</v>
      </c>
      <c r="N23" s="9">
        <f t="shared" si="14"/>
        <v>55999.999999999964</v>
      </c>
      <c r="O23" s="9">
        <f t="shared" si="15"/>
        <v>100799.99999999993</v>
      </c>
      <c r="P23" s="9">
        <f t="shared" ref="P23" si="21">SUM(L23:O23)</f>
        <v>372079.99999999983</v>
      </c>
      <c r="Q23" s="9"/>
      <c r="R23" s="9"/>
      <c r="S23" s="27">
        <f t="shared" si="18"/>
        <v>60000</v>
      </c>
      <c r="T23" s="9">
        <f t="shared" si="17"/>
        <v>33599.999999999978</v>
      </c>
      <c r="U23" s="9"/>
      <c r="X23" s="25">
        <f t="shared" si="10"/>
        <v>280000</v>
      </c>
    </row>
    <row r="24" spans="1:199" ht="51" customHeight="1">
      <c r="A24" s="89"/>
      <c r="B24" s="64" t="s">
        <v>18</v>
      </c>
      <c r="C24" s="56">
        <v>12385</v>
      </c>
      <c r="D24" s="56">
        <f>22498-C24</f>
        <v>10113</v>
      </c>
      <c r="E24" s="56">
        <v>10000</v>
      </c>
      <c r="F24" s="56">
        <v>11000</v>
      </c>
      <c r="G24" s="55">
        <f t="shared" si="11"/>
        <v>43498</v>
      </c>
      <c r="H24" s="9">
        <v>3.07</v>
      </c>
      <c r="I24" s="9">
        <v>3.13</v>
      </c>
      <c r="J24" s="9">
        <v>2.5299999999999998</v>
      </c>
      <c r="K24" s="9">
        <v>2.72</v>
      </c>
      <c r="L24" s="9">
        <f t="shared" si="12"/>
        <v>6687.9000000000005</v>
      </c>
      <c r="M24" s="9">
        <f t="shared" si="13"/>
        <v>5461.02</v>
      </c>
      <c r="N24" s="9">
        <f t="shared" si="14"/>
        <v>4099.9999999999973</v>
      </c>
      <c r="O24" s="9">
        <f t="shared" si="15"/>
        <v>4509.9999999999964</v>
      </c>
      <c r="P24" s="9">
        <f t="shared" ref="P24" si="22">SUM(L24:O24)</f>
        <v>20758.919999999995</v>
      </c>
      <c r="Q24" s="9"/>
      <c r="R24" s="9"/>
      <c r="S24" s="27">
        <f t="shared" si="18"/>
        <v>3666.6666666666665</v>
      </c>
      <c r="T24" s="9">
        <f>(I24-K24)*S24</f>
        <v>1503.3333333333321</v>
      </c>
      <c r="U24" s="9"/>
      <c r="X24" s="25">
        <f t="shared" si="10"/>
        <v>21000</v>
      </c>
    </row>
    <row r="25" spans="1:199" ht="51" customHeight="1">
      <c r="A25" s="89"/>
      <c r="B25" s="64" t="s">
        <v>17</v>
      </c>
      <c r="C25" s="56">
        <v>129955</v>
      </c>
      <c r="D25" s="56">
        <f>282721-C25</f>
        <v>152766</v>
      </c>
      <c r="E25" s="56">
        <v>110000</v>
      </c>
      <c r="F25" s="56">
        <v>150000</v>
      </c>
      <c r="G25" s="55">
        <f t="shared" si="11"/>
        <v>542721</v>
      </c>
      <c r="H25" s="9">
        <v>4.09</v>
      </c>
      <c r="I25" s="9">
        <v>4.18</v>
      </c>
      <c r="J25" s="9">
        <v>3.37</v>
      </c>
      <c r="K25" s="9">
        <v>3.62</v>
      </c>
      <c r="L25" s="9">
        <f t="shared" si="12"/>
        <v>93567.599999999962</v>
      </c>
      <c r="M25" s="9">
        <f t="shared" si="13"/>
        <v>109991.51999999996</v>
      </c>
      <c r="N25" s="9">
        <f t="shared" si="14"/>
        <v>61599.999999999956</v>
      </c>
      <c r="O25" s="9">
        <f t="shared" si="15"/>
        <v>83999.999999999942</v>
      </c>
      <c r="P25" s="9">
        <f>SUM(L25:O25)</f>
        <v>349159.11999999982</v>
      </c>
      <c r="Q25" s="9" t="s">
        <v>12</v>
      </c>
      <c r="R25" s="9"/>
      <c r="S25" s="27">
        <f t="shared" si="18"/>
        <v>50000</v>
      </c>
      <c r="T25" s="9">
        <f>(I25-K25)*S25</f>
        <v>27999.999999999982</v>
      </c>
      <c r="U25" s="9"/>
    </row>
    <row r="26" spans="1:199" s="49" customFormat="1" ht="26.25" customHeight="1">
      <c r="A26" s="90"/>
      <c r="B26" s="67" t="s">
        <v>6</v>
      </c>
      <c r="C26" s="58">
        <f>SUM(C16:C25)</f>
        <v>8018769</v>
      </c>
      <c r="D26" s="58">
        <f t="shared" ref="D26:F26" si="23">SUM(D16:D25)</f>
        <v>6960836</v>
      </c>
      <c r="E26" s="58">
        <f t="shared" si="23"/>
        <v>6469000</v>
      </c>
      <c r="F26" s="58">
        <f t="shared" si="23"/>
        <v>8034100</v>
      </c>
      <c r="G26" s="58">
        <f>SUM(G16:G25)</f>
        <v>29482705</v>
      </c>
      <c r="H26" s="41"/>
      <c r="I26" s="41"/>
      <c r="J26" s="41"/>
      <c r="K26" s="41"/>
      <c r="L26" s="41">
        <f>SUM(L16:L25)</f>
        <v>5531525.4699999988</v>
      </c>
      <c r="M26" s="41">
        <f t="shared" ref="M26:P26" si="24">SUM(M16:M25)</f>
        <v>4787728.1399999987</v>
      </c>
      <c r="N26" s="41">
        <f t="shared" si="24"/>
        <v>3430724.9999999977</v>
      </c>
      <c r="O26" s="41">
        <f t="shared" si="24"/>
        <v>4279940.9999999972</v>
      </c>
      <c r="P26" s="41">
        <f t="shared" si="24"/>
        <v>18029919.609999992</v>
      </c>
      <c r="Q26" s="37">
        <v>1841519</v>
      </c>
      <c r="R26" s="37">
        <f>P26+Q26</f>
        <v>19871438.609999992</v>
      </c>
      <c r="S26" s="47">
        <f>SUM(S16:S25)</f>
        <v>2678033.333333333</v>
      </c>
      <c r="T26" s="47">
        <f>SUM(T16:T25)</f>
        <v>1426646.9999999988</v>
      </c>
      <c r="U26" s="37">
        <f>R26-T26</f>
        <v>18444791.609999992</v>
      </c>
      <c r="V26" s="48"/>
      <c r="W26" s="48">
        <f>ROUND(SUMPRODUCT(J16:J21,W16:W21)/SUM(W16:W21),2)</f>
        <v>3.22</v>
      </c>
      <c r="X26" s="48">
        <f>ROUND(SUMPRODUCT(K16:K21,X16:X21)/SUM(X16:X21),2)</f>
        <v>3.46</v>
      </c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</row>
    <row r="27" spans="1:199" ht="48" customHeight="1">
      <c r="A27" s="89" t="s">
        <v>56</v>
      </c>
      <c r="B27" s="68" t="s">
        <v>57</v>
      </c>
      <c r="C27" s="56">
        <v>3190</v>
      </c>
      <c r="D27" s="56">
        <v>181</v>
      </c>
      <c r="E27" s="56">
        <v>136</v>
      </c>
      <c r="F27" s="56">
        <v>2859</v>
      </c>
      <c r="G27" s="55">
        <f t="shared" ref="G27:G28" si="25">SUM(C27:F27)</f>
        <v>6366</v>
      </c>
      <c r="H27" s="9">
        <v>26.58962</v>
      </c>
      <c r="I27" s="9">
        <v>26.633330000000001</v>
      </c>
      <c r="J27" s="9">
        <v>5.3007499999999999</v>
      </c>
      <c r="K27" s="9">
        <v>5.4545199999999996</v>
      </c>
      <c r="L27" s="9">
        <f>(H27-J27)*C27</f>
        <v>67911.495299999995</v>
      </c>
      <c r="M27" s="9">
        <f>(H27-J27)*D27</f>
        <v>3853.2854699999998</v>
      </c>
      <c r="N27" s="9">
        <f>E27*(I27-K27)</f>
        <v>2880.3181600000003</v>
      </c>
      <c r="O27" s="9">
        <f>F27*(I27-K27)</f>
        <v>60550.21779000001</v>
      </c>
      <c r="P27" s="9">
        <f t="shared" ref="P27:P28" si="26">SUM(L27:O27)</f>
        <v>135195.31672</v>
      </c>
      <c r="Q27" s="9"/>
      <c r="R27" s="9"/>
      <c r="S27" s="27">
        <f>F27/3</f>
        <v>953</v>
      </c>
      <c r="T27" s="9">
        <f>(I27-K27)*S27</f>
        <v>20183.405930000001</v>
      </c>
      <c r="U27" s="9"/>
    </row>
    <row r="28" spans="1:199" ht="48" customHeight="1">
      <c r="A28" s="89"/>
      <c r="B28" s="68" t="s">
        <v>58</v>
      </c>
      <c r="C28" s="56">
        <v>655357</v>
      </c>
      <c r="D28" s="56">
        <v>419380</v>
      </c>
      <c r="E28" s="56">
        <v>236259</v>
      </c>
      <c r="F28" s="56">
        <v>502189</v>
      </c>
      <c r="G28" s="55">
        <f t="shared" si="25"/>
        <v>1813185</v>
      </c>
      <c r="H28" s="9">
        <v>27.381720000000001</v>
      </c>
      <c r="I28" s="9">
        <v>27.48311</v>
      </c>
      <c r="J28" s="9">
        <v>6.0928500000000003</v>
      </c>
      <c r="K28" s="9">
        <v>6.3042999999999996</v>
      </c>
      <c r="L28" s="9">
        <f t="shared" ref="L28:L31" si="27">(H28-J28)*C28</f>
        <v>13951809.976590002</v>
      </c>
      <c r="M28" s="9">
        <f t="shared" ref="M28:M31" si="28">(H28-J28)*D28</f>
        <v>8928126.3006000016</v>
      </c>
      <c r="N28" s="9">
        <f t="shared" ref="N28:N31" si="29">E28*(I28-K28)</f>
        <v>5003684.4717899999</v>
      </c>
      <c r="O28" s="9">
        <f t="shared" ref="O28:O31" si="30">F28*(I28-K28)</f>
        <v>10635765.415089998</v>
      </c>
      <c r="P28" s="9">
        <f t="shared" si="26"/>
        <v>38519386.164070003</v>
      </c>
      <c r="Q28" s="9"/>
      <c r="R28" s="9"/>
      <c r="S28" s="27">
        <f t="shared" ref="S28:S31" si="31">F28/3</f>
        <v>167396.33333333334</v>
      </c>
      <c r="T28" s="9">
        <f t="shared" ref="T28" si="32">(I28-K28)*S28</f>
        <v>3545255.1383633334</v>
      </c>
      <c r="U28" s="9"/>
    </row>
    <row r="29" spans="1:199" ht="48" customHeight="1">
      <c r="A29" s="89"/>
      <c r="B29" s="68" t="s">
        <v>59</v>
      </c>
      <c r="C29" s="56">
        <v>788708</v>
      </c>
      <c r="D29" s="56">
        <v>466086</v>
      </c>
      <c r="E29" s="56">
        <v>431940</v>
      </c>
      <c r="F29" s="56">
        <v>614510</v>
      </c>
      <c r="G29" s="55">
        <f t="shared" ref="G29" si="33">SUM(C29:F29)</f>
        <v>2301244</v>
      </c>
      <c r="H29" s="9">
        <v>28.2681</v>
      </c>
      <c r="I29" s="9">
        <v>28.360099999999999</v>
      </c>
      <c r="J29" s="9">
        <v>6.9792300000000003</v>
      </c>
      <c r="K29" s="9">
        <v>7.1812899999999997</v>
      </c>
      <c r="L29" s="9">
        <f t="shared" si="27"/>
        <v>16790702.07996</v>
      </c>
      <c r="M29" s="9">
        <f t="shared" si="28"/>
        <v>9922444.2628199998</v>
      </c>
      <c r="N29" s="9">
        <f t="shared" si="29"/>
        <v>9147975.191399999</v>
      </c>
      <c r="O29" s="9">
        <f t="shared" si="30"/>
        <v>13014590.5331</v>
      </c>
      <c r="P29" s="9">
        <f t="shared" ref="P29" si="34">SUM(L29:O29)</f>
        <v>48875712.067280002</v>
      </c>
      <c r="Q29" s="9"/>
      <c r="R29" s="9"/>
      <c r="S29" s="27">
        <f t="shared" si="31"/>
        <v>204836.66666666666</v>
      </c>
      <c r="T29" s="9">
        <f t="shared" ref="T29" si="35">(I29-K29)*S29</f>
        <v>4338196.8443666659</v>
      </c>
      <c r="U29" s="9"/>
    </row>
    <row r="30" spans="1:199" ht="48" customHeight="1">
      <c r="A30" s="89"/>
      <c r="B30" s="68" t="s">
        <v>60</v>
      </c>
      <c r="C30" s="56">
        <v>1142125</v>
      </c>
      <c r="D30" s="56">
        <v>605029</v>
      </c>
      <c r="E30" s="56">
        <v>424452</v>
      </c>
      <c r="F30" s="56">
        <v>895162</v>
      </c>
      <c r="G30" s="55">
        <f t="shared" ref="G30:G31" si="36">SUM(C30:F30)</f>
        <v>3066768</v>
      </c>
      <c r="H30" s="9">
        <v>24.055009999999999</v>
      </c>
      <c r="I30" s="9">
        <v>24.096499999999999</v>
      </c>
      <c r="J30" s="9">
        <v>2.76614</v>
      </c>
      <c r="K30" s="9">
        <v>2.9176899999999999</v>
      </c>
      <c r="L30" s="9">
        <f t="shared" si="27"/>
        <v>24314550.64875</v>
      </c>
      <c r="M30" s="9">
        <f t="shared" si="28"/>
        <v>12880383.727229999</v>
      </c>
      <c r="N30" s="9">
        <f t="shared" si="29"/>
        <v>8989388.2621199992</v>
      </c>
      <c r="O30" s="9">
        <f t="shared" si="30"/>
        <v>18958465.91722</v>
      </c>
      <c r="P30" s="9">
        <f t="shared" ref="P30:P31" si="37">SUM(L30:O30)</f>
        <v>65142788.555319995</v>
      </c>
      <c r="Q30" s="9"/>
      <c r="R30" s="9"/>
      <c r="S30" s="27">
        <f t="shared" si="31"/>
        <v>298387.33333333331</v>
      </c>
      <c r="T30" s="9">
        <f t="shared" ref="T30:T31" si="38">(I30-K30)*S30</f>
        <v>6319488.6390733328</v>
      </c>
      <c r="U30" s="9"/>
    </row>
    <row r="31" spans="1:199" ht="48" customHeight="1">
      <c r="A31" s="89"/>
      <c r="B31" s="68" t="s">
        <v>61</v>
      </c>
      <c r="C31" s="56">
        <v>1018358</v>
      </c>
      <c r="D31" s="56">
        <v>450839</v>
      </c>
      <c r="E31" s="56">
        <v>326634</v>
      </c>
      <c r="F31" s="56">
        <v>1286752</v>
      </c>
      <c r="G31" s="55">
        <f t="shared" si="36"/>
        <v>3082583</v>
      </c>
      <c r="H31" s="9">
        <v>24.055009999999999</v>
      </c>
      <c r="I31" s="9">
        <v>24.096499999999999</v>
      </c>
      <c r="J31" s="9">
        <v>2.169</v>
      </c>
      <c r="K31" s="9">
        <v>2.9967899999999998</v>
      </c>
      <c r="L31" s="9">
        <f t="shared" si="27"/>
        <v>22287793.371579997</v>
      </c>
      <c r="M31" s="9">
        <f t="shared" si="28"/>
        <v>9867066.8623900004</v>
      </c>
      <c r="N31" s="9">
        <f t="shared" si="29"/>
        <v>6891882.6761399992</v>
      </c>
      <c r="O31" s="9">
        <f t="shared" si="30"/>
        <v>27150094.041919999</v>
      </c>
      <c r="P31" s="9">
        <f t="shared" si="37"/>
        <v>66196836.952029996</v>
      </c>
      <c r="Q31" s="9"/>
      <c r="R31" s="9"/>
      <c r="S31" s="27">
        <f t="shared" si="31"/>
        <v>428917.33333333331</v>
      </c>
      <c r="T31" s="9">
        <f t="shared" si="38"/>
        <v>9050031.347306665</v>
      </c>
      <c r="U31" s="9"/>
    </row>
    <row r="32" spans="1:199" s="49" customFormat="1" ht="26.25" customHeight="1">
      <c r="A32" s="90"/>
      <c r="B32" s="67" t="s">
        <v>6</v>
      </c>
      <c r="C32" s="58">
        <f>SUM(C27:C31)</f>
        <v>3607738</v>
      </c>
      <c r="D32" s="58">
        <f>SUM(D27:D31)</f>
        <v>1941515</v>
      </c>
      <c r="E32" s="58">
        <f>SUM(E27:E31)</f>
        <v>1419421</v>
      </c>
      <c r="F32" s="58">
        <f>SUM(F27:F31)</f>
        <v>3301472</v>
      </c>
      <c r="G32" s="58">
        <f>SUM(G27:G31)</f>
        <v>10270146</v>
      </c>
      <c r="H32" s="41"/>
      <c r="I32" s="41"/>
      <c r="J32" s="41"/>
      <c r="K32" s="41"/>
      <c r="L32" s="41">
        <f>SUM(L27:L31)</f>
        <v>77412767.572180003</v>
      </c>
      <c r="M32" s="41">
        <f t="shared" ref="M32:P32" si="39">SUM(M27:M31)</f>
        <v>41601874.438510001</v>
      </c>
      <c r="N32" s="41">
        <f t="shared" si="39"/>
        <v>30035810.919609997</v>
      </c>
      <c r="O32" s="41">
        <f t="shared" si="39"/>
        <v>69819466.125119984</v>
      </c>
      <c r="P32" s="41">
        <f t="shared" si="39"/>
        <v>218869919.05542001</v>
      </c>
      <c r="Q32" s="37">
        <v>0</v>
      </c>
      <c r="R32" s="37">
        <f>P32+Q32</f>
        <v>218869919.05542001</v>
      </c>
      <c r="S32" s="47">
        <f>SUM(S27:S31)</f>
        <v>1100490.6666666665</v>
      </c>
      <c r="T32" s="47">
        <f>SUM(T27:T31)</f>
        <v>23273155.375039995</v>
      </c>
      <c r="U32" s="37">
        <f>R32-T32</f>
        <v>195596763.68038002</v>
      </c>
      <c r="V32" s="48"/>
      <c r="W32" s="48" t="e">
        <f>ROUND(SUMPRODUCT(#REF!,#REF!)/SUM(#REF!),2)</f>
        <v>#REF!</v>
      </c>
      <c r="X32" s="48" t="e">
        <f>ROUND(SUMPRODUCT(#REF!,#REF!)/SUM(#REF!),2)</f>
        <v>#REF!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</row>
    <row r="33" spans="1:21" ht="30" customHeight="1" outlineLevel="1">
      <c r="A33" s="78" t="s">
        <v>13</v>
      </c>
      <c r="B33" s="66" t="s">
        <v>27</v>
      </c>
      <c r="C33" s="55">
        <v>61512</v>
      </c>
      <c r="D33" s="55">
        <v>44413</v>
      </c>
      <c r="E33" s="55">
        <v>45438</v>
      </c>
      <c r="F33" s="55">
        <v>43386</v>
      </c>
      <c r="G33" s="55">
        <f>SUM(C33:F33)</f>
        <v>194749</v>
      </c>
      <c r="H33" s="9">
        <v>70.37</v>
      </c>
      <c r="I33" s="9">
        <v>70.37</v>
      </c>
      <c r="J33" s="9">
        <v>2.87</v>
      </c>
      <c r="K33" s="9">
        <v>2.93</v>
      </c>
      <c r="L33" s="9">
        <f>(H33-J33)*C33</f>
        <v>4152060</v>
      </c>
      <c r="M33" s="9">
        <f>(H33-J33)*D33</f>
        <v>2997877.5</v>
      </c>
      <c r="N33" s="9">
        <f>(I33-K33)*E33</f>
        <v>3064338.7199999997</v>
      </c>
      <c r="O33" s="9">
        <f>(I33-K33)*F33</f>
        <v>2925951.84</v>
      </c>
      <c r="P33" s="9">
        <f>SUM(L33:O33)</f>
        <v>13140228.059999999</v>
      </c>
      <c r="Q33" s="9"/>
      <c r="R33" s="9"/>
      <c r="S33" s="27">
        <v>9376</v>
      </c>
      <c r="T33" s="9">
        <f>(I33-K33)*S33</f>
        <v>632317.43999999994</v>
      </c>
      <c r="U33" s="9"/>
    </row>
    <row r="34" spans="1:21" ht="30" customHeight="1" outlineLevel="1">
      <c r="A34" s="78"/>
      <c r="B34" s="66" t="s">
        <v>29</v>
      </c>
      <c r="C34" s="55">
        <v>6552</v>
      </c>
      <c r="D34" s="55">
        <v>2555</v>
      </c>
      <c r="E34" s="55">
        <v>2342</v>
      </c>
      <c r="F34" s="55">
        <v>3310</v>
      </c>
      <c r="G34" s="55">
        <f t="shared" ref="G34:G36" si="40">SUM(C34:F34)</f>
        <v>14759</v>
      </c>
      <c r="H34" s="9">
        <v>70.37</v>
      </c>
      <c r="I34" s="9">
        <v>70.37</v>
      </c>
      <c r="J34" s="9">
        <v>3.3</v>
      </c>
      <c r="K34" s="9">
        <v>3.36</v>
      </c>
      <c r="L34" s="9">
        <f t="shared" ref="L34:L36" si="41">(H34-J34)*C34</f>
        <v>439442.64000000007</v>
      </c>
      <c r="M34" s="9">
        <f t="shared" ref="M34:M36" si="42">(H34-J34)*D34</f>
        <v>171363.85</v>
      </c>
      <c r="N34" s="9">
        <f t="shared" ref="N34:N36" si="43">(I34-K34)*E34</f>
        <v>156937.42000000001</v>
      </c>
      <c r="O34" s="9">
        <f t="shared" ref="O34:O36" si="44">(I34-K34)*F34</f>
        <v>221803.1</v>
      </c>
      <c r="P34" s="9">
        <f t="shared" ref="P34:P36" si="45">SUM(L34:O34)</f>
        <v>989547.01000000013</v>
      </c>
      <c r="Q34" s="9" t="s">
        <v>12</v>
      </c>
      <c r="R34" s="9"/>
      <c r="S34" s="27">
        <v>1219</v>
      </c>
      <c r="T34" s="9">
        <f>(I34-K34)*S34</f>
        <v>81685.19</v>
      </c>
      <c r="U34" s="9"/>
    </row>
    <row r="35" spans="1:21" ht="30" customHeight="1" outlineLevel="1">
      <c r="A35" s="78"/>
      <c r="B35" s="69" t="s">
        <v>16</v>
      </c>
      <c r="C35" s="55">
        <v>2559</v>
      </c>
      <c r="D35" s="55">
        <v>848</v>
      </c>
      <c r="E35" s="55">
        <v>711</v>
      </c>
      <c r="F35" s="55">
        <v>1202</v>
      </c>
      <c r="G35" s="55">
        <f t="shared" si="40"/>
        <v>5320</v>
      </c>
      <c r="H35" s="9">
        <v>70.37</v>
      </c>
      <c r="I35" s="9">
        <v>70.37</v>
      </c>
      <c r="J35" s="9">
        <v>0.96</v>
      </c>
      <c r="K35" s="9">
        <v>1.03</v>
      </c>
      <c r="L35" s="9">
        <f t="shared" si="41"/>
        <v>177620.19000000003</v>
      </c>
      <c r="M35" s="9">
        <f t="shared" si="42"/>
        <v>58859.680000000008</v>
      </c>
      <c r="N35" s="9">
        <f t="shared" si="43"/>
        <v>49300.740000000005</v>
      </c>
      <c r="O35" s="9">
        <f t="shared" si="44"/>
        <v>83346.680000000008</v>
      </c>
      <c r="P35" s="9">
        <f t="shared" si="45"/>
        <v>369127.29000000004</v>
      </c>
      <c r="Q35" s="9"/>
      <c r="R35" s="9"/>
      <c r="S35" s="27">
        <v>494</v>
      </c>
      <c r="T35" s="9">
        <f>(I35-K35)*S35</f>
        <v>34253.96</v>
      </c>
      <c r="U35" s="9"/>
    </row>
    <row r="36" spans="1:21" ht="38.25" customHeight="1" outlineLevel="1">
      <c r="A36" s="78"/>
      <c r="B36" s="66" t="s">
        <v>21</v>
      </c>
      <c r="C36" s="55">
        <v>60457</v>
      </c>
      <c r="D36" s="55">
        <v>26246</v>
      </c>
      <c r="E36" s="55">
        <v>22531</v>
      </c>
      <c r="F36" s="55">
        <v>37100</v>
      </c>
      <c r="G36" s="55">
        <f t="shared" si="40"/>
        <v>146334</v>
      </c>
      <c r="H36" s="9">
        <v>70.37</v>
      </c>
      <c r="I36" s="9">
        <v>70.37</v>
      </c>
      <c r="J36" s="9">
        <v>7.95</v>
      </c>
      <c r="K36" s="9">
        <v>7.95</v>
      </c>
      <c r="L36" s="9">
        <f t="shared" si="41"/>
        <v>3773725.94</v>
      </c>
      <c r="M36" s="9">
        <f t="shared" si="42"/>
        <v>1638275.32</v>
      </c>
      <c r="N36" s="9">
        <f t="shared" si="43"/>
        <v>1406385.02</v>
      </c>
      <c r="O36" s="9">
        <f t="shared" si="44"/>
        <v>2315782</v>
      </c>
      <c r="P36" s="9">
        <f t="shared" si="45"/>
        <v>9134168.2799999993</v>
      </c>
      <c r="Q36" s="9" t="s">
        <v>12</v>
      </c>
      <c r="R36" s="9"/>
      <c r="S36" s="27">
        <v>8651</v>
      </c>
      <c r="T36" s="9">
        <f>(I36-K36)*S36</f>
        <v>539995.42000000004</v>
      </c>
      <c r="U36" s="9"/>
    </row>
    <row r="37" spans="1:21" s="28" customFormat="1" ht="30" customHeight="1" outlineLevel="1">
      <c r="A37" s="78"/>
      <c r="B37" s="70" t="s">
        <v>6</v>
      </c>
      <c r="C37" s="58">
        <f>SUM(C33:C36)</f>
        <v>131080</v>
      </c>
      <c r="D37" s="58">
        <f t="shared" ref="D37:F37" si="46">SUM(D33:D36)</f>
        <v>74062</v>
      </c>
      <c r="E37" s="58">
        <f t="shared" si="46"/>
        <v>71022</v>
      </c>
      <c r="F37" s="58">
        <f t="shared" si="46"/>
        <v>84998</v>
      </c>
      <c r="G37" s="58">
        <f>SUM(G33:G36)</f>
        <v>361162</v>
      </c>
      <c r="H37" s="41"/>
      <c r="I37" s="41"/>
      <c r="J37" s="41"/>
      <c r="K37" s="41"/>
      <c r="L37" s="41">
        <f>SUM(L33:L36)</f>
        <v>8542848.7699999996</v>
      </c>
      <c r="M37" s="41">
        <f t="shared" ref="M37:P37" si="47">SUM(M33:M36)</f>
        <v>4866376.3500000006</v>
      </c>
      <c r="N37" s="41">
        <f t="shared" si="47"/>
        <v>4676961.9000000004</v>
      </c>
      <c r="O37" s="41">
        <f t="shared" si="47"/>
        <v>5546883.6200000001</v>
      </c>
      <c r="P37" s="41">
        <f t="shared" si="47"/>
        <v>23633070.640000001</v>
      </c>
      <c r="Q37" s="37">
        <v>1232860.69</v>
      </c>
      <c r="R37" s="37">
        <f>P37+Q37</f>
        <v>24865931.330000002</v>
      </c>
      <c r="S37" s="47">
        <f>SUM(S33:S36)</f>
        <v>19740</v>
      </c>
      <c r="T37" s="47">
        <f>SUM(T33:T36)</f>
        <v>1288252.0099999998</v>
      </c>
      <c r="U37" s="37">
        <f>R37-T37</f>
        <v>23577679.32</v>
      </c>
    </row>
    <row r="38" spans="1:21" s="28" customFormat="1" ht="29.45" customHeight="1" outlineLevel="1">
      <c r="A38" s="33"/>
      <c r="B38" s="71" t="s">
        <v>7</v>
      </c>
      <c r="C38" s="59">
        <f>C15+C37+C26+C32</f>
        <v>21148973</v>
      </c>
      <c r="D38" s="59">
        <f>D15+D37+D26+D32</f>
        <v>16180210</v>
      </c>
      <c r="E38" s="59">
        <f>E15+E37+E26+E32</f>
        <v>14700758</v>
      </c>
      <c r="F38" s="59">
        <f>F15+F37+F26+F32</f>
        <v>19171781</v>
      </c>
      <c r="G38" s="59">
        <f>G15+G37+G26+G32</f>
        <v>71201722</v>
      </c>
      <c r="H38" s="34"/>
      <c r="I38" s="34"/>
      <c r="J38" s="34"/>
      <c r="K38" s="34"/>
      <c r="L38" s="34">
        <f t="shared" ref="L38:P38" si="48">L15+L37+L26+L32</f>
        <v>364044804.36217999</v>
      </c>
      <c r="M38" s="34">
        <f t="shared" si="48"/>
        <v>261374828.47850996</v>
      </c>
      <c r="N38" s="34">
        <f t="shared" si="48"/>
        <v>235710999.30961001</v>
      </c>
      <c r="O38" s="34">
        <f t="shared" si="48"/>
        <v>304772346.61511999</v>
      </c>
      <c r="P38" s="34">
        <f t="shared" si="48"/>
        <v>1165902978.76542</v>
      </c>
      <c r="Q38" s="35">
        <f>Q15+Q37+Q26+Q32</f>
        <v>67025026.209999993</v>
      </c>
      <c r="R38" s="35">
        <f>R37+R15+R26+R32</f>
        <v>1232928004.97542</v>
      </c>
      <c r="S38" s="36">
        <f>S37+S15+S26+S32</f>
        <v>6564307</v>
      </c>
      <c r="T38" s="36">
        <f>T37+T15+T26+T32</f>
        <v>106163203.79504001</v>
      </c>
      <c r="U38" s="37">
        <f>U37+U15+U26+U32</f>
        <v>1126764801.1803801</v>
      </c>
    </row>
    <row r="39" spans="1:21" s="6" customFormat="1" ht="15" customHeight="1" outlineLevel="1">
      <c r="A39" s="15"/>
      <c r="B39" s="16"/>
      <c r="C39" s="17"/>
      <c r="D39" s="17"/>
      <c r="E39" s="17"/>
      <c r="F39" s="17"/>
      <c r="G39" s="17"/>
      <c r="H39" s="18"/>
      <c r="I39" s="18"/>
      <c r="J39" s="19"/>
      <c r="K39" s="19"/>
      <c r="L39" s="20"/>
      <c r="M39" s="20"/>
      <c r="N39" s="20"/>
      <c r="O39" s="20"/>
      <c r="P39" s="20"/>
      <c r="Q39" s="20"/>
      <c r="R39" s="20"/>
      <c r="S39" s="21"/>
      <c r="T39" s="22"/>
      <c r="U39" s="23"/>
    </row>
    <row r="40" spans="1:21" ht="15" customHeight="1"/>
    <row r="41" spans="1:21" s="31" customFormat="1" ht="15" customHeight="1">
      <c r="I41" s="30"/>
      <c r="J41" s="30"/>
      <c r="K41" s="29"/>
      <c r="L41" s="32"/>
      <c r="M41" s="32"/>
      <c r="N41" s="39"/>
    </row>
    <row r="42" spans="1:21" ht="15" customHeight="1">
      <c r="C42" s="52"/>
      <c r="D42" s="52"/>
      <c r="E42" s="52"/>
      <c r="F42" s="52"/>
      <c r="G42" s="7"/>
      <c r="H42" s="7"/>
    </row>
    <row r="43" spans="1:21" ht="15" customHeight="1">
      <c r="C43" s="52"/>
      <c r="D43" s="52"/>
      <c r="E43" s="52"/>
      <c r="F43" s="52"/>
      <c r="G43" s="7"/>
      <c r="H43" s="7"/>
    </row>
    <row r="44" spans="1:21" s="29" customFormat="1" ht="15" customHeight="1">
      <c r="B44" s="1"/>
      <c r="C44" s="52"/>
      <c r="D44" s="52"/>
      <c r="E44" s="52"/>
      <c r="F44" s="52"/>
      <c r="G44" s="7"/>
    </row>
    <row r="45" spans="1:21" s="29" customFormat="1" ht="15" customHeight="1">
      <c r="B45" s="1"/>
      <c r="C45" s="52"/>
      <c r="D45" s="52"/>
      <c r="E45" s="52"/>
      <c r="F45" s="52"/>
      <c r="G45" s="7"/>
    </row>
    <row r="46" spans="1:21" ht="15" customHeight="1">
      <c r="A46" s="14"/>
      <c r="C46" s="52"/>
      <c r="D46" s="52"/>
      <c r="E46" s="52"/>
      <c r="F46" s="52"/>
      <c r="G46" s="7"/>
    </row>
    <row r="47" spans="1:21">
      <c r="C47" s="52"/>
      <c r="D47" s="52"/>
      <c r="E47" s="52"/>
      <c r="F47" s="52"/>
      <c r="G47" s="7"/>
    </row>
    <row r="48" spans="1:21">
      <c r="C48" s="52"/>
      <c r="D48" s="52"/>
      <c r="E48" s="52"/>
      <c r="F48" s="52"/>
      <c r="G48" s="7"/>
    </row>
    <row r="49" spans="3:7">
      <c r="C49" s="52"/>
      <c r="D49" s="52"/>
      <c r="E49" s="52"/>
      <c r="F49" s="52"/>
      <c r="G49" s="7"/>
    </row>
    <row r="50" spans="3:7">
      <c r="C50" s="52"/>
      <c r="D50" s="52"/>
      <c r="E50" s="52"/>
      <c r="F50" s="52"/>
      <c r="G50" s="7"/>
    </row>
    <row r="51" spans="3:7">
      <c r="C51" s="52"/>
      <c r="D51" s="52"/>
      <c r="E51" s="52"/>
      <c r="F51" s="52"/>
      <c r="G51" s="7"/>
    </row>
    <row r="52" spans="3:7">
      <c r="C52" s="52"/>
      <c r="D52" s="52"/>
      <c r="E52" s="52"/>
      <c r="F52" s="52"/>
      <c r="G52" s="7"/>
    </row>
    <row r="53" spans="3:7">
      <c r="C53" s="52"/>
      <c r="D53" s="52"/>
      <c r="E53" s="52"/>
      <c r="F53" s="52"/>
      <c r="G53" s="7"/>
    </row>
    <row r="54" spans="3:7">
      <c r="C54" s="52"/>
      <c r="D54" s="52"/>
      <c r="E54" s="52"/>
    </row>
    <row r="55" spans="3:7">
      <c r="C55" s="52"/>
      <c r="D55" s="52"/>
      <c r="E55" s="52"/>
    </row>
    <row r="56" spans="3:7">
      <c r="C56" s="52"/>
      <c r="D56" s="52"/>
      <c r="E56" s="52"/>
    </row>
    <row r="57" spans="3:7">
      <c r="C57" s="52"/>
      <c r="D57" s="52"/>
      <c r="E57" s="52"/>
    </row>
    <row r="58" spans="3:7">
      <c r="C58" s="52"/>
      <c r="D58" s="52"/>
      <c r="E58" s="52"/>
    </row>
    <row r="59" spans="3:7">
      <c r="C59" s="52"/>
      <c r="D59" s="52"/>
      <c r="E59" s="52"/>
    </row>
    <row r="69" spans="2:2" ht="15.75">
      <c r="B69" s="13"/>
    </row>
    <row r="70" spans="2:2" ht="15.75">
      <c r="B70" s="13"/>
    </row>
  </sheetData>
  <mergeCells count="15">
    <mergeCell ref="C3:G3"/>
    <mergeCell ref="U5:U6"/>
    <mergeCell ref="A33:A37"/>
    <mergeCell ref="A5:A6"/>
    <mergeCell ref="B5:B6"/>
    <mergeCell ref="C5:G5"/>
    <mergeCell ref="H5:I5"/>
    <mergeCell ref="J5:K5"/>
    <mergeCell ref="L5:P5"/>
    <mergeCell ref="A27:A32"/>
    <mergeCell ref="A7:A15"/>
    <mergeCell ref="Q5:Q6"/>
    <mergeCell ref="R5:R6"/>
    <mergeCell ref="S5:T5"/>
    <mergeCell ref="A16:A26"/>
  </mergeCells>
  <pageMargins left="0.19685039370078741" right="0.19685039370078741" top="0.51181102362204722" bottom="0.59055118110236227" header="0.31496062992125984" footer="0.39370078740157483"/>
  <pageSetup paperSize="9" scale="58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Q63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C1" sqref="C1:K1"/>
    </sheetView>
  </sheetViews>
  <sheetFormatPr defaultColWidth="9.140625" defaultRowHeight="15" outlineLevelRow="1" outlineLevelCol="1"/>
  <cols>
    <col min="1" max="1" width="38.7109375" style="1" customWidth="1"/>
    <col min="2" max="2" width="48.85546875" style="1" customWidth="1"/>
    <col min="3" max="3" width="20.85546875" style="1" customWidth="1"/>
    <col min="4" max="4" width="23.28515625" style="1" customWidth="1"/>
    <col min="5" max="6" width="20.140625" style="1" customWidth="1"/>
    <col min="7" max="7" width="23.5703125" style="1" customWidth="1"/>
    <col min="8" max="11" width="16.140625" style="1" customWidth="1"/>
    <col min="12" max="12" width="21.7109375" style="1" customWidth="1"/>
    <col min="13" max="13" width="19.7109375" style="1" customWidth="1"/>
    <col min="14" max="16" width="21.7109375" style="1" customWidth="1"/>
    <col min="17" max="17" width="21.85546875" style="1" customWidth="1"/>
    <col min="18" max="18" width="26.85546875" style="1" hidden="1" customWidth="1" outlineLevel="1"/>
    <col min="19" max="19" width="21.7109375" style="1" hidden="1" customWidth="1" outlineLevel="1" collapsed="1"/>
    <col min="20" max="20" width="21.28515625" style="1" customWidth="1" collapsed="1"/>
    <col min="21" max="21" width="24" style="1" customWidth="1"/>
    <col min="22" max="22" width="9.140625" style="1"/>
    <col min="23" max="24" width="9.140625" style="1" hidden="1" customWidth="1" outlineLevel="1"/>
    <col min="25" max="25" width="9.140625" style="1" collapsed="1"/>
    <col min="26" max="16384" width="9.140625" style="1"/>
  </cols>
  <sheetData>
    <row r="1" spans="1:199" ht="15.75">
      <c r="C1" s="76"/>
      <c r="D1" s="76"/>
      <c r="E1" s="76"/>
      <c r="F1" s="76"/>
      <c r="G1" s="76"/>
      <c r="H1" s="76"/>
      <c r="I1" s="76"/>
      <c r="J1" s="76"/>
      <c r="K1" s="76"/>
    </row>
    <row r="2" spans="1:199" ht="102" customHeight="1">
      <c r="A2" s="73"/>
      <c r="B2" s="73"/>
      <c r="C2" s="75" t="s">
        <v>47</v>
      </c>
      <c r="D2" s="75"/>
      <c r="E2" s="75"/>
      <c r="F2" s="75"/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199">
      <c r="A3" s="3"/>
      <c r="B3" s="4"/>
      <c r="C3" s="3"/>
      <c r="D3" s="3"/>
      <c r="E3" s="3"/>
      <c r="F3" s="3"/>
      <c r="G3" s="3"/>
      <c r="H3" s="2"/>
      <c r="I3" s="5"/>
      <c r="J3" s="3"/>
      <c r="K3" s="5"/>
      <c r="L3" s="3"/>
      <c r="M3" s="3"/>
      <c r="N3" s="3"/>
      <c r="O3" s="3"/>
      <c r="P3" s="3"/>
      <c r="Q3" s="3"/>
      <c r="R3" s="3"/>
      <c r="S3" s="2"/>
      <c r="T3" s="2"/>
      <c r="U3" s="2"/>
    </row>
    <row r="4" spans="1:199" s="28" customFormat="1" ht="93" customHeight="1">
      <c r="A4" s="77" t="s">
        <v>8</v>
      </c>
      <c r="B4" s="79" t="s">
        <v>9</v>
      </c>
      <c r="C4" s="81" t="s">
        <v>25</v>
      </c>
      <c r="D4" s="82"/>
      <c r="E4" s="82"/>
      <c r="F4" s="82"/>
      <c r="G4" s="83"/>
      <c r="H4" s="84" t="s">
        <v>10</v>
      </c>
      <c r="I4" s="85"/>
      <c r="J4" s="84" t="s">
        <v>24</v>
      </c>
      <c r="K4" s="85"/>
      <c r="L4" s="86" t="s">
        <v>23</v>
      </c>
      <c r="M4" s="87"/>
      <c r="N4" s="87"/>
      <c r="O4" s="87"/>
      <c r="P4" s="88"/>
      <c r="Q4" s="92" t="s">
        <v>48</v>
      </c>
      <c r="R4" s="92" t="s">
        <v>49</v>
      </c>
      <c r="S4" s="93" t="s">
        <v>62</v>
      </c>
      <c r="T4" s="94"/>
      <c r="U4" s="77" t="s">
        <v>50</v>
      </c>
    </row>
    <row r="5" spans="1:199" s="28" customFormat="1" ht="60" customHeight="1">
      <c r="A5" s="77"/>
      <c r="B5" s="80"/>
      <c r="C5" s="60" t="s">
        <v>42</v>
      </c>
      <c r="D5" s="60" t="s">
        <v>43</v>
      </c>
      <c r="E5" s="60" t="s">
        <v>44</v>
      </c>
      <c r="F5" s="60" t="s">
        <v>45</v>
      </c>
      <c r="G5" s="60" t="s">
        <v>22</v>
      </c>
      <c r="H5" s="61" t="s">
        <v>4</v>
      </c>
      <c r="I5" s="61" t="s">
        <v>5</v>
      </c>
      <c r="J5" s="61" t="s">
        <v>15</v>
      </c>
      <c r="K5" s="61" t="s">
        <v>5</v>
      </c>
      <c r="L5" s="60" t="s">
        <v>0</v>
      </c>
      <c r="M5" s="60" t="s">
        <v>1</v>
      </c>
      <c r="N5" s="60" t="s">
        <v>2</v>
      </c>
      <c r="O5" s="60" t="s">
        <v>3</v>
      </c>
      <c r="P5" s="60" t="s">
        <v>22</v>
      </c>
      <c r="Q5" s="92"/>
      <c r="R5" s="92"/>
      <c r="S5" s="62" t="s">
        <v>26</v>
      </c>
      <c r="T5" s="62" t="s">
        <v>11</v>
      </c>
      <c r="U5" s="77"/>
    </row>
    <row r="6" spans="1:199" ht="30" customHeight="1">
      <c r="A6" s="97" t="s">
        <v>14</v>
      </c>
      <c r="B6" s="11" t="s">
        <v>27</v>
      </c>
      <c r="C6" s="54">
        <f>32703+2964752</f>
        <v>2997455</v>
      </c>
      <c r="D6" s="55">
        <f>31813+2637571</f>
        <v>2669384</v>
      </c>
      <c r="E6" s="55">
        <f>37066+3074644</f>
        <v>3111710</v>
      </c>
      <c r="F6" s="55">
        <f>38057+2786190</f>
        <v>2824247</v>
      </c>
      <c r="G6" s="50">
        <f>SUM(C6:F6)</f>
        <v>11602796</v>
      </c>
      <c r="H6" s="9">
        <v>34.94</v>
      </c>
      <c r="I6" s="9">
        <v>34.94</v>
      </c>
      <c r="J6" s="9">
        <v>2.93</v>
      </c>
      <c r="K6" s="9">
        <v>3.05</v>
      </c>
      <c r="L6" s="9">
        <f>(H6-J6)*C6</f>
        <v>95948534.549999997</v>
      </c>
      <c r="M6" s="9">
        <f>(H6-J6)*D6</f>
        <v>85446981.839999989</v>
      </c>
      <c r="N6" s="9">
        <f>E6*(I6-K6)</f>
        <v>99232431.899999991</v>
      </c>
      <c r="O6" s="9">
        <f>F6*(I6-K6)</f>
        <v>90065236.829999998</v>
      </c>
      <c r="P6" s="9">
        <f>SUM(L6:O6)</f>
        <v>370693185.11999995</v>
      </c>
      <c r="Q6" s="9" t="s">
        <v>12</v>
      </c>
      <c r="R6" s="9"/>
      <c r="S6" s="27">
        <f>936381+14799</f>
        <v>951180</v>
      </c>
      <c r="T6" s="9">
        <f>(I6-K6)*S6</f>
        <v>30333130.199999996</v>
      </c>
      <c r="U6" s="9"/>
    </row>
    <row r="7" spans="1:199" ht="30" customHeight="1">
      <c r="A7" s="95"/>
      <c r="B7" s="11" t="s">
        <v>29</v>
      </c>
      <c r="C7" s="56">
        <f>33918+1751390</f>
        <v>1785308</v>
      </c>
      <c r="D7" s="56">
        <f>29609+1262837</f>
        <v>1292446</v>
      </c>
      <c r="E7" s="56">
        <f>31637+1039704</f>
        <v>1071341</v>
      </c>
      <c r="F7" s="56">
        <f>35241+1355000</f>
        <v>1390241</v>
      </c>
      <c r="G7" s="50">
        <f t="shared" ref="G7:G13" si="0">SUM(C7:F7)</f>
        <v>5539336</v>
      </c>
      <c r="H7" s="9">
        <v>34.94</v>
      </c>
      <c r="I7" s="9">
        <v>34.94</v>
      </c>
      <c r="J7" s="9">
        <v>3.36</v>
      </c>
      <c r="K7" s="9">
        <v>3.49</v>
      </c>
      <c r="L7" s="9">
        <f t="shared" ref="L7:L13" si="1">(H7-J7)*C7</f>
        <v>56380026.640000001</v>
      </c>
      <c r="M7" s="9">
        <f t="shared" ref="M7:M13" si="2">(H7-J7)*D7</f>
        <v>40815444.68</v>
      </c>
      <c r="N7" s="9">
        <f t="shared" ref="N7:N13" si="3">E7*(I7-K7)</f>
        <v>33693674.449999996</v>
      </c>
      <c r="O7" s="9">
        <f t="shared" ref="O7:O13" si="4">F7*(I7-K7)</f>
        <v>43723079.449999996</v>
      </c>
      <c r="P7" s="9">
        <f t="shared" ref="P7:P13" si="5">SUM(L7:O7)</f>
        <v>174612225.21999997</v>
      </c>
      <c r="Q7" s="9" t="s">
        <v>12</v>
      </c>
      <c r="R7" s="9"/>
      <c r="S7" s="27">
        <f>497404+13737</f>
        <v>511141</v>
      </c>
      <c r="T7" s="9">
        <f t="shared" ref="T7:T12" si="6">(I7-K7)*S7</f>
        <v>16075384.449999997</v>
      </c>
      <c r="U7" s="9"/>
    </row>
    <row r="8" spans="1:199" ht="30" customHeight="1">
      <c r="A8" s="95"/>
      <c r="B8" s="12" t="s">
        <v>28</v>
      </c>
      <c r="C8" s="56">
        <f>10068+849745</f>
        <v>859813</v>
      </c>
      <c r="D8" s="56">
        <f>9365+576749</f>
        <v>586114</v>
      </c>
      <c r="E8" s="56">
        <f>9305+369690</f>
        <v>378995</v>
      </c>
      <c r="F8" s="56">
        <f>10130+591345</f>
        <v>601475</v>
      </c>
      <c r="G8" s="50">
        <f t="shared" si="0"/>
        <v>2426397</v>
      </c>
      <c r="H8" s="9">
        <v>34.94</v>
      </c>
      <c r="I8" s="9">
        <v>34.94</v>
      </c>
      <c r="J8" s="9">
        <v>1.03</v>
      </c>
      <c r="K8" s="9">
        <v>1.1100000000000001</v>
      </c>
      <c r="L8" s="9">
        <f t="shared" si="1"/>
        <v>29156258.829999998</v>
      </c>
      <c r="M8" s="9">
        <f t="shared" si="2"/>
        <v>19875125.739999998</v>
      </c>
      <c r="N8" s="9">
        <f t="shared" si="3"/>
        <v>12821400.85</v>
      </c>
      <c r="O8" s="9">
        <f t="shared" si="4"/>
        <v>20347899.25</v>
      </c>
      <c r="P8" s="9">
        <f t="shared" si="5"/>
        <v>82200684.669999987</v>
      </c>
      <c r="Q8" s="9" t="s">
        <v>12</v>
      </c>
      <c r="R8" s="9"/>
      <c r="S8" s="27">
        <f>225637+4048</f>
        <v>229685</v>
      </c>
      <c r="T8" s="9">
        <f t="shared" si="6"/>
        <v>7770243.5499999998</v>
      </c>
      <c r="U8" s="9"/>
    </row>
    <row r="9" spans="1:199" ht="51" customHeight="1">
      <c r="A9" s="95"/>
      <c r="B9" s="12" t="s">
        <v>17</v>
      </c>
      <c r="C9" s="56">
        <f>182+4900</f>
        <v>5082</v>
      </c>
      <c r="D9" s="56">
        <f>133+5702</f>
        <v>5835</v>
      </c>
      <c r="E9" s="56">
        <f>56+4617</f>
        <v>4673</v>
      </c>
      <c r="F9" s="56">
        <f>134+4655</f>
        <v>4789</v>
      </c>
      <c r="G9" s="50">
        <f t="shared" si="0"/>
        <v>20379</v>
      </c>
      <c r="H9" s="9">
        <v>34.94</v>
      </c>
      <c r="I9" s="9">
        <v>34.94</v>
      </c>
      <c r="J9" s="9">
        <v>4.18</v>
      </c>
      <c r="K9" s="9">
        <v>4.3499999999999996</v>
      </c>
      <c r="L9" s="9">
        <f t="shared" si="1"/>
        <v>156322.31999999998</v>
      </c>
      <c r="M9" s="9">
        <f t="shared" si="2"/>
        <v>179484.59999999998</v>
      </c>
      <c r="N9" s="9">
        <f t="shared" si="3"/>
        <v>142947.06999999998</v>
      </c>
      <c r="O9" s="9">
        <f t="shared" si="4"/>
        <v>146495.50999999998</v>
      </c>
      <c r="P9" s="9">
        <f t="shared" si="5"/>
        <v>625249.49999999988</v>
      </c>
      <c r="Q9" s="9" t="s">
        <v>12</v>
      </c>
      <c r="R9" s="9"/>
      <c r="S9" s="27">
        <f>1781+27</f>
        <v>1808</v>
      </c>
      <c r="T9" s="9">
        <f t="shared" si="6"/>
        <v>55306.719999999994</v>
      </c>
      <c r="U9" s="9"/>
    </row>
    <row r="10" spans="1:199" ht="51" customHeight="1">
      <c r="A10" s="95"/>
      <c r="B10" s="12" t="s">
        <v>18</v>
      </c>
      <c r="C10" s="56">
        <v>115330</v>
      </c>
      <c r="D10" s="56">
        <v>103044</v>
      </c>
      <c r="E10" s="56">
        <v>117049</v>
      </c>
      <c r="F10" s="56">
        <v>100300</v>
      </c>
      <c r="G10" s="50">
        <f t="shared" si="0"/>
        <v>435723</v>
      </c>
      <c r="H10" s="9">
        <v>34.94</v>
      </c>
      <c r="I10" s="9">
        <v>34.94</v>
      </c>
      <c r="J10" s="9">
        <v>3.13</v>
      </c>
      <c r="K10" s="9">
        <v>3.26</v>
      </c>
      <c r="L10" s="9">
        <f t="shared" si="1"/>
        <v>3668647.3</v>
      </c>
      <c r="M10" s="9">
        <f t="shared" si="2"/>
        <v>3277829.6399999997</v>
      </c>
      <c r="N10" s="9">
        <f t="shared" si="3"/>
        <v>3708112.32</v>
      </c>
      <c r="O10" s="9">
        <f t="shared" si="4"/>
        <v>3177504</v>
      </c>
      <c r="P10" s="9">
        <f t="shared" si="5"/>
        <v>13832093.26</v>
      </c>
      <c r="Q10" s="9"/>
      <c r="R10" s="9"/>
      <c r="S10" s="27">
        <v>31858</v>
      </c>
      <c r="T10" s="9">
        <f t="shared" si="6"/>
        <v>1009261.44</v>
      </c>
      <c r="U10" s="9"/>
    </row>
    <row r="11" spans="1:199" ht="51" customHeight="1">
      <c r="A11" s="95"/>
      <c r="B11" s="12" t="s">
        <v>19</v>
      </c>
      <c r="C11" s="56">
        <v>204899</v>
      </c>
      <c r="D11" s="56">
        <v>159572</v>
      </c>
      <c r="E11" s="56">
        <v>126368</v>
      </c>
      <c r="F11" s="56">
        <v>152306</v>
      </c>
      <c r="G11" s="50">
        <f t="shared" si="0"/>
        <v>643145</v>
      </c>
      <c r="H11" s="9">
        <v>34.94</v>
      </c>
      <c r="I11" s="9">
        <v>34.94</v>
      </c>
      <c r="J11" s="9">
        <v>3.6</v>
      </c>
      <c r="K11" s="9">
        <v>3.74</v>
      </c>
      <c r="L11" s="9">
        <f t="shared" si="1"/>
        <v>6421534.6599999992</v>
      </c>
      <c r="M11" s="9">
        <f t="shared" si="2"/>
        <v>5000986.4799999995</v>
      </c>
      <c r="N11" s="9">
        <f t="shared" si="3"/>
        <v>3942681.5999999996</v>
      </c>
      <c r="O11" s="9">
        <f t="shared" si="4"/>
        <v>4751947.1999999993</v>
      </c>
      <c r="P11" s="9">
        <f t="shared" si="5"/>
        <v>20117149.939999998</v>
      </c>
      <c r="Q11" s="9"/>
      <c r="R11" s="9"/>
      <c r="S11" s="27">
        <v>49285</v>
      </c>
      <c r="T11" s="9">
        <f t="shared" si="6"/>
        <v>1537691.9999999998</v>
      </c>
      <c r="U11" s="9"/>
    </row>
    <row r="12" spans="1:199" ht="51" customHeight="1">
      <c r="A12" s="95"/>
      <c r="B12" s="12" t="s">
        <v>20</v>
      </c>
      <c r="C12" s="56">
        <v>92729</v>
      </c>
      <c r="D12" s="56">
        <v>64088</v>
      </c>
      <c r="E12" s="56">
        <v>52689</v>
      </c>
      <c r="F12" s="56">
        <v>61744</v>
      </c>
      <c r="G12" s="50">
        <f t="shared" si="0"/>
        <v>271250</v>
      </c>
      <c r="H12" s="9">
        <v>34.94</v>
      </c>
      <c r="I12" s="9">
        <v>34.94</v>
      </c>
      <c r="J12" s="9">
        <v>1.1100000000000001</v>
      </c>
      <c r="K12" s="9">
        <v>1.2</v>
      </c>
      <c r="L12" s="9">
        <f t="shared" si="1"/>
        <v>3137022.07</v>
      </c>
      <c r="M12" s="9">
        <f t="shared" si="2"/>
        <v>2168097.04</v>
      </c>
      <c r="N12" s="9">
        <f t="shared" si="3"/>
        <v>1777726.8599999996</v>
      </c>
      <c r="O12" s="9">
        <f t="shared" si="4"/>
        <v>2083242.5599999996</v>
      </c>
      <c r="P12" s="9">
        <f t="shared" si="5"/>
        <v>9166088.5299999975</v>
      </c>
      <c r="Q12" s="9"/>
      <c r="R12" s="9"/>
      <c r="S12" s="27">
        <v>20600</v>
      </c>
      <c r="T12" s="9">
        <f t="shared" si="6"/>
        <v>695043.99999999988</v>
      </c>
      <c r="U12" s="9"/>
    </row>
    <row r="13" spans="1:199" ht="50.25" customHeight="1">
      <c r="A13" s="95"/>
      <c r="B13" s="12" t="s">
        <v>21</v>
      </c>
      <c r="C13" s="56">
        <f>92026+3238744</f>
        <v>3330770</v>
      </c>
      <c r="D13" s="56">
        <f>53525+2269789</f>
        <v>2323314</v>
      </c>
      <c r="E13" s="56">
        <f>31586+1846904</f>
        <v>1878490</v>
      </c>
      <c r="F13" s="56">
        <f>63375+2552734</f>
        <v>2616109</v>
      </c>
      <c r="G13" s="50">
        <f t="shared" si="0"/>
        <v>10148683</v>
      </c>
      <c r="H13" s="9">
        <v>34.94</v>
      </c>
      <c r="I13" s="9">
        <v>34.94</v>
      </c>
      <c r="J13" s="26">
        <v>7.95</v>
      </c>
      <c r="K13" s="9">
        <v>7.95</v>
      </c>
      <c r="L13" s="9">
        <f t="shared" si="1"/>
        <v>89897482.299999997</v>
      </c>
      <c r="M13" s="9">
        <f t="shared" si="2"/>
        <v>62706244.859999999</v>
      </c>
      <c r="N13" s="9">
        <f t="shared" si="3"/>
        <v>50700445.099999994</v>
      </c>
      <c r="O13" s="9">
        <f t="shared" si="4"/>
        <v>70608781.909999996</v>
      </c>
      <c r="P13" s="9">
        <f t="shared" si="5"/>
        <v>273912954.16999996</v>
      </c>
      <c r="Q13" s="9" t="s">
        <v>12</v>
      </c>
      <c r="R13" s="9"/>
      <c r="S13" s="27">
        <f>942834+27652</f>
        <v>970486</v>
      </c>
      <c r="T13" s="9">
        <f>(I13-K13)*S13</f>
        <v>26193417.139999997</v>
      </c>
      <c r="U13" s="9"/>
    </row>
    <row r="14" spans="1:199" s="28" customFormat="1" ht="24" customHeight="1">
      <c r="A14" s="96"/>
      <c r="B14" s="42" t="s">
        <v>6</v>
      </c>
      <c r="C14" s="57">
        <f>SUM(C6:C13)</f>
        <v>9391386</v>
      </c>
      <c r="D14" s="57">
        <f t="shared" ref="D14:F14" si="7">SUM(D6:D13)</f>
        <v>7203797</v>
      </c>
      <c r="E14" s="57">
        <f t="shared" si="7"/>
        <v>6741315</v>
      </c>
      <c r="F14" s="57">
        <f t="shared" si="7"/>
        <v>7751211</v>
      </c>
      <c r="G14" s="43">
        <f>SUM(G6:G13)</f>
        <v>31087709</v>
      </c>
      <c r="H14" s="43"/>
      <c r="I14" s="43"/>
      <c r="J14" s="43"/>
      <c r="K14" s="43"/>
      <c r="L14" s="43">
        <f>SUM(L6:L13)</f>
        <v>284765828.66999996</v>
      </c>
      <c r="M14" s="43">
        <f t="shared" ref="M14:O14" si="8">SUM(M6:M13)</f>
        <v>219470194.87999994</v>
      </c>
      <c r="N14" s="43">
        <f t="shared" si="8"/>
        <v>206019420.14999998</v>
      </c>
      <c r="O14" s="43">
        <f t="shared" si="8"/>
        <v>234904186.70999998</v>
      </c>
      <c r="P14" s="43">
        <f>SUM(P6:P13)</f>
        <v>945159630.40999973</v>
      </c>
      <c r="Q14" s="44">
        <f>'2020'!T15</f>
        <v>80175149.410000011</v>
      </c>
      <c r="R14" s="44">
        <f>P14+Q14</f>
        <v>1025334779.8199997</v>
      </c>
      <c r="S14" s="45">
        <f>SUM(S6:S13)</f>
        <v>2766043</v>
      </c>
      <c r="T14" s="45">
        <f>SUM(T6:T13)</f>
        <v>83669479.499999985</v>
      </c>
      <c r="U14" s="37">
        <f>R14-T14</f>
        <v>941665300.31999969</v>
      </c>
    </row>
    <row r="15" spans="1:199" s="2" customFormat="1" ht="41.25" customHeight="1">
      <c r="A15" s="97" t="s">
        <v>37</v>
      </c>
      <c r="B15" s="8" t="s">
        <v>55</v>
      </c>
      <c r="C15" s="55">
        <v>6232781</v>
      </c>
      <c r="D15" s="55">
        <f>11555793-C15</f>
        <v>5323012</v>
      </c>
      <c r="E15" s="55">
        <v>4967000</v>
      </c>
      <c r="F15" s="55">
        <v>6231100</v>
      </c>
      <c r="G15" s="50">
        <f>SUM(C15:F15)</f>
        <v>22753893</v>
      </c>
      <c r="H15" s="9">
        <v>4.18</v>
      </c>
      <c r="I15" s="9">
        <v>4.3499999999999996</v>
      </c>
      <c r="J15" s="9">
        <v>3.62</v>
      </c>
      <c r="K15" s="9">
        <v>3.91</v>
      </c>
      <c r="L15" s="9">
        <f>(H15-J15)*C15</f>
        <v>3490357.3599999975</v>
      </c>
      <c r="M15" s="9">
        <f>(H15-J15)*D15</f>
        <v>2980886.7199999979</v>
      </c>
      <c r="N15" s="9">
        <f>(I15-K15)*E15</f>
        <v>2185479.9999999977</v>
      </c>
      <c r="O15" s="9">
        <f>(I15-K15)*F15</f>
        <v>2741683.9999999967</v>
      </c>
      <c r="P15" s="9">
        <f>SUM(L15:O15)</f>
        <v>11398408.079999989</v>
      </c>
      <c r="Q15" s="9" t="s">
        <v>12</v>
      </c>
      <c r="R15" s="9"/>
      <c r="S15" s="27">
        <f>F15/3</f>
        <v>2077033.3333333333</v>
      </c>
      <c r="T15" s="9">
        <f>(I15-K15)*S15</f>
        <v>913894.66666666558</v>
      </c>
      <c r="U15" s="9"/>
      <c r="V15" s="24"/>
      <c r="W15" s="25">
        <f t="shared" ref="W15:W20" si="9">SUM(C15:D15)</f>
        <v>11555793</v>
      </c>
      <c r="X15" s="25">
        <f t="shared" ref="X15:X23" si="10">SUM(E15:F15)</f>
        <v>11198100</v>
      </c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</row>
    <row r="16" spans="1:199" s="2" customFormat="1" ht="46.5" customHeight="1">
      <c r="A16" s="95"/>
      <c r="B16" s="8" t="s">
        <v>30</v>
      </c>
      <c r="C16" s="55">
        <v>68775</v>
      </c>
      <c r="D16" s="55">
        <f>135164-C16</f>
        <v>66389</v>
      </c>
      <c r="E16" s="55">
        <v>20500</v>
      </c>
      <c r="F16" s="55">
        <v>25500</v>
      </c>
      <c r="G16" s="50">
        <f t="shared" ref="G16:G24" si="11">SUM(C16:F16)</f>
        <v>181164</v>
      </c>
      <c r="H16" s="9">
        <v>4.8</v>
      </c>
      <c r="I16" s="9">
        <v>4.99</v>
      </c>
      <c r="J16" s="9">
        <v>4.07</v>
      </c>
      <c r="K16" s="9">
        <v>4.4000000000000004</v>
      </c>
      <c r="L16" s="9">
        <f t="shared" ref="L16:L24" si="12">(H16-J16)*C16</f>
        <v>50205.749999999971</v>
      </c>
      <c r="M16" s="9">
        <f t="shared" ref="M16:M24" si="13">(H16-J16)*D16</f>
        <v>48463.969999999972</v>
      </c>
      <c r="N16" s="9">
        <f t="shared" ref="N16:N24" si="14">(I16-K16)*E16</f>
        <v>12094.999999999996</v>
      </c>
      <c r="O16" s="9">
        <f t="shared" ref="O16:O23" si="15">(I16-K16)*F16</f>
        <v>15044.999999999996</v>
      </c>
      <c r="P16" s="9">
        <f t="shared" ref="P16:P24" si="16">SUM(L16:O16)</f>
        <v>125809.71999999994</v>
      </c>
      <c r="Q16" s="9" t="s">
        <v>12</v>
      </c>
      <c r="R16" s="9"/>
      <c r="S16" s="27">
        <f>F16/3</f>
        <v>8500</v>
      </c>
      <c r="T16" s="9">
        <f t="shared" ref="T16:T22" si="17">(I16-K16)*S16</f>
        <v>5014.9999999999991</v>
      </c>
      <c r="U16" s="9"/>
      <c r="V16" s="24"/>
      <c r="W16" s="25">
        <f t="shared" si="9"/>
        <v>135164</v>
      </c>
      <c r="X16" s="25">
        <f t="shared" si="10"/>
        <v>46000</v>
      </c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</row>
    <row r="17" spans="1:199" s="2" customFormat="1" ht="51" customHeight="1">
      <c r="A17" s="95"/>
      <c r="B17" s="8" t="s">
        <v>31</v>
      </c>
      <c r="C17" s="55">
        <v>28041</v>
      </c>
      <c r="D17" s="55">
        <f>52552-C17</f>
        <v>24511</v>
      </c>
      <c r="E17" s="55">
        <v>6500</v>
      </c>
      <c r="F17" s="55">
        <v>12500</v>
      </c>
      <c r="G17" s="50">
        <f t="shared" si="11"/>
        <v>71552</v>
      </c>
      <c r="H17" s="9">
        <v>1.48</v>
      </c>
      <c r="I17" s="9">
        <v>1.6</v>
      </c>
      <c r="J17" s="9">
        <v>1.48</v>
      </c>
      <c r="K17" s="9">
        <v>1.6</v>
      </c>
      <c r="L17" s="9">
        <f t="shared" si="12"/>
        <v>0</v>
      </c>
      <c r="M17" s="9">
        <f t="shared" si="13"/>
        <v>0</v>
      </c>
      <c r="N17" s="9">
        <f t="shared" si="14"/>
        <v>0</v>
      </c>
      <c r="O17" s="9">
        <f t="shared" si="15"/>
        <v>0</v>
      </c>
      <c r="P17" s="9">
        <f t="shared" si="16"/>
        <v>0</v>
      </c>
      <c r="Q17" s="9" t="s">
        <v>12</v>
      </c>
      <c r="R17" s="9"/>
      <c r="S17" s="27">
        <f t="shared" ref="S17:S24" si="18">F17/3</f>
        <v>4166.666666666667</v>
      </c>
      <c r="T17" s="9">
        <f t="shared" si="17"/>
        <v>0</v>
      </c>
      <c r="U17" s="9"/>
      <c r="V17" s="24"/>
      <c r="W17" s="25">
        <f t="shared" si="9"/>
        <v>52552</v>
      </c>
      <c r="X17" s="25">
        <f t="shared" si="10"/>
        <v>19000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</row>
    <row r="18" spans="1:199" s="2" customFormat="1" ht="41.25" customHeight="1">
      <c r="A18" s="95"/>
      <c r="B18" s="8" t="s">
        <v>32</v>
      </c>
      <c r="C18" s="55">
        <v>1260385</v>
      </c>
      <c r="D18" s="55">
        <f>2402430-C18</f>
        <v>1142045</v>
      </c>
      <c r="E18" s="55">
        <v>1067000</v>
      </c>
      <c r="F18" s="55">
        <v>1299000</v>
      </c>
      <c r="G18" s="50">
        <f t="shared" si="11"/>
        <v>4768430</v>
      </c>
      <c r="H18" s="9">
        <v>3.13</v>
      </c>
      <c r="I18" s="9">
        <v>3.26</v>
      </c>
      <c r="J18" s="9">
        <v>2.72</v>
      </c>
      <c r="K18" s="9">
        <v>2.94</v>
      </c>
      <c r="L18" s="9">
        <f t="shared" si="12"/>
        <v>516757.84999999963</v>
      </c>
      <c r="M18" s="9">
        <f t="shared" si="13"/>
        <v>468238.44999999966</v>
      </c>
      <c r="N18" s="9">
        <f t="shared" si="14"/>
        <v>341439.99999999983</v>
      </c>
      <c r="O18" s="9">
        <f t="shared" si="15"/>
        <v>415679.99999999977</v>
      </c>
      <c r="P18" s="9">
        <f t="shared" si="16"/>
        <v>1742116.2999999989</v>
      </c>
      <c r="Q18" s="9" t="s">
        <v>12</v>
      </c>
      <c r="R18" s="9"/>
      <c r="S18" s="27">
        <f t="shared" si="18"/>
        <v>433000</v>
      </c>
      <c r="T18" s="9">
        <f t="shared" si="17"/>
        <v>138559.99999999994</v>
      </c>
      <c r="U18" s="9"/>
      <c r="V18" s="24"/>
      <c r="W18" s="25">
        <f t="shared" si="9"/>
        <v>2402430</v>
      </c>
      <c r="X18" s="25">
        <f t="shared" si="10"/>
        <v>2366000</v>
      </c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</row>
    <row r="19" spans="1:199" s="2" customFormat="1" ht="46.5" customHeight="1">
      <c r="A19" s="95"/>
      <c r="B19" s="8" t="s">
        <v>33</v>
      </c>
      <c r="C19" s="55">
        <v>9886</v>
      </c>
      <c r="D19" s="55">
        <f>15070-C19</f>
        <v>5184</v>
      </c>
      <c r="E19" s="55">
        <v>500</v>
      </c>
      <c r="F19" s="55">
        <v>1500</v>
      </c>
      <c r="G19" s="50">
        <f t="shared" si="11"/>
        <v>17070</v>
      </c>
      <c r="H19" s="9">
        <v>3.6</v>
      </c>
      <c r="I19" s="9">
        <v>3.74</v>
      </c>
      <c r="J19" s="9">
        <v>3.06</v>
      </c>
      <c r="K19" s="9">
        <v>3.3</v>
      </c>
      <c r="L19" s="9">
        <f t="shared" si="12"/>
        <v>5338.4400000000005</v>
      </c>
      <c r="M19" s="9">
        <f t="shared" si="13"/>
        <v>2799.36</v>
      </c>
      <c r="N19" s="9">
        <f t="shared" si="14"/>
        <v>220.0000000000002</v>
      </c>
      <c r="O19" s="9">
        <f t="shared" si="15"/>
        <v>660.00000000000057</v>
      </c>
      <c r="P19" s="9">
        <f t="shared" si="16"/>
        <v>9017.8000000000011</v>
      </c>
      <c r="Q19" s="9" t="s">
        <v>12</v>
      </c>
      <c r="R19" s="9"/>
      <c r="S19" s="27">
        <f t="shared" si="18"/>
        <v>500</v>
      </c>
      <c r="T19" s="9">
        <f t="shared" si="17"/>
        <v>220.0000000000002</v>
      </c>
      <c r="U19" s="9"/>
      <c r="V19" s="24"/>
      <c r="W19" s="25">
        <f t="shared" si="9"/>
        <v>15070</v>
      </c>
      <c r="X19" s="25">
        <f t="shared" si="10"/>
        <v>2000</v>
      </c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</row>
    <row r="20" spans="1:199" s="2" customFormat="1" ht="49.5" customHeight="1">
      <c r="A20" s="95"/>
      <c r="B20" s="8" t="s">
        <v>34</v>
      </c>
      <c r="C20" s="55">
        <v>6600</v>
      </c>
      <c r="D20" s="55">
        <f>10039-C20</f>
        <v>3439</v>
      </c>
      <c r="E20" s="55">
        <v>500</v>
      </c>
      <c r="F20" s="55">
        <v>500</v>
      </c>
      <c r="G20" s="50">
        <f t="shared" si="11"/>
        <v>11039</v>
      </c>
      <c r="H20" s="9">
        <v>1.1100000000000001</v>
      </c>
      <c r="I20" s="9">
        <v>1.2</v>
      </c>
      <c r="J20" s="9">
        <v>1.1100000000000001</v>
      </c>
      <c r="K20" s="9">
        <v>1.2</v>
      </c>
      <c r="L20" s="9">
        <f t="shared" si="12"/>
        <v>0</v>
      </c>
      <c r="M20" s="9">
        <f t="shared" si="13"/>
        <v>0</v>
      </c>
      <c r="N20" s="9">
        <f t="shared" si="14"/>
        <v>0</v>
      </c>
      <c r="O20" s="9">
        <f t="shared" si="15"/>
        <v>0</v>
      </c>
      <c r="P20" s="9">
        <f t="shared" si="16"/>
        <v>0</v>
      </c>
      <c r="Q20" s="9" t="s">
        <v>12</v>
      </c>
      <c r="R20" s="9"/>
      <c r="S20" s="27">
        <f t="shared" si="18"/>
        <v>166.66666666666666</v>
      </c>
      <c r="T20" s="9">
        <f t="shared" si="17"/>
        <v>0</v>
      </c>
      <c r="U20" s="9"/>
      <c r="V20" s="24"/>
      <c r="W20" s="25">
        <f t="shared" si="9"/>
        <v>10039</v>
      </c>
      <c r="X20" s="25">
        <f t="shared" si="10"/>
        <v>1000</v>
      </c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</row>
    <row r="21" spans="1:199" ht="51" customHeight="1">
      <c r="A21" s="95"/>
      <c r="B21" s="12" t="s">
        <v>36</v>
      </c>
      <c r="C21" s="56">
        <v>85961</v>
      </c>
      <c r="D21" s="56">
        <f>204338-C21</f>
        <v>118377</v>
      </c>
      <c r="E21" s="56">
        <v>187000</v>
      </c>
      <c r="F21" s="56">
        <v>123000</v>
      </c>
      <c r="G21" s="50">
        <f t="shared" si="11"/>
        <v>514338</v>
      </c>
      <c r="H21" s="9">
        <v>2.93</v>
      </c>
      <c r="I21" s="9">
        <v>3.05</v>
      </c>
      <c r="J21" s="9">
        <v>2.5299999999999998</v>
      </c>
      <c r="K21" s="9">
        <v>2.73</v>
      </c>
      <c r="L21" s="9">
        <f t="shared" si="12"/>
        <v>34384.400000000031</v>
      </c>
      <c r="M21" s="9">
        <f t="shared" si="13"/>
        <v>47350.800000000039</v>
      </c>
      <c r="N21" s="9">
        <f t="shared" si="14"/>
        <v>59839.999999999971</v>
      </c>
      <c r="O21" s="9">
        <f t="shared" si="15"/>
        <v>39359.999999999978</v>
      </c>
      <c r="P21" s="9">
        <f t="shared" si="16"/>
        <v>180935.2</v>
      </c>
      <c r="Q21" s="9"/>
      <c r="R21" s="9"/>
      <c r="S21" s="27">
        <f t="shared" si="18"/>
        <v>41000</v>
      </c>
      <c r="T21" s="9">
        <f t="shared" si="17"/>
        <v>13119.999999999993</v>
      </c>
      <c r="U21" s="9"/>
      <c r="X21" s="25">
        <f t="shared" si="10"/>
        <v>310000</v>
      </c>
    </row>
    <row r="22" spans="1:199" ht="51" customHeight="1">
      <c r="A22" s="95"/>
      <c r="B22" s="12" t="s">
        <v>35</v>
      </c>
      <c r="C22" s="56">
        <v>184000</v>
      </c>
      <c r="D22" s="56">
        <f>299000-C22</f>
        <v>115000</v>
      </c>
      <c r="E22" s="56">
        <v>100000</v>
      </c>
      <c r="F22" s="56">
        <v>180000</v>
      </c>
      <c r="G22" s="50">
        <f t="shared" si="11"/>
        <v>579000</v>
      </c>
      <c r="H22" s="9">
        <v>4.18</v>
      </c>
      <c r="I22" s="9">
        <v>4.3499999999999996</v>
      </c>
      <c r="J22" s="9">
        <v>3.62</v>
      </c>
      <c r="K22" s="9">
        <v>3.91</v>
      </c>
      <c r="L22" s="9">
        <f t="shared" si="12"/>
        <v>103039.99999999993</v>
      </c>
      <c r="M22" s="9">
        <f t="shared" si="13"/>
        <v>64399.999999999956</v>
      </c>
      <c r="N22" s="9">
        <f t="shared" si="14"/>
        <v>43999.999999999949</v>
      </c>
      <c r="O22" s="9">
        <f t="shared" si="15"/>
        <v>79199.999999999913</v>
      </c>
      <c r="P22" s="9">
        <f t="shared" si="16"/>
        <v>290639.99999999977</v>
      </c>
      <c r="Q22" s="9"/>
      <c r="R22" s="9"/>
      <c r="S22" s="27">
        <f t="shared" si="18"/>
        <v>60000</v>
      </c>
      <c r="T22" s="9">
        <f t="shared" si="17"/>
        <v>26399.999999999971</v>
      </c>
      <c r="U22" s="9"/>
      <c r="X22" s="25">
        <f t="shared" si="10"/>
        <v>280000</v>
      </c>
    </row>
    <row r="23" spans="1:199" ht="51" customHeight="1">
      <c r="A23" s="95"/>
      <c r="B23" s="12" t="s">
        <v>18</v>
      </c>
      <c r="C23" s="56">
        <v>12385</v>
      </c>
      <c r="D23" s="56">
        <f>22498-C23</f>
        <v>10113</v>
      </c>
      <c r="E23" s="56">
        <v>10000</v>
      </c>
      <c r="F23" s="56">
        <v>11000</v>
      </c>
      <c r="G23" s="50">
        <f t="shared" si="11"/>
        <v>43498</v>
      </c>
      <c r="H23" s="9">
        <v>3.13</v>
      </c>
      <c r="I23" s="9">
        <v>3.26</v>
      </c>
      <c r="J23" s="9">
        <v>2.72</v>
      </c>
      <c r="K23" s="9">
        <v>2.94</v>
      </c>
      <c r="L23" s="9">
        <f t="shared" si="12"/>
        <v>5077.8499999999958</v>
      </c>
      <c r="M23" s="9">
        <f t="shared" si="13"/>
        <v>4146.3299999999972</v>
      </c>
      <c r="N23" s="9">
        <f t="shared" si="14"/>
        <v>3199.9999999999982</v>
      </c>
      <c r="O23" s="9">
        <f t="shared" si="15"/>
        <v>3519.9999999999982</v>
      </c>
      <c r="P23" s="9">
        <f t="shared" si="16"/>
        <v>15944.179999999989</v>
      </c>
      <c r="Q23" s="9"/>
      <c r="R23" s="9"/>
      <c r="S23" s="27">
        <f t="shared" si="18"/>
        <v>3666.6666666666665</v>
      </c>
      <c r="T23" s="9">
        <f>(I23-K23)*S23</f>
        <v>1173.3333333333328</v>
      </c>
      <c r="U23" s="9"/>
      <c r="X23" s="25">
        <f t="shared" si="10"/>
        <v>21000</v>
      </c>
    </row>
    <row r="24" spans="1:199" ht="51" customHeight="1">
      <c r="A24" s="95"/>
      <c r="B24" s="12" t="s">
        <v>17</v>
      </c>
      <c r="C24" s="56">
        <v>129955</v>
      </c>
      <c r="D24" s="56">
        <f>282721-C24</f>
        <v>152766</v>
      </c>
      <c r="E24" s="56">
        <v>110000</v>
      </c>
      <c r="F24" s="56">
        <v>150000</v>
      </c>
      <c r="G24" s="50">
        <f t="shared" si="11"/>
        <v>542721</v>
      </c>
      <c r="H24" s="9">
        <v>4.18</v>
      </c>
      <c r="I24" s="9">
        <v>4.3499999999999996</v>
      </c>
      <c r="J24" s="9">
        <v>3.62</v>
      </c>
      <c r="K24" s="9">
        <v>3.91</v>
      </c>
      <c r="L24" s="9">
        <f t="shared" si="12"/>
        <v>72774.799999999945</v>
      </c>
      <c r="M24" s="9">
        <f t="shared" si="13"/>
        <v>85548.959999999934</v>
      </c>
      <c r="N24" s="9">
        <f t="shared" si="14"/>
        <v>48399.999999999942</v>
      </c>
      <c r="O24" s="9">
        <f>(I24-K24)*F24</f>
        <v>65999.999999999927</v>
      </c>
      <c r="P24" s="9">
        <f t="shared" si="16"/>
        <v>272723.75999999978</v>
      </c>
      <c r="Q24" s="9" t="s">
        <v>12</v>
      </c>
      <c r="R24" s="9"/>
      <c r="S24" s="27">
        <f t="shared" si="18"/>
        <v>50000</v>
      </c>
      <c r="T24" s="9">
        <f>(I24-K24)*S24</f>
        <v>21999.999999999975</v>
      </c>
      <c r="U24" s="9"/>
    </row>
    <row r="25" spans="1:199" s="49" customFormat="1" ht="26.25" customHeight="1">
      <c r="A25" s="96"/>
      <c r="B25" s="40" t="s">
        <v>6</v>
      </c>
      <c r="C25" s="58">
        <f>SUM(C15:C24)</f>
        <v>8018769</v>
      </c>
      <c r="D25" s="58">
        <f t="shared" ref="D25:F25" si="19">SUM(D15:D24)</f>
        <v>6960836</v>
      </c>
      <c r="E25" s="58">
        <f t="shared" si="19"/>
        <v>6469000</v>
      </c>
      <c r="F25" s="58">
        <f t="shared" si="19"/>
        <v>8034100</v>
      </c>
      <c r="G25" s="41">
        <f>SUM(G15:G24)</f>
        <v>29482705</v>
      </c>
      <c r="H25" s="41"/>
      <c r="I25" s="41"/>
      <c r="J25" s="41"/>
      <c r="K25" s="41"/>
      <c r="L25" s="41">
        <f>SUM(L15:L24)</f>
        <v>4277936.4499999965</v>
      </c>
      <c r="M25" s="41">
        <f t="shared" ref="M25:O25" si="20">SUM(M15:M24)</f>
        <v>3701834.5899999971</v>
      </c>
      <c r="N25" s="41">
        <f t="shared" si="20"/>
        <v>2694674.9999999977</v>
      </c>
      <c r="O25" s="41">
        <f t="shared" si="20"/>
        <v>3361148.9999999963</v>
      </c>
      <c r="P25" s="41">
        <f>SUM(P15:P24)</f>
        <v>14035595.039999988</v>
      </c>
      <c r="Q25" s="37">
        <f>'2020'!T26</f>
        <v>1426646.9999999988</v>
      </c>
      <c r="R25" s="37">
        <f>P25+Q25</f>
        <v>15462242.039999986</v>
      </c>
      <c r="S25" s="47">
        <f>SUM(S15:S24)</f>
        <v>2678033.333333333</v>
      </c>
      <c r="T25" s="47">
        <f>SUM(T15:T24)</f>
        <v>1120382.9999999988</v>
      </c>
      <c r="U25" s="37">
        <f>R25-T25</f>
        <v>14341859.039999988</v>
      </c>
      <c r="V25" s="48"/>
      <c r="W25" s="48">
        <f>ROUND(SUMPRODUCT(J15:J20,W15:W20)/SUM(W15:W20),2)</f>
        <v>3.46</v>
      </c>
      <c r="X25" s="48">
        <f>ROUND(SUMPRODUCT(K15:K20,X15:X20)/SUM(X15:X20),2)</f>
        <v>3.74</v>
      </c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</row>
    <row r="26" spans="1:199" ht="48" customHeight="1">
      <c r="A26" s="95" t="s">
        <v>56</v>
      </c>
      <c r="B26" s="51" t="s">
        <v>57</v>
      </c>
      <c r="C26" s="56">
        <v>3190</v>
      </c>
      <c r="D26" s="56">
        <v>181</v>
      </c>
      <c r="E26" s="56">
        <v>136</v>
      </c>
      <c r="F26" s="56">
        <v>2859</v>
      </c>
      <c r="G26" s="50">
        <f t="shared" ref="G26:G27" si="21">SUM(C26:F26)</f>
        <v>6366</v>
      </c>
      <c r="H26" s="9">
        <v>26.633330000000001</v>
      </c>
      <c r="I26" s="9">
        <v>27.751930000000002</v>
      </c>
      <c r="J26" s="9">
        <v>5.4545199999999996</v>
      </c>
      <c r="K26" s="9">
        <v>5.6836099999999998</v>
      </c>
      <c r="L26" s="9">
        <f>(H26-J26)*C26</f>
        <v>67560.403900000005</v>
      </c>
      <c r="M26" s="9">
        <f>(H26-J26)*D26</f>
        <v>3833.3646100000005</v>
      </c>
      <c r="N26" s="9">
        <f>E26*(I26-K26)</f>
        <v>3001.2915199999998</v>
      </c>
      <c r="O26" s="9">
        <f>F26*(I26-K26)</f>
        <v>63093.326880000001</v>
      </c>
      <c r="P26" s="9">
        <f>SUM(L26:O26)</f>
        <v>137488.38691</v>
      </c>
      <c r="Q26" s="9"/>
      <c r="R26" s="9"/>
      <c r="S26" s="27">
        <f t="shared" ref="S26:S30" si="22">F26/3</f>
        <v>953</v>
      </c>
      <c r="T26" s="9">
        <f>(I26-K26)*S26</f>
        <v>21031.108960000001</v>
      </c>
      <c r="U26" s="9"/>
    </row>
    <row r="27" spans="1:199" ht="48" customHeight="1">
      <c r="A27" s="95"/>
      <c r="B27" s="51" t="s">
        <v>58</v>
      </c>
      <c r="C27" s="56">
        <v>655357</v>
      </c>
      <c r="D27" s="56">
        <v>419380</v>
      </c>
      <c r="E27" s="56">
        <v>236259</v>
      </c>
      <c r="F27" s="56">
        <v>502189</v>
      </c>
      <c r="G27" s="50">
        <f t="shared" si="21"/>
        <v>1813185</v>
      </c>
      <c r="H27" s="9">
        <v>27.48311</v>
      </c>
      <c r="I27" s="9">
        <v>28.6374</v>
      </c>
      <c r="J27" s="9">
        <v>6.3042999999999996</v>
      </c>
      <c r="K27" s="9">
        <v>6.5690799999999996</v>
      </c>
      <c r="L27" s="9">
        <f t="shared" ref="L27:L30" si="23">(H27-J27)*C27</f>
        <v>13879681.38517</v>
      </c>
      <c r="M27" s="9">
        <f t="shared" ref="M27:M30" si="24">(H27-J27)*D27</f>
        <v>8881969.3377999999</v>
      </c>
      <c r="N27" s="9">
        <f t="shared" ref="N27:N30" si="25">E27*(I27-K27)</f>
        <v>5213839.2148799999</v>
      </c>
      <c r="O27" s="9">
        <f t="shared" ref="O27:O30" si="26">F27*(I27-K27)</f>
        <v>11082467.552479999</v>
      </c>
      <c r="P27" s="9">
        <f t="shared" ref="P27:P30" si="27">SUM(L27:O27)</f>
        <v>39057957.490330003</v>
      </c>
      <c r="Q27" s="9"/>
      <c r="R27" s="9"/>
      <c r="S27" s="27">
        <f t="shared" si="22"/>
        <v>167396.33333333334</v>
      </c>
      <c r="T27" s="9">
        <f t="shared" ref="T27:T30" si="28">(I27-K27)*S27</f>
        <v>3694155.8508266667</v>
      </c>
      <c r="U27" s="9"/>
    </row>
    <row r="28" spans="1:199" ht="48" customHeight="1">
      <c r="A28" s="95"/>
      <c r="B28" s="51" t="s">
        <v>59</v>
      </c>
      <c r="C28" s="56">
        <v>788708</v>
      </c>
      <c r="D28" s="56">
        <v>466086</v>
      </c>
      <c r="E28" s="56">
        <v>431940</v>
      </c>
      <c r="F28" s="56">
        <v>614510</v>
      </c>
      <c r="G28" s="50">
        <f t="shared" ref="G28:G30" si="29">SUM(C28:F28)</f>
        <v>2301244</v>
      </c>
      <c r="H28" s="9">
        <v>28.360099999999999</v>
      </c>
      <c r="I28" s="9">
        <v>29.551220000000001</v>
      </c>
      <c r="J28" s="9">
        <v>7.1812899999999997</v>
      </c>
      <c r="K28" s="9">
        <v>7.4828999999999999</v>
      </c>
      <c r="L28" s="9">
        <f t="shared" si="23"/>
        <v>16703896.877479998</v>
      </c>
      <c r="M28" s="9">
        <f t="shared" si="24"/>
        <v>9871146.8376599997</v>
      </c>
      <c r="N28" s="9">
        <f t="shared" si="25"/>
        <v>9532190.1407999992</v>
      </c>
      <c r="O28" s="9">
        <f t="shared" si="26"/>
        <v>13561203.3232</v>
      </c>
      <c r="P28" s="9">
        <f t="shared" si="27"/>
        <v>49668437.179140002</v>
      </c>
      <c r="Q28" s="9"/>
      <c r="R28" s="9"/>
      <c r="S28" s="27">
        <f t="shared" si="22"/>
        <v>204836.66666666666</v>
      </c>
      <c r="T28" s="9">
        <f t="shared" si="28"/>
        <v>4520401.1077333335</v>
      </c>
      <c r="U28" s="9"/>
    </row>
    <row r="29" spans="1:199" ht="48" customHeight="1">
      <c r="A29" s="95"/>
      <c r="B29" s="51" t="s">
        <v>60</v>
      </c>
      <c r="C29" s="56">
        <v>1142125</v>
      </c>
      <c r="D29" s="56">
        <v>605029</v>
      </c>
      <c r="E29" s="56">
        <v>424452</v>
      </c>
      <c r="F29" s="56">
        <v>895162</v>
      </c>
      <c r="G29" s="50">
        <f t="shared" si="29"/>
        <v>3066768</v>
      </c>
      <c r="H29" s="9">
        <v>24.096499999999999</v>
      </c>
      <c r="I29" s="9">
        <v>25.108550000000001</v>
      </c>
      <c r="J29" s="9">
        <v>2.9176899999999999</v>
      </c>
      <c r="K29" s="9">
        <v>3.0402300000000002</v>
      </c>
      <c r="L29" s="9">
        <f t="shared" si="23"/>
        <v>24188848.37125</v>
      </c>
      <c r="M29" s="9">
        <f t="shared" si="24"/>
        <v>12813794.23549</v>
      </c>
      <c r="N29" s="9">
        <f t="shared" si="25"/>
        <v>9366942.5606399998</v>
      </c>
      <c r="O29" s="9">
        <f t="shared" si="26"/>
        <v>19754721.467840001</v>
      </c>
      <c r="P29" s="9">
        <f t="shared" si="27"/>
        <v>66124306.635219999</v>
      </c>
      <c r="Q29" s="9"/>
      <c r="R29" s="9"/>
      <c r="S29" s="27">
        <f t="shared" si="22"/>
        <v>298387.33333333331</v>
      </c>
      <c r="T29" s="9">
        <f t="shared" si="28"/>
        <v>6584907.1559466664</v>
      </c>
      <c r="U29" s="9"/>
    </row>
    <row r="30" spans="1:199" ht="48" customHeight="1">
      <c r="A30" s="95"/>
      <c r="B30" s="51" t="s">
        <v>61</v>
      </c>
      <c r="C30" s="56">
        <v>1018358</v>
      </c>
      <c r="D30" s="56">
        <v>450839</v>
      </c>
      <c r="E30" s="56">
        <v>326634</v>
      </c>
      <c r="F30" s="56">
        <v>1286752</v>
      </c>
      <c r="G30" s="50">
        <f t="shared" si="29"/>
        <v>3082583</v>
      </c>
      <c r="H30" s="9">
        <v>24.096499999999999</v>
      </c>
      <c r="I30" s="9">
        <v>25.108550000000001</v>
      </c>
      <c r="J30" s="9">
        <v>2.9967899999999998</v>
      </c>
      <c r="K30" s="9">
        <v>3.1226600000000002</v>
      </c>
      <c r="L30" s="9">
        <f t="shared" si="23"/>
        <v>21487058.476179998</v>
      </c>
      <c r="M30" s="9">
        <f t="shared" si="24"/>
        <v>9512572.1566899996</v>
      </c>
      <c r="N30" s="9">
        <f t="shared" si="25"/>
        <v>7181339.1942600003</v>
      </c>
      <c r="O30" s="9">
        <f t="shared" si="26"/>
        <v>28290387.929280002</v>
      </c>
      <c r="P30" s="9">
        <f t="shared" si="27"/>
        <v>66471357.756410003</v>
      </c>
      <c r="Q30" s="9"/>
      <c r="R30" s="9"/>
      <c r="S30" s="27">
        <f t="shared" si="22"/>
        <v>428917.33333333331</v>
      </c>
      <c r="T30" s="9">
        <f t="shared" si="28"/>
        <v>9430129.3097600006</v>
      </c>
      <c r="U30" s="9"/>
    </row>
    <row r="31" spans="1:199" s="49" customFormat="1" ht="26.25" customHeight="1">
      <c r="A31" s="96"/>
      <c r="B31" s="40" t="s">
        <v>6</v>
      </c>
      <c r="C31" s="58">
        <f>SUM(C26:C30)</f>
        <v>3607738</v>
      </c>
      <c r="D31" s="58">
        <f>SUM(D26:D30)</f>
        <v>1941515</v>
      </c>
      <c r="E31" s="58">
        <f>SUM(E26:E30)</f>
        <v>1419421</v>
      </c>
      <c r="F31" s="58">
        <f>SUM(F26:F30)</f>
        <v>3301472</v>
      </c>
      <c r="G31" s="41">
        <f>SUM(G26:G30)</f>
        <v>10270146</v>
      </c>
      <c r="H31" s="41"/>
      <c r="I31" s="41"/>
      <c r="J31" s="41"/>
      <c r="K31" s="41"/>
      <c r="L31" s="41">
        <f>SUM(L26:L30)</f>
        <v>76327045.513980001</v>
      </c>
      <c r="M31" s="41">
        <f>SUM(M26:M30)</f>
        <v>41083315.932250001</v>
      </c>
      <c r="N31" s="41">
        <f>SUM(N26:N30)</f>
        <v>31297312.402100001</v>
      </c>
      <c r="O31" s="41">
        <f>SUM(O26:O30)</f>
        <v>72751873.599680007</v>
      </c>
      <c r="P31" s="41">
        <f>SUM(P26:P30)</f>
        <v>221459547.44801</v>
      </c>
      <c r="Q31" s="37">
        <f>'2020'!T32</f>
        <v>23273155.375039995</v>
      </c>
      <c r="R31" s="37">
        <f>P31+Q31</f>
        <v>244732702.82304999</v>
      </c>
      <c r="S31" s="47">
        <f>SUM(S26:S30)</f>
        <v>1100490.6666666665</v>
      </c>
      <c r="T31" s="47">
        <f>SUM(T26:T30)</f>
        <v>24250624.533226669</v>
      </c>
      <c r="U31" s="37">
        <f>R31-T31</f>
        <v>220482078.28982332</v>
      </c>
      <c r="V31" s="48"/>
      <c r="W31" s="48" t="e">
        <f>ROUND(SUMPRODUCT(#REF!,#REF!)/SUM(#REF!),2)</f>
        <v>#REF!</v>
      </c>
      <c r="X31" s="48" t="e">
        <f>ROUND(SUMPRODUCT(#REF!,#REF!)/SUM(#REF!),2)</f>
        <v>#REF!</v>
      </c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</row>
    <row r="32" spans="1:199" ht="30" customHeight="1" outlineLevel="1">
      <c r="A32" s="98" t="s">
        <v>13</v>
      </c>
      <c r="B32" s="8" t="s">
        <v>27</v>
      </c>
      <c r="C32" s="55">
        <v>61512</v>
      </c>
      <c r="D32" s="55">
        <v>44413</v>
      </c>
      <c r="E32" s="55">
        <v>45438</v>
      </c>
      <c r="F32" s="55">
        <v>43386</v>
      </c>
      <c r="G32" s="50">
        <f>SUM(C32:F32)</f>
        <v>194749</v>
      </c>
      <c r="H32" s="9">
        <v>73.81</v>
      </c>
      <c r="I32" s="9">
        <v>73.81</v>
      </c>
      <c r="J32" s="9">
        <v>2.93</v>
      </c>
      <c r="K32" s="9">
        <v>3.05</v>
      </c>
      <c r="L32" s="9">
        <f>(H32-J32)*C32</f>
        <v>4359970.5599999996</v>
      </c>
      <c r="M32" s="9">
        <f>(H32-J32)*D32</f>
        <v>3147993.44</v>
      </c>
      <c r="N32" s="9">
        <f>(I32-K32)*E32</f>
        <v>3215192.8800000004</v>
      </c>
      <c r="O32" s="9">
        <f>(I32-K32)*F32</f>
        <v>3069993.3600000003</v>
      </c>
      <c r="P32" s="9">
        <f>SUM(L32:O32)</f>
        <v>13793150.240000002</v>
      </c>
      <c r="Q32" s="9"/>
      <c r="R32" s="9"/>
      <c r="S32" s="27">
        <v>9376</v>
      </c>
      <c r="T32" s="9">
        <f>(I32-K32)*S32</f>
        <v>663445.76000000001</v>
      </c>
      <c r="U32" s="9"/>
    </row>
    <row r="33" spans="1:21" ht="30" customHeight="1" outlineLevel="1">
      <c r="A33" s="98"/>
      <c r="B33" s="8" t="s">
        <v>29</v>
      </c>
      <c r="C33" s="55">
        <v>6552</v>
      </c>
      <c r="D33" s="55">
        <v>2555</v>
      </c>
      <c r="E33" s="55">
        <v>2342</v>
      </c>
      <c r="F33" s="55">
        <v>3310</v>
      </c>
      <c r="G33" s="50">
        <f t="shared" ref="G33:G35" si="30">SUM(C33:F33)</f>
        <v>14759</v>
      </c>
      <c r="H33" s="9">
        <v>73.81</v>
      </c>
      <c r="I33" s="9">
        <v>73.81</v>
      </c>
      <c r="J33" s="9">
        <v>3.36</v>
      </c>
      <c r="K33" s="9">
        <v>3.49</v>
      </c>
      <c r="L33" s="9">
        <f t="shared" ref="L33:L35" si="31">(H33-J33)*C33</f>
        <v>461588.4</v>
      </c>
      <c r="M33" s="9">
        <f t="shared" ref="M33:M35" si="32">(H33-J33)*D33</f>
        <v>179999.75</v>
      </c>
      <c r="N33" s="9">
        <f t="shared" ref="N33:N35" si="33">(I33-K33)*E33</f>
        <v>164689.44000000003</v>
      </c>
      <c r="O33" s="9">
        <f t="shared" ref="O33:O35" si="34">(I33-K33)*F33</f>
        <v>232759.2</v>
      </c>
      <c r="P33" s="9">
        <f t="shared" ref="P33:P35" si="35">SUM(L33:O33)</f>
        <v>1039036.79</v>
      </c>
      <c r="Q33" s="9" t="s">
        <v>12</v>
      </c>
      <c r="R33" s="9"/>
      <c r="S33" s="27">
        <v>1219</v>
      </c>
      <c r="T33" s="9">
        <f>(I33-K33)*S33</f>
        <v>85720.08</v>
      </c>
      <c r="U33" s="9"/>
    </row>
    <row r="34" spans="1:21" ht="30" customHeight="1" outlineLevel="1">
      <c r="A34" s="98"/>
      <c r="B34" s="10" t="s">
        <v>16</v>
      </c>
      <c r="C34" s="55">
        <v>2559</v>
      </c>
      <c r="D34" s="55">
        <v>848</v>
      </c>
      <c r="E34" s="55">
        <v>711</v>
      </c>
      <c r="F34" s="55">
        <v>1202</v>
      </c>
      <c r="G34" s="50">
        <f t="shared" si="30"/>
        <v>5320</v>
      </c>
      <c r="H34" s="9">
        <v>73.81</v>
      </c>
      <c r="I34" s="9">
        <v>73.81</v>
      </c>
      <c r="J34" s="9">
        <v>1.03</v>
      </c>
      <c r="K34" s="9">
        <v>1.1100000000000001</v>
      </c>
      <c r="L34" s="9">
        <f t="shared" si="31"/>
        <v>186244.02</v>
      </c>
      <c r="M34" s="9">
        <f t="shared" si="32"/>
        <v>61717.440000000002</v>
      </c>
      <c r="N34" s="9">
        <f t="shared" si="33"/>
        <v>51689.700000000004</v>
      </c>
      <c r="O34" s="9">
        <f t="shared" si="34"/>
        <v>87385.400000000009</v>
      </c>
      <c r="P34" s="9">
        <f t="shared" si="35"/>
        <v>387036.56</v>
      </c>
      <c r="Q34" s="9"/>
      <c r="R34" s="9"/>
      <c r="S34" s="27">
        <v>494</v>
      </c>
      <c r="T34" s="9">
        <f>(I34-K34)*S34</f>
        <v>35913.800000000003</v>
      </c>
      <c r="U34" s="9"/>
    </row>
    <row r="35" spans="1:21" ht="38.25" customHeight="1" outlineLevel="1">
      <c r="A35" s="98"/>
      <c r="B35" s="8" t="s">
        <v>21</v>
      </c>
      <c r="C35" s="55">
        <v>60457</v>
      </c>
      <c r="D35" s="55">
        <v>26246</v>
      </c>
      <c r="E35" s="55">
        <v>22531</v>
      </c>
      <c r="F35" s="55">
        <v>37100</v>
      </c>
      <c r="G35" s="50">
        <f t="shared" si="30"/>
        <v>146334</v>
      </c>
      <c r="H35" s="9">
        <v>73.81</v>
      </c>
      <c r="I35" s="9">
        <v>73.81</v>
      </c>
      <c r="J35" s="9">
        <v>7.95</v>
      </c>
      <c r="K35" s="9">
        <v>7.95</v>
      </c>
      <c r="L35" s="9">
        <f t="shared" si="31"/>
        <v>3981698.02</v>
      </c>
      <c r="M35" s="9">
        <f t="shared" si="32"/>
        <v>1728561.56</v>
      </c>
      <c r="N35" s="9">
        <f t="shared" si="33"/>
        <v>1483891.66</v>
      </c>
      <c r="O35" s="9">
        <f t="shared" si="34"/>
        <v>2443406</v>
      </c>
      <c r="P35" s="9">
        <f t="shared" si="35"/>
        <v>9637557.2400000002</v>
      </c>
      <c r="Q35" s="9" t="s">
        <v>12</v>
      </c>
      <c r="R35" s="9"/>
      <c r="S35" s="27">
        <v>8651</v>
      </c>
      <c r="T35" s="9">
        <f>(I35-K35)*S35</f>
        <v>569754.86</v>
      </c>
      <c r="U35" s="9"/>
    </row>
    <row r="36" spans="1:21" s="28" customFormat="1" ht="30" customHeight="1" outlineLevel="1">
      <c r="A36" s="98"/>
      <c r="B36" s="46" t="s">
        <v>6</v>
      </c>
      <c r="C36" s="58">
        <f>SUM(C32:C35)</f>
        <v>131080</v>
      </c>
      <c r="D36" s="58">
        <f t="shared" ref="D36:O36" si="36">SUM(D32:D35)</f>
        <v>74062</v>
      </c>
      <c r="E36" s="58">
        <f t="shared" si="36"/>
        <v>71022</v>
      </c>
      <c r="F36" s="58">
        <f t="shared" si="36"/>
        <v>84998</v>
      </c>
      <c r="G36" s="41">
        <f t="shared" si="36"/>
        <v>361162</v>
      </c>
      <c r="H36" s="41"/>
      <c r="I36" s="41"/>
      <c r="J36" s="41"/>
      <c r="K36" s="41"/>
      <c r="L36" s="41">
        <f t="shared" si="36"/>
        <v>8989501</v>
      </c>
      <c r="M36" s="41">
        <f t="shared" si="36"/>
        <v>5118272.1899999995</v>
      </c>
      <c r="N36" s="41">
        <f t="shared" si="36"/>
        <v>4915463.6800000006</v>
      </c>
      <c r="O36" s="41">
        <f t="shared" si="36"/>
        <v>5833543.9600000009</v>
      </c>
      <c r="P36" s="41">
        <f>SUM(P32:P35)</f>
        <v>24856780.830000002</v>
      </c>
      <c r="Q36" s="37">
        <f>'2020'!T37</f>
        <v>1288252.0099999998</v>
      </c>
      <c r="R36" s="37">
        <f>P36+Q36</f>
        <v>26145032.840000004</v>
      </c>
      <c r="S36" s="47">
        <f>SUM(S32:S35)</f>
        <v>19740</v>
      </c>
      <c r="T36" s="47">
        <f>SUM(T32:T35)</f>
        <v>1354834.5</v>
      </c>
      <c r="U36" s="37">
        <f>R36-T36</f>
        <v>24790198.340000004</v>
      </c>
    </row>
    <row r="37" spans="1:21" s="28" customFormat="1" ht="39" customHeight="1" outlineLevel="1">
      <c r="A37" s="33"/>
      <c r="B37" s="38" t="s">
        <v>7</v>
      </c>
      <c r="C37" s="59">
        <f>C14+C36+C25+C31</f>
        <v>21148973</v>
      </c>
      <c r="D37" s="59">
        <f>D14+D36+D25+D31</f>
        <v>16180210</v>
      </c>
      <c r="E37" s="59">
        <f>E14+E36+E25+E31</f>
        <v>14700758</v>
      </c>
      <c r="F37" s="59">
        <f>F14+F36+F25+F31</f>
        <v>19171781</v>
      </c>
      <c r="G37" s="34">
        <f>G14+G36+G25+G31</f>
        <v>71201722</v>
      </c>
      <c r="H37" s="34"/>
      <c r="I37" s="34"/>
      <c r="J37" s="34"/>
      <c r="K37" s="34"/>
      <c r="L37" s="34">
        <f t="shared" ref="L37:Q37" si="37">L14+L36+L25+L31</f>
        <v>374360311.63397992</v>
      </c>
      <c r="M37" s="34">
        <f t="shared" si="37"/>
        <v>269373617.59224993</v>
      </c>
      <c r="N37" s="34">
        <f t="shared" si="37"/>
        <v>244926871.23209998</v>
      </c>
      <c r="O37" s="34">
        <f t="shared" si="37"/>
        <v>316850753.26968002</v>
      </c>
      <c r="P37" s="34">
        <f>P14+P36+P25+P31</f>
        <v>1205511553.7280097</v>
      </c>
      <c r="Q37" s="35">
        <f t="shared" si="37"/>
        <v>106163203.79504001</v>
      </c>
      <c r="R37" s="35">
        <f>R36+R14+R25+R31</f>
        <v>1311674757.5230496</v>
      </c>
      <c r="S37" s="36">
        <f>S36+S14+S25+S31</f>
        <v>6564307</v>
      </c>
      <c r="T37" s="36">
        <f>T36+T14+T25+T31</f>
        <v>110395321.53322665</v>
      </c>
      <c r="U37" s="37">
        <f>U36+U14+U25+U31</f>
        <v>1201279435.9898231</v>
      </c>
    </row>
    <row r="38" spans="1:21" s="6" customFormat="1" ht="15" customHeight="1" outlineLevel="1">
      <c r="A38" s="15"/>
      <c r="B38" s="16"/>
      <c r="C38" s="17"/>
      <c r="D38" s="17"/>
      <c r="E38" s="17"/>
      <c r="F38" s="17"/>
      <c r="G38" s="17"/>
      <c r="H38" s="18"/>
      <c r="I38" s="18"/>
      <c r="J38" s="19"/>
      <c r="K38" s="19"/>
      <c r="L38" s="20"/>
      <c r="M38" s="20"/>
      <c r="N38" s="20"/>
      <c r="O38" s="20"/>
      <c r="P38" s="20"/>
      <c r="Q38" s="20"/>
      <c r="R38" s="20"/>
      <c r="S38" s="21"/>
      <c r="T38" s="22"/>
      <c r="U38" s="23"/>
    </row>
    <row r="39" spans="1:21" ht="15" customHeight="1">
      <c r="A39" s="14"/>
    </row>
    <row r="62" spans="2:2" ht="15.75">
      <c r="B62" s="13"/>
    </row>
    <row r="63" spans="2:2" ht="15.75">
      <c r="B63" s="13"/>
    </row>
  </sheetData>
  <mergeCells count="16">
    <mergeCell ref="A32:A36"/>
    <mergeCell ref="U4:U5"/>
    <mergeCell ref="A4:A5"/>
    <mergeCell ref="B4:B5"/>
    <mergeCell ref="C4:G4"/>
    <mergeCell ref="H4:I4"/>
    <mergeCell ref="J4:K4"/>
    <mergeCell ref="L4:P4"/>
    <mergeCell ref="Q4:Q5"/>
    <mergeCell ref="R4:R5"/>
    <mergeCell ref="S4:T4"/>
    <mergeCell ref="C1:K1"/>
    <mergeCell ref="A26:A31"/>
    <mergeCell ref="A6:A14"/>
    <mergeCell ref="A15:A25"/>
    <mergeCell ref="C2:G2"/>
  </mergeCells>
  <pageMargins left="0.11811023622047245" right="0.11811023622047245" top="0.55118110236220474" bottom="0.55118110236220474" header="0.31496062992125984" footer="0.47244094488188981"/>
  <pageSetup paperSize="9" scale="55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Q51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C1" sqref="C1:K1"/>
    </sheetView>
  </sheetViews>
  <sheetFormatPr defaultColWidth="9.140625" defaultRowHeight="15" outlineLevelRow="1" outlineLevelCol="1"/>
  <cols>
    <col min="1" max="1" width="38.7109375" style="1" customWidth="1"/>
    <col min="2" max="2" width="48.85546875" style="1" customWidth="1"/>
    <col min="3" max="3" width="20.85546875" style="1" customWidth="1"/>
    <col min="4" max="4" width="25.140625" style="1" customWidth="1"/>
    <col min="5" max="6" width="20.140625" style="1" customWidth="1"/>
    <col min="7" max="7" width="23.5703125" style="1" customWidth="1"/>
    <col min="8" max="11" width="17.42578125" style="1" customWidth="1"/>
    <col min="12" max="15" width="21.5703125" style="1" customWidth="1"/>
    <col min="16" max="16" width="26.85546875" style="1" customWidth="1"/>
    <col min="17" max="17" width="24.28515625" style="1" customWidth="1"/>
    <col min="18" max="18" width="27" style="1" hidden="1" customWidth="1" outlineLevel="1"/>
    <col min="19" max="19" width="21.7109375" style="1" hidden="1" customWidth="1" outlineLevel="1"/>
    <col min="20" max="20" width="25.28515625" style="1" customWidth="1" collapsed="1"/>
    <col min="21" max="21" width="27.42578125" style="1" customWidth="1"/>
    <col min="22" max="22" width="9.140625" style="1"/>
    <col min="23" max="24" width="9.140625" style="1" hidden="1" customWidth="1" outlineLevel="1"/>
    <col min="25" max="25" width="9.140625" style="1" collapsed="1"/>
    <col min="26" max="16384" width="9.140625" style="1"/>
  </cols>
  <sheetData>
    <row r="1" spans="1:199" ht="15.75">
      <c r="C1" s="76"/>
      <c r="D1" s="76"/>
      <c r="E1" s="76"/>
      <c r="F1" s="76"/>
      <c r="G1" s="76"/>
      <c r="H1" s="76"/>
      <c r="I1" s="76"/>
      <c r="J1" s="76"/>
      <c r="K1" s="76"/>
    </row>
    <row r="2" spans="1:199" ht="97.5" customHeight="1">
      <c r="A2" s="73"/>
      <c r="B2" s="73"/>
      <c r="C2" s="75" t="s">
        <v>51</v>
      </c>
      <c r="D2" s="75"/>
      <c r="E2" s="75"/>
      <c r="F2" s="75"/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199">
      <c r="A3" s="3"/>
      <c r="B3" s="4"/>
      <c r="C3" s="3"/>
      <c r="D3" s="3"/>
      <c r="E3" s="3"/>
      <c r="F3" s="3"/>
      <c r="G3" s="3"/>
      <c r="H3" s="2"/>
      <c r="I3" s="5"/>
      <c r="J3" s="3"/>
      <c r="K3" s="5"/>
      <c r="L3" s="3"/>
      <c r="M3" s="3"/>
      <c r="N3" s="3"/>
      <c r="O3" s="3"/>
      <c r="P3" s="3"/>
      <c r="Q3" s="3"/>
      <c r="R3" s="3"/>
      <c r="S3" s="2"/>
      <c r="T3" s="2"/>
      <c r="U3" s="2"/>
    </row>
    <row r="4" spans="1:199" ht="96" customHeight="1">
      <c r="A4" s="77" t="s">
        <v>8</v>
      </c>
      <c r="B4" s="79" t="s">
        <v>9</v>
      </c>
      <c r="C4" s="81" t="s">
        <v>25</v>
      </c>
      <c r="D4" s="82"/>
      <c r="E4" s="82"/>
      <c r="F4" s="82"/>
      <c r="G4" s="83"/>
      <c r="H4" s="84" t="s">
        <v>10</v>
      </c>
      <c r="I4" s="85"/>
      <c r="J4" s="84" t="s">
        <v>24</v>
      </c>
      <c r="K4" s="85"/>
      <c r="L4" s="86" t="s">
        <v>23</v>
      </c>
      <c r="M4" s="87"/>
      <c r="N4" s="87"/>
      <c r="O4" s="87"/>
      <c r="P4" s="88"/>
      <c r="Q4" s="92" t="s">
        <v>52</v>
      </c>
      <c r="R4" s="92" t="s">
        <v>53</v>
      </c>
      <c r="S4" s="93" t="s">
        <v>63</v>
      </c>
      <c r="T4" s="94"/>
      <c r="U4" s="77" t="s">
        <v>54</v>
      </c>
    </row>
    <row r="5" spans="1:199" ht="31.5" customHeight="1">
      <c r="A5" s="77"/>
      <c r="B5" s="80"/>
      <c r="C5" s="60" t="s">
        <v>42</v>
      </c>
      <c r="D5" s="60" t="s">
        <v>43</v>
      </c>
      <c r="E5" s="60" t="s">
        <v>44</v>
      </c>
      <c r="F5" s="60" t="s">
        <v>45</v>
      </c>
      <c r="G5" s="60" t="s">
        <v>22</v>
      </c>
      <c r="H5" s="61" t="s">
        <v>4</v>
      </c>
      <c r="I5" s="61" t="s">
        <v>5</v>
      </c>
      <c r="J5" s="61" t="s">
        <v>15</v>
      </c>
      <c r="K5" s="61" t="s">
        <v>5</v>
      </c>
      <c r="L5" s="60" t="s">
        <v>0</v>
      </c>
      <c r="M5" s="60" t="s">
        <v>1</v>
      </c>
      <c r="N5" s="60" t="s">
        <v>2</v>
      </c>
      <c r="O5" s="60" t="s">
        <v>3</v>
      </c>
      <c r="P5" s="60" t="s">
        <v>22</v>
      </c>
      <c r="Q5" s="92"/>
      <c r="R5" s="92"/>
      <c r="S5" s="62" t="s">
        <v>26</v>
      </c>
      <c r="T5" s="62" t="s">
        <v>11</v>
      </c>
      <c r="U5" s="77"/>
    </row>
    <row r="6" spans="1:199" ht="30" customHeight="1">
      <c r="A6" s="97" t="s">
        <v>14</v>
      </c>
      <c r="B6" s="11" t="s">
        <v>27</v>
      </c>
      <c r="C6" s="72">
        <f>32703+2964752</f>
        <v>2997455</v>
      </c>
      <c r="D6" s="50">
        <f>31813+2637571</f>
        <v>2669384</v>
      </c>
      <c r="E6" s="50">
        <f>37066+3074644</f>
        <v>3111710</v>
      </c>
      <c r="F6" s="50">
        <f>38057+2786190</f>
        <v>2824247</v>
      </c>
      <c r="G6" s="50">
        <f>SUM(C6:F6)</f>
        <v>11602796</v>
      </c>
      <c r="H6" s="9">
        <v>36.340000000000003</v>
      </c>
      <c r="I6" s="9">
        <v>36.340000000000003</v>
      </c>
      <c r="J6" s="9">
        <v>3.05</v>
      </c>
      <c r="K6" s="9">
        <v>3.17</v>
      </c>
      <c r="L6" s="9">
        <f t="shared" ref="L6:L23" si="0">(H6-J6)*C6</f>
        <v>99785276.950000018</v>
      </c>
      <c r="M6" s="9">
        <f t="shared" ref="M6:N21" si="1">(H6-J6)*D6</f>
        <v>88863793.360000014</v>
      </c>
      <c r="N6" s="9">
        <f>E6*(I6-K6)</f>
        <v>103215420.7</v>
      </c>
      <c r="O6" s="9">
        <f>F6*(I6-K6)</f>
        <v>93680272.99000001</v>
      </c>
      <c r="P6" s="9">
        <f>SUM(L6:O6)</f>
        <v>385544764.00000006</v>
      </c>
      <c r="Q6" s="9" t="s">
        <v>12</v>
      </c>
      <c r="R6" s="9"/>
      <c r="S6" s="27">
        <f>936381+14799</f>
        <v>951180</v>
      </c>
      <c r="T6" s="9">
        <f>(I6-K6)*S6</f>
        <v>31550640.600000001</v>
      </c>
      <c r="U6" s="9"/>
    </row>
    <row r="7" spans="1:199" ht="30" customHeight="1">
      <c r="A7" s="95"/>
      <c r="B7" s="11" t="s">
        <v>29</v>
      </c>
      <c r="C7" s="53">
        <f>33918+1751390</f>
        <v>1785308</v>
      </c>
      <c r="D7" s="53">
        <f>29609+1262837</f>
        <v>1292446</v>
      </c>
      <c r="E7" s="53">
        <f>31637+1039704</f>
        <v>1071341</v>
      </c>
      <c r="F7" s="53">
        <f>35241+1355000</f>
        <v>1390241</v>
      </c>
      <c r="G7" s="50">
        <f t="shared" ref="G7:G13" si="2">SUM(C7:F7)</f>
        <v>5539336</v>
      </c>
      <c r="H7" s="9">
        <v>36.340000000000003</v>
      </c>
      <c r="I7" s="9">
        <v>36.340000000000003</v>
      </c>
      <c r="J7" s="9">
        <v>3.49</v>
      </c>
      <c r="K7" s="9">
        <v>3.63</v>
      </c>
      <c r="L7" s="9">
        <f t="shared" si="0"/>
        <v>58647367.800000004</v>
      </c>
      <c r="M7" s="9">
        <f t="shared" si="1"/>
        <v>42456851.100000001</v>
      </c>
      <c r="N7" s="9">
        <f t="shared" ref="N7:N13" si="3">E7*(I7-K7)</f>
        <v>35043564.109999999</v>
      </c>
      <c r="O7" s="9">
        <f t="shared" ref="O7:O13" si="4">F7*(I7-K7)</f>
        <v>45474783.109999999</v>
      </c>
      <c r="P7" s="9">
        <f t="shared" ref="P7:P13" si="5">SUM(L7:O7)</f>
        <v>181622566.12</v>
      </c>
      <c r="Q7" s="9" t="s">
        <v>12</v>
      </c>
      <c r="R7" s="9"/>
      <c r="S7" s="27">
        <f>497404+13737</f>
        <v>511141</v>
      </c>
      <c r="T7" s="9">
        <f t="shared" ref="T7:T12" si="6">(I7-K7)*S7</f>
        <v>16719422.110000001</v>
      </c>
      <c r="U7" s="9"/>
    </row>
    <row r="8" spans="1:199" ht="30" customHeight="1">
      <c r="A8" s="95"/>
      <c r="B8" s="12" t="s">
        <v>28</v>
      </c>
      <c r="C8" s="53">
        <f>10068+849745</f>
        <v>859813</v>
      </c>
      <c r="D8" s="53">
        <f>9365+576749</f>
        <v>586114</v>
      </c>
      <c r="E8" s="53">
        <f>9305+369690</f>
        <v>378995</v>
      </c>
      <c r="F8" s="53">
        <f>10130+591345</f>
        <v>601475</v>
      </c>
      <c r="G8" s="50">
        <f t="shared" si="2"/>
        <v>2426397</v>
      </c>
      <c r="H8" s="9">
        <v>36.340000000000003</v>
      </c>
      <c r="I8" s="9">
        <v>36.340000000000003</v>
      </c>
      <c r="J8" s="9">
        <v>1.1100000000000001</v>
      </c>
      <c r="K8" s="9">
        <v>1.2</v>
      </c>
      <c r="L8" s="9">
        <f t="shared" si="0"/>
        <v>30291211.990000002</v>
      </c>
      <c r="M8" s="9">
        <f t="shared" si="1"/>
        <v>20648796.220000003</v>
      </c>
      <c r="N8" s="9">
        <f t="shared" si="3"/>
        <v>13317884.300000001</v>
      </c>
      <c r="O8" s="9">
        <f t="shared" si="4"/>
        <v>21135831.5</v>
      </c>
      <c r="P8" s="9">
        <f t="shared" si="5"/>
        <v>85393724.010000005</v>
      </c>
      <c r="Q8" s="9" t="s">
        <v>12</v>
      </c>
      <c r="R8" s="9"/>
      <c r="S8" s="27">
        <f>225637+4048</f>
        <v>229685</v>
      </c>
      <c r="T8" s="9">
        <f t="shared" si="6"/>
        <v>8071130.9000000004</v>
      </c>
      <c r="U8" s="9"/>
    </row>
    <row r="9" spans="1:199" ht="51" customHeight="1">
      <c r="A9" s="95"/>
      <c r="B9" s="12" t="s">
        <v>17</v>
      </c>
      <c r="C9" s="53">
        <f>182+4900</f>
        <v>5082</v>
      </c>
      <c r="D9" s="53">
        <f>133+5702</f>
        <v>5835</v>
      </c>
      <c r="E9" s="53">
        <f>56+4617</f>
        <v>4673</v>
      </c>
      <c r="F9" s="53">
        <f>134+4655</f>
        <v>4789</v>
      </c>
      <c r="G9" s="50">
        <f t="shared" si="2"/>
        <v>20379</v>
      </c>
      <c r="H9" s="9">
        <v>36.340000000000003</v>
      </c>
      <c r="I9" s="9">
        <v>36.340000000000003</v>
      </c>
      <c r="J9" s="9">
        <v>4.3499999999999996</v>
      </c>
      <c r="K9" s="9">
        <v>4.5199999999999996</v>
      </c>
      <c r="L9" s="9">
        <f t="shared" si="0"/>
        <v>162573.18000000002</v>
      </c>
      <c r="M9" s="9">
        <f t="shared" si="1"/>
        <v>186661.65000000002</v>
      </c>
      <c r="N9" s="9">
        <f t="shared" si="3"/>
        <v>148694.86000000002</v>
      </c>
      <c r="O9" s="9">
        <f t="shared" si="4"/>
        <v>152385.98000000001</v>
      </c>
      <c r="P9" s="9">
        <f t="shared" si="5"/>
        <v>650315.67000000004</v>
      </c>
      <c r="Q9" s="9" t="s">
        <v>12</v>
      </c>
      <c r="R9" s="9"/>
      <c r="S9" s="27">
        <f>1781+27</f>
        <v>1808</v>
      </c>
      <c r="T9" s="9">
        <f t="shared" si="6"/>
        <v>57530.560000000005</v>
      </c>
      <c r="U9" s="9"/>
    </row>
    <row r="10" spans="1:199" ht="51" customHeight="1">
      <c r="A10" s="95"/>
      <c r="B10" s="12" t="s">
        <v>18</v>
      </c>
      <c r="C10" s="53">
        <v>115330</v>
      </c>
      <c r="D10" s="53">
        <v>103044</v>
      </c>
      <c r="E10" s="53">
        <v>117049</v>
      </c>
      <c r="F10" s="53">
        <v>100300</v>
      </c>
      <c r="G10" s="50">
        <f t="shared" si="2"/>
        <v>435723</v>
      </c>
      <c r="H10" s="9">
        <v>36.340000000000003</v>
      </c>
      <c r="I10" s="9">
        <v>36.340000000000003</v>
      </c>
      <c r="J10" s="9">
        <v>3.26</v>
      </c>
      <c r="K10" s="9">
        <v>3.39</v>
      </c>
      <c r="L10" s="9">
        <f t="shared" si="0"/>
        <v>3815116.4000000008</v>
      </c>
      <c r="M10" s="9">
        <f t="shared" si="1"/>
        <v>3408695.5200000005</v>
      </c>
      <c r="N10" s="9">
        <f t="shared" si="3"/>
        <v>3856764.5500000003</v>
      </c>
      <c r="O10" s="9">
        <f t="shared" si="4"/>
        <v>3304885.0000000005</v>
      </c>
      <c r="P10" s="9">
        <f t="shared" si="5"/>
        <v>14385461.470000003</v>
      </c>
      <c r="Q10" s="9"/>
      <c r="R10" s="9"/>
      <c r="S10" s="27">
        <v>31858</v>
      </c>
      <c r="T10" s="9">
        <f t="shared" si="6"/>
        <v>1049721.1000000001</v>
      </c>
      <c r="U10" s="9"/>
    </row>
    <row r="11" spans="1:199" ht="51" customHeight="1">
      <c r="A11" s="95"/>
      <c r="B11" s="12" t="s">
        <v>19</v>
      </c>
      <c r="C11" s="53">
        <v>204899</v>
      </c>
      <c r="D11" s="53">
        <v>159572</v>
      </c>
      <c r="E11" s="53">
        <v>126368</v>
      </c>
      <c r="F11" s="53">
        <v>152306</v>
      </c>
      <c r="G11" s="50">
        <f t="shared" si="2"/>
        <v>643145</v>
      </c>
      <c r="H11" s="9">
        <v>36.340000000000003</v>
      </c>
      <c r="I11" s="9">
        <v>36.340000000000003</v>
      </c>
      <c r="J11" s="9">
        <v>3.74</v>
      </c>
      <c r="K11" s="9">
        <v>3.89</v>
      </c>
      <c r="L11" s="9">
        <f t="shared" si="0"/>
        <v>6679707.4000000004</v>
      </c>
      <c r="M11" s="9">
        <f t="shared" si="1"/>
        <v>5202047.2</v>
      </c>
      <c r="N11" s="9">
        <f t="shared" si="3"/>
        <v>4100641.6000000006</v>
      </c>
      <c r="O11" s="9">
        <f t="shared" si="4"/>
        <v>4942329.7</v>
      </c>
      <c r="P11" s="9">
        <f t="shared" si="5"/>
        <v>20924725.900000002</v>
      </c>
      <c r="Q11" s="9"/>
      <c r="R11" s="9"/>
      <c r="S11" s="27">
        <v>49285</v>
      </c>
      <c r="T11" s="9">
        <f t="shared" si="6"/>
        <v>1599298.2500000002</v>
      </c>
      <c r="U11" s="9"/>
    </row>
    <row r="12" spans="1:199" ht="51" customHeight="1">
      <c r="A12" s="95"/>
      <c r="B12" s="12" t="s">
        <v>20</v>
      </c>
      <c r="C12" s="53">
        <v>92729</v>
      </c>
      <c r="D12" s="53">
        <v>64088</v>
      </c>
      <c r="E12" s="53">
        <v>52689</v>
      </c>
      <c r="F12" s="53">
        <v>61744</v>
      </c>
      <c r="G12" s="50">
        <f t="shared" si="2"/>
        <v>271250</v>
      </c>
      <c r="H12" s="9">
        <v>36.340000000000003</v>
      </c>
      <c r="I12" s="9">
        <v>36.340000000000003</v>
      </c>
      <c r="J12" s="9">
        <v>1.2</v>
      </c>
      <c r="K12" s="9">
        <v>1.3</v>
      </c>
      <c r="L12" s="9">
        <f t="shared" si="0"/>
        <v>3258497.06</v>
      </c>
      <c r="M12" s="9">
        <f t="shared" si="1"/>
        <v>2252052.3199999998</v>
      </c>
      <c r="N12" s="9">
        <f t="shared" si="3"/>
        <v>1846222.5600000003</v>
      </c>
      <c r="O12" s="9">
        <f t="shared" si="4"/>
        <v>2163509.7600000002</v>
      </c>
      <c r="P12" s="9">
        <f t="shared" si="5"/>
        <v>9520281.7000000011</v>
      </c>
      <c r="Q12" s="9"/>
      <c r="R12" s="9"/>
      <c r="S12" s="27">
        <v>20600</v>
      </c>
      <c r="T12" s="9">
        <f t="shared" si="6"/>
        <v>721824.00000000012</v>
      </c>
      <c r="U12" s="9"/>
    </row>
    <row r="13" spans="1:199" ht="50.25" customHeight="1">
      <c r="A13" s="95"/>
      <c r="B13" s="12" t="s">
        <v>21</v>
      </c>
      <c r="C13" s="53">
        <f>92026+3238744</f>
        <v>3330770</v>
      </c>
      <c r="D13" s="53">
        <f>53525+2269789</f>
        <v>2323314</v>
      </c>
      <c r="E13" s="53">
        <f>31586+1846904</f>
        <v>1878490</v>
      </c>
      <c r="F13" s="53">
        <f>63375+2552734</f>
        <v>2616109</v>
      </c>
      <c r="G13" s="50">
        <f t="shared" si="2"/>
        <v>10148683</v>
      </c>
      <c r="H13" s="9">
        <v>36.340000000000003</v>
      </c>
      <c r="I13" s="9">
        <v>36.340000000000003</v>
      </c>
      <c r="J13" s="26">
        <v>7.95</v>
      </c>
      <c r="K13" s="9">
        <v>7.95</v>
      </c>
      <c r="L13" s="9">
        <f t="shared" si="0"/>
        <v>94560560.300000012</v>
      </c>
      <c r="M13" s="9">
        <f t="shared" si="1"/>
        <v>65958884.460000008</v>
      </c>
      <c r="N13" s="9">
        <f t="shared" si="3"/>
        <v>53330331.100000009</v>
      </c>
      <c r="O13" s="9">
        <f t="shared" si="4"/>
        <v>74271334.510000005</v>
      </c>
      <c r="P13" s="9">
        <f t="shared" si="5"/>
        <v>288121110.37</v>
      </c>
      <c r="Q13" s="9" t="s">
        <v>12</v>
      </c>
      <c r="R13" s="9"/>
      <c r="S13" s="27">
        <f>942834+27652</f>
        <v>970486</v>
      </c>
      <c r="T13" s="9">
        <f>(I13-K13)*S13</f>
        <v>27552097.540000003</v>
      </c>
      <c r="U13" s="9"/>
    </row>
    <row r="14" spans="1:199" s="28" customFormat="1" ht="30" customHeight="1">
      <c r="A14" s="96"/>
      <c r="B14" s="42" t="s">
        <v>6</v>
      </c>
      <c r="C14" s="43">
        <f>SUM(C6:C13)</f>
        <v>9391386</v>
      </c>
      <c r="D14" s="43">
        <f t="shared" ref="D14:F14" si="7">SUM(D6:D13)</f>
        <v>7203797</v>
      </c>
      <c r="E14" s="43">
        <f t="shared" si="7"/>
        <v>6741315</v>
      </c>
      <c r="F14" s="43">
        <f t="shared" si="7"/>
        <v>7751211</v>
      </c>
      <c r="G14" s="43">
        <f>SUM(G6:G13)</f>
        <v>31087709</v>
      </c>
      <c r="H14" s="43"/>
      <c r="I14" s="43"/>
      <c r="J14" s="43"/>
      <c r="K14" s="43"/>
      <c r="L14" s="43">
        <f>SUM(L6:L13)</f>
        <v>297200311.08000004</v>
      </c>
      <c r="M14" s="43">
        <f t="shared" ref="M14:P14" si="8">SUM(M6:M13)</f>
        <v>228977781.83000001</v>
      </c>
      <c r="N14" s="43">
        <f t="shared" si="8"/>
        <v>214859523.78000003</v>
      </c>
      <c r="O14" s="43">
        <f t="shared" si="8"/>
        <v>245125332.55000001</v>
      </c>
      <c r="P14" s="43">
        <f t="shared" si="8"/>
        <v>986162949.24000013</v>
      </c>
      <c r="Q14" s="44">
        <f>'2021'!T14</f>
        <v>83669479.499999985</v>
      </c>
      <c r="R14" s="44">
        <f>P14+Q14</f>
        <v>1069832428.7400001</v>
      </c>
      <c r="S14" s="45">
        <f>SUM(S6:S13)</f>
        <v>2766043</v>
      </c>
      <c r="T14" s="45">
        <f>SUM(T6:T13)</f>
        <v>87321665.060000002</v>
      </c>
      <c r="U14" s="37">
        <f>R14-T14</f>
        <v>982510763.68000007</v>
      </c>
    </row>
    <row r="15" spans="1:199" s="2" customFormat="1" ht="41.25" customHeight="1">
      <c r="A15" s="97" t="s">
        <v>37</v>
      </c>
      <c r="B15" s="8" t="s">
        <v>55</v>
      </c>
      <c r="C15" s="50">
        <v>6232781</v>
      </c>
      <c r="D15" s="50">
        <f>11555793-C15</f>
        <v>5323012</v>
      </c>
      <c r="E15" s="50">
        <v>4967000</v>
      </c>
      <c r="F15" s="50">
        <v>6231100</v>
      </c>
      <c r="G15" s="50">
        <f>SUM(C15:F15)</f>
        <v>22753893</v>
      </c>
      <c r="H15" s="9">
        <v>4.3499999999999996</v>
      </c>
      <c r="I15" s="9">
        <v>4.5199999999999996</v>
      </c>
      <c r="J15" s="9">
        <v>3.91</v>
      </c>
      <c r="K15" s="9">
        <v>4.22</v>
      </c>
      <c r="L15" s="9">
        <f t="shared" si="0"/>
        <v>2742423.6399999969</v>
      </c>
      <c r="M15" s="9">
        <f>(H15-J15)*D15</f>
        <v>2342125.2799999975</v>
      </c>
      <c r="N15" s="9">
        <f>(I15-K15)*E15</f>
        <v>1490099.9999999991</v>
      </c>
      <c r="O15" s="9">
        <f>(I15-K15)*F15</f>
        <v>1869329.9999999988</v>
      </c>
      <c r="P15" s="9">
        <f>SUM(L15:O15)</f>
        <v>8443978.9199999925</v>
      </c>
      <c r="Q15" s="9" t="s">
        <v>12</v>
      </c>
      <c r="R15" s="9"/>
      <c r="S15" s="27">
        <f>F15/3</f>
        <v>2077033.3333333333</v>
      </c>
      <c r="T15" s="9">
        <f>(I15-K15)*S15</f>
        <v>623109.99999999965</v>
      </c>
      <c r="U15" s="9"/>
      <c r="V15" s="24"/>
      <c r="W15" s="25">
        <f t="shared" ref="W15:W20" si="9">SUM(C15:D15)</f>
        <v>11555793</v>
      </c>
      <c r="X15" s="25">
        <f t="shared" ref="X15:X23" si="10">SUM(E15:F15)</f>
        <v>11198100</v>
      </c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</row>
    <row r="16" spans="1:199" s="2" customFormat="1" ht="46.5" customHeight="1">
      <c r="A16" s="95"/>
      <c r="B16" s="8" t="s">
        <v>30</v>
      </c>
      <c r="C16" s="50">
        <v>68775</v>
      </c>
      <c r="D16" s="50">
        <f>135164-C16</f>
        <v>66389</v>
      </c>
      <c r="E16" s="50">
        <v>20500</v>
      </c>
      <c r="F16" s="50">
        <v>25500</v>
      </c>
      <c r="G16" s="50">
        <f t="shared" ref="G16:G24" si="11">SUM(C16:F16)</f>
        <v>181164</v>
      </c>
      <c r="H16" s="9">
        <v>4.99</v>
      </c>
      <c r="I16" s="9">
        <v>5.19</v>
      </c>
      <c r="J16" s="9">
        <v>4.4000000000000004</v>
      </c>
      <c r="K16" s="9">
        <v>4.75</v>
      </c>
      <c r="L16" s="9">
        <f t="shared" si="0"/>
        <v>40577.249999999993</v>
      </c>
      <c r="M16" s="9">
        <f t="shared" si="1"/>
        <v>39169.509999999987</v>
      </c>
      <c r="N16" s="9">
        <f t="shared" si="1"/>
        <v>9020.0000000000073</v>
      </c>
      <c r="O16" s="9">
        <f t="shared" ref="O16:O20" si="12">(I16-K16)*F16</f>
        <v>11220.000000000009</v>
      </c>
      <c r="P16" s="9">
        <f t="shared" ref="P16:P20" si="13">SUM(L16:O16)</f>
        <v>99986.76</v>
      </c>
      <c r="Q16" s="9" t="s">
        <v>12</v>
      </c>
      <c r="R16" s="9"/>
      <c r="S16" s="27">
        <f>F16/3</f>
        <v>8500</v>
      </c>
      <c r="T16" s="9">
        <f t="shared" ref="T16:T22" si="14">(I16-K16)*S16</f>
        <v>3740.0000000000032</v>
      </c>
      <c r="U16" s="9"/>
      <c r="V16" s="24"/>
      <c r="W16" s="25">
        <f t="shared" si="9"/>
        <v>135164</v>
      </c>
      <c r="X16" s="25">
        <f t="shared" si="10"/>
        <v>46000</v>
      </c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</row>
    <row r="17" spans="1:199" s="2" customFormat="1" ht="51" customHeight="1">
      <c r="A17" s="95"/>
      <c r="B17" s="8" t="s">
        <v>31</v>
      </c>
      <c r="C17" s="50">
        <v>28041</v>
      </c>
      <c r="D17" s="50">
        <f>52552-C17</f>
        <v>24511</v>
      </c>
      <c r="E17" s="50">
        <v>6500</v>
      </c>
      <c r="F17" s="50">
        <v>12500</v>
      </c>
      <c r="G17" s="50">
        <f t="shared" si="11"/>
        <v>71552</v>
      </c>
      <c r="H17" s="9">
        <v>1.6</v>
      </c>
      <c r="I17" s="9">
        <v>1.73</v>
      </c>
      <c r="J17" s="9">
        <v>1.6</v>
      </c>
      <c r="K17" s="9">
        <v>1.73</v>
      </c>
      <c r="L17" s="9">
        <f t="shared" si="0"/>
        <v>0</v>
      </c>
      <c r="M17" s="9">
        <f t="shared" si="1"/>
        <v>0</v>
      </c>
      <c r="N17" s="9">
        <f t="shared" si="1"/>
        <v>0</v>
      </c>
      <c r="O17" s="9">
        <f t="shared" si="12"/>
        <v>0</v>
      </c>
      <c r="P17" s="9">
        <f t="shared" si="13"/>
        <v>0</v>
      </c>
      <c r="Q17" s="9" t="s">
        <v>12</v>
      </c>
      <c r="R17" s="9"/>
      <c r="S17" s="27">
        <f t="shared" ref="S17:S24" si="15">F17/3</f>
        <v>4166.666666666667</v>
      </c>
      <c r="T17" s="9">
        <f t="shared" si="14"/>
        <v>0</v>
      </c>
      <c r="U17" s="9"/>
      <c r="V17" s="24"/>
      <c r="W17" s="25">
        <f t="shared" si="9"/>
        <v>52552</v>
      </c>
      <c r="X17" s="25">
        <f t="shared" si="10"/>
        <v>19000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</row>
    <row r="18" spans="1:199" s="2" customFormat="1" ht="41.25" customHeight="1">
      <c r="A18" s="95"/>
      <c r="B18" s="8" t="s">
        <v>32</v>
      </c>
      <c r="C18" s="50">
        <v>1260385</v>
      </c>
      <c r="D18" s="50">
        <f>2402430-C18</f>
        <v>1142045</v>
      </c>
      <c r="E18" s="50">
        <v>1067000</v>
      </c>
      <c r="F18" s="50">
        <v>1299000</v>
      </c>
      <c r="G18" s="50">
        <f t="shared" si="11"/>
        <v>4768430</v>
      </c>
      <c r="H18" s="9">
        <v>3.26</v>
      </c>
      <c r="I18" s="9">
        <v>3.39</v>
      </c>
      <c r="J18" s="9">
        <v>2.94</v>
      </c>
      <c r="K18" s="9">
        <v>3.18</v>
      </c>
      <c r="L18" s="9">
        <f t="shared" si="0"/>
        <v>403323.19999999978</v>
      </c>
      <c r="M18" s="9">
        <f t="shared" si="1"/>
        <v>365454.39999999979</v>
      </c>
      <c r="N18" s="9">
        <f t="shared" si="1"/>
        <v>224069.99999999997</v>
      </c>
      <c r="O18" s="9">
        <f t="shared" si="12"/>
        <v>272789.99999999994</v>
      </c>
      <c r="P18" s="9">
        <f t="shared" si="13"/>
        <v>1265637.5999999996</v>
      </c>
      <c r="Q18" s="9" t="s">
        <v>12</v>
      </c>
      <c r="R18" s="9"/>
      <c r="S18" s="27">
        <f t="shared" si="15"/>
        <v>433000</v>
      </c>
      <c r="T18" s="9">
        <f t="shared" si="14"/>
        <v>90929.999999999985</v>
      </c>
      <c r="U18" s="9"/>
      <c r="V18" s="24"/>
      <c r="W18" s="25">
        <f t="shared" si="9"/>
        <v>2402430</v>
      </c>
      <c r="X18" s="25">
        <f t="shared" si="10"/>
        <v>2366000</v>
      </c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</row>
    <row r="19" spans="1:199" s="2" customFormat="1" ht="46.5" customHeight="1">
      <c r="A19" s="95"/>
      <c r="B19" s="8" t="s">
        <v>33</v>
      </c>
      <c r="C19" s="50">
        <v>9886</v>
      </c>
      <c r="D19" s="50">
        <f>15070-C19</f>
        <v>5184</v>
      </c>
      <c r="E19" s="50">
        <v>500</v>
      </c>
      <c r="F19" s="50">
        <v>1500</v>
      </c>
      <c r="G19" s="50">
        <f t="shared" si="11"/>
        <v>17070</v>
      </c>
      <c r="H19" s="9">
        <v>3.74</v>
      </c>
      <c r="I19" s="9">
        <v>3.89</v>
      </c>
      <c r="J19" s="9">
        <v>3.3</v>
      </c>
      <c r="K19" s="9">
        <v>3.56</v>
      </c>
      <c r="L19" s="9">
        <f t="shared" si="0"/>
        <v>4349.8400000000038</v>
      </c>
      <c r="M19" s="9">
        <f t="shared" si="1"/>
        <v>2280.9600000000019</v>
      </c>
      <c r="N19" s="9">
        <f t="shared" si="1"/>
        <v>165.00000000000003</v>
      </c>
      <c r="O19" s="9">
        <f t="shared" si="12"/>
        <v>495.00000000000011</v>
      </c>
      <c r="P19" s="9">
        <f t="shared" si="13"/>
        <v>7290.8000000000056</v>
      </c>
      <c r="Q19" s="9" t="s">
        <v>12</v>
      </c>
      <c r="R19" s="9"/>
      <c r="S19" s="27">
        <f t="shared" si="15"/>
        <v>500</v>
      </c>
      <c r="T19" s="9">
        <f t="shared" si="14"/>
        <v>165.00000000000003</v>
      </c>
      <c r="U19" s="9"/>
      <c r="V19" s="24"/>
      <c r="W19" s="25">
        <f t="shared" si="9"/>
        <v>15070</v>
      </c>
      <c r="X19" s="25">
        <f t="shared" si="10"/>
        <v>2000</v>
      </c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</row>
    <row r="20" spans="1:199" s="2" customFormat="1" ht="49.5" customHeight="1">
      <c r="A20" s="95"/>
      <c r="B20" s="8" t="s">
        <v>34</v>
      </c>
      <c r="C20" s="50">
        <v>6600</v>
      </c>
      <c r="D20" s="50">
        <f>10039-C20</f>
        <v>3439</v>
      </c>
      <c r="E20" s="50">
        <v>500</v>
      </c>
      <c r="F20" s="50">
        <v>500</v>
      </c>
      <c r="G20" s="50">
        <f t="shared" si="11"/>
        <v>11039</v>
      </c>
      <c r="H20" s="9">
        <v>1.2</v>
      </c>
      <c r="I20" s="9">
        <v>1.3</v>
      </c>
      <c r="J20" s="9">
        <v>1.2</v>
      </c>
      <c r="K20" s="9">
        <v>1.3</v>
      </c>
      <c r="L20" s="9">
        <f t="shared" si="0"/>
        <v>0</v>
      </c>
      <c r="M20" s="9">
        <f t="shared" si="1"/>
        <v>0</v>
      </c>
      <c r="N20" s="9">
        <f t="shared" si="1"/>
        <v>0</v>
      </c>
      <c r="O20" s="9">
        <f t="shared" si="12"/>
        <v>0</v>
      </c>
      <c r="P20" s="9">
        <f t="shared" si="13"/>
        <v>0</v>
      </c>
      <c r="Q20" s="9" t="s">
        <v>12</v>
      </c>
      <c r="R20" s="9"/>
      <c r="S20" s="27">
        <f t="shared" si="15"/>
        <v>166.66666666666666</v>
      </c>
      <c r="T20" s="9">
        <f t="shared" si="14"/>
        <v>0</v>
      </c>
      <c r="U20" s="9"/>
      <c r="V20" s="24"/>
      <c r="W20" s="25">
        <f t="shared" si="9"/>
        <v>10039</v>
      </c>
      <c r="X20" s="25">
        <f t="shared" si="10"/>
        <v>1000</v>
      </c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</row>
    <row r="21" spans="1:199" ht="51" customHeight="1">
      <c r="A21" s="95"/>
      <c r="B21" s="12" t="s">
        <v>36</v>
      </c>
      <c r="C21" s="53">
        <v>85961</v>
      </c>
      <c r="D21" s="53">
        <f>204338-C21</f>
        <v>118377</v>
      </c>
      <c r="E21" s="53">
        <v>187000</v>
      </c>
      <c r="F21" s="53">
        <v>123000</v>
      </c>
      <c r="G21" s="50">
        <f t="shared" si="11"/>
        <v>514338</v>
      </c>
      <c r="H21" s="9">
        <v>3.05</v>
      </c>
      <c r="I21" s="9">
        <v>3.17</v>
      </c>
      <c r="J21" s="9">
        <v>2.73</v>
      </c>
      <c r="K21" s="9">
        <v>2.95</v>
      </c>
      <c r="L21" s="9">
        <f t="shared" si="0"/>
        <v>27507.519999999986</v>
      </c>
      <c r="M21" s="9">
        <f t="shared" si="1"/>
        <v>37880.639999999978</v>
      </c>
      <c r="N21" s="9">
        <f t="shared" ref="N21:N23" si="16">E21*(I21-K21)</f>
        <v>41139.999999999956</v>
      </c>
      <c r="O21" s="9">
        <f t="shared" ref="O21:O23" si="17">F21*(I21-K21)</f>
        <v>27059.999999999971</v>
      </c>
      <c r="P21" s="9">
        <f t="shared" ref="P21:P23" si="18">SUM(L21:O21)</f>
        <v>133588.15999999989</v>
      </c>
      <c r="Q21" s="9"/>
      <c r="R21" s="9"/>
      <c r="S21" s="27">
        <f t="shared" si="15"/>
        <v>41000</v>
      </c>
      <c r="T21" s="9">
        <f t="shared" si="14"/>
        <v>9019.9999999999891</v>
      </c>
      <c r="U21" s="9"/>
      <c r="X21" s="25">
        <f t="shared" si="10"/>
        <v>310000</v>
      </c>
    </row>
    <row r="22" spans="1:199" ht="51" customHeight="1">
      <c r="A22" s="95"/>
      <c r="B22" s="12" t="s">
        <v>35</v>
      </c>
      <c r="C22" s="53">
        <v>184000</v>
      </c>
      <c r="D22" s="53">
        <f>299000-C22</f>
        <v>115000</v>
      </c>
      <c r="E22" s="53">
        <v>100000</v>
      </c>
      <c r="F22" s="53">
        <v>180000</v>
      </c>
      <c r="G22" s="50">
        <f t="shared" si="11"/>
        <v>579000</v>
      </c>
      <c r="H22" s="9">
        <v>4.3499999999999996</v>
      </c>
      <c r="I22" s="9">
        <v>4.5199999999999996</v>
      </c>
      <c r="J22" s="9">
        <v>3.91</v>
      </c>
      <c r="K22" s="9">
        <v>4.22</v>
      </c>
      <c r="L22" s="9">
        <f t="shared" si="0"/>
        <v>80959.999999999913</v>
      </c>
      <c r="M22" s="9">
        <f t="shared" ref="M22:M23" si="19">(H22-J22)*D22</f>
        <v>50599.999999999942</v>
      </c>
      <c r="N22" s="9">
        <f t="shared" si="16"/>
        <v>29999.999999999982</v>
      </c>
      <c r="O22" s="9">
        <f t="shared" si="17"/>
        <v>53999.999999999971</v>
      </c>
      <c r="P22" s="9">
        <f t="shared" si="18"/>
        <v>215559.9999999998</v>
      </c>
      <c r="Q22" s="9"/>
      <c r="R22" s="9"/>
      <c r="S22" s="27">
        <f t="shared" si="15"/>
        <v>60000</v>
      </c>
      <c r="T22" s="9">
        <f t="shared" si="14"/>
        <v>17999.999999999989</v>
      </c>
      <c r="U22" s="9"/>
      <c r="X22" s="25">
        <f t="shared" si="10"/>
        <v>280000</v>
      </c>
    </row>
    <row r="23" spans="1:199" ht="51" customHeight="1">
      <c r="A23" s="95"/>
      <c r="B23" s="12" t="s">
        <v>18</v>
      </c>
      <c r="C23" s="53">
        <v>12385</v>
      </c>
      <c r="D23" s="53">
        <f>22498-C23</f>
        <v>10113</v>
      </c>
      <c r="E23" s="53">
        <v>10000</v>
      </c>
      <c r="F23" s="53">
        <v>11000</v>
      </c>
      <c r="G23" s="50">
        <f t="shared" si="11"/>
        <v>43498</v>
      </c>
      <c r="H23" s="9">
        <v>3.26</v>
      </c>
      <c r="I23" s="9">
        <v>3.39</v>
      </c>
      <c r="J23" s="9">
        <v>2.94</v>
      </c>
      <c r="K23" s="9">
        <v>3.18</v>
      </c>
      <c r="L23" s="9">
        <f t="shared" si="0"/>
        <v>3963.199999999998</v>
      </c>
      <c r="M23" s="9">
        <f t="shared" si="19"/>
        <v>3236.1599999999985</v>
      </c>
      <c r="N23" s="9">
        <f t="shared" si="16"/>
        <v>2099.9999999999995</v>
      </c>
      <c r="O23" s="9">
        <f t="shared" si="17"/>
        <v>2309.9999999999995</v>
      </c>
      <c r="P23" s="9">
        <f t="shared" si="18"/>
        <v>11609.359999999997</v>
      </c>
      <c r="Q23" s="9"/>
      <c r="R23" s="9"/>
      <c r="S23" s="27">
        <f t="shared" si="15"/>
        <v>3666.6666666666665</v>
      </c>
      <c r="T23" s="9">
        <f>(I23-K23)*S23</f>
        <v>769.99999999999989</v>
      </c>
      <c r="U23" s="9"/>
      <c r="X23" s="25">
        <f t="shared" si="10"/>
        <v>21000</v>
      </c>
    </row>
    <row r="24" spans="1:199" ht="51" customHeight="1">
      <c r="A24" s="95"/>
      <c r="B24" s="12" t="s">
        <v>17</v>
      </c>
      <c r="C24" s="53">
        <v>129955</v>
      </c>
      <c r="D24" s="53">
        <f>282721-C24</f>
        <v>152766</v>
      </c>
      <c r="E24" s="53">
        <v>110000</v>
      </c>
      <c r="F24" s="53">
        <v>150000</v>
      </c>
      <c r="G24" s="50">
        <f t="shared" si="11"/>
        <v>542721</v>
      </c>
      <c r="H24" s="9">
        <v>4.3499999999999996</v>
      </c>
      <c r="I24" s="9">
        <v>4.5199999999999996</v>
      </c>
      <c r="J24" s="9">
        <v>3.91</v>
      </c>
      <c r="K24" s="9">
        <v>4.22</v>
      </c>
      <c r="L24" s="9">
        <f>(H24-J24)*C24</f>
        <v>57180.199999999939</v>
      </c>
      <c r="M24" s="9">
        <f>(H24-J24)*D24</f>
        <v>67217.039999999921</v>
      </c>
      <c r="N24" s="9">
        <f>E24*(I24-K24)</f>
        <v>32999.999999999978</v>
      </c>
      <c r="O24" s="9">
        <f>F24*(I24-K24)</f>
        <v>44999.999999999971</v>
      </c>
      <c r="P24" s="9">
        <f>SUM(L24:O24)</f>
        <v>202397.23999999982</v>
      </c>
      <c r="Q24" s="9" t="s">
        <v>12</v>
      </c>
      <c r="R24" s="9"/>
      <c r="S24" s="27">
        <f t="shared" si="15"/>
        <v>50000</v>
      </c>
      <c r="T24" s="9">
        <f>(I24-K24)*S24</f>
        <v>14999.999999999991</v>
      </c>
      <c r="U24" s="9"/>
    </row>
    <row r="25" spans="1:199" s="49" customFormat="1" ht="26.25" customHeight="1">
      <c r="A25" s="96"/>
      <c r="B25" s="40" t="s">
        <v>6</v>
      </c>
      <c r="C25" s="41">
        <f>SUM(C15:C24)</f>
        <v>8018769</v>
      </c>
      <c r="D25" s="41">
        <f t="shared" ref="D25:F25" si="20">SUM(D15:D24)</f>
        <v>6960836</v>
      </c>
      <c r="E25" s="41">
        <f t="shared" si="20"/>
        <v>6469000</v>
      </c>
      <c r="F25" s="41">
        <f t="shared" si="20"/>
        <v>8034100</v>
      </c>
      <c r="G25" s="41">
        <f>SUM(G15:G24)</f>
        <v>29482705</v>
      </c>
      <c r="H25" s="41"/>
      <c r="I25" s="41"/>
      <c r="J25" s="41"/>
      <c r="K25" s="41"/>
      <c r="L25" s="41">
        <f>SUM(L15:L24)</f>
        <v>3360284.8499999964</v>
      </c>
      <c r="M25" s="41">
        <f t="shared" ref="M25:P25" si="21">SUM(M15:M24)</f>
        <v>2907963.9899999974</v>
      </c>
      <c r="N25" s="41">
        <f t="shared" si="21"/>
        <v>1829594.9999999991</v>
      </c>
      <c r="O25" s="41">
        <f t="shared" si="21"/>
        <v>2282204.9999999986</v>
      </c>
      <c r="P25" s="41">
        <f t="shared" si="21"/>
        <v>10380048.839999992</v>
      </c>
      <c r="Q25" s="37">
        <f>'2021'!T25</f>
        <v>1120382.9999999988</v>
      </c>
      <c r="R25" s="37">
        <f>P25+Q25</f>
        <v>11500431.839999991</v>
      </c>
      <c r="S25" s="47">
        <f>SUM(S15:S24)</f>
        <v>2678033.333333333</v>
      </c>
      <c r="T25" s="47">
        <f>SUM(T15:T24)</f>
        <v>760734.99999999965</v>
      </c>
      <c r="U25" s="37">
        <f>R25-T25</f>
        <v>10739696.839999991</v>
      </c>
      <c r="V25" s="48"/>
      <c r="W25" s="48">
        <f>ROUND(SUMPRODUCT(J15:J20,W15:W20)/SUM(W15:W20),2)</f>
        <v>3.74</v>
      </c>
      <c r="X25" s="48">
        <f>ROUND(SUMPRODUCT(K15:K20,X15:X20)/SUM(X15:X20),2)</f>
        <v>4.04</v>
      </c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</row>
    <row r="26" spans="1:199" ht="48" customHeight="1">
      <c r="A26" s="95" t="s">
        <v>56</v>
      </c>
      <c r="B26" s="51" t="s">
        <v>57</v>
      </c>
      <c r="C26" s="53">
        <v>3190</v>
      </c>
      <c r="D26" s="53">
        <v>181</v>
      </c>
      <c r="E26" s="53">
        <v>136</v>
      </c>
      <c r="F26" s="53">
        <v>2859</v>
      </c>
      <c r="G26" s="50">
        <f t="shared" ref="G26:G27" si="22">SUM(C26:F26)</f>
        <v>6366</v>
      </c>
      <c r="H26" s="9">
        <v>27.751930000000002</v>
      </c>
      <c r="I26" s="9">
        <v>28.862010000000001</v>
      </c>
      <c r="J26" s="9">
        <v>5.6836099999999998</v>
      </c>
      <c r="K26" s="9">
        <v>5.9109499999999997</v>
      </c>
      <c r="L26" s="9">
        <f t="shared" ref="L26:L30" si="23">(H26-J26)*C26</f>
        <v>70397.940799999997</v>
      </c>
      <c r="M26" s="9">
        <f t="shared" ref="M26:M30" si="24">(H26-J26)*D26</f>
        <v>3994.3659200000002</v>
      </c>
      <c r="N26" s="9">
        <f t="shared" ref="N26:N30" si="25">E26*(I26-K26)</f>
        <v>3121.3441600000001</v>
      </c>
      <c r="O26" s="9">
        <f t="shared" ref="O26:O30" si="26">F26*(I26-K26)</f>
        <v>65617.08054000001</v>
      </c>
      <c r="P26" s="9">
        <f t="shared" ref="P26:P30" si="27">SUM(L26:O26)</f>
        <v>143130.73142</v>
      </c>
      <c r="Q26" s="9"/>
      <c r="R26" s="9"/>
      <c r="S26" s="27">
        <f t="shared" ref="S26:S30" si="28">F26/3</f>
        <v>953</v>
      </c>
      <c r="T26" s="9">
        <f>(I26-K26)*S26</f>
        <v>21872.360180000003</v>
      </c>
      <c r="U26" s="9"/>
    </row>
    <row r="27" spans="1:199" ht="48" customHeight="1">
      <c r="A27" s="95"/>
      <c r="B27" s="51" t="s">
        <v>58</v>
      </c>
      <c r="C27" s="53">
        <v>655357</v>
      </c>
      <c r="D27" s="53">
        <v>419380</v>
      </c>
      <c r="E27" s="53">
        <v>236259</v>
      </c>
      <c r="F27" s="53">
        <v>502189</v>
      </c>
      <c r="G27" s="50">
        <f t="shared" si="22"/>
        <v>1813185</v>
      </c>
      <c r="H27" s="9">
        <v>28.6374</v>
      </c>
      <c r="I27" s="9">
        <v>29.782900000000001</v>
      </c>
      <c r="J27" s="9">
        <v>6.5690799999999996</v>
      </c>
      <c r="K27" s="9">
        <v>6.8318399999999997</v>
      </c>
      <c r="L27" s="9">
        <f t="shared" si="23"/>
        <v>14462627.99024</v>
      </c>
      <c r="M27" s="9">
        <f t="shared" si="24"/>
        <v>9255012.0416000001</v>
      </c>
      <c r="N27" s="9">
        <f t="shared" si="25"/>
        <v>5422394.4845400006</v>
      </c>
      <c r="O27" s="9">
        <f t="shared" si="26"/>
        <v>11525769.870340001</v>
      </c>
      <c r="P27" s="9">
        <f t="shared" si="27"/>
        <v>40665804.386720002</v>
      </c>
      <c r="Q27" s="9"/>
      <c r="R27" s="9"/>
      <c r="S27" s="27">
        <f t="shared" si="28"/>
        <v>167396.33333333334</v>
      </c>
      <c r="T27" s="9">
        <f t="shared" ref="T27:T30" si="29">(I27-K27)*S27</f>
        <v>3841923.2901133341</v>
      </c>
      <c r="U27" s="9"/>
    </row>
    <row r="28" spans="1:199" ht="48" customHeight="1">
      <c r="A28" s="95"/>
      <c r="B28" s="51" t="s">
        <v>59</v>
      </c>
      <c r="C28" s="53">
        <v>788708</v>
      </c>
      <c r="D28" s="53">
        <v>466086</v>
      </c>
      <c r="E28" s="53">
        <v>431940</v>
      </c>
      <c r="F28" s="53">
        <v>614510</v>
      </c>
      <c r="G28" s="50">
        <f t="shared" ref="G28:G30" si="30">SUM(C28:F28)</f>
        <v>2301244</v>
      </c>
      <c r="H28" s="9">
        <v>29.551220000000001</v>
      </c>
      <c r="I28" s="9">
        <v>30.733270000000001</v>
      </c>
      <c r="J28" s="9">
        <v>7.4828999999999999</v>
      </c>
      <c r="K28" s="9">
        <v>7.7822199999999997</v>
      </c>
      <c r="L28" s="9">
        <f t="shared" si="23"/>
        <v>17405460.530560002</v>
      </c>
      <c r="M28" s="9">
        <f t="shared" si="24"/>
        <v>10285734.995519999</v>
      </c>
      <c r="N28" s="9">
        <f t="shared" si="25"/>
        <v>9913476.5370000005</v>
      </c>
      <c r="O28" s="9">
        <f t="shared" si="26"/>
        <v>14103649.7355</v>
      </c>
      <c r="P28" s="9">
        <f t="shared" si="27"/>
        <v>51708321.798579998</v>
      </c>
      <c r="Q28" s="9"/>
      <c r="R28" s="9"/>
      <c r="S28" s="27">
        <f t="shared" si="28"/>
        <v>204836.66666666666</v>
      </c>
      <c r="T28" s="9">
        <f t="shared" si="29"/>
        <v>4701216.5784999998</v>
      </c>
      <c r="U28" s="9"/>
    </row>
    <row r="29" spans="1:199" ht="48" customHeight="1">
      <c r="A29" s="95"/>
      <c r="B29" s="51" t="s">
        <v>60</v>
      </c>
      <c r="C29" s="53">
        <v>1142125</v>
      </c>
      <c r="D29" s="53">
        <v>605029</v>
      </c>
      <c r="E29" s="53">
        <v>424452</v>
      </c>
      <c r="F29" s="53">
        <v>895162</v>
      </c>
      <c r="G29" s="50">
        <f t="shared" si="30"/>
        <v>3066768</v>
      </c>
      <c r="H29" s="9">
        <v>25.108550000000001</v>
      </c>
      <c r="I29" s="9">
        <v>26.11289</v>
      </c>
      <c r="J29" s="9">
        <v>3.0402300000000002</v>
      </c>
      <c r="K29" s="9">
        <v>3.1618400000000002</v>
      </c>
      <c r="L29" s="9">
        <f t="shared" si="23"/>
        <v>25204779.98</v>
      </c>
      <c r="M29" s="9">
        <f t="shared" si="24"/>
        <v>13351973.581280001</v>
      </c>
      <c r="N29" s="9">
        <f t="shared" si="25"/>
        <v>9741619.0745999999</v>
      </c>
      <c r="O29" s="9">
        <f t="shared" si="26"/>
        <v>20544907.820099998</v>
      </c>
      <c r="P29" s="9">
        <f t="shared" si="27"/>
        <v>68843280.455979988</v>
      </c>
      <c r="Q29" s="9"/>
      <c r="R29" s="9"/>
      <c r="S29" s="27">
        <f t="shared" si="28"/>
        <v>298387.33333333331</v>
      </c>
      <c r="T29" s="9">
        <f t="shared" si="29"/>
        <v>6848302.6066999994</v>
      </c>
      <c r="U29" s="9"/>
    </row>
    <row r="30" spans="1:199" ht="48" customHeight="1">
      <c r="A30" s="95"/>
      <c r="B30" s="51" t="s">
        <v>61</v>
      </c>
      <c r="C30" s="53">
        <v>1018358</v>
      </c>
      <c r="D30" s="53">
        <v>450839</v>
      </c>
      <c r="E30" s="53">
        <v>326634</v>
      </c>
      <c r="F30" s="53">
        <v>1286752</v>
      </c>
      <c r="G30" s="50">
        <f t="shared" si="30"/>
        <v>3082583</v>
      </c>
      <c r="H30" s="9">
        <v>25.108550000000001</v>
      </c>
      <c r="I30" s="9">
        <v>26.11289</v>
      </c>
      <c r="J30" s="9">
        <v>3.1226600000000002</v>
      </c>
      <c r="K30" s="9">
        <v>3.2475700000000001</v>
      </c>
      <c r="L30" s="9">
        <f t="shared" si="23"/>
        <v>22389506.968620002</v>
      </c>
      <c r="M30" s="9">
        <f t="shared" si="24"/>
        <v>9912096.6617099997</v>
      </c>
      <c r="N30" s="9">
        <f t="shared" si="25"/>
        <v>7468590.9328800002</v>
      </c>
      <c r="O30" s="9">
        <f t="shared" si="26"/>
        <v>29421996.24064</v>
      </c>
      <c r="P30" s="9">
        <f t="shared" si="27"/>
        <v>69192190.803849995</v>
      </c>
      <c r="Q30" s="9"/>
      <c r="R30" s="9"/>
      <c r="S30" s="27">
        <f t="shared" si="28"/>
        <v>428917.33333333331</v>
      </c>
      <c r="T30" s="9">
        <f t="shared" si="29"/>
        <v>9807332.0802133325</v>
      </c>
      <c r="U30" s="9"/>
    </row>
    <row r="31" spans="1:199" s="49" customFormat="1" ht="26.25" customHeight="1">
      <c r="A31" s="96"/>
      <c r="B31" s="40" t="s">
        <v>6</v>
      </c>
      <c r="C31" s="41">
        <f>SUM(C26:C30)</f>
        <v>3607738</v>
      </c>
      <c r="D31" s="41">
        <f>SUM(D26:D30)</f>
        <v>1941515</v>
      </c>
      <c r="E31" s="41">
        <f>SUM(E26:E30)</f>
        <v>1419421</v>
      </c>
      <c r="F31" s="41">
        <f>SUM(F26:F30)</f>
        <v>3301472</v>
      </c>
      <c r="G31" s="41">
        <f>SUM(G26:G30)</f>
        <v>10270146</v>
      </c>
      <c r="H31" s="41"/>
      <c r="I31" s="41"/>
      <c r="J31" s="41"/>
      <c r="K31" s="41"/>
      <c r="L31" s="41">
        <f>SUM(L26:L30)</f>
        <v>79532773.410219997</v>
      </c>
      <c r="M31" s="41">
        <f t="shared" ref="M31:P31" si="31">SUM(M26:M30)</f>
        <v>42808811.646030001</v>
      </c>
      <c r="N31" s="41">
        <f t="shared" si="31"/>
        <v>32549202.373180002</v>
      </c>
      <c r="O31" s="41">
        <f t="shared" si="31"/>
        <v>75661940.747119993</v>
      </c>
      <c r="P31" s="41">
        <f t="shared" si="31"/>
        <v>230552728.17654997</v>
      </c>
      <c r="Q31" s="37">
        <f>'2021'!T31</f>
        <v>24250624.533226669</v>
      </c>
      <c r="R31" s="37">
        <f>P31+Q31</f>
        <v>254803352.70977664</v>
      </c>
      <c r="S31" s="47">
        <f>SUM(S26:S30)</f>
        <v>1100490.6666666665</v>
      </c>
      <c r="T31" s="47">
        <f>SUM(T26:T30)</f>
        <v>25220646.915706664</v>
      </c>
      <c r="U31" s="37">
        <f>R31-T31</f>
        <v>229582705.79406998</v>
      </c>
      <c r="V31" s="48"/>
      <c r="W31" s="48" t="e">
        <f>ROUND(SUMPRODUCT(#REF!,#REF!)/SUM(#REF!),2)</f>
        <v>#REF!</v>
      </c>
      <c r="X31" s="48" t="e">
        <f>ROUND(SUMPRODUCT(#REF!,#REF!)/SUM(#REF!),2)</f>
        <v>#REF!</v>
      </c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</row>
    <row r="32" spans="1:199" ht="30" customHeight="1" outlineLevel="1">
      <c r="A32" s="98" t="s">
        <v>13</v>
      </c>
      <c r="B32" s="8" t="s">
        <v>27</v>
      </c>
      <c r="C32" s="50">
        <v>61512</v>
      </c>
      <c r="D32" s="50">
        <v>44413</v>
      </c>
      <c r="E32" s="50">
        <v>45438</v>
      </c>
      <c r="F32" s="50">
        <v>43386</v>
      </c>
      <c r="G32" s="50">
        <f>SUM(C32:F32)</f>
        <v>194749</v>
      </c>
      <c r="H32" s="9">
        <v>76.760000000000005</v>
      </c>
      <c r="I32" s="9">
        <v>76.760000000000005</v>
      </c>
      <c r="J32" s="9">
        <v>3.05</v>
      </c>
      <c r="K32" s="9">
        <v>3.17</v>
      </c>
      <c r="L32" s="9">
        <f>(H32-J32)*C32</f>
        <v>4534049.5200000005</v>
      </c>
      <c r="M32" s="9">
        <f>(H32-J32)*D32</f>
        <v>3273682.2300000004</v>
      </c>
      <c r="N32" s="9">
        <f>(I32-K32)*E32</f>
        <v>3343782.42</v>
      </c>
      <c r="O32" s="9">
        <f>(I32-K32)*F32</f>
        <v>3192775.74</v>
      </c>
      <c r="P32" s="9">
        <f>SUM(L32:O32)</f>
        <v>14344289.910000002</v>
      </c>
      <c r="Q32" s="9"/>
      <c r="R32" s="9"/>
      <c r="S32" s="27">
        <v>9376</v>
      </c>
      <c r="T32" s="9">
        <f>(I32-K32)*S32</f>
        <v>689979.84000000008</v>
      </c>
      <c r="U32" s="9"/>
    </row>
    <row r="33" spans="1:21" ht="30" customHeight="1" outlineLevel="1">
      <c r="A33" s="98"/>
      <c r="B33" s="8" t="s">
        <v>29</v>
      </c>
      <c r="C33" s="50">
        <v>6552</v>
      </c>
      <c r="D33" s="50">
        <v>2555</v>
      </c>
      <c r="E33" s="50">
        <v>2342</v>
      </c>
      <c r="F33" s="50">
        <v>3310</v>
      </c>
      <c r="G33" s="50">
        <f t="shared" ref="G33:G35" si="32">SUM(C33:F33)</f>
        <v>14759</v>
      </c>
      <c r="H33" s="9">
        <v>76.760000000000005</v>
      </c>
      <c r="I33" s="9">
        <v>76.760000000000005</v>
      </c>
      <c r="J33" s="9">
        <v>3.49</v>
      </c>
      <c r="K33" s="9">
        <v>3.63</v>
      </c>
      <c r="L33" s="9">
        <f>(H33-J33)*C33</f>
        <v>480065.0400000001</v>
      </c>
      <c r="M33" s="9">
        <f>(H33-J33)*D33</f>
        <v>187204.85000000003</v>
      </c>
      <c r="N33" s="9">
        <f t="shared" ref="N33:N35" si="33">(I33-K33)*E33</f>
        <v>171270.46000000002</v>
      </c>
      <c r="O33" s="9">
        <f t="shared" ref="O33:O35" si="34">(I33-K33)*F33</f>
        <v>242060.30000000002</v>
      </c>
      <c r="P33" s="9">
        <f t="shared" ref="P33:P35" si="35">SUM(L33:O33)</f>
        <v>1080600.6500000001</v>
      </c>
      <c r="Q33" s="9" t="s">
        <v>12</v>
      </c>
      <c r="R33" s="9"/>
      <c r="S33" s="27">
        <v>1219</v>
      </c>
      <c r="T33" s="9">
        <f>(I33-K33)*S33</f>
        <v>89145.470000000016</v>
      </c>
      <c r="U33" s="9"/>
    </row>
    <row r="34" spans="1:21" ht="30" customHeight="1" outlineLevel="1">
      <c r="A34" s="98"/>
      <c r="B34" s="10" t="s">
        <v>16</v>
      </c>
      <c r="C34" s="50">
        <v>2559</v>
      </c>
      <c r="D34" s="50">
        <v>848</v>
      </c>
      <c r="E34" s="50">
        <v>711</v>
      </c>
      <c r="F34" s="50">
        <v>1202</v>
      </c>
      <c r="G34" s="50">
        <f t="shared" si="32"/>
        <v>5320</v>
      </c>
      <c r="H34" s="9">
        <v>76.760000000000005</v>
      </c>
      <c r="I34" s="9">
        <v>76.760000000000005</v>
      </c>
      <c r="J34" s="9">
        <v>1.1100000000000001</v>
      </c>
      <c r="K34" s="9">
        <v>1.2</v>
      </c>
      <c r="L34" s="9">
        <f>(H34-J34)*C34</f>
        <v>193588.35</v>
      </c>
      <c r="M34" s="9">
        <f>(H34-J34)*D34</f>
        <v>64151.200000000004</v>
      </c>
      <c r="N34" s="9">
        <f t="shared" si="33"/>
        <v>53723.16</v>
      </c>
      <c r="O34" s="9">
        <f t="shared" si="34"/>
        <v>90823.12000000001</v>
      </c>
      <c r="P34" s="9">
        <f t="shared" si="35"/>
        <v>402285.83</v>
      </c>
      <c r="Q34" s="9"/>
      <c r="R34" s="9"/>
      <c r="S34" s="27">
        <v>494</v>
      </c>
      <c r="T34" s="9">
        <f>(I34-K34)*S34</f>
        <v>37326.639999999999</v>
      </c>
      <c r="U34" s="9"/>
    </row>
    <row r="35" spans="1:21" ht="38.25" customHeight="1" outlineLevel="1">
      <c r="A35" s="98"/>
      <c r="B35" s="8" t="s">
        <v>21</v>
      </c>
      <c r="C35" s="50">
        <v>60457</v>
      </c>
      <c r="D35" s="50">
        <v>26246</v>
      </c>
      <c r="E35" s="50">
        <v>22531</v>
      </c>
      <c r="F35" s="50">
        <v>37100</v>
      </c>
      <c r="G35" s="50">
        <f t="shared" si="32"/>
        <v>146334</v>
      </c>
      <c r="H35" s="9">
        <v>76.760000000000005</v>
      </c>
      <c r="I35" s="9">
        <v>76.760000000000005</v>
      </c>
      <c r="J35" s="9">
        <v>7.95</v>
      </c>
      <c r="K35" s="9">
        <v>7.95</v>
      </c>
      <c r="L35" s="9">
        <f>(H35-J35)*C35</f>
        <v>4160046.17</v>
      </c>
      <c r="M35" s="9">
        <f>(H35-J35)*D35</f>
        <v>1805987.26</v>
      </c>
      <c r="N35" s="9">
        <f t="shared" si="33"/>
        <v>1550358.11</v>
      </c>
      <c r="O35" s="9">
        <f t="shared" si="34"/>
        <v>2552851</v>
      </c>
      <c r="P35" s="9">
        <f t="shared" si="35"/>
        <v>10069242.539999999</v>
      </c>
      <c r="Q35" s="9" t="s">
        <v>12</v>
      </c>
      <c r="R35" s="9"/>
      <c r="S35" s="27">
        <v>8651</v>
      </c>
      <c r="T35" s="9">
        <f>(I35-K35)*S35</f>
        <v>595275.31000000006</v>
      </c>
      <c r="U35" s="9"/>
    </row>
    <row r="36" spans="1:21" s="28" customFormat="1" ht="30" customHeight="1" outlineLevel="1">
      <c r="A36" s="98"/>
      <c r="B36" s="46" t="s">
        <v>6</v>
      </c>
      <c r="C36" s="41">
        <f>SUM(C32:C35)</f>
        <v>131080</v>
      </c>
      <c r="D36" s="41">
        <f t="shared" ref="D36:G36" si="36">SUM(D32:D35)</f>
        <v>74062</v>
      </c>
      <c r="E36" s="41">
        <f t="shared" si="36"/>
        <v>71022</v>
      </c>
      <c r="F36" s="41">
        <f t="shared" si="36"/>
        <v>84998</v>
      </c>
      <c r="G36" s="41">
        <f t="shared" si="36"/>
        <v>361162</v>
      </c>
      <c r="H36" s="41"/>
      <c r="I36" s="41"/>
      <c r="J36" s="41"/>
      <c r="K36" s="41"/>
      <c r="L36" s="41">
        <f>SUM(L32:L35)</f>
        <v>9367749.0800000001</v>
      </c>
      <c r="M36" s="41">
        <f t="shared" ref="M36:P36" si="37">SUM(M32:M35)</f>
        <v>5331025.540000001</v>
      </c>
      <c r="N36" s="41">
        <f t="shared" si="37"/>
        <v>5119134.1500000004</v>
      </c>
      <c r="O36" s="41">
        <f t="shared" si="37"/>
        <v>6078510.1600000001</v>
      </c>
      <c r="P36" s="41">
        <f t="shared" si="37"/>
        <v>25896418.93</v>
      </c>
      <c r="Q36" s="37">
        <f>'2021'!T36</f>
        <v>1354834.5</v>
      </c>
      <c r="R36" s="37">
        <f>P36+Q36</f>
        <v>27251253.43</v>
      </c>
      <c r="S36" s="47">
        <f>SUM(S32:S35)</f>
        <v>19740</v>
      </c>
      <c r="T36" s="47">
        <f>SUM(T32:T35)</f>
        <v>1411727.2600000002</v>
      </c>
      <c r="U36" s="37">
        <f>R36-T36</f>
        <v>25839526.169999998</v>
      </c>
    </row>
    <row r="37" spans="1:21" s="28" customFormat="1" ht="39" customHeight="1" outlineLevel="1">
      <c r="A37" s="33"/>
      <c r="B37" s="38" t="s">
        <v>7</v>
      </c>
      <c r="C37" s="34">
        <f>C14+C36+C25+C31</f>
        <v>21148973</v>
      </c>
      <c r="D37" s="34">
        <f>D14+D36+D25+D31</f>
        <v>16180210</v>
      </c>
      <c r="E37" s="34">
        <f>E14+E36+E25+E31</f>
        <v>14700758</v>
      </c>
      <c r="F37" s="34">
        <f>F14+F36+F25+F31</f>
        <v>19171781</v>
      </c>
      <c r="G37" s="34">
        <f>G14+G36+G25+G31</f>
        <v>71201722</v>
      </c>
      <c r="H37" s="34"/>
      <c r="I37" s="34"/>
      <c r="J37" s="34"/>
      <c r="K37" s="34"/>
      <c r="L37" s="34">
        <f>L14+L36+L25+L31</f>
        <v>389461118.42022002</v>
      </c>
      <c r="M37" s="34">
        <f t="shared" ref="M37:Q37" si="38">M14+M36+M25+M31</f>
        <v>280025583.00603002</v>
      </c>
      <c r="N37" s="34">
        <f t="shared" si="38"/>
        <v>254357455.30318004</v>
      </c>
      <c r="O37" s="34">
        <f t="shared" si="38"/>
        <v>329147988.45712</v>
      </c>
      <c r="P37" s="34">
        <f t="shared" si="38"/>
        <v>1252992145.1865501</v>
      </c>
      <c r="Q37" s="35">
        <f t="shared" si="38"/>
        <v>110395321.53322665</v>
      </c>
      <c r="R37" s="35">
        <f>R36+R14+R25+R31</f>
        <v>1363387466.7197766</v>
      </c>
      <c r="S37" s="36">
        <f>S36+S14+S25+S31</f>
        <v>6564307</v>
      </c>
      <c r="T37" s="36">
        <f>T36+T14+T25+T31</f>
        <v>114714774.23570667</v>
      </c>
      <c r="U37" s="37">
        <f>U36+U14+U25+U31</f>
        <v>1248672692.4840701</v>
      </c>
    </row>
    <row r="38" spans="1:21" s="6" customFormat="1" ht="15" customHeight="1" outlineLevel="1">
      <c r="A38" s="15"/>
      <c r="B38" s="16"/>
      <c r="C38" s="17"/>
      <c r="D38" s="17"/>
      <c r="E38" s="17"/>
      <c r="F38" s="17"/>
      <c r="G38" s="17"/>
      <c r="H38" s="18"/>
      <c r="I38" s="18"/>
      <c r="J38" s="19"/>
      <c r="K38" s="19"/>
      <c r="L38" s="20"/>
      <c r="M38" s="20"/>
      <c r="N38" s="20"/>
      <c r="O38" s="20"/>
      <c r="P38" s="20"/>
      <c r="Q38" s="20"/>
      <c r="R38" s="20"/>
      <c r="S38" s="21"/>
      <c r="T38" s="22"/>
      <c r="U38" s="23"/>
    </row>
    <row r="50" spans="2:2" ht="15.75">
      <c r="B50" s="13"/>
    </row>
    <row r="51" spans="2:2" ht="15.75">
      <c r="B51" s="13"/>
    </row>
  </sheetData>
  <mergeCells count="16">
    <mergeCell ref="A32:A36"/>
    <mergeCell ref="C1:K1"/>
    <mergeCell ref="A6:A14"/>
    <mergeCell ref="A15:A25"/>
    <mergeCell ref="A26:A31"/>
    <mergeCell ref="A4:A5"/>
    <mergeCell ref="B4:B5"/>
    <mergeCell ref="C4:G4"/>
    <mergeCell ref="H4:I4"/>
    <mergeCell ref="J4:K4"/>
    <mergeCell ref="C2:G2"/>
    <mergeCell ref="L4:P4"/>
    <mergeCell ref="Q4:Q5"/>
    <mergeCell ref="R4:R5"/>
    <mergeCell ref="S4:T4"/>
    <mergeCell ref="U4:U5"/>
  </mergeCells>
  <pageMargins left="0.11811023622047245" right="0.11811023622047245" top="0.55118110236220474" bottom="0.47244094488188981" header="0.31496062992125984" footer="0.23622047244094491"/>
  <pageSetup paperSize="9" scale="50" fitToWidth="2" fitToHeight="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2020</vt:lpstr>
      <vt:lpstr>2021</vt:lpstr>
      <vt:lpstr>2022</vt:lpstr>
      <vt:lpstr>'2020'!Заголовки_для_печати</vt:lpstr>
      <vt:lpstr>'2021'!Заголовки_для_печати</vt:lpstr>
      <vt:lpstr>'2022'!Заголовки_для_печати</vt:lpstr>
      <vt:lpstr>'2020'!Область_печати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2019-10-10T11:55:03Z</cp:lastPrinted>
  <dcterms:created xsi:type="dcterms:W3CDTF">2016-01-14T10:10:37Z</dcterms:created>
  <dcterms:modified xsi:type="dcterms:W3CDTF">2019-10-10T11:55:08Z</dcterms:modified>
</cp:coreProperties>
</file>