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0" yWindow="60" windowWidth="23250" windowHeight="9375"/>
  </bookViews>
  <sheets>
    <sheet name="2020" sheetId="12" r:id="rId1"/>
    <sheet name="2021" sheetId="15" r:id="rId2"/>
    <sheet name="2022" sheetId="16" r:id="rId3"/>
  </sheets>
  <definedNames>
    <definedName name="_xlnm._FilterDatabase" localSheetId="0" hidden="1">'2020'!$A$7:$WVV$240</definedName>
    <definedName name="_xlnm.Print_Titles" localSheetId="0">'2020'!$B:$D,'2020'!$5:$6</definedName>
    <definedName name="_xlnm.Print_Titles" localSheetId="1">'2021'!$B:$D,'2021'!$5:$6</definedName>
    <definedName name="_xlnm.Print_Titles" localSheetId="2">'2022'!$B:$D,'2022'!$4:$5</definedName>
  </definedNames>
  <calcPr calcId="125725"/>
</workbook>
</file>

<file path=xl/calcChain.xml><?xml version="1.0" encoding="utf-8"?>
<calcChain xmlns="http://schemas.openxmlformats.org/spreadsheetml/2006/main">
  <c r="S14" i="16"/>
  <c r="S24"/>
  <c r="S31"/>
  <c r="S32"/>
  <c r="S35"/>
  <c r="S36"/>
  <c r="S42"/>
  <c r="S46"/>
  <c r="S47"/>
  <c r="S48"/>
  <c r="S49"/>
  <c r="S50"/>
  <c r="S51"/>
  <c r="S54"/>
  <c r="S56"/>
  <c r="S67"/>
  <c r="S70"/>
  <c r="S74"/>
  <c r="S81"/>
  <c r="S83"/>
  <c r="S86"/>
  <c r="S89"/>
  <c r="S92"/>
  <c r="S93"/>
  <c r="S95"/>
  <c r="S103"/>
  <c r="S107"/>
  <c r="S111"/>
  <c r="S121"/>
  <c r="S126"/>
  <c r="S130"/>
  <c r="S131"/>
  <c r="S152"/>
  <c r="S153"/>
  <c r="S154"/>
  <c r="S159"/>
  <c r="S160"/>
  <c r="S164"/>
  <c r="S165"/>
  <c r="S171"/>
  <c r="S172"/>
  <c r="S173"/>
  <c r="S174"/>
  <c r="S176"/>
  <c r="S193"/>
  <c r="S201"/>
  <c r="S206"/>
  <c r="S208"/>
  <c r="S210"/>
  <c r="S216"/>
  <c r="S220"/>
  <c r="S223"/>
  <c r="S229"/>
  <c r="S231"/>
  <c r="S232"/>
  <c r="S234"/>
  <c r="S235"/>
  <c r="S237"/>
  <c r="S238"/>
  <c r="R9"/>
  <c r="R10"/>
  <c r="R11"/>
  <c r="R12"/>
  <c r="R14"/>
  <c r="R15"/>
  <c r="R16"/>
  <c r="R17"/>
  <c r="R18"/>
  <c r="R19"/>
  <c r="R20"/>
  <c r="R21"/>
  <c r="R22"/>
  <c r="R23"/>
  <c r="R24"/>
  <c r="R25"/>
  <c r="R26"/>
  <c r="R27"/>
  <c r="R28"/>
  <c r="R29"/>
  <c r="R30"/>
  <c r="R31"/>
  <c r="R32"/>
  <c r="R33"/>
  <c r="R35"/>
  <c r="R36"/>
  <c r="R37"/>
  <c r="R38"/>
  <c r="R39"/>
  <c r="R40"/>
  <c r="R41"/>
  <c r="R42"/>
  <c r="R43"/>
  <c r="R44"/>
  <c r="R45"/>
  <c r="R46"/>
  <c r="R47"/>
  <c r="R48"/>
  <c r="R49"/>
  <c r="R50"/>
  <c r="R51"/>
  <c r="R52"/>
  <c r="R54"/>
  <c r="R55"/>
  <c r="R56"/>
  <c r="R57"/>
  <c r="R58"/>
  <c r="R59"/>
  <c r="R60"/>
  <c r="R61"/>
  <c r="R62"/>
  <c r="R66"/>
  <c r="R67"/>
  <c r="R68"/>
  <c r="R70"/>
  <c r="R71"/>
  <c r="R72"/>
  <c r="R74"/>
  <c r="R75"/>
  <c r="R76"/>
  <c r="R77"/>
  <c r="R78"/>
  <c r="R80"/>
  <c r="R81"/>
  <c r="R82"/>
  <c r="R83"/>
  <c r="R84"/>
  <c r="R86"/>
  <c r="R87"/>
  <c r="R89"/>
  <c r="R90"/>
  <c r="R91"/>
  <c r="R92"/>
  <c r="R93"/>
  <c r="R94"/>
  <c r="R95"/>
  <c r="R96"/>
  <c r="R97"/>
  <c r="R98"/>
  <c r="R99"/>
  <c r="R100"/>
  <c r="R101"/>
  <c r="R102"/>
  <c r="R103"/>
  <c r="R104"/>
  <c r="R107"/>
  <c r="R108"/>
  <c r="R109"/>
  <c r="R110"/>
  <c r="R111"/>
  <c r="R112"/>
  <c r="R113"/>
  <c r="R114"/>
  <c r="R115"/>
  <c r="R116"/>
  <c r="R117"/>
  <c r="R118"/>
  <c r="R119"/>
  <c r="R120"/>
  <c r="R121"/>
  <c r="R126"/>
  <c r="R127"/>
  <c r="R128"/>
  <c r="R129"/>
  <c r="R130"/>
  <c r="R131"/>
  <c r="R135"/>
  <c r="R136"/>
  <c r="R137"/>
  <c r="R138"/>
  <c r="R139"/>
  <c r="R141"/>
  <c r="R142"/>
  <c r="R143"/>
  <c r="R144"/>
  <c r="R145"/>
  <c r="R146"/>
  <c r="R147"/>
  <c r="R152"/>
  <c r="R153"/>
  <c r="R154"/>
  <c r="R155"/>
  <c r="R157"/>
  <c r="R158"/>
  <c r="R159"/>
  <c r="R160"/>
  <c r="R161"/>
  <c r="R162"/>
  <c r="R163"/>
  <c r="R164"/>
  <c r="R165"/>
  <c r="R166"/>
  <c r="R167"/>
  <c r="R168"/>
  <c r="R169"/>
  <c r="R170"/>
  <c r="R171"/>
  <c r="R172"/>
  <c r="R173"/>
  <c r="R174"/>
  <c r="R175"/>
  <c r="R176"/>
  <c r="R177"/>
  <c r="R178"/>
  <c r="R179"/>
  <c r="R180"/>
  <c r="R181"/>
  <c r="R182"/>
  <c r="R183"/>
  <c r="R184"/>
  <c r="R185"/>
  <c r="R186"/>
  <c r="R187"/>
  <c r="R188"/>
  <c r="R189"/>
  <c r="R191"/>
  <c r="R193"/>
  <c r="R194"/>
  <c r="R195"/>
  <c r="R196"/>
  <c r="R197"/>
  <c r="R198"/>
  <c r="R199"/>
  <c r="R200"/>
  <c r="R201"/>
  <c r="R202"/>
  <c r="R203"/>
  <c r="R204"/>
  <c r="R205"/>
  <c r="R206"/>
  <c r="R207"/>
  <c r="R208"/>
  <c r="R209"/>
  <c r="R210"/>
  <c r="R211"/>
  <c r="R212"/>
  <c r="R213"/>
  <c r="R214"/>
  <c r="R215"/>
  <c r="R216"/>
  <c r="R217"/>
  <c r="R218"/>
  <c r="R219"/>
  <c r="R220"/>
  <c r="R221"/>
  <c r="R222"/>
  <c r="R223"/>
  <c r="R224"/>
  <c r="R225"/>
  <c r="R226"/>
  <c r="R227"/>
  <c r="R228"/>
  <c r="R229"/>
  <c r="R230"/>
  <c r="R231"/>
  <c r="R232"/>
  <c r="R234"/>
  <c r="R235"/>
  <c r="R237"/>
  <c r="R238"/>
  <c r="R8"/>
  <c r="Q14"/>
  <c r="Q16"/>
  <c r="Q24"/>
  <c r="T24" s="1"/>
  <c r="Q32"/>
  <c r="Q42"/>
  <c r="Q43"/>
  <c r="Q54"/>
  <c r="Q67"/>
  <c r="Q70"/>
  <c r="Q74"/>
  <c r="Q81"/>
  <c r="Q83"/>
  <c r="Q86"/>
  <c r="Q89"/>
  <c r="Q95"/>
  <c r="Q104"/>
  <c r="Q107"/>
  <c r="Q126"/>
  <c r="Q153"/>
  <c r="Q154"/>
  <c r="Q159"/>
  <c r="Q160"/>
  <c r="Q174"/>
  <c r="Q193"/>
  <c r="Q201"/>
  <c r="Q208"/>
  <c r="Q232"/>
  <c r="Q234"/>
  <c r="Q235"/>
  <c r="Q237"/>
  <c r="Q238"/>
  <c r="P9"/>
  <c r="P10"/>
  <c r="P11"/>
  <c r="P12"/>
  <c r="P14"/>
  <c r="P15"/>
  <c r="P16"/>
  <c r="P17"/>
  <c r="P18"/>
  <c r="P19"/>
  <c r="P20"/>
  <c r="P21"/>
  <c r="P22"/>
  <c r="P23"/>
  <c r="P24"/>
  <c r="P25"/>
  <c r="P26"/>
  <c r="P27"/>
  <c r="P28"/>
  <c r="P29"/>
  <c r="P30"/>
  <c r="P31"/>
  <c r="P32"/>
  <c r="P33"/>
  <c r="P35"/>
  <c r="P36"/>
  <c r="P37"/>
  <c r="P38"/>
  <c r="P39"/>
  <c r="P40"/>
  <c r="P41"/>
  <c r="P42"/>
  <c r="T42" s="1"/>
  <c r="P43"/>
  <c r="P44"/>
  <c r="P45"/>
  <c r="P46"/>
  <c r="P47"/>
  <c r="P48"/>
  <c r="P49"/>
  <c r="P50"/>
  <c r="P51"/>
  <c r="P52"/>
  <c r="P54"/>
  <c r="P55"/>
  <c r="P56"/>
  <c r="P57"/>
  <c r="P58"/>
  <c r="P59"/>
  <c r="P60"/>
  <c r="P61"/>
  <c r="P62"/>
  <c r="P66"/>
  <c r="P67"/>
  <c r="P68"/>
  <c r="P70"/>
  <c r="P71"/>
  <c r="P72"/>
  <c r="P74"/>
  <c r="P75"/>
  <c r="P76"/>
  <c r="P77"/>
  <c r="P78"/>
  <c r="P80"/>
  <c r="P81"/>
  <c r="T81" s="1"/>
  <c r="P82"/>
  <c r="P83"/>
  <c r="P84"/>
  <c r="P86"/>
  <c r="P87"/>
  <c r="P89"/>
  <c r="P90"/>
  <c r="P91"/>
  <c r="P92"/>
  <c r="P93"/>
  <c r="P94"/>
  <c r="P95"/>
  <c r="T95" s="1"/>
  <c r="P96"/>
  <c r="P97"/>
  <c r="P98"/>
  <c r="P99"/>
  <c r="P100"/>
  <c r="P101"/>
  <c r="P102"/>
  <c r="P103"/>
  <c r="P104"/>
  <c r="P107"/>
  <c r="T107" s="1"/>
  <c r="P108"/>
  <c r="P109"/>
  <c r="P110"/>
  <c r="P111"/>
  <c r="P112"/>
  <c r="P113"/>
  <c r="P114"/>
  <c r="P115"/>
  <c r="P116"/>
  <c r="P117"/>
  <c r="P118"/>
  <c r="P119"/>
  <c r="P120"/>
  <c r="P121"/>
  <c r="P126"/>
  <c r="P127"/>
  <c r="P128"/>
  <c r="P129"/>
  <c r="P130"/>
  <c r="P131"/>
  <c r="P137"/>
  <c r="P138"/>
  <c r="P139"/>
  <c r="P141"/>
  <c r="P142"/>
  <c r="P143"/>
  <c r="P144"/>
  <c r="P145"/>
  <c r="P146"/>
  <c r="P147"/>
  <c r="P152"/>
  <c r="P153"/>
  <c r="P154"/>
  <c r="P155"/>
  <c r="P157"/>
  <c r="P158"/>
  <c r="P159"/>
  <c r="P160"/>
  <c r="P161"/>
  <c r="P162"/>
  <c r="P163"/>
  <c r="P164"/>
  <c r="P165"/>
  <c r="P166"/>
  <c r="P167"/>
  <c r="P168"/>
  <c r="P169"/>
  <c r="P170"/>
  <c r="P171"/>
  <c r="P172"/>
  <c r="P173"/>
  <c r="P174"/>
  <c r="P175"/>
  <c r="P176"/>
  <c r="P177"/>
  <c r="P178"/>
  <c r="P179"/>
  <c r="P180"/>
  <c r="P181"/>
  <c r="P182"/>
  <c r="P183"/>
  <c r="P184"/>
  <c r="P185"/>
  <c r="P186"/>
  <c r="P187"/>
  <c r="P188"/>
  <c r="P189"/>
  <c r="P191"/>
  <c r="P193"/>
  <c r="T193" s="1"/>
  <c r="P194"/>
  <c r="P195"/>
  <c r="P196"/>
  <c r="P197"/>
  <c r="P198"/>
  <c r="P199"/>
  <c r="P200"/>
  <c r="P201"/>
  <c r="T201" s="1"/>
  <c r="P202"/>
  <c r="P203"/>
  <c r="P204"/>
  <c r="P205"/>
  <c r="P206"/>
  <c r="P207"/>
  <c r="P208"/>
  <c r="P209"/>
  <c r="P210"/>
  <c r="P211"/>
  <c r="P212"/>
  <c r="P213"/>
  <c r="P214"/>
  <c r="P215"/>
  <c r="P216"/>
  <c r="P217"/>
  <c r="P218"/>
  <c r="P219"/>
  <c r="P220"/>
  <c r="P221"/>
  <c r="P222"/>
  <c r="P223"/>
  <c r="P224"/>
  <c r="P225"/>
  <c r="P226"/>
  <c r="P227"/>
  <c r="P228"/>
  <c r="P229"/>
  <c r="P230"/>
  <c r="P232"/>
  <c r="P234"/>
  <c r="P235"/>
  <c r="P237"/>
  <c r="P238"/>
  <c r="P8"/>
  <c r="S15" i="15"/>
  <c r="S25"/>
  <c r="S32"/>
  <c r="S33"/>
  <c r="S36"/>
  <c r="S37"/>
  <c r="S43"/>
  <c r="S47"/>
  <c r="S48"/>
  <c r="S49"/>
  <c r="S50"/>
  <c r="S51"/>
  <c r="S52"/>
  <c r="S55"/>
  <c r="S57"/>
  <c r="S68"/>
  <c r="S71"/>
  <c r="S75"/>
  <c r="S82"/>
  <c r="S84"/>
  <c r="S87"/>
  <c r="S90"/>
  <c r="S93"/>
  <c r="S94"/>
  <c r="S96"/>
  <c r="S104"/>
  <c r="S108"/>
  <c r="S112"/>
  <c r="S122"/>
  <c r="S127"/>
  <c r="S131"/>
  <c r="S132"/>
  <c r="S153"/>
  <c r="S154"/>
  <c r="S155"/>
  <c r="S160"/>
  <c r="S161"/>
  <c r="S165"/>
  <c r="S166"/>
  <c r="S172"/>
  <c r="S173"/>
  <c r="S174"/>
  <c r="S175"/>
  <c r="S177"/>
  <c r="S194"/>
  <c r="S202"/>
  <c r="S207"/>
  <c r="S209"/>
  <c r="S211"/>
  <c r="S217"/>
  <c r="S221"/>
  <c r="S224"/>
  <c r="S230"/>
  <c r="S233"/>
  <c r="S235"/>
  <c r="S236"/>
  <c r="S238"/>
  <c r="S239"/>
  <c r="R10"/>
  <c r="R11"/>
  <c r="R12"/>
  <c r="R13"/>
  <c r="R15"/>
  <c r="R16"/>
  <c r="R17"/>
  <c r="R18"/>
  <c r="R19"/>
  <c r="R20"/>
  <c r="R21"/>
  <c r="R22"/>
  <c r="R23"/>
  <c r="R24"/>
  <c r="R25"/>
  <c r="R26"/>
  <c r="R27"/>
  <c r="R28"/>
  <c r="R29"/>
  <c r="R30"/>
  <c r="R31"/>
  <c r="R32"/>
  <c r="R33"/>
  <c r="R34"/>
  <c r="R36"/>
  <c r="R37"/>
  <c r="R38"/>
  <c r="R39"/>
  <c r="R40"/>
  <c r="R41"/>
  <c r="R42"/>
  <c r="R43"/>
  <c r="R44"/>
  <c r="R45"/>
  <c r="R46"/>
  <c r="R47"/>
  <c r="R48"/>
  <c r="R49"/>
  <c r="R50"/>
  <c r="R51"/>
  <c r="R52"/>
  <c r="R53"/>
  <c r="R55"/>
  <c r="R56"/>
  <c r="R57"/>
  <c r="R58"/>
  <c r="R59"/>
  <c r="R60"/>
  <c r="R61"/>
  <c r="R62"/>
  <c r="R63"/>
  <c r="R67"/>
  <c r="R68"/>
  <c r="R69"/>
  <c r="R71"/>
  <c r="R72"/>
  <c r="R73"/>
  <c r="R75"/>
  <c r="R76"/>
  <c r="R77"/>
  <c r="R78"/>
  <c r="R79"/>
  <c r="R81"/>
  <c r="R82"/>
  <c r="R83"/>
  <c r="R84"/>
  <c r="R85"/>
  <c r="R87"/>
  <c r="R88"/>
  <c r="R90"/>
  <c r="R91"/>
  <c r="R92"/>
  <c r="R93"/>
  <c r="R94"/>
  <c r="R95"/>
  <c r="R96"/>
  <c r="R97"/>
  <c r="R98"/>
  <c r="R99"/>
  <c r="R100"/>
  <c r="R101"/>
  <c r="R102"/>
  <c r="R103"/>
  <c r="R104"/>
  <c r="R105"/>
  <c r="R108"/>
  <c r="R109"/>
  <c r="R110"/>
  <c r="R111"/>
  <c r="R112"/>
  <c r="R113"/>
  <c r="R114"/>
  <c r="R115"/>
  <c r="R116"/>
  <c r="R117"/>
  <c r="R118"/>
  <c r="R119"/>
  <c r="R121"/>
  <c r="R122"/>
  <c r="R127"/>
  <c r="R128"/>
  <c r="R129"/>
  <c r="R130"/>
  <c r="R131"/>
  <c r="R132"/>
  <c r="R136"/>
  <c r="R137"/>
  <c r="R138"/>
  <c r="R139"/>
  <c r="R140"/>
  <c r="R142"/>
  <c r="R143"/>
  <c r="R144"/>
  <c r="R145"/>
  <c r="R146"/>
  <c r="R147"/>
  <c r="R148"/>
  <c r="R153"/>
  <c r="R154"/>
  <c r="R155"/>
  <c r="R156"/>
  <c r="R158"/>
  <c r="R159"/>
  <c r="R160"/>
  <c r="R161"/>
  <c r="R162"/>
  <c r="R163"/>
  <c r="R164"/>
  <c r="R165"/>
  <c r="R166"/>
  <c r="R167"/>
  <c r="R168"/>
  <c r="R169"/>
  <c r="R170"/>
  <c r="R171"/>
  <c r="R172"/>
  <c r="R173"/>
  <c r="R174"/>
  <c r="R175"/>
  <c r="R176"/>
  <c r="R177"/>
  <c r="R178"/>
  <c r="R179"/>
  <c r="R180"/>
  <c r="R181"/>
  <c r="R182"/>
  <c r="R183"/>
  <c r="R184"/>
  <c r="R185"/>
  <c r="R186"/>
  <c r="R187"/>
  <c r="R188"/>
  <c r="R189"/>
  <c r="R190"/>
  <c r="R192"/>
  <c r="R194"/>
  <c r="R195"/>
  <c r="R196"/>
  <c r="R197"/>
  <c r="R198"/>
  <c r="R199"/>
  <c r="R200"/>
  <c r="R201"/>
  <c r="R202"/>
  <c r="R203"/>
  <c r="R204"/>
  <c r="R205"/>
  <c r="R206"/>
  <c r="R207"/>
  <c r="R208"/>
  <c r="R209"/>
  <c r="R210"/>
  <c r="R211"/>
  <c r="R212"/>
  <c r="R213"/>
  <c r="R214"/>
  <c r="R215"/>
  <c r="R216"/>
  <c r="R217"/>
  <c r="R218"/>
  <c r="R219"/>
  <c r="R220"/>
  <c r="R221"/>
  <c r="R222"/>
  <c r="R223"/>
  <c r="R224"/>
  <c r="R225"/>
  <c r="R226"/>
  <c r="R227"/>
  <c r="R228"/>
  <c r="R229"/>
  <c r="R230"/>
  <c r="R231"/>
  <c r="R233"/>
  <c r="R235"/>
  <c r="R236"/>
  <c r="R238"/>
  <c r="R239"/>
  <c r="R9"/>
  <c r="Q15"/>
  <c r="Q25"/>
  <c r="Q33"/>
  <c r="Q43"/>
  <c r="Q55"/>
  <c r="Q68"/>
  <c r="Q71"/>
  <c r="Q75"/>
  <c r="Q82"/>
  <c r="Q84"/>
  <c r="Q85"/>
  <c r="Q87"/>
  <c r="Q90"/>
  <c r="Q96"/>
  <c r="Q105"/>
  <c r="Q108"/>
  <c r="Q127"/>
  <c r="Q152"/>
  <c r="Q154"/>
  <c r="Q155"/>
  <c r="Q160"/>
  <c r="Q161"/>
  <c r="Q175"/>
  <c r="Q185"/>
  <c r="Q194"/>
  <c r="Q202"/>
  <c r="Q208"/>
  <c r="Q209"/>
  <c r="Q233"/>
  <c r="Q235"/>
  <c r="Q236"/>
  <c r="Q238"/>
  <c r="Q239"/>
  <c r="P9"/>
  <c r="O9" i="12"/>
  <c r="P9"/>
  <c r="S15"/>
  <c r="S25"/>
  <c r="S32"/>
  <c r="S33"/>
  <c r="S36"/>
  <c r="S37"/>
  <c r="S43"/>
  <c r="S47"/>
  <c r="S48"/>
  <c r="S49"/>
  <c r="S50"/>
  <c r="S51"/>
  <c r="S52"/>
  <c r="S55"/>
  <c r="S57"/>
  <c r="S68"/>
  <c r="S71"/>
  <c r="S75"/>
  <c r="S82"/>
  <c r="S84"/>
  <c r="S87"/>
  <c r="S90"/>
  <c r="S93"/>
  <c r="S94"/>
  <c r="S96"/>
  <c r="S104"/>
  <c r="S108"/>
  <c r="S112"/>
  <c r="S122"/>
  <c r="S127"/>
  <c r="S131"/>
  <c r="S132"/>
  <c r="S153"/>
  <c r="S154"/>
  <c r="S155"/>
  <c r="S160"/>
  <c r="S161"/>
  <c r="S165"/>
  <c r="S166"/>
  <c r="S172"/>
  <c r="S173"/>
  <c r="S174"/>
  <c r="S175"/>
  <c r="S177"/>
  <c r="S194"/>
  <c r="S202"/>
  <c r="S207"/>
  <c r="S209"/>
  <c r="S211"/>
  <c r="S217"/>
  <c r="S221"/>
  <c r="S224"/>
  <c r="S230"/>
  <c r="S233"/>
  <c r="S235"/>
  <c r="S236"/>
  <c r="S238"/>
  <c r="S239"/>
  <c r="R10"/>
  <c r="R11"/>
  <c r="R12"/>
  <c r="R13"/>
  <c r="R15"/>
  <c r="R16"/>
  <c r="R17"/>
  <c r="R18"/>
  <c r="R19"/>
  <c r="R20"/>
  <c r="R21"/>
  <c r="R22"/>
  <c r="R23"/>
  <c r="R24"/>
  <c r="R25"/>
  <c r="R26"/>
  <c r="R27"/>
  <c r="R28"/>
  <c r="R29"/>
  <c r="R30"/>
  <c r="R31"/>
  <c r="R32"/>
  <c r="R33"/>
  <c r="R34"/>
  <c r="R36"/>
  <c r="R37"/>
  <c r="R38"/>
  <c r="R39"/>
  <c r="R40"/>
  <c r="R41"/>
  <c r="R42"/>
  <c r="R43"/>
  <c r="R44"/>
  <c r="R45"/>
  <c r="R46"/>
  <c r="R47"/>
  <c r="R48"/>
  <c r="R49"/>
  <c r="R50"/>
  <c r="R51"/>
  <c r="R52"/>
  <c r="R53"/>
  <c r="R55"/>
  <c r="R56"/>
  <c r="R57"/>
  <c r="R58"/>
  <c r="R59"/>
  <c r="R60"/>
  <c r="R61"/>
  <c r="R62"/>
  <c r="R63"/>
  <c r="R67"/>
  <c r="R68"/>
  <c r="R69"/>
  <c r="R71"/>
  <c r="R72"/>
  <c r="R73"/>
  <c r="R75"/>
  <c r="R76"/>
  <c r="R77"/>
  <c r="R78"/>
  <c r="R79"/>
  <c r="R81"/>
  <c r="R82"/>
  <c r="R83"/>
  <c r="R84"/>
  <c r="R85"/>
  <c r="R87"/>
  <c r="R88"/>
  <c r="R90"/>
  <c r="R91"/>
  <c r="R92"/>
  <c r="R93"/>
  <c r="R94"/>
  <c r="R95"/>
  <c r="R96"/>
  <c r="R97"/>
  <c r="R98"/>
  <c r="R99"/>
  <c r="R100"/>
  <c r="R101"/>
  <c r="R102"/>
  <c r="R103"/>
  <c r="R104"/>
  <c r="R105"/>
  <c r="R108"/>
  <c r="R109"/>
  <c r="R110"/>
  <c r="R111"/>
  <c r="R112"/>
  <c r="R113"/>
  <c r="R114"/>
  <c r="R115"/>
  <c r="R116"/>
  <c r="R117"/>
  <c r="R118"/>
  <c r="R119"/>
  <c r="R120"/>
  <c r="R121"/>
  <c r="R122"/>
  <c r="R127"/>
  <c r="R128"/>
  <c r="R129"/>
  <c r="R130"/>
  <c r="R131"/>
  <c r="R132"/>
  <c r="R133"/>
  <c r="R136"/>
  <c r="R137"/>
  <c r="R138"/>
  <c r="R139"/>
  <c r="R140"/>
  <c r="R142"/>
  <c r="R143"/>
  <c r="R144"/>
  <c r="R145"/>
  <c r="R146"/>
  <c r="R147"/>
  <c r="R148"/>
  <c r="R153"/>
  <c r="R154"/>
  <c r="R155"/>
  <c r="R156"/>
  <c r="R158"/>
  <c r="R159"/>
  <c r="R160"/>
  <c r="R161"/>
  <c r="R162"/>
  <c r="R163"/>
  <c r="R164"/>
  <c r="R165"/>
  <c r="R166"/>
  <c r="R167"/>
  <c r="R168"/>
  <c r="R169"/>
  <c r="R170"/>
  <c r="R171"/>
  <c r="R172"/>
  <c r="R173"/>
  <c r="R174"/>
  <c r="R175"/>
  <c r="R176"/>
  <c r="R177"/>
  <c r="R178"/>
  <c r="R179"/>
  <c r="R180"/>
  <c r="R181"/>
  <c r="R182"/>
  <c r="R183"/>
  <c r="R184"/>
  <c r="R185"/>
  <c r="R186"/>
  <c r="R187"/>
  <c r="R188"/>
  <c r="R189"/>
  <c r="R190"/>
  <c r="R192"/>
  <c r="R194"/>
  <c r="R195"/>
  <c r="R196"/>
  <c r="R198"/>
  <c r="R199"/>
  <c r="R200"/>
  <c r="R201"/>
  <c r="R202"/>
  <c r="R203"/>
  <c r="R204"/>
  <c r="R205"/>
  <c r="R206"/>
  <c r="R207"/>
  <c r="R208"/>
  <c r="R209"/>
  <c r="R210"/>
  <c r="R211"/>
  <c r="R212"/>
  <c r="R213"/>
  <c r="R214"/>
  <c r="R215"/>
  <c r="R216"/>
  <c r="R217"/>
  <c r="R218"/>
  <c r="R219"/>
  <c r="R220"/>
  <c r="R221"/>
  <c r="R222"/>
  <c r="R223"/>
  <c r="R224"/>
  <c r="R225"/>
  <c r="R226"/>
  <c r="R227"/>
  <c r="R228"/>
  <c r="R229"/>
  <c r="R230"/>
  <c r="R231"/>
  <c r="R233"/>
  <c r="R235"/>
  <c r="R236"/>
  <c r="R238"/>
  <c r="R239"/>
  <c r="R9"/>
  <c r="Q239"/>
  <c r="Q15"/>
  <c r="Q25"/>
  <c r="Q33"/>
  <c r="Q43"/>
  <c r="Q55"/>
  <c r="Q68"/>
  <c r="Q71"/>
  <c r="Q75"/>
  <c r="Q82"/>
  <c r="Q84"/>
  <c r="Q87"/>
  <c r="Q90"/>
  <c r="Q96"/>
  <c r="Q105"/>
  <c r="Q108"/>
  <c r="Q127"/>
  <c r="Q141"/>
  <c r="Q154"/>
  <c r="Q155"/>
  <c r="Q160"/>
  <c r="Q161"/>
  <c r="Q175"/>
  <c r="Q194"/>
  <c r="Q202"/>
  <c r="Q209"/>
  <c r="Q233"/>
  <c r="Q235"/>
  <c r="Q236"/>
  <c r="Q238"/>
  <c r="P102"/>
  <c r="P103"/>
  <c r="P104"/>
  <c r="P105"/>
  <c r="P108"/>
  <c r="P109"/>
  <c r="P110"/>
  <c r="P111"/>
  <c r="P112"/>
  <c r="P113"/>
  <c r="P114"/>
  <c r="P115"/>
  <c r="P116"/>
  <c r="P117"/>
  <c r="P118"/>
  <c r="P119"/>
  <c r="P120"/>
  <c r="P121"/>
  <c r="P122"/>
  <c r="P127"/>
  <c r="T127" s="1"/>
  <c r="P128"/>
  <c r="P129"/>
  <c r="P130"/>
  <c r="P131"/>
  <c r="P132"/>
  <c r="P138"/>
  <c r="P139"/>
  <c r="P140"/>
  <c r="P142"/>
  <c r="P143"/>
  <c r="P144"/>
  <c r="P145"/>
  <c r="P146"/>
  <c r="P147"/>
  <c r="P148"/>
  <c r="P153"/>
  <c r="P154"/>
  <c r="T154" s="1"/>
  <c r="P155"/>
  <c r="T155" s="1"/>
  <c r="P156"/>
  <c r="P158"/>
  <c r="P159"/>
  <c r="P160"/>
  <c r="P161"/>
  <c r="P162"/>
  <c r="P163"/>
  <c r="P164"/>
  <c r="P165"/>
  <c r="P166"/>
  <c r="P167"/>
  <c r="P168"/>
  <c r="P169"/>
  <c r="P170"/>
  <c r="P171"/>
  <c r="P172"/>
  <c r="P173"/>
  <c r="P174"/>
  <c r="P175"/>
  <c r="T175" s="1"/>
  <c r="P176"/>
  <c r="P177"/>
  <c r="P178"/>
  <c r="P179"/>
  <c r="P180"/>
  <c r="P181"/>
  <c r="P182"/>
  <c r="P183"/>
  <c r="P184"/>
  <c r="P185"/>
  <c r="P186"/>
  <c r="P187"/>
  <c r="P188"/>
  <c r="P189"/>
  <c r="P190"/>
  <c r="P192"/>
  <c r="P194"/>
  <c r="P195"/>
  <c r="P196"/>
  <c r="P197"/>
  <c r="P198"/>
  <c r="P199"/>
  <c r="P200"/>
  <c r="P201"/>
  <c r="P202"/>
  <c r="T202" s="1"/>
  <c r="P203"/>
  <c r="P204"/>
  <c r="P205"/>
  <c r="P206"/>
  <c r="P207"/>
  <c r="P208"/>
  <c r="P209"/>
  <c r="P210"/>
  <c r="P211"/>
  <c r="P212"/>
  <c r="P213"/>
  <c r="P214"/>
  <c r="P215"/>
  <c r="P216"/>
  <c r="P217"/>
  <c r="P218"/>
  <c r="P219"/>
  <c r="P220"/>
  <c r="P221"/>
  <c r="P222"/>
  <c r="P223"/>
  <c r="P224"/>
  <c r="P225"/>
  <c r="P226"/>
  <c r="P227"/>
  <c r="P228"/>
  <c r="P229"/>
  <c r="P230"/>
  <c r="P231"/>
  <c r="P233"/>
  <c r="P235"/>
  <c r="T235" s="1"/>
  <c r="P236"/>
  <c r="T236" s="1"/>
  <c r="P238"/>
  <c r="P239"/>
  <c r="T239" s="1"/>
  <c r="P101"/>
  <c r="H236" i="16"/>
  <c r="S236" s="1"/>
  <c r="G236"/>
  <c r="R236" s="1"/>
  <c r="F236"/>
  <c r="Q236" s="1"/>
  <c r="E236"/>
  <c r="P236" s="1"/>
  <c r="T236" s="1"/>
  <c r="H233"/>
  <c r="S233" s="1"/>
  <c r="G233"/>
  <c r="R233" s="1"/>
  <c r="F233"/>
  <c r="Q233" s="1"/>
  <c r="E233"/>
  <c r="P233" s="1"/>
  <c r="H231"/>
  <c r="G231"/>
  <c r="F231"/>
  <c r="Q231" s="1"/>
  <c r="E231"/>
  <c r="P231" s="1"/>
  <c r="H230"/>
  <c r="S230" s="1"/>
  <c r="F230"/>
  <c r="Q230" s="1"/>
  <c r="T230" s="1"/>
  <c r="F229"/>
  <c r="Q229" s="1"/>
  <c r="T229" s="1"/>
  <c r="H228"/>
  <c r="S228" s="1"/>
  <c r="F228"/>
  <c r="Q228" s="1"/>
  <c r="H227"/>
  <c r="S227" s="1"/>
  <c r="F227"/>
  <c r="Q227" s="1"/>
  <c r="H226"/>
  <c r="S226" s="1"/>
  <c r="F226"/>
  <c r="Q226" s="1"/>
  <c r="H225"/>
  <c r="S225" s="1"/>
  <c r="F225"/>
  <c r="Q225" s="1"/>
  <c r="H224"/>
  <c r="S224" s="1"/>
  <c r="F224"/>
  <c r="Q224" s="1"/>
  <c r="F223"/>
  <c r="Q223" s="1"/>
  <c r="H222"/>
  <c r="S222" s="1"/>
  <c r="F222"/>
  <c r="Q222" s="1"/>
  <c r="H221"/>
  <c r="S221" s="1"/>
  <c r="F221"/>
  <c r="Q221" s="1"/>
  <c r="F220"/>
  <c r="Q220" s="1"/>
  <c r="H219"/>
  <c r="S219" s="1"/>
  <c r="F219"/>
  <c r="Q219" s="1"/>
  <c r="H218"/>
  <c r="S218" s="1"/>
  <c r="F218"/>
  <c r="Q218" s="1"/>
  <c r="H217"/>
  <c r="S217" s="1"/>
  <c r="F217"/>
  <c r="Q217" s="1"/>
  <c r="F216"/>
  <c r="Q216" s="1"/>
  <c r="H215"/>
  <c r="S215" s="1"/>
  <c r="F215"/>
  <c r="Q215" s="1"/>
  <c r="H214"/>
  <c r="S214" s="1"/>
  <c r="F214"/>
  <c r="Q214" s="1"/>
  <c r="T214" s="1"/>
  <c r="H213"/>
  <c r="S213" s="1"/>
  <c r="F213"/>
  <c r="Q213" s="1"/>
  <c r="H212"/>
  <c r="S212" s="1"/>
  <c r="F212"/>
  <c r="Q212" s="1"/>
  <c r="H211"/>
  <c r="S211" s="1"/>
  <c r="F211"/>
  <c r="Q211" s="1"/>
  <c r="F210"/>
  <c r="Q210" s="1"/>
  <c r="H209"/>
  <c r="S209" s="1"/>
  <c r="F209"/>
  <c r="Q209" s="1"/>
  <c r="H207"/>
  <c r="S207" s="1"/>
  <c r="F207"/>
  <c r="Q207" s="1"/>
  <c r="F206"/>
  <c r="Q206" s="1"/>
  <c r="T206" s="1"/>
  <c r="H205"/>
  <c r="S205" s="1"/>
  <c r="F205"/>
  <c r="Q205" s="1"/>
  <c r="T205" s="1"/>
  <c r="H204"/>
  <c r="S204" s="1"/>
  <c r="F204"/>
  <c r="Q204" s="1"/>
  <c r="H203"/>
  <c r="S203" s="1"/>
  <c r="F203"/>
  <c r="Q203" s="1"/>
  <c r="H202"/>
  <c r="S202" s="1"/>
  <c r="F202"/>
  <c r="Q202" s="1"/>
  <c r="H200"/>
  <c r="S200" s="1"/>
  <c r="F200"/>
  <c r="Q200" s="1"/>
  <c r="H199"/>
  <c r="S199" s="1"/>
  <c r="F199"/>
  <c r="Q199" s="1"/>
  <c r="H198"/>
  <c r="S198" s="1"/>
  <c r="F198"/>
  <c r="Q198" s="1"/>
  <c r="H197"/>
  <c r="S197" s="1"/>
  <c r="F197"/>
  <c r="Q197" s="1"/>
  <c r="H196"/>
  <c r="S196" s="1"/>
  <c r="F196"/>
  <c r="Q196" s="1"/>
  <c r="H195"/>
  <c r="S195" s="1"/>
  <c r="F195"/>
  <c r="Q195" s="1"/>
  <c r="H194"/>
  <c r="S194" s="1"/>
  <c r="F194"/>
  <c r="Q194" s="1"/>
  <c r="H192"/>
  <c r="S192" s="1"/>
  <c r="G192"/>
  <c r="R192" s="1"/>
  <c r="F192"/>
  <c r="Q192" s="1"/>
  <c r="E192"/>
  <c r="P192" s="1"/>
  <c r="H191"/>
  <c r="S191" s="1"/>
  <c r="F191"/>
  <c r="Q191" s="1"/>
  <c r="H190"/>
  <c r="S190" s="1"/>
  <c r="G190"/>
  <c r="R190" s="1"/>
  <c r="F190"/>
  <c r="Q190" s="1"/>
  <c r="E190"/>
  <c r="P190" s="1"/>
  <c r="H189"/>
  <c r="S189" s="1"/>
  <c r="F189"/>
  <c r="Q189" s="1"/>
  <c r="T189" s="1"/>
  <c r="H188"/>
  <c r="S188" s="1"/>
  <c r="F188"/>
  <c r="Q188" s="1"/>
  <c r="H187"/>
  <c r="S187" s="1"/>
  <c r="F187"/>
  <c r="Q187" s="1"/>
  <c r="H186"/>
  <c r="S186" s="1"/>
  <c r="F186"/>
  <c r="Q186" s="1"/>
  <c r="H185"/>
  <c r="S185" s="1"/>
  <c r="F185"/>
  <c r="Q185" s="1"/>
  <c r="H184"/>
  <c r="S184" s="1"/>
  <c r="F184"/>
  <c r="Q184" s="1"/>
  <c r="H183"/>
  <c r="S183" s="1"/>
  <c r="F183"/>
  <c r="Q183" s="1"/>
  <c r="H182"/>
  <c r="S182" s="1"/>
  <c r="F182"/>
  <c r="Q182" s="1"/>
  <c r="H181"/>
  <c r="S181" s="1"/>
  <c r="F181"/>
  <c r="Q181" s="1"/>
  <c r="T181" s="1"/>
  <c r="H180"/>
  <c r="S180" s="1"/>
  <c r="F180"/>
  <c r="Q180" s="1"/>
  <c r="H179"/>
  <c r="S179" s="1"/>
  <c r="F179"/>
  <c r="Q179" s="1"/>
  <c r="H178"/>
  <c r="S178" s="1"/>
  <c r="F178"/>
  <c r="Q178" s="1"/>
  <c r="H177"/>
  <c r="S177" s="1"/>
  <c r="F177"/>
  <c r="Q177" s="1"/>
  <c r="F176"/>
  <c r="Q176" s="1"/>
  <c r="T176" s="1"/>
  <c r="H175"/>
  <c r="S175" s="1"/>
  <c r="F175"/>
  <c r="Q175" s="1"/>
  <c r="F173"/>
  <c r="Q173" s="1"/>
  <c r="T173" s="1"/>
  <c r="F172"/>
  <c r="Q172" s="1"/>
  <c r="F171"/>
  <c r="Q171" s="1"/>
  <c r="H170"/>
  <c r="S170" s="1"/>
  <c r="F170"/>
  <c r="Q170" s="1"/>
  <c r="H169"/>
  <c r="S169" s="1"/>
  <c r="F169"/>
  <c r="Q169" s="1"/>
  <c r="H168"/>
  <c r="S168" s="1"/>
  <c r="F168"/>
  <c r="Q168" s="1"/>
  <c r="H167"/>
  <c r="S167" s="1"/>
  <c r="F167"/>
  <c r="Q167" s="1"/>
  <c r="H166"/>
  <c r="S166" s="1"/>
  <c r="F166"/>
  <c r="Q166" s="1"/>
  <c r="T166" s="1"/>
  <c r="F165"/>
  <c r="Q165" s="1"/>
  <c r="F164"/>
  <c r="Q164" s="1"/>
  <c r="H163"/>
  <c r="S163" s="1"/>
  <c r="F163"/>
  <c r="Q163" s="1"/>
  <c r="H162"/>
  <c r="S162" s="1"/>
  <c r="F162"/>
  <c r="Q162" s="1"/>
  <c r="H161"/>
  <c r="S161" s="1"/>
  <c r="F161"/>
  <c r="Q161" s="1"/>
  <c r="H158"/>
  <c r="S158" s="1"/>
  <c r="F158"/>
  <c r="Q158" s="1"/>
  <c r="T158" s="1"/>
  <c r="H157"/>
  <c r="S157" s="1"/>
  <c r="F157"/>
  <c r="Q157" s="1"/>
  <c r="H156"/>
  <c r="S156" s="1"/>
  <c r="G156"/>
  <c r="R156" s="1"/>
  <c r="F156"/>
  <c r="Q156" s="1"/>
  <c r="E156"/>
  <c r="P156" s="1"/>
  <c r="H155"/>
  <c r="S155" s="1"/>
  <c r="F155"/>
  <c r="Q155" s="1"/>
  <c r="F152"/>
  <c r="Q152" s="1"/>
  <c r="H151"/>
  <c r="S151" s="1"/>
  <c r="G151"/>
  <c r="R151" s="1"/>
  <c r="F151"/>
  <c r="Q151" s="1"/>
  <c r="E151"/>
  <c r="P151" s="1"/>
  <c r="H150"/>
  <c r="S150" s="1"/>
  <c r="G150"/>
  <c r="R150" s="1"/>
  <c r="F150"/>
  <c r="Q150" s="1"/>
  <c r="E150"/>
  <c r="P150" s="1"/>
  <c r="H149"/>
  <c r="S149" s="1"/>
  <c r="G149"/>
  <c r="R149" s="1"/>
  <c r="F149"/>
  <c r="Q149" s="1"/>
  <c r="E149"/>
  <c r="P149" s="1"/>
  <c r="H148"/>
  <c r="S148" s="1"/>
  <c r="G148"/>
  <c r="R148" s="1"/>
  <c r="F148"/>
  <c r="Q148" s="1"/>
  <c r="E148"/>
  <c r="P148" s="1"/>
  <c r="H147"/>
  <c r="S147" s="1"/>
  <c r="F147"/>
  <c r="Q147" s="1"/>
  <c r="H146"/>
  <c r="S146" s="1"/>
  <c r="F146"/>
  <c r="Q146" s="1"/>
  <c r="H145"/>
  <c r="S145" s="1"/>
  <c r="F145"/>
  <c r="Q145" s="1"/>
  <c r="H144"/>
  <c r="S144" s="1"/>
  <c r="F144"/>
  <c r="Q144" s="1"/>
  <c r="H143"/>
  <c r="S143" s="1"/>
  <c r="F143"/>
  <c r="Q143" s="1"/>
  <c r="H142"/>
  <c r="S142" s="1"/>
  <c r="F142"/>
  <c r="Q142" s="1"/>
  <c r="H141"/>
  <c r="S141" s="1"/>
  <c r="F141"/>
  <c r="Q141" s="1"/>
  <c r="H140"/>
  <c r="S140" s="1"/>
  <c r="G140"/>
  <c r="R140" s="1"/>
  <c r="F140"/>
  <c r="Q140" s="1"/>
  <c r="E140"/>
  <c r="P140" s="1"/>
  <c r="H139"/>
  <c r="S139" s="1"/>
  <c r="F139"/>
  <c r="Q139" s="1"/>
  <c r="H138"/>
  <c r="S138" s="1"/>
  <c r="F138"/>
  <c r="Q138" s="1"/>
  <c r="H137"/>
  <c r="S137" s="1"/>
  <c r="F137"/>
  <c r="Q137" s="1"/>
  <c r="H136"/>
  <c r="S136" s="1"/>
  <c r="E136"/>
  <c r="P136" s="1"/>
  <c r="H135"/>
  <c r="S135" s="1"/>
  <c r="E135"/>
  <c r="P135" s="1"/>
  <c r="H134"/>
  <c r="S134" s="1"/>
  <c r="G134"/>
  <c r="R134" s="1"/>
  <c r="F134"/>
  <c r="Q134" s="1"/>
  <c r="E134"/>
  <c r="P134" s="1"/>
  <c r="H133"/>
  <c r="S133" s="1"/>
  <c r="G133"/>
  <c r="R133" s="1"/>
  <c r="F133"/>
  <c r="Q133" s="1"/>
  <c r="E133"/>
  <c r="P133" s="1"/>
  <c r="H132"/>
  <c r="S132" s="1"/>
  <c r="G132"/>
  <c r="R132" s="1"/>
  <c r="F132"/>
  <c r="Q132" s="1"/>
  <c r="E132"/>
  <c r="P132" s="1"/>
  <c r="F131"/>
  <c r="Q131" s="1"/>
  <c r="F130"/>
  <c r="Q130" s="1"/>
  <c r="H129"/>
  <c r="S129" s="1"/>
  <c r="F129"/>
  <c r="Q129" s="1"/>
  <c r="H128"/>
  <c r="S128" s="1"/>
  <c r="F128"/>
  <c r="Q128" s="1"/>
  <c r="H127"/>
  <c r="S127" s="1"/>
  <c r="F127"/>
  <c r="Q127" s="1"/>
  <c r="H125"/>
  <c r="S125" s="1"/>
  <c r="G125"/>
  <c r="R125" s="1"/>
  <c r="F125"/>
  <c r="Q125" s="1"/>
  <c r="E125"/>
  <c r="P125" s="1"/>
  <c r="H124"/>
  <c r="S124" s="1"/>
  <c r="G124"/>
  <c r="R124" s="1"/>
  <c r="F124"/>
  <c r="Q124" s="1"/>
  <c r="E124"/>
  <c r="P124" s="1"/>
  <c r="H123"/>
  <c r="S123" s="1"/>
  <c r="G123"/>
  <c r="R123" s="1"/>
  <c r="F123"/>
  <c r="Q123" s="1"/>
  <c r="E123"/>
  <c r="P123" s="1"/>
  <c r="H122"/>
  <c r="S122" s="1"/>
  <c r="G122"/>
  <c r="R122" s="1"/>
  <c r="F122"/>
  <c r="Q122" s="1"/>
  <c r="E122"/>
  <c r="P122" s="1"/>
  <c r="F121"/>
  <c r="Q121" s="1"/>
  <c r="H120"/>
  <c r="S120" s="1"/>
  <c r="F120"/>
  <c r="Q120" s="1"/>
  <c r="H119"/>
  <c r="S119" s="1"/>
  <c r="F119"/>
  <c r="Q119" s="1"/>
  <c r="H118"/>
  <c r="S118" s="1"/>
  <c r="F118"/>
  <c r="Q118" s="1"/>
  <c r="T118" s="1"/>
  <c r="H117"/>
  <c r="S117" s="1"/>
  <c r="F117"/>
  <c r="Q117" s="1"/>
  <c r="H116"/>
  <c r="S116" s="1"/>
  <c r="F116"/>
  <c r="Q116" s="1"/>
  <c r="H115"/>
  <c r="S115" s="1"/>
  <c r="F115"/>
  <c r="Q115" s="1"/>
  <c r="H114"/>
  <c r="S114" s="1"/>
  <c r="F114"/>
  <c r="Q114" s="1"/>
  <c r="H113"/>
  <c r="S113" s="1"/>
  <c r="F113"/>
  <c r="Q113" s="1"/>
  <c r="H112"/>
  <c r="S112" s="1"/>
  <c r="F112"/>
  <c r="Q112" s="1"/>
  <c r="F111"/>
  <c r="Q111" s="1"/>
  <c r="H110"/>
  <c r="S110" s="1"/>
  <c r="F110"/>
  <c r="Q110" s="1"/>
  <c r="H109"/>
  <c r="S109" s="1"/>
  <c r="F109"/>
  <c r="Q109" s="1"/>
  <c r="H108"/>
  <c r="S108" s="1"/>
  <c r="F108"/>
  <c r="Q108" s="1"/>
  <c r="H106"/>
  <c r="S106" s="1"/>
  <c r="G106"/>
  <c r="R106" s="1"/>
  <c r="F106"/>
  <c r="Q106" s="1"/>
  <c r="E106"/>
  <c r="P106" s="1"/>
  <c r="H105"/>
  <c r="S105" s="1"/>
  <c r="G105"/>
  <c r="R105" s="1"/>
  <c r="F105"/>
  <c r="Q105" s="1"/>
  <c r="E105"/>
  <c r="P105" s="1"/>
  <c r="H104"/>
  <c r="S104" s="1"/>
  <c r="F103"/>
  <c r="Q103" s="1"/>
  <c r="H102"/>
  <c r="S102" s="1"/>
  <c r="F102"/>
  <c r="Q102" s="1"/>
  <c r="H101"/>
  <c r="S101" s="1"/>
  <c r="F101"/>
  <c r="Q101" s="1"/>
  <c r="H100"/>
  <c r="S100" s="1"/>
  <c r="F100"/>
  <c r="Q100" s="1"/>
  <c r="H99"/>
  <c r="S99" s="1"/>
  <c r="F99"/>
  <c r="Q99" s="1"/>
  <c r="H98"/>
  <c r="S98" s="1"/>
  <c r="F98"/>
  <c r="Q98" s="1"/>
  <c r="H97"/>
  <c r="S97" s="1"/>
  <c r="F97"/>
  <c r="Q97" s="1"/>
  <c r="H96"/>
  <c r="S96" s="1"/>
  <c r="F96"/>
  <c r="Q96" s="1"/>
  <c r="H94"/>
  <c r="S94" s="1"/>
  <c r="F94"/>
  <c r="Q94" s="1"/>
  <c r="T94" s="1"/>
  <c r="F93"/>
  <c r="Q93" s="1"/>
  <c r="T93" s="1"/>
  <c r="F92"/>
  <c r="Q92" s="1"/>
  <c r="H91"/>
  <c r="S91" s="1"/>
  <c r="F91"/>
  <c r="Q91" s="1"/>
  <c r="H90"/>
  <c r="S90" s="1"/>
  <c r="F90"/>
  <c r="Q90" s="1"/>
  <c r="H88"/>
  <c r="S88" s="1"/>
  <c r="G88"/>
  <c r="R88" s="1"/>
  <c r="F88"/>
  <c r="Q88" s="1"/>
  <c r="E88"/>
  <c r="P88" s="1"/>
  <c r="H87"/>
  <c r="S87" s="1"/>
  <c r="F87"/>
  <c r="Q87" s="1"/>
  <c r="H85"/>
  <c r="S85" s="1"/>
  <c r="G85"/>
  <c r="R85" s="1"/>
  <c r="F85"/>
  <c r="Q85" s="1"/>
  <c r="E85"/>
  <c r="P85" s="1"/>
  <c r="H84"/>
  <c r="S84" s="1"/>
  <c r="F84"/>
  <c r="Q84" s="1"/>
  <c r="H82"/>
  <c r="S82" s="1"/>
  <c r="F82"/>
  <c r="Q82" s="1"/>
  <c r="H80"/>
  <c r="S80" s="1"/>
  <c r="F80"/>
  <c r="Q80" s="1"/>
  <c r="H79"/>
  <c r="S79" s="1"/>
  <c r="G79"/>
  <c r="R79" s="1"/>
  <c r="F79"/>
  <c r="Q79" s="1"/>
  <c r="E79"/>
  <c r="P79" s="1"/>
  <c r="H78"/>
  <c r="S78" s="1"/>
  <c r="F78"/>
  <c r="Q78" s="1"/>
  <c r="H77"/>
  <c r="S77" s="1"/>
  <c r="F77"/>
  <c r="Q77" s="1"/>
  <c r="H76"/>
  <c r="S76" s="1"/>
  <c r="F76"/>
  <c r="Q76" s="1"/>
  <c r="H75"/>
  <c r="S75" s="1"/>
  <c r="F75"/>
  <c r="Q75" s="1"/>
  <c r="H73"/>
  <c r="S73" s="1"/>
  <c r="G73"/>
  <c r="R73" s="1"/>
  <c r="F73"/>
  <c r="Q73" s="1"/>
  <c r="E73"/>
  <c r="P73" s="1"/>
  <c r="H72"/>
  <c r="S72" s="1"/>
  <c r="F72"/>
  <c r="Q72" s="1"/>
  <c r="H71"/>
  <c r="S71" s="1"/>
  <c r="F71"/>
  <c r="Q71" s="1"/>
  <c r="H69"/>
  <c r="S69" s="1"/>
  <c r="G69"/>
  <c r="R69" s="1"/>
  <c r="F69"/>
  <c r="Q69" s="1"/>
  <c r="E69"/>
  <c r="P69" s="1"/>
  <c r="H68"/>
  <c r="S68" s="1"/>
  <c r="F68"/>
  <c r="Q68" s="1"/>
  <c r="H66"/>
  <c r="S66" s="1"/>
  <c r="F66"/>
  <c r="Q66" s="1"/>
  <c r="H65"/>
  <c r="S65" s="1"/>
  <c r="G65"/>
  <c r="R65" s="1"/>
  <c r="F65"/>
  <c r="Q65" s="1"/>
  <c r="E65"/>
  <c r="P65" s="1"/>
  <c r="H64"/>
  <c r="S64" s="1"/>
  <c r="G64"/>
  <c r="R64" s="1"/>
  <c r="F64"/>
  <c r="Q64" s="1"/>
  <c r="E64"/>
  <c r="P64" s="1"/>
  <c r="H63"/>
  <c r="S63" s="1"/>
  <c r="G63"/>
  <c r="R63" s="1"/>
  <c r="F63"/>
  <c r="Q63" s="1"/>
  <c r="E63"/>
  <c r="P63" s="1"/>
  <c r="H62"/>
  <c r="S62" s="1"/>
  <c r="F62"/>
  <c r="Q62" s="1"/>
  <c r="T62" s="1"/>
  <c r="H61"/>
  <c r="S61" s="1"/>
  <c r="F61"/>
  <c r="Q61" s="1"/>
  <c r="H60"/>
  <c r="S60" s="1"/>
  <c r="F60"/>
  <c r="Q60" s="1"/>
  <c r="H59"/>
  <c r="S59" s="1"/>
  <c r="F59"/>
  <c r="Q59" s="1"/>
  <c r="H58"/>
  <c r="S58" s="1"/>
  <c r="F58"/>
  <c r="Q58" s="1"/>
  <c r="H57"/>
  <c r="S57" s="1"/>
  <c r="F57"/>
  <c r="Q57" s="1"/>
  <c r="F56"/>
  <c r="Q56" s="1"/>
  <c r="T56" s="1"/>
  <c r="H55"/>
  <c r="S55" s="1"/>
  <c r="F55"/>
  <c r="Q55" s="1"/>
  <c r="H53"/>
  <c r="S53" s="1"/>
  <c r="G53"/>
  <c r="R53" s="1"/>
  <c r="F53"/>
  <c r="Q53" s="1"/>
  <c r="E53"/>
  <c r="P53" s="1"/>
  <c r="H52"/>
  <c r="S52" s="1"/>
  <c r="F52"/>
  <c r="Q52" s="1"/>
  <c r="F51"/>
  <c r="Q51" s="1"/>
  <c r="F50"/>
  <c r="Q50" s="1"/>
  <c r="F49"/>
  <c r="Q49" s="1"/>
  <c r="F48"/>
  <c r="Q48" s="1"/>
  <c r="T48" s="1"/>
  <c r="F47"/>
  <c r="Q47" s="1"/>
  <c r="F46"/>
  <c r="Q46" s="1"/>
  <c r="T46" s="1"/>
  <c r="H45"/>
  <c r="S45" s="1"/>
  <c r="F45"/>
  <c r="Q45" s="1"/>
  <c r="T45" s="1"/>
  <c r="H44"/>
  <c r="S44" s="1"/>
  <c r="F44"/>
  <c r="Q44" s="1"/>
  <c r="H43"/>
  <c r="S43" s="1"/>
  <c r="F43"/>
  <c r="H41"/>
  <c r="S41" s="1"/>
  <c r="F41"/>
  <c r="Q41" s="1"/>
  <c r="H40"/>
  <c r="S40" s="1"/>
  <c r="F40"/>
  <c r="Q40" s="1"/>
  <c r="H39"/>
  <c r="S39" s="1"/>
  <c r="F39"/>
  <c r="Q39" s="1"/>
  <c r="H38"/>
  <c r="S38" s="1"/>
  <c r="F38"/>
  <c r="Q38" s="1"/>
  <c r="T38" s="1"/>
  <c r="H37"/>
  <c r="S37" s="1"/>
  <c r="F37"/>
  <c r="Q37" s="1"/>
  <c r="T37" s="1"/>
  <c r="F36"/>
  <c r="Q36" s="1"/>
  <c r="F35"/>
  <c r="Q35" s="1"/>
  <c r="H34"/>
  <c r="S34" s="1"/>
  <c r="G34"/>
  <c r="R34" s="1"/>
  <c r="F34"/>
  <c r="Q34" s="1"/>
  <c r="E34"/>
  <c r="P34" s="1"/>
  <c r="H33"/>
  <c r="S33" s="1"/>
  <c r="F33"/>
  <c r="Q33" s="1"/>
  <c r="F31"/>
  <c r="Q31" s="1"/>
  <c r="H30"/>
  <c r="S30" s="1"/>
  <c r="F30"/>
  <c r="Q30" s="1"/>
  <c r="T30" s="1"/>
  <c r="H29"/>
  <c r="S29" s="1"/>
  <c r="F29"/>
  <c r="Q29" s="1"/>
  <c r="H28"/>
  <c r="S28" s="1"/>
  <c r="F28"/>
  <c r="Q28" s="1"/>
  <c r="H27"/>
  <c r="S27" s="1"/>
  <c r="F27"/>
  <c r="Q27" s="1"/>
  <c r="H26"/>
  <c r="S26" s="1"/>
  <c r="F26"/>
  <c r="Q26" s="1"/>
  <c r="H25"/>
  <c r="S25" s="1"/>
  <c r="F25"/>
  <c r="Q25" s="1"/>
  <c r="H23"/>
  <c r="S23" s="1"/>
  <c r="F23"/>
  <c r="Q23" s="1"/>
  <c r="H22"/>
  <c r="S22" s="1"/>
  <c r="F22"/>
  <c r="Q22" s="1"/>
  <c r="H21"/>
  <c r="S21" s="1"/>
  <c r="F21"/>
  <c r="Q21" s="1"/>
  <c r="H20"/>
  <c r="S20" s="1"/>
  <c r="F20"/>
  <c r="Q20" s="1"/>
  <c r="H19"/>
  <c r="S19" s="1"/>
  <c r="F19"/>
  <c r="Q19" s="1"/>
  <c r="H18"/>
  <c r="S18" s="1"/>
  <c r="F18"/>
  <c r="Q18" s="1"/>
  <c r="H17"/>
  <c r="S17" s="1"/>
  <c r="F17"/>
  <c r="Q17" s="1"/>
  <c r="H16"/>
  <c r="S16" s="1"/>
  <c r="F16"/>
  <c r="H15"/>
  <c r="S15" s="1"/>
  <c r="F15"/>
  <c r="Q15" s="1"/>
  <c r="G13"/>
  <c r="H13" s="1"/>
  <c r="S13" s="1"/>
  <c r="E13"/>
  <c r="P13" s="1"/>
  <c r="H12"/>
  <c r="S12" s="1"/>
  <c r="F12"/>
  <c r="Q12" s="1"/>
  <c r="H11"/>
  <c r="S11" s="1"/>
  <c r="F11"/>
  <c r="Q11" s="1"/>
  <c r="H10"/>
  <c r="S10" s="1"/>
  <c r="F10"/>
  <c r="Q10" s="1"/>
  <c r="H9"/>
  <c r="S9" s="1"/>
  <c r="F9"/>
  <c r="Q9" s="1"/>
  <c r="H8"/>
  <c r="S8" s="1"/>
  <c r="F8"/>
  <c r="Q8" s="1"/>
  <c r="H237" i="15"/>
  <c r="S237" s="1"/>
  <c r="G237"/>
  <c r="R237" s="1"/>
  <c r="F237"/>
  <c r="Q237" s="1"/>
  <c r="E237"/>
  <c r="H234"/>
  <c r="S234" s="1"/>
  <c r="G234"/>
  <c r="R234" s="1"/>
  <c r="F234"/>
  <c r="Q234" s="1"/>
  <c r="E234"/>
  <c r="H232"/>
  <c r="S232" s="1"/>
  <c r="G232"/>
  <c r="R232" s="1"/>
  <c r="F232"/>
  <c r="Q232" s="1"/>
  <c r="E232"/>
  <c r="H231"/>
  <c r="S231" s="1"/>
  <c r="F231"/>
  <c r="Q231" s="1"/>
  <c r="F230"/>
  <c r="Q230" s="1"/>
  <c r="H229"/>
  <c r="S229" s="1"/>
  <c r="F229"/>
  <c r="Q229" s="1"/>
  <c r="H228"/>
  <c r="S228" s="1"/>
  <c r="F228"/>
  <c r="Q228" s="1"/>
  <c r="H227"/>
  <c r="S227" s="1"/>
  <c r="F227"/>
  <c r="Q227" s="1"/>
  <c r="H226"/>
  <c r="S226" s="1"/>
  <c r="F226"/>
  <c r="Q226" s="1"/>
  <c r="H225"/>
  <c r="S225" s="1"/>
  <c r="F225"/>
  <c r="Q225" s="1"/>
  <c r="F224"/>
  <c r="Q224" s="1"/>
  <c r="H223"/>
  <c r="S223" s="1"/>
  <c r="F223"/>
  <c r="Q223" s="1"/>
  <c r="H222"/>
  <c r="S222" s="1"/>
  <c r="F222"/>
  <c r="Q222" s="1"/>
  <c r="F221"/>
  <c r="Q221" s="1"/>
  <c r="H220"/>
  <c r="S220" s="1"/>
  <c r="F220"/>
  <c r="Q220" s="1"/>
  <c r="H219"/>
  <c r="S219" s="1"/>
  <c r="F219"/>
  <c r="Q219" s="1"/>
  <c r="H218"/>
  <c r="S218" s="1"/>
  <c r="F218"/>
  <c r="Q218" s="1"/>
  <c r="F217"/>
  <c r="Q217" s="1"/>
  <c r="H216"/>
  <c r="S216" s="1"/>
  <c r="F216"/>
  <c r="Q216" s="1"/>
  <c r="H215"/>
  <c r="S215" s="1"/>
  <c r="F215"/>
  <c r="Q215" s="1"/>
  <c r="H214"/>
  <c r="S214" s="1"/>
  <c r="F214"/>
  <c r="Q214" s="1"/>
  <c r="H213"/>
  <c r="S213" s="1"/>
  <c r="F213"/>
  <c r="Q213" s="1"/>
  <c r="H212"/>
  <c r="S212" s="1"/>
  <c r="F212"/>
  <c r="Q212" s="1"/>
  <c r="F211"/>
  <c r="Q211" s="1"/>
  <c r="H210"/>
  <c r="S210" s="1"/>
  <c r="F210"/>
  <c r="Q210" s="1"/>
  <c r="H208"/>
  <c r="S208" s="1"/>
  <c r="F208"/>
  <c r="F207"/>
  <c r="Q207" s="1"/>
  <c r="H206"/>
  <c r="S206" s="1"/>
  <c r="F206"/>
  <c r="Q206" s="1"/>
  <c r="H205"/>
  <c r="S205" s="1"/>
  <c r="F205"/>
  <c r="Q205" s="1"/>
  <c r="H204"/>
  <c r="S204" s="1"/>
  <c r="F204"/>
  <c r="Q204" s="1"/>
  <c r="H203"/>
  <c r="S203" s="1"/>
  <c r="F203"/>
  <c r="Q203" s="1"/>
  <c r="H201"/>
  <c r="S201" s="1"/>
  <c r="F201"/>
  <c r="Q201" s="1"/>
  <c r="H200"/>
  <c r="S200" s="1"/>
  <c r="F200"/>
  <c r="Q200" s="1"/>
  <c r="H199"/>
  <c r="S199" s="1"/>
  <c r="F199"/>
  <c r="Q199" s="1"/>
  <c r="H198"/>
  <c r="S198" s="1"/>
  <c r="F198"/>
  <c r="Q198" s="1"/>
  <c r="H197"/>
  <c r="S197" s="1"/>
  <c r="F197"/>
  <c r="Q197" s="1"/>
  <c r="H196"/>
  <c r="S196" s="1"/>
  <c r="F196"/>
  <c r="Q196" s="1"/>
  <c r="H195"/>
  <c r="S195" s="1"/>
  <c r="F195"/>
  <c r="Q195" s="1"/>
  <c r="H193"/>
  <c r="S193" s="1"/>
  <c r="G193"/>
  <c r="R193" s="1"/>
  <c r="F193"/>
  <c r="Q193" s="1"/>
  <c r="E193"/>
  <c r="H192"/>
  <c r="S192" s="1"/>
  <c r="F192"/>
  <c r="Q192" s="1"/>
  <c r="H191"/>
  <c r="S191" s="1"/>
  <c r="G191"/>
  <c r="R191" s="1"/>
  <c r="F191"/>
  <c r="Q191" s="1"/>
  <c r="E191"/>
  <c r="H190"/>
  <c r="S190" s="1"/>
  <c r="F190"/>
  <c r="Q190" s="1"/>
  <c r="H189"/>
  <c r="S189" s="1"/>
  <c r="F189"/>
  <c r="Q189" s="1"/>
  <c r="H188"/>
  <c r="S188" s="1"/>
  <c r="F188"/>
  <c r="Q188" s="1"/>
  <c r="H187"/>
  <c r="S187" s="1"/>
  <c r="F187"/>
  <c r="Q187" s="1"/>
  <c r="H186"/>
  <c r="S186" s="1"/>
  <c r="F186"/>
  <c r="Q186" s="1"/>
  <c r="H185"/>
  <c r="S185" s="1"/>
  <c r="F185"/>
  <c r="H184"/>
  <c r="S184" s="1"/>
  <c r="F184"/>
  <c r="Q184" s="1"/>
  <c r="H183"/>
  <c r="S183" s="1"/>
  <c r="F183"/>
  <c r="Q183" s="1"/>
  <c r="H182"/>
  <c r="S182" s="1"/>
  <c r="F182"/>
  <c r="Q182" s="1"/>
  <c r="H181"/>
  <c r="S181" s="1"/>
  <c r="F181"/>
  <c r="Q181" s="1"/>
  <c r="H180"/>
  <c r="S180" s="1"/>
  <c r="F180"/>
  <c r="Q180" s="1"/>
  <c r="H179"/>
  <c r="S179" s="1"/>
  <c r="F179"/>
  <c r="Q179" s="1"/>
  <c r="H178"/>
  <c r="S178" s="1"/>
  <c r="F178"/>
  <c r="Q178" s="1"/>
  <c r="F177"/>
  <c r="Q177" s="1"/>
  <c r="H176"/>
  <c r="S176" s="1"/>
  <c r="F176"/>
  <c r="Q176" s="1"/>
  <c r="F174"/>
  <c r="Q174" s="1"/>
  <c r="F173"/>
  <c r="Q173" s="1"/>
  <c r="F172"/>
  <c r="Q172" s="1"/>
  <c r="H171"/>
  <c r="S171" s="1"/>
  <c r="F171"/>
  <c r="Q171" s="1"/>
  <c r="H170"/>
  <c r="S170" s="1"/>
  <c r="F170"/>
  <c r="Q170" s="1"/>
  <c r="H169"/>
  <c r="S169" s="1"/>
  <c r="F169"/>
  <c r="Q169" s="1"/>
  <c r="H168"/>
  <c r="S168" s="1"/>
  <c r="F168"/>
  <c r="Q168" s="1"/>
  <c r="H167"/>
  <c r="S167" s="1"/>
  <c r="F167"/>
  <c r="Q167" s="1"/>
  <c r="F166"/>
  <c r="Q166" s="1"/>
  <c r="F165"/>
  <c r="Q165" s="1"/>
  <c r="H164"/>
  <c r="S164" s="1"/>
  <c r="F164"/>
  <c r="Q164" s="1"/>
  <c r="H163"/>
  <c r="S163" s="1"/>
  <c r="F163"/>
  <c r="Q163" s="1"/>
  <c r="H162"/>
  <c r="S162" s="1"/>
  <c r="F162"/>
  <c r="Q162" s="1"/>
  <c r="H159"/>
  <c r="S159" s="1"/>
  <c r="F159"/>
  <c r="Q159" s="1"/>
  <c r="H158"/>
  <c r="S158" s="1"/>
  <c r="F158"/>
  <c r="Q158" s="1"/>
  <c r="H157"/>
  <c r="S157" s="1"/>
  <c r="G157"/>
  <c r="R157" s="1"/>
  <c r="F157"/>
  <c r="Q157" s="1"/>
  <c r="E157"/>
  <c r="H156"/>
  <c r="S156" s="1"/>
  <c r="F156"/>
  <c r="Q156" s="1"/>
  <c r="F153"/>
  <c r="Q153" s="1"/>
  <c r="H152"/>
  <c r="S152" s="1"/>
  <c r="G152"/>
  <c r="R152" s="1"/>
  <c r="F152"/>
  <c r="E152"/>
  <c r="H151"/>
  <c r="S151" s="1"/>
  <c r="G151"/>
  <c r="R151" s="1"/>
  <c r="F151"/>
  <c r="Q151" s="1"/>
  <c r="E151"/>
  <c r="H150"/>
  <c r="S150" s="1"/>
  <c r="G150"/>
  <c r="R150" s="1"/>
  <c r="F150"/>
  <c r="Q150" s="1"/>
  <c r="E150"/>
  <c r="H149"/>
  <c r="S149" s="1"/>
  <c r="G149"/>
  <c r="R149" s="1"/>
  <c r="F149"/>
  <c r="Q149" s="1"/>
  <c r="E149"/>
  <c r="H148"/>
  <c r="S148" s="1"/>
  <c r="F148"/>
  <c r="Q148" s="1"/>
  <c r="H147"/>
  <c r="S147" s="1"/>
  <c r="F147"/>
  <c r="Q147" s="1"/>
  <c r="H146"/>
  <c r="S146" s="1"/>
  <c r="F146"/>
  <c r="Q146" s="1"/>
  <c r="H145"/>
  <c r="S145" s="1"/>
  <c r="F145"/>
  <c r="Q145" s="1"/>
  <c r="H144"/>
  <c r="S144" s="1"/>
  <c r="F144"/>
  <c r="Q144" s="1"/>
  <c r="H143"/>
  <c r="S143" s="1"/>
  <c r="F143"/>
  <c r="Q143" s="1"/>
  <c r="H142"/>
  <c r="S142" s="1"/>
  <c r="F142"/>
  <c r="Q142" s="1"/>
  <c r="H141"/>
  <c r="S141" s="1"/>
  <c r="G141"/>
  <c r="R141" s="1"/>
  <c r="F141"/>
  <c r="Q141" s="1"/>
  <c r="E141"/>
  <c r="H140"/>
  <c r="S140" s="1"/>
  <c r="F140"/>
  <c r="Q140" s="1"/>
  <c r="H139"/>
  <c r="S139" s="1"/>
  <c r="F139"/>
  <c r="Q139" s="1"/>
  <c r="H138"/>
  <c r="S138" s="1"/>
  <c r="F138"/>
  <c r="Q138" s="1"/>
  <c r="H137"/>
  <c r="S137" s="1"/>
  <c r="E137"/>
  <c r="F137" s="1"/>
  <c r="Q137" s="1"/>
  <c r="H136"/>
  <c r="S136" s="1"/>
  <c r="E136"/>
  <c r="F136" s="1"/>
  <c r="Q136" s="1"/>
  <c r="H135"/>
  <c r="S135" s="1"/>
  <c r="G135"/>
  <c r="R135" s="1"/>
  <c r="F135"/>
  <c r="Q135" s="1"/>
  <c r="E135"/>
  <c r="H134"/>
  <c r="S134" s="1"/>
  <c r="G134"/>
  <c r="R134" s="1"/>
  <c r="F134"/>
  <c r="Q134" s="1"/>
  <c r="E134"/>
  <c r="H133"/>
  <c r="S133" s="1"/>
  <c r="G133"/>
  <c r="R133" s="1"/>
  <c r="F133"/>
  <c r="Q133" s="1"/>
  <c r="E133"/>
  <c r="F132"/>
  <c r="Q132" s="1"/>
  <c r="F131"/>
  <c r="Q131" s="1"/>
  <c r="H130"/>
  <c r="S130" s="1"/>
  <c r="F130"/>
  <c r="Q130" s="1"/>
  <c r="H129"/>
  <c r="S129" s="1"/>
  <c r="F129"/>
  <c r="Q129" s="1"/>
  <c r="H128"/>
  <c r="S128" s="1"/>
  <c r="F128"/>
  <c r="Q128" s="1"/>
  <c r="H126"/>
  <c r="S126" s="1"/>
  <c r="G126"/>
  <c r="R126" s="1"/>
  <c r="F126"/>
  <c r="Q126" s="1"/>
  <c r="E126"/>
  <c r="H125"/>
  <c r="S125" s="1"/>
  <c r="G125"/>
  <c r="R125" s="1"/>
  <c r="F125"/>
  <c r="Q125" s="1"/>
  <c r="E125"/>
  <c r="H124"/>
  <c r="S124" s="1"/>
  <c r="G124"/>
  <c r="R124" s="1"/>
  <c r="F124"/>
  <c r="Q124" s="1"/>
  <c r="E124"/>
  <c r="H123"/>
  <c r="S123" s="1"/>
  <c r="G123"/>
  <c r="R123" s="1"/>
  <c r="F123"/>
  <c r="Q123" s="1"/>
  <c r="E123"/>
  <c r="F122"/>
  <c r="Q122" s="1"/>
  <c r="H121"/>
  <c r="S121" s="1"/>
  <c r="F121"/>
  <c r="Q121" s="1"/>
  <c r="H120"/>
  <c r="F120"/>
  <c r="Q120" s="1"/>
  <c r="H119"/>
  <c r="S119" s="1"/>
  <c r="F119"/>
  <c r="Q119" s="1"/>
  <c r="H118"/>
  <c r="S118" s="1"/>
  <c r="F118"/>
  <c r="Q118" s="1"/>
  <c r="H117"/>
  <c r="S117" s="1"/>
  <c r="F117"/>
  <c r="Q117" s="1"/>
  <c r="H116"/>
  <c r="S116" s="1"/>
  <c r="F116"/>
  <c r="Q116" s="1"/>
  <c r="H115"/>
  <c r="S115" s="1"/>
  <c r="F115"/>
  <c r="Q115" s="1"/>
  <c r="H114"/>
  <c r="S114" s="1"/>
  <c r="F114"/>
  <c r="Q114" s="1"/>
  <c r="H113"/>
  <c r="S113" s="1"/>
  <c r="F113"/>
  <c r="Q113" s="1"/>
  <c r="F112"/>
  <c r="Q112" s="1"/>
  <c r="H111"/>
  <c r="S111" s="1"/>
  <c r="F111"/>
  <c r="Q111" s="1"/>
  <c r="H110"/>
  <c r="S110" s="1"/>
  <c r="F110"/>
  <c r="Q110" s="1"/>
  <c r="H109"/>
  <c r="S109" s="1"/>
  <c r="F109"/>
  <c r="Q109" s="1"/>
  <c r="H107"/>
  <c r="S107" s="1"/>
  <c r="G107"/>
  <c r="R107" s="1"/>
  <c r="F107"/>
  <c r="Q107" s="1"/>
  <c r="E107"/>
  <c r="H106"/>
  <c r="S106" s="1"/>
  <c r="G106"/>
  <c r="R106" s="1"/>
  <c r="F106"/>
  <c r="Q106" s="1"/>
  <c r="E106"/>
  <c r="H105"/>
  <c r="S105" s="1"/>
  <c r="F104"/>
  <c r="Q104" s="1"/>
  <c r="H103"/>
  <c r="S103" s="1"/>
  <c r="F103"/>
  <c r="Q103" s="1"/>
  <c r="H102"/>
  <c r="S102" s="1"/>
  <c r="F102"/>
  <c r="Q102" s="1"/>
  <c r="H101"/>
  <c r="S101" s="1"/>
  <c r="F101"/>
  <c r="Q101" s="1"/>
  <c r="H100"/>
  <c r="S100" s="1"/>
  <c r="F100"/>
  <c r="Q100" s="1"/>
  <c r="H99"/>
  <c r="S99" s="1"/>
  <c r="F99"/>
  <c r="Q99" s="1"/>
  <c r="H98"/>
  <c r="S98" s="1"/>
  <c r="F98"/>
  <c r="Q98" s="1"/>
  <c r="H97"/>
  <c r="S97" s="1"/>
  <c r="F97"/>
  <c r="Q97" s="1"/>
  <c r="H95"/>
  <c r="S95" s="1"/>
  <c r="F95"/>
  <c r="Q95" s="1"/>
  <c r="F94"/>
  <c r="Q94" s="1"/>
  <c r="F93"/>
  <c r="Q93" s="1"/>
  <c r="H92"/>
  <c r="S92" s="1"/>
  <c r="F92"/>
  <c r="Q92" s="1"/>
  <c r="H91"/>
  <c r="S91" s="1"/>
  <c r="F91"/>
  <c r="Q91" s="1"/>
  <c r="H89"/>
  <c r="S89" s="1"/>
  <c r="G89"/>
  <c r="R89" s="1"/>
  <c r="F89"/>
  <c r="Q89" s="1"/>
  <c r="E89"/>
  <c r="H88"/>
  <c r="S88" s="1"/>
  <c r="F88"/>
  <c r="Q88" s="1"/>
  <c r="H86"/>
  <c r="S86" s="1"/>
  <c r="G86"/>
  <c r="R86" s="1"/>
  <c r="F86"/>
  <c r="Q86" s="1"/>
  <c r="E86"/>
  <c r="H85"/>
  <c r="S85" s="1"/>
  <c r="F85"/>
  <c r="H83"/>
  <c r="S83" s="1"/>
  <c r="F83"/>
  <c r="Q83" s="1"/>
  <c r="H81"/>
  <c r="S81" s="1"/>
  <c r="F81"/>
  <c r="Q81" s="1"/>
  <c r="H80"/>
  <c r="S80" s="1"/>
  <c r="G80"/>
  <c r="R80" s="1"/>
  <c r="F80"/>
  <c r="Q80" s="1"/>
  <c r="E80"/>
  <c r="H79"/>
  <c r="S79" s="1"/>
  <c r="F79"/>
  <c r="Q79" s="1"/>
  <c r="H78"/>
  <c r="S78" s="1"/>
  <c r="F78"/>
  <c r="Q78" s="1"/>
  <c r="H77"/>
  <c r="S77" s="1"/>
  <c r="F77"/>
  <c r="Q77" s="1"/>
  <c r="H76"/>
  <c r="S76" s="1"/>
  <c r="F76"/>
  <c r="Q76" s="1"/>
  <c r="H74"/>
  <c r="S74" s="1"/>
  <c r="G74"/>
  <c r="R74" s="1"/>
  <c r="F74"/>
  <c r="Q74" s="1"/>
  <c r="E74"/>
  <c r="H73"/>
  <c r="S73" s="1"/>
  <c r="F73"/>
  <c r="Q73" s="1"/>
  <c r="H72"/>
  <c r="S72" s="1"/>
  <c r="F72"/>
  <c r="Q72" s="1"/>
  <c r="H70"/>
  <c r="S70" s="1"/>
  <c r="G70"/>
  <c r="R70" s="1"/>
  <c r="F70"/>
  <c r="Q70" s="1"/>
  <c r="E70"/>
  <c r="H69"/>
  <c r="S69" s="1"/>
  <c r="F69"/>
  <c r="Q69" s="1"/>
  <c r="H67"/>
  <c r="S67" s="1"/>
  <c r="F67"/>
  <c r="Q67" s="1"/>
  <c r="H66"/>
  <c r="S66" s="1"/>
  <c r="G66"/>
  <c r="R66" s="1"/>
  <c r="F66"/>
  <c r="Q66" s="1"/>
  <c r="E66"/>
  <c r="H65"/>
  <c r="S65" s="1"/>
  <c r="G65"/>
  <c r="R65" s="1"/>
  <c r="F65"/>
  <c r="Q65" s="1"/>
  <c r="E65"/>
  <c r="H64"/>
  <c r="S64" s="1"/>
  <c r="G64"/>
  <c r="R64" s="1"/>
  <c r="F64"/>
  <c r="Q64" s="1"/>
  <c r="E64"/>
  <c r="H63"/>
  <c r="S63" s="1"/>
  <c r="F63"/>
  <c r="Q63" s="1"/>
  <c r="H62"/>
  <c r="S62" s="1"/>
  <c r="F62"/>
  <c r="Q62" s="1"/>
  <c r="H61"/>
  <c r="S61" s="1"/>
  <c r="F61"/>
  <c r="Q61" s="1"/>
  <c r="H60"/>
  <c r="S60" s="1"/>
  <c r="F60"/>
  <c r="Q60" s="1"/>
  <c r="H59"/>
  <c r="S59" s="1"/>
  <c r="F59"/>
  <c r="Q59" s="1"/>
  <c r="H58"/>
  <c r="S58" s="1"/>
  <c r="F58"/>
  <c r="Q58" s="1"/>
  <c r="F57"/>
  <c r="Q57" s="1"/>
  <c r="H56"/>
  <c r="S56" s="1"/>
  <c r="F56"/>
  <c r="Q56" s="1"/>
  <c r="H54"/>
  <c r="S54" s="1"/>
  <c r="G54"/>
  <c r="R54" s="1"/>
  <c r="F54"/>
  <c r="Q54" s="1"/>
  <c r="E54"/>
  <c r="H53"/>
  <c r="S53" s="1"/>
  <c r="F53"/>
  <c r="Q53" s="1"/>
  <c r="F52"/>
  <c r="Q52" s="1"/>
  <c r="F51"/>
  <c r="Q51" s="1"/>
  <c r="F50"/>
  <c r="Q50" s="1"/>
  <c r="F49"/>
  <c r="Q49" s="1"/>
  <c r="F48"/>
  <c r="Q48" s="1"/>
  <c r="T48" s="1"/>
  <c r="F47"/>
  <c r="Q47" s="1"/>
  <c r="H46"/>
  <c r="S46" s="1"/>
  <c r="F46"/>
  <c r="Q46" s="1"/>
  <c r="H45"/>
  <c r="S45" s="1"/>
  <c r="F45"/>
  <c r="Q45" s="1"/>
  <c r="H44"/>
  <c r="S44" s="1"/>
  <c r="F44"/>
  <c r="Q44" s="1"/>
  <c r="H42"/>
  <c r="S42" s="1"/>
  <c r="F42"/>
  <c r="Q42" s="1"/>
  <c r="H41"/>
  <c r="S41" s="1"/>
  <c r="F41"/>
  <c r="Q41" s="1"/>
  <c r="H40"/>
  <c r="S40" s="1"/>
  <c r="F40"/>
  <c r="Q40" s="1"/>
  <c r="H39"/>
  <c r="S39" s="1"/>
  <c r="F39"/>
  <c r="Q39" s="1"/>
  <c r="H38"/>
  <c r="S38" s="1"/>
  <c r="F38"/>
  <c r="Q38" s="1"/>
  <c r="F37"/>
  <c r="Q37" s="1"/>
  <c r="T37" s="1"/>
  <c r="F36"/>
  <c r="Q36" s="1"/>
  <c r="H35"/>
  <c r="S35" s="1"/>
  <c r="G35"/>
  <c r="R35" s="1"/>
  <c r="F35"/>
  <c r="Q35" s="1"/>
  <c r="E35"/>
  <c r="H34"/>
  <c r="S34" s="1"/>
  <c r="F34"/>
  <c r="Q34" s="1"/>
  <c r="F32"/>
  <c r="Q32" s="1"/>
  <c r="H31"/>
  <c r="S31" s="1"/>
  <c r="F31"/>
  <c r="Q31" s="1"/>
  <c r="H30"/>
  <c r="S30" s="1"/>
  <c r="F30"/>
  <c r="Q30" s="1"/>
  <c r="H29"/>
  <c r="S29" s="1"/>
  <c r="F29"/>
  <c r="Q29" s="1"/>
  <c r="H28"/>
  <c r="S28" s="1"/>
  <c r="F28"/>
  <c r="Q28" s="1"/>
  <c r="H27"/>
  <c r="S27" s="1"/>
  <c r="F27"/>
  <c r="Q27" s="1"/>
  <c r="H26"/>
  <c r="S26" s="1"/>
  <c r="F26"/>
  <c r="Q26" s="1"/>
  <c r="H24"/>
  <c r="S24" s="1"/>
  <c r="F24"/>
  <c r="Q24" s="1"/>
  <c r="H23"/>
  <c r="S23" s="1"/>
  <c r="F23"/>
  <c r="Q23" s="1"/>
  <c r="H22"/>
  <c r="S22" s="1"/>
  <c r="F22"/>
  <c r="Q22" s="1"/>
  <c r="H21"/>
  <c r="S21" s="1"/>
  <c r="F21"/>
  <c r="Q21" s="1"/>
  <c r="H20"/>
  <c r="S20" s="1"/>
  <c r="F20"/>
  <c r="Q20" s="1"/>
  <c r="H19"/>
  <c r="S19" s="1"/>
  <c r="F19"/>
  <c r="Q19" s="1"/>
  <c r="H18"/>
  <c r="S18" s="1"/>
  <c r="F18"/>
  <c r="Q18" s="1"/>
  <c r="H17"/>
  <c r="S17" s="1"/>
  <c r="F17"/>
  <c r="Q17" s="1"/>
  <c r="H16"/>
  <c r="S16" s="1"/>
  <c r="F16"/>
  <c r="Q16" s="1"/>
  <c r="G14"/>
  <c r="R14" s="1"/>
  <c r="F14"/>
  <c r="Q14" s="1"/>
  <c r="E14"/>
  <c r="H13"/>
  <c r="S13" s="1"/>
  <c r="F13"/>
  <c r="Q13" s="1"/>
  <c r="H12"/>
  <c r="S12" s="1"/>
  <c r="F12"/>
  <c r="Q12" s="1"/>
  <c r="H11"/>
  <c r="S11" s="1"/>
  <c r="F11"/>
  <c r="Q11" s="1"/>
  <c r="H10"/>
  <c r="S10" s="1"/>
  <c r="F10"/>
  <c r="Q10" s="1"/>
  <c r="H9"/>
  <c r="S9" s="1"/>
  <c r="F9"/>
  <c r="Q9" s="1"/>
  <c r="H152" i="12"/>
  <c r="S152" s="1"/>
  <c r="G152"/>
  <c r="R152" s="1"/>
  <c r="F152"/>
  <c r="Q152" s="1"/>
  <c r="E152"/>
  <c r="P152" s="1"/>
  <c r="H141"/>
  <c r="S141" s="1"/>
  <c r="G141"/>
  <c r="R141" s="1"/>
  <c r="F141"/>
  <c r="E141"/>
  <c r="P141" s="1"/>
  <c r="H135"/>
  <c r="S135" s="1"/>
  <c r="G135"/>
  <c r="R135" s="1"/>
  <c r="H134"/>
  <c r="S134" s="1"/>
  <c r="G134"/>
  <c r="R134" s="1"/>
  <c r="F135"/>
  <c r="Q135" s="1"/>
  <c r="E135"/>
  <c r="P135" s="1"/>
  <c r="T135" s="1"/>
  <c r="F134"/>
  <c r="Q134" s="1"/>
  <c r="E134"/>
  <c r="P134" s="1"/>
  <c r="H133"/>
  <c r="S133" s="1"/>
  <c r="G133"/>
  <c r="F133"/>
  <c r="Q133" s="1"/>
  <c r="E133"/>
  <c r="P133" s="1"/>
  <c r="T238" l="1"/>
  <c r="T194"/>
  <c r="T133"/>
  <c r="T134"/>
  <c r="T141"/>
  <c r="T122" i="16"/>
  <c r="T227"/>
  <c r="T219"/>
  <c r="T211"/>
  <c r="T207"/>
  <c r="T203"/>
  <c r="T195"/>
  <c r="T185"/>
  <c r="T177"/>
  <c r="T169"/>
  <c r="T161"/>
  <c r="H14" i="15"/>
  <c r="S14" s="1"/>
  <c r="T78" i="16"/>
  <c r="T134"/>
  <c r="T182"/>
  <c r="T190"/>
  <c r="T216"/>
  <c r="T161" i="12"/>
  <c r="T9" i="15"/>
  <c r="I133" i="12"/>
  <c r="T152"/>
  <c r="T152" i="16"/>
  <c r="I151"/>
  <c r="F13"/>
  <c r="Q13" s="1"/>
  <c r="T22"/>
  <c r="T29"/>
  <c r="T63"/>
  <c r="T69"/>
  <c r="T77"/>
  <c r="T80"/>
  <c r="T96"/>
  <c r="T102"/>
  <c r="T105"/>
  <c r="T110"/>
  <c r="T140"/>
  <c r="T165"/>
  <c r="T224"/>
  <c r="T233" i="12"/>
  <c r="T160"/>
  <c r="T209"/>
  <c r="T108"/>
  <c r="T131" i="16"/>
  <c r="T154"/>
  <c r="T137"/>
  <c r="T237"/>
  <c r="T153"/>
  <c r="T145"/>
  <c r="T14"/>
  <c r="T8"/>
  <c r="T235"/>
  <c r="T218"/>
  <c r="T210"/>
  <c r="T202"/>
  <c r="T194"/>
  <c r="T172"/>
  <c r="T164"/>
  <c r="T121"/>
  <c r="T113"/>
  <c r="T41"/>
  <c r="T33"/>
  <c r="T17"/>
  <c r="T232"/>
  <c r="T160"/>
  <c r="T234"/>
  <c r="T217"/>
  <c r="T159"/>
  <c r="T143"/>
  <c r="T129"/>
  <c r="T67"/>
  <c r="T126"/>
  <c r="T114"/>
  <c r="T97"/>
  <c r="T89"/>
  <c r="T71"/>
  <c r="T66"/>
  <c r="T60"/>
  <c r="T52"/>
  <c r="T44"/>
  <c r="T36"/>
  <c r="T174"/>
  <c r="T54"/>
  <c r="T87"/>
  <c r="T83"/>
  <c r="T74"/>
  <c r="T59"/>
  <c r="T55"/>
  <c r="T51"/>
  <c r="T39"/>
  <c r="T35"/>
  <c r="T27"/>
  <c r="T19"/>
  <c r="T10"/>
  <c r="T208"/>
  <c r="T32"/>
  <c r="T238"/>
  <c r="T86"/>
  <c r="T70"/>
  <c r="T226"/>
  <c r="T223"/>
  <c r="T215"/>
  <c r="T199"/>
  <c r="T127"/>
  <c r="T84"/>
  <c r="T75"/>
  <c r="T104"/>
  <c r="T72"/>
  <c r="T21"/>
  <c r="T101"/>
  <c r="T109"/>
  <c r="T144"/>
  <c r="T148"/>
  <c r="T150"/>
  <c r="T233"/>
  <c r="T191"/>
  <c r="T146"/>
  <c r="T138"/>
  <c r="T119"/>
  <c r="T111"/>
  <c r="T76"/>
  <c r="T57"/>
  <c r="T49"/>
  <c r="T25"/>
  <c r="T184"/>
  <c r="T168"/>
  <c r="T117"/>
  <c r="T157"/>
  <c r="T198"/>
  <c r="T213"/>
  <c r="T222"/>
  <c r="T231"/>
  <c r="T225"/>
  <c r="T209"/>
  <c r="T183"/>
  <c r="T175"/>
  <c r="T167"/>
  <c r="T147"/>
  <c r="T139"/>
  <c r="T103"/>
  <c r="T68"/>
  <c r="T58"/>
  <c r="T50"/>
  <c r="T34"/>
  <c r="T26"/>
  <c r="T18"/>
  <c r="T9"/>
  <c r="T200"/>
  <c r="T112"/>
  <c r="T40"/>
  <c r="T16"/>
  <c r="T130"/>
  <c r="T43"/>
  <c r="T85"/>
  <c r="T125"/>
  <c r="T133"/>
  <c r="T197"/>
  <c r="T221"/>
  <c r="T28"/>
  <c r="T20"/>
  <c r="T11"/>
  <c r="T53"/>
  <c r="T123"/>
  <c r="T142"/>
  <c r="T149"/>
  <c r="T151"/>
  <c r="T228"/>
  <c r="T220"/>
  <c r="T212"/>
  <c r="T204"/>
  <c r="T196"/>
  <c r="T186"/>
  <c r="T178"/>
  <c r="T170"/>
  <c r="T162"/>
  <c r="T132"/>
  <c r="T124"/>
  <c r="T115"/>
  <c r="T98"/>
  <c r="T90"/>
  <c r="T12"/>
  <c r="T120"/>
  <c r="T192"/>
  <c r="T187"/>
  <c r="T179"/>
  <c r="T171"/>
  <c r="T163"/>
  <c r="T155"/>
  <c r="T116"/>
  <c r="T108"/>
  <c r="T99"/>
  <c r="T91"/>
  <c r="T82"/>
  <c r="T73"/>
  <c r="T61"/>
  <c r="T64"/>
  <c r="T79"/>
  <c r="T88"/>
  <c r="T106"/>
  <c r="T128"/>
  <c r="T141"/>
  <c r="T188"/>
  <c r="T180"/>
  <c r="T156"/>
  <c r="T100"/>
  <c r="T92"/>
  <c r="T65"/>
  <c r="T47"/>
  <c r="T31"/>
  <c r="T23"/>
  <c r="T15"/>
  <c r="F136"/>
  <c r="Q136" s="1"/>
  <c r="T136" s="1"/>
  <c r="F135"/>
  <c r="Q135" s="1"/>
  <c r="T135" s="1"/>
  <c r="R13"/>
  <c r="I238"/>
  <c r="I237"/>
  <c r="P239" i="15"/>
  <c r="T239" s="1"/>
  <c r="I239"/>
  <c r="P238"/>
  <c r="T238" s="1"/>
  <c r="I238"/>
  <c r="T13" i="16" l="1"/>
  <c r="J240" i="12"/>
  <c r="I238"/>
  <c r="I239"/>
  <c r="I159" i="16"/>
  <c r="P160" i="15"/>
  <c r="T160" s="1"/>
  <c r="I161"/>
  <c r="O161"/>
  <c r="P161"/>
  <c r="T161" s="1"/>
  <c r="I160" i="12" l="1"/>
  <c r="P235" i="15" l="1"/>
  <c r="T235" s="1"/>
  <c r="P230"/>
  <c r="T230" s="1"/>
  <c r="P154"/>
  <c r="T154" s="1"/>
  <c r="P152"/>
  <c r="T152" s="1"/>
  <c r="P132"/>
  <c r="T132" s="1"/>
  <c r="P133"/>
  <c r="T133" s="1"/>
  <c r="P134"/>
  <c r="T134" s="1"/>
  <c r="P122"/>
  <c r="T122" s="1"/>
  <c r="P112"/>
  <c r="T112" s="1"/>
  <c r="P57"/>
  <c r="T57" s="1"/>
  <c r="P37" i="12"/>
  <c r="P48"/>
  <c r="P57"/>
  <c r="L120" i="15" l="1"/>
  <c r="R120" l="1"/>
  <c r="S120"/>
  <c r="J174"/>
  <c r="J173" i="16" s="1"/>
  <c r="J173" i="15"/>
  <c r="J172" i="16" s="1"/>
  <c r="J172" i="15"/>
  <c r="J171" i="16" s="1"/>
  <c r="J171" i="15"/>
  <c r="J170" i="16" s="1"/>
  <c r="J170" i="15"/>
  <c r="J169"/>
  <c r="J168" i="16" s="1"/>
  <c r="J168" i="15"/>
  <c r="J167" i="16" s="1"/>
  <c r="J167" i="15"/>
  <c r="J166" i="16" s="1"/>
  <c r="J166" i="15"/>
  <c r="J165"/>
  <c r="J164" i="16" s="1"/>
  <c r="J164" i="15"/>
  <c r="J163" i="16" s="1"/>
  <c r="J163" i="15"/>
  <c r="J162" i="16" s="1"/>
  <c r="J162" i="15"/>
  <c r="J161" i="16" s="1"/>
  <c r="I234"/>
  <c r="J104"/>
  <c r="J105"/>
  <c r="J106"/>
  <c r="J108"/>
  <c r="J109"/>
  <c r="J110"/>
  <c r="J111"/>
  <c r="J112"/>
  <c r="J113"/>
  <c r="J114"/>
  <c r="J115"/>
  <c r="J116"/>
  <c r="J117"/>
  <c r="J118"/>
  <c r="J119"/>
  <c r="J120"/>
  <c r="J121"/>
  <c r="J122"/>
  <c r="J123"/>
  <c r="J124"/>
  <c r="J125"/>
  <c r="J127"/>
  <c r="J128"/>
  <c r="J129"/>
  <c r="J130"/>
  <c r="J131"/>
  <c r="J132"/>
  <c r="J133"/>
  <c r="J134"/>
  <c r="J135"/>
  <c r="J136"/>
  <c r="J137"/>
  <c r="J138"/>
  <c r="J139"/>
  <c r="J140"/>
  <c r="J141"/>
  <c r="J142"/>
  <c r="J143"/>
  <c r="J144"/>
  <c r="J145"/>
  <c r="J146"/>
  <c r="J147"/>
  <c r="J148"/>
  <c r="J149"/>
  <c r="J150"/>
  <c r="J151"/>
  <c r="J152"/>
  <c r="J153"/>
  <c r="J155"/>
  <c r="J156"/>
  <c r="J157"/>
  <c r="J158"/>
  <c r="J165"/>
  <c r="J169"/>
  <c r="J175"/>
  <c r="J176"/>
  <c r="J177"/>
  <c r="J178"/>
  <c r="J179"/>
  <c r="J180"/>
  <c r="J181"/>
  <c r="J182"/>
  <c r="J183"/>
  <c r="J184"/>
  <c r="J185"/>
  <c r="J186"/>
  <c r="J187"/>
  <c r="J188"/>
  <c r="J189"/>
  <c r="J190"/>
  <c r="J191"/>
  <c r="J192"/>
  <c r="J194"/>
  <c r="J195"/>
  <c r="J196"/>
  <c r="J197"/>
  <c r="J198"/>
  <c r="J199"/>
  <c r="J200"/>
  <c r="J202"/>
  <c r="J203"/>
  <c r="J204"/>
  <c r="J205"/>
  <c r="J206"/>
  <c r="J207"/>
  <c r="J209"/>
  <c r="J210"/>
  <c r="J211"/>
  <c r="J212"/>
  <c r="J213"/>
  <c r="J214"/>
  <c r="J215"/>
  <c r="J216"/>
  <c r="J217"/>
  <c r="J218"/>
  <c r="J219"/>
  <c r="J220"/>
  <c r="J221"/>
  <c r="J222"/>
  <c r="J223"/>
  <c r="J224"/>
  <c r="J225"/>
  <c r="J226"/>
  <c r="J227"/>
  <c r="J228"/>
  <c r="J229"/>
  <c r="J230"/>
  <c r="J231"/>
  <c r="J233"/>
  <c r="J234"/>
  <c r="J236"/>
  <c r="J103"/>
  <c r="J100"/>
  <c r="J56"/>
  <c r="J57"/>
  <c r="J58"/>
  <c r="J59"/>
  <c r="J60"/>
  <c r="J61"/>
  <c r="J62"/>
  <c r="J63"/>
  <c r="J64"/>
  <c r="J65"/>
  <c r="J66"/>
  <c r="J68"/>
  <c r="J69"/>
  <c r="J71"/>
  <c r="J72"/>
  <c r="J73"/>
  <c r="J74"/>
  <c r="J75"/>
  <c r="J76"/>
  <c r="J77"/>
  <c r="J78"/>
  <c r="J79"/>
  <c r="J80"/>
  <c r="J82"/>
  <c r="J84"/>
  <c r="J85"/>
  <c r="J87"/>
  <c r="J88"/>
  <c r="J90"/>
  <c r="J91"/>
  <c r="J92"/>
  <c r="J93"/>
  <c r="J94"/>
  <c r="J96"/>
  <c r="J97"/>
  <c r="J98"/>
  <c r="J99"/>
  <c r="J55"/>
  <c r="J53"/>
  <c r="J52"/>
  <c r="J9"/>
  <c r="J10"/>
  <c r="J11"/>
  <c r="J12"/>
  <c r="J13"/>
  <c r="J15"/>
  <c r="J16"/>
  <c r="J17"/>
  <c r="J18"/>
  <c r="J19"/>
  <c r="J20"/>
  <c r="J21"/>
  <c r="J22"/>
  <c r="J23"/>
  <c r="J25"/>
  <c r="J26"/>
  <c r="J27"/>
  <c r="J28"/>
  <c r="J29"/>
  <c r="J30"/>
  <c r="J31"/>
  <c r="J33"/>
  <c r="J34"/>
  <c r="J35"/>
  <c r="J36"/>
  <c r="J37"/>
  <c r="J38"/>
  <c r="J39"/>
  <c r="J40"/>
  <c r="J41"/>
  <c r="J43"/>
  <c r="J44"/>
  <c r="J45"/>
  <c r="J46"/>
  <c r="J47"/>
  <c r="J48"/>
  <c r="J49"/>
  <c r="J8"/>
  <c r="J50"/>
  <c r="I133"/>
  <c r="I132"/>
  <c r="I152" i="15"/>
  <c r="I133"/>
  <c r="I134"/>
  <c r="J239" i="16" l="1"/>
  <c r="J240" i="15"/>
  <c r="I152" i="12" l="1"/>
  <c r="I134"/>
  <c r="I135"/>
  <c r="P11" l="1"/>
  <c r="I14" i="16" l="1"/>
  <c r="I24"/>
  <c r="I32"/>
  <c r="I42"/>
  <c r="I54"/>
  <c r="I67"/>
  <c r="I70"/>
  <c r="I74"/>
  <c r="I81"/>
  <c r="I83"/>
  <c r="I86"/>
  <c r="I89"/>
  <c r="I95"/>
  <c r="I107"/>
  <c r="I126"/>
  <c r="I153"/>
  <c r="I154"/>
  <c r="I160"/>
  <c r="I174"/>
  <c r="I193"/>
  <c r="I201"/>
  <c r="I208"/>
  <c r="I232"/>
  <c r="I235"/>
  <c r="I15" i="15"/>
  <c r="I25"/>
  <c r="I33"/>
  <c r="I43"/>
  <c r="I55"/>
  <c r="I68"/>
  <c r="I71"/>
  <c r="I75"/>
  <c r="I82"/>
  <c r="I84"/>
  <c r="I87"/>
  <c r="I90"/>
  <c r="I96"/>
  <c r="I108"/>
  <c r="I127"/>
  <c r="I154"/>
  <c r="I155"/>
  <c r="I175"/>
  <c r="I194"/>
  <c r="I202"/>
  <c r="I209"/>
  <c r="I233"/>
  <c r="I236"/>
  <c r="I15" i="12"/>
  <c r="I25"/>
  <c r="I33"/>
  <c r="I43"/>
  <c r="I55"/>
  <c r="I68"/>
  <c r="I71"/>
  <c r="I75"/>
  <c r="I82"/>
  <c r="I84"/>
  <c r="I87"/>
  <c r="I90"/>
  <c r="I96"/>
  <c r="I108"/>
  <c r="I127"/>
  <c r="I154"/>
  <c r="I155"/>
  <c r="I161"/>
  <c r="I175"/>
  <c r="I194"/>
  <c r="I202"/>
  <c r="I209"/>
  <c r="I233"/>
  <c r="I235"/>
  <c r="I236"/>
  <c r="O236" i="16" l="1"/>
  <c r="O235"/>
  <c r="O233"/>
  <c r="O232"/>
  <c r="O231"/>
  <c r="O230"/>
  <c r="O228"/>
  <c r="O227"/>
  <c r="O226"/>
  <c r="O225"/>
  <c r="O224"/>
  <c r="O223"/>
  <c r="O222"/>
  <c r="O221"/>
  <c r="O220"/>
  <c r="O219"/>
  <c r="O218"/>
  <c r="O217"/>
  <c r="O216"/>
  <c r="I216"/>
  <c r="O215"/>
  <c r="O214"/>
  <c r="O213"/>
  <c r="O212"/>
  <c r="O211"/>
  <c r="O210"/>
  <c r="O209"/>
  <c r="O208"/>
  <c r="O207"/>
  <c r="O206"/>
  <c r="O205"/>
  <c r="O204"/>
  <c r="O203"/>
  <c r="O202"/>
  <c r="O201"/>
  <c r="O200"/>
  <c r="O199"/>
  <c r="O198"/>
  <c r="O197"/>
  <c r="O196"/>
  <c r="O195"/>
  <c r="O194"/>
  <c r="O193"/>
  <c r="O192"/>
  <c r="O191"/>
  <c r="O190"/>
  <c r="O189"/>
  <c r="O188"/>
  <c r="O187"/>
  <c r="O186"/>
  <c r="O185"/>
  <c r="O184"/>
  <c r="O183"/>
  <c r="O182"/>
  <c r="O181"/>
  <c r="O180"/>
  <c r="O179"/>
  <c r="O178"/>
  <c r="O177"/>
  <c r="O176"/>
  <c r="I176"/>
  <c r="O175"/>
  <c r="O174"/>
  <c r="O173"/>
  <c r="I173"/>
  <c r="O172"/>
  <c r="I172"/>
  <c r="O171"/>
  <c r="I171"/>
  <c r="O170"/>
  <c r="O169"/>
  <c r="O168"/>
  <c r="O167"/>
  <c r="O166"/>
  <c r="O165"/>
  <c r="O164"/>
  <c r="O163"/>
  <c r="O162"/>
  <c r="O161"/>
  <c r="O160"/>
  <c r="O158"/>
  <c r="O157"/>
  <c r="O156"/>
  <c r="O155"/>
  <c r="O154"/>
  <c r="O152"/>
  <c r="I152"/>
  <c r="O150"/>
  <c r="O149"/>
  <c r="O148"/>
  <c r="O147"/>
  <c r="O146"/>
  <c r="O145"/>
  <c r="O144"/>
  <c r="O143"/>
  <c r="O142"/>
  <c r="O141"/>
  <c r="O140"/>
  <c r="O139"/>
  <c r="O138"/>
  <c r="O137"/>
  <c r="O136"/>
  <c r="O135"/>
  <c r="O134"/>
  <c r="O130"/>
  <c r="O129"/>
  <c r="O128"/>
  <c r="O127"/>
  <c r="O126"/>
  <c r="O125"/>
  <c r="O124"/>
  <c r="O123"/>
  <c r="O122"/>
  <c r="O120"/>
  <c r="O119"/>
  <c r="O118"/>
  <c r="O117"/>
  <c r="O116"/>
  <c r="O115"/>
  <c r="O114"/>
  <c r="O113"/>
  <c r="O112"/>
  <c r="O110"/>
  <c r="O109"/>
  <c r="O108"/>
  <c r="O107"/>
  <c r="O106"/>
  <c r="O105"/>
  <c r="O104"/>
  <c r="I104"/>
  <c r="O103"/>
  <c r="I103"/>
  <c r="O102"/>
  <c r="O101"/>
  <c r="O100"/>
  <c r="O99"/>
  <c r="O98"/>
  <c r="O97"/>
  <c r="O96"/>
  <c r="O95"/>
  <c r="O94"/>
  <c r="O93"/>
  <c r="O92"/>
  <c r="O91"/>
  <c r="O90"/>
  <c r="O89"/>
  <c r="O88"/>
  <c r="O87"/>
  <c r="O86"/>
  <c r="O85"/>
  <c r="O84"/>
  <c r="O83"/>
  <c r="O82"/>
  <c r="O81"/>
  <c r="O80"/>
  <c r="O79"/>
  <c r="O78"/>
  <c r="O77"/>
  <c r="O76"/>
  <c r="O75"/>
  <c r="O74"/>
  <c r="O73"/>
  <c r="O72"/>
  <c r="O71"/>
  <c r="O70"/>
  <c r="O69"/>
  <c r="O68"/>
  <c r="O67"/>
  <c r="O66"/>
  <c r="O65"/>
  <c r="O64"/>
  <c r="O63"/>
  <c r="O62"/>
  <c r="O61"/>
  <c r="O60"/>
  <c r="O59"/>
  <c r="O58"/>
  <c r="O57"/>
  <c r="I56"/>
  <c r="O55"/>
  <c r="O54"/>
  <c r="O53"/>
  <c r="O52"/>
  <c r="O51"/>
  <c r="I51"/>
  <c r="O50"/>
  <c r="I50"/>
  <c r="O49"/>
  <c r="I49"/>
  <c r="O48"/>
  <c r="I48"/>
  <c r="O46"/>
  <c r="I46"/>
  <c r="O45"/>
  <c r="O44"/>
  <c r="O43"/>
  <c r="O42"/>
  <c r="O41"/>
  <c r="O40"/>
  <c r="O39"/>
  <c r="O38"/>
  <c r="O37"/>
  <c r="O35"/>
  <c r="O34"/>
  <c r="O33"/>
  <c r="O32"/>
  <c r="O31"/>
  <c r="I31"/>
  <c r="O30"/>
  <c r="O29"/>
  <c r="O28"/>
  <c r="O27"/>
  <c r="O26"/>
  <c r="O25"/>
  <c r="O24"/>
  <c r="O23"/>
  <c r="O22"/>
  <c r="O21"/>
  <c r="O20"/>
  <c r="O19"/>
  <c r="O18"/>
  <c r="O17"/>
  <c r="O16"/>
  <c r="O15"/>
  <c r="O14"/>
  <c r="O13"/>
  <c r="O12"/>
  <c r="O11"/>
  <c r="O10"/>
  <c r="O9"/>
  <c r="O8"/>
  <c r="O237" i="15"/>
  <c r="P236"/>
  <c r="T236" s="1"/>
  <c r="O236"/>
  <c r="O234"/>
  <c r="P233"/>
  <c r="T233" s="1"/>
  <c r="O233"/>
  <c r="O232"/>
  <c r="P231"/>
  <c r="T231" s="1"/>
  <c r="O231"/>
  <c r="P229"/>
  <c r="T229" s="1"/>
  <c r="O229"/>
  <c r="P228"/>
  <c r="T228" s="1"/>
  <c r="O228"/>
  <c r="P227"/>
  <c r="T227" s="1"/>
  <c r="O227"/>
  <c r="P226"/>
  <c r="T226" s="1"/>
  <c r="O226"/>
  <c r="P225"/>
  <c r="T225" s="1"/>
  <c r="O225"/>
  <c r="P224"/>
  <c r="T224" s="1"/>
  <c r="O224"/>
  <c r="P223"/>
  <c r="T223" s="1"/>
  <c r="O223"/>
  <c r="P222"/>
  <c r="T222" s="1"/>
  <c r="O222"/>
  <c r="P221"/>
  <c r="T221" s="1"/>
  <c r="O221"/>
  <c r="I221"/>
  <c r="P220"/>
  <c r="T220" s="1"/>
  <c r="O220"/>
  <c r="P219"/>
  <c r="T219" s="1"/>
  <c r="O219"/>
  <c r="P218"/>
  <c r="T218" s="1"/>
  <c r="O218"/>
  <c r="P217"/>
  <c r="T217" s="1"/>
  <c r="O217"/>
  <c r="I217"/>
  <c r="P216"/>
  <c r="T216" s="1"/>
  <c r="O216"/>
  <c r="P215"/>
  <c r="T215" s="1"/>
  <c r="O215"/>
  <c r="P214"/>
  <c r="T214" s="1"/>
  <c r="O214"/>
  <c r="P213"/>
  <c r="T213" s="1"/>
  <c r="O213"/>
  <c r="P212"/>
  <c r="T212" s="1"/>
  <c r="O212"/>
  <c r="P211"/>
  <c r="T211" s="1"/>
  <c r="O211"/>
  <c r="P210"/>
  <c r="T210" s="1"/>
  <c r="O210"/>
  <c r="P209"/>
  <c r="T209" s="1"/>
  <c r="O209"/>
  <c r="P208"/>
  <c r="T208" s="1"/>
  <c r="O208"/>
  <c r="P207"/>
  <c r="T207" s="1"/>
  <c r="O207"/>
  <c r="P206"/>
  <c r="T206" s="1"/>
  <c r="O206"/>
  <c r="P205"/>
  <c r="T205" s="1"/>
  <c r="O205"/>
  <c r="P204"/>
  <c r="T204" s="1"/>
  <c r="O204"/>
  <c r="P203"/>
  <c r="T203" s="1"/>
  <c r="O203"/>
  <c r="P202"/>
  <c r="T202" s="1"/>
  <c r="O202"/>
  <c r="P201"/>
  <c r="T201" s="1"/>
  <c r="O201"/>
  <c r="P200"/>
  <c r="T200" s="1"/>
  <c r="O200"/>
  <c r="P199"/>
  <c r="T199" s="1"/>
  <c r="O199"/>
  <c r="P198"/>
  <c r="T198" s="1"/>
  <c r="O198"/>
  <c r="P197"/>
  <c r="T197" s="1"/>
  <c r="O197"/>
  <c r="P196"/>
  <c r="T196" s="1"/>
  <c r="O196"/>
  <c r="P195"/>
  <c r="T195" s="1"/>
  <c r="O195"/>
  <c r="P194"/>
  <c r="T194" s="1"/>
  <c r="O194"/>
  <c r="O193"/>
  <c r="P192"/>
  <c r="T192" s="1"/>
  <c r="O192"/>
  <c r="O191"/>
  <c r="P190"/>
  <c r="T190" s="1"/>
  <c r="O190"/>
  <c r="P189"/>
  <c r="T189" s="1"/>
  <c r="O189"/>
  <c r="P188"/>
  <c r="T188" s="1"/>
  <c r="O188"/>
  <c r="P187"/>
  <c r="T187" s="1"/>
  <c r="O187"/>
  <c r="P186"/>
  <c r="T186" s="1"/>
  <c r="O186"/>
  <c r="P185"/>
  <c r="T185" s="1"/>
  <c r="O185"/>
  <c r="P184"/>
  <c r="T184" s="1"/>
  <c r="O184"/>
  <c r="P183"/>
  <c r="T183" s="1"/>
  <c r="O183"/>
  <c r="P182"/>
  <c r="T182" s="1"/>
  <c r="O182"/>
  <c r="P181"/>
  <c r="T181" s="1"/>
  <c r="O181"/>
  <c r="P180"/>
  <c r="T180" s="1"/>
  <c r="O180"/>
  <c r="P179"/>
  <c r="T179" s="1"/>
  <c r="O179"/>
  <c r="P178"/>
  <c r="T178" s="1"/>
  <c r="O178"/>
  <c r="P177"/>
  <c r="T177" s="1"/>
  <c r="O177"/>
  <c r="P176"/>
  <c r="T176" s="1"/>
  <c r="O176"/>
  <c r="P175"/>
  <c r="T175" s="1"/>
  <c r="O175"/>
  <c r="P174"/>
  <c r="T174" s="1"/>
  <c r="O174"/>
  <c r="P173"/>
  <c r="T173" s="1"/>
  <c r="O173"/>
  <c r="P172"/>
  <c r="T172" s="1"/>
  <c r="O172"/>
  <c r="P171"/>
  <c r="T171" s="1"/>
  <c r="O171"/>
  <c r="P170"/>
  <c r="T170" s="1"/>
  <c r="O170"/>
  <c r="P169"/>
  <c r="T169" s="1"/>
  <c r="O169"/>
  <c r="P168"/>
  <c r="T168" s="1"/>
  <c r="O168"/>
  <c r="P167"/>
  <c r="T167" s="1"/>
  <c r="O167"/>
  <c r="P166"/>
  <c r="T166" s="1"/>
  <c r="O166"/>
  <c r="I166"/>
  <c r="P165"/>
  <c r="T165" s="1"/>
  <c r="O165"/>
  <c r="I165"/>
  <c r="P164"/>
  <c r="T164" s="1"/>
  <c r="O164"/>
  <c r="P163"/>
  <c r="T163" s="1"/>
  <c r="O163"/>
  <c r="P162"/>
  <c r="T162" s="1"/>
  <c r="O162"/>
  <c r="P159"/>
  <c r="T159" s="1"/>
  <c r="O159"/>
  <c r="P158"/>
  <c r="T158" s="1"/>
  <c r="O158"/>
  <c r="O157"/>
  <c r="P157"/>
  <c r="T157" s="1"/>
  <c r="P156"/>
  <c r="T156" s="1"/>
  <c r="O156"/>
  <c r="P155"/>
  <c r="T155" s="1"/>
  <c r="O155"/>
  <c r="P153"/>
  <c r="T153" s="1"/>
  <c r="O153"/>
  <c r="I153"/>
  <c r="O151"/>
  <c r="P151"/>
  <c r="T151" s="1"/>
  <c r="O150"/>
  <c r="O149"/>
  <c r="P148"/>
  <c r="T148" s="1"/>
  <c r="O148"/>
  <c r="P147"/>
  <c r="T147" s="1"/>
  <c r="O147"/>
  <c r="P146"/>
  <c r="T146" s="1"/>
  <c r="O146"/>
  <c r="P145"/>
  <c r="T145" s="1"/>
  <c r="O145"/>
  <c r="P144"/>
  <c r="T144" s="1"/>
  <c r="O144"/>
  <c r="P143"/>
  <c r="T143" s="1"/>
  <c r="O143"/>
  <c r="P142"/>
  <c r="T142" s="1"/>
  <c r="O142"/>
  <c r="P141"/>
  <c r="T141" s="1"/>
  <c r="O141"/>
  <c r="P140"/>
  <c r="T140" s="1"/>
  <c r="O140"/>
  <c r="P139"/>
  <c r="T139" s="1"/>
  <c r="O139"/>
  <c r="P138"/>
  <c r="T138" s="1"/>
  <c r="O138"/>
  <c r="O137"/>
  <c r="P137"/>
  <c r="T137" s="1"/>
  <c r="O136"/>
  <c r="O135"/>
  <c r="P135"/>
  <c r="T135" s="1"/>
  <c r="P131"/>
  <c r="T131" s="1"/>
  <c r="O131"/>
  <c r="P130"/>
  <c r="T130" s="1"/>
  <c r="O130"/>
  <c r="P129"/>
  <c r="T129" s="1"/>
  <c r="O129"/>
  <c r="P128"/>
  <c r="T128" s="1"/>
  <c r="O128"/>
  <c r="P127"/>
  <c r="T127" s="1"/>
  <c r="O127"/>
  <c r="O126"/>
  <c r="O125"/>
  <c r="O124"/>
  <c r="O123"/>
  <c r="P123"/>
  <c r="T123" s="1"/>
  <c r="P121"/>
  <c r="T121" s="1"/>
  <c r="O121"/>
  <c r="P120"/>
  <c r="T120" s="1"/>
  <c r="O120"/>
  <c r="P119"/>
  <c r="T119" s="1"/>
  <c r="O119"/>
  <c r="P118"/>
  <c r="T118" s="1"/>
  <c r="O118"/>
  <c r="P117"/>
  <c r="T117" s="1"/>
  <c r="O117"/>
  <c r="P116"/>
  <c r="T116" s="1"/>
  <c r="O116"/>
  <c r="P115"/>
  <c r="T115" s="1"/>
  <c r="O115"/>
  <c r="P114"/>
  <c r="T114" s="1"/>
  <c r="O114"/>
  <c r="P113"/>
  <c r="T113" s="1"/>
  <c r="O113"/>
  <c r="P111"/>
  <c r="T111" s="1"/>
  <c r="O111"/>
  <c r="P110"/>
  <c r="T110" s="1"/>
  <c r="O110"/>
  <c r="P109"/>
  <c r="T109" s="1"/>
  <c r="O109"/>
  <c r="P108"/>
  <c r="T108" s="1"/>
  <c r="O108"/>
  <c r="O107"/>
  <c r="O106"/>
  <c r="P105"/>
  <c r="T105" s="1"/>
  <c r="O105"/>
  <c r="P104"/>
  <c r="T104" s="1"/>
  <c r="O104"/>
  <c r="P103"/>
  <c r="T103" s="1"/>
  <c r="O103"/>
  <c r="P102"/>
  <c r="T102" s="1"/>
  <c r="O102"/>
  <c r="P101"/>
  <c r="T101" s="1"/>
  <c r="O101"/>
  <c r="P100"/>
  <c r="T100" s="1"/>
  <c r="O100"/>
  <c r="P99"/>
  <c r="T99" s="1"/>
  <c r="O99"/>
  <c r="P98"/>
  <c r="T98" s="1"/>
  <c r="O98"/>
  <c r="P97"/>
  <c r="T97" s="1"/>
  <c r="O97"/>
  <c r="P96"/>
  <c r="T96" s="1"/>
  <c r="O96"/>
  <c r="P95"/>
  <c r="T95" s="1"/>
  <c r="O95"/>
  <c r="P94"/>
  <c r="T94" s="1"/>
  <c r="O94"/>
  <c r="P93"/>
  <c r="T93" s="1"/>
  <c r="O93"/>
  <c r="P92"/>
  <c r="T92" s="1"/>
  <c r="O92"/>
  <c r="P91"/>
  <c r="T91" s="1"/>
  <c r="O91"/>
  <c r="P90"/>
  <c r="T90" s="1"/>
  <c r="O90"/>
  <c r="O89"/>
  <c r="P88"/>
  <c r="T88" s="1"/>
  <c r="O88"/>
  <c r="P87"/>
  <c r="T87" s="1"/>
  <c r="O87"/>
  <c r="O86"/>
  <c r="P85"/>
  <c r="T85" s="1"/>
  <c r="O85"/>
  <c r="P84"/>
  <c r="T84" s="1"/>
  <c r="O84"/>
  <c r="P83"/>
  <c r="T83" s="1"/>
  <c r="O83"/>
  <c r="P82"/>
  <c r="T82" s="1"/>
  <c r="O82"/>
  <c r="P81"/>
  <c r="T81" s="1"/>
  <c r="O81"/>
  <c r="O80"/>
  <c r="P79"/>
  <c r="T79" s="1"/>
  <c r="O79"/>
  <c r="P78"/>
  <c r="T78" s="1"/>
  <c r="O78"/>
  <c r="P77"/>
  <c r="T77" s="1"/>
  <c r="O77"/>
  <c r="P76"/>
  <c r="T76" s="1"/>
  <c r="O76"/>
  <c r="P75"/>
  <c r="T75" s="1"/>
  <c r="O75"/>
  <c r="O74"/>
  <c r="P73"/>
  <c r="T73" s="1"/>
  <c r="O73"/>
  <c r="P72"/>
  <c r="T72" s="1"/>
  <c r="O72"/>
  <c r="P71"/>
  <c r="T71" s="1"/>
  <c r="O71"/>
  <c r="O70"/>
  <c r="P69"/>
  <c r="T69" s="1"/>
  <c r="O69"/>
  <c r="P68"/>
  <c r="T68" s="1"/>
  <c r="O68"/>
  <c r="P67"/>
  <c r="T67" s="1"/>
  <c r="O67"/>
  <c r="O66"/>
  <c r="O65"/>
  <c r="P65"/>
  <c r="T65" s="1"/>
  <c r="O64"/>
  <c r="P63"/>
  <c r="T63" s="1"/>
  <c r="O63"/>
  <c r="P62"/>
  <c r="T62" s="1"/>
  <c r="O62"/>
  <c r="P61"/>
  <c r="T61" s="1"/>
  <c r="O61"/>
  <c r="P60"/>
  <c r="T60" s="1"/>
  <c r="O60"/>
  <c r="P59"/>
  <c r="T59" s="1"/>
  <c r="O59"/>
  <c r="P58"/>
  <c r="T58" s="1"/>
  <c r="O58"/>
  <c r="P56"/>
  <c r="T56" s="1"/>
  <c r="O56"/>
  <c r="P55"/>
  <c r="T55" s="1"/>
  <c r="O55"/>
  <c r="O54"/>
  <c r="P54"/>
  <c r="T54" s="1"/>
  <c r="P53"/>
  <c r="T53" s="1"/>
  <c r="O53"/>
  <c r="P52"/>
  <c r="T52" s="1"/>
  <c r="O52"/>
  <c r="I52"/>
  <c r="P51"/>
  <c r="T51" s="1"/>
  <c r="O51"/>
  <c r="P50"/>
  <c r="T50" s="1"/>
  <c r="O50"/>
  <c r="P49"/>
  <c r="T49" s="1"/>
  <c r="O49"/>
  <c r="I49"/>
  <c r="I48"/>
  <c r="P47"/>
  <c r="T47" s="1"/>
  <c r="O47"/>
  <c r="I47"/>
  <c r="P46"/>
  <c r="T46" s="1"/>
  <c r="O46"/>
  <c r="P45"/>
  <c r="T45" s="1"/>
  <c r="O45"/>
  <c r="P44"/>
  <c r="T44" s="1"/>
  <c r="O44"/>
  <c r="P43"/>
  <c r="T43" s="1"/>
  <c r="O43"/>
  <c r="P42"/>
  <c r="T42" s="1"/>
  <c r="O42"/>
  <c r="P41"/>
  <c r="T41" s="1"/>
  <c r="O41"/>
  <c r="P40"/>
  <c r="T40" s="1"/>
  <c r="O40"/>
  <c r="P39"/>
  <c r="T39" s="1"/>
  <c r="O39"/>
  <c r="P38"/>
  <c r="T38" s="1"/>
  <c r="O38"/>
  <c r="I37"/>
  <c r="P36"/>
  <c r="T36" s="1"/>
  <c r="O36"/>
  <c r="O35"/>
  <c r="P34"/>
  <c r="T34" s="1"/>
  <c r="O34"/>
  <c r="P33"/>
  <c r="T33" s="1"/>
  <c r="O33"/>
  <c r="P32"/>
  <c r="T32" s="1"/>
  <c r="O32"/>
  <c r="I32"/>
  <c r="P31"/>
  <c r="T31" s="1"/>
  <c r="O31"/>
  <c r="P30"/>
  <c r="T30" s="1"/>
  <c r="O30"/>
  <c r="P29"/>
  <c r="T29" s="1"/>
  <c r="O29"/>
  <c r="P28"/>
  <c r="T28" s="1"/>
  <c r="O28"/>
  <c r="P27"/>
  <c r="T27" s="1"/>
  <c r="O27"/>
  <c r="P26"/>
  <c r="T26" s="1"/>
  <c r="O26"/>
  <c r="P25"/>
  <c r="T25" s="1"/>
  <c r="O25"/>
  <c r="P24"/>
  <c r="T24" s="1"/>
  <c r="O24"/>
  <c r="P23"/>
  <c r="T23" s="1"/>
  <c r="O23"/>
  <c r="P22"/>
  <c r="T22" s="1"/>
  <c r="O22"/>
  <c r="P21"/>
  <c r="T21" s="1"/>
  <c r="O21"/>
  <c r="P20"/>
  <c r="T20" s="1"/>
  <c r="O20"/>
  <c r="P19"/>
  <c r="T19" s="1"/>
  <c r="O19"/>
  <c r="P18"/>
  <c r="T18" s="1"/>
  <c r="O18"/>
  <c r="P17"/>
  <c r="T17" s="1"/>
  <c r="O17"/>
  <c r="P16"/>
  <c r="T16" s="1"/>
  <c r="O16"/>
  <c r="P15"/>
  <c r="T15" s="1"/>
  <c r="O15"/>
  <c r="O14"/>
  <c r="P13"/>
  <c r="T13" s="1"/>
  <c r="O13"/>
  <c r="P12"/>
  <c r="T12" s="1"/>
  <c r="O12"/>
  <c r="P11"/>
  <c r="T11" s="1"/>
  <c r="O11"/>
  <c r="P10"/>
  <c r="O10"/>
  <c r="O9"/>
  <c r="T10" l="1"/>
  <c r="I111" i="16"/>
  <c r="I121"/>
  <c r="I229"/>
  <c r="R239"/>
  <c r="G239"/>
  <c r="I131"/>
  <c r="E240" i="15"/>
  <c r="R240"/>
  <c r="G240"/>
  <c r="E239" i="16"/>
  <c r="I47"/>
  <c r="I36"/>
  <c r="I112" i="15"/>
  <c r="I122"/>
  <c r="I132"/>
  <c r="I57"/>
  <c r="I230"/>
  <c r="I222" i="16"/>
  <c r="I226"/>
  <c r="I115"/>
  <c r="I79"/>
  <c r="I21" i="15"/>
  <c r="I216"/>
  <c r="I16" i="16"/>
  <c r="I22"/>
  <c r="I28"/>
  <c r="I30"/>
  <c r="I217"/>
  <c r="I149"/>
  <c r="I231"/>
  <c r="I236"/>
  <c r="I19" i="15"/>
  <c r="I27"/>
  <c r="I35"/>
  <c r="U68"/>
  <c r="I88"/>
  <c r="I214"/>
  <c r="I222"/>
  <c r="I125" i="16"/>
  <c r="I212"/>
  <c r="I228"/>
  <c r="I41" i="15"/>
  <c r="I56"/>
  <c r="I64"/>
  <c r="I77"/>
  <c r="I79"/>
  <c r="I114"/>
  <c r="I118"/>
  <c r="I128"/>
  <c r="I130"/>
  <c r="I185"/>
  <c r="I211"/>
  <c r="I215"/>
  <c r="I40" i="16"/>
  <c r="I55"/>
  <c r="I76"/>
  <c r="I78"/>
  <c r="I85"/>
  <c r="I91"/>
  <c r="I97"/>
  <c r="I101"/>
  <c r="I129"/>
  <c r="I143"/>
  <c r="I207"/>
  <c r="I213"/>
  <c r="I218"/>
  <c r="I221"/>
  <c r="I225"/>
  <c r="I227"/>
  <c r="I230"/>
  <c r="I86" i="15"/>
  <c r="P86"/>
  <c r="T86" s="1"/>
  <c r="I106"/>
  <c r="P106"/>
  <c r="T106" s="1"/>
  <c r="P149"/>
  <c r="T149" s="1"/>
  <c r="I149"/>
  <c r="I191"/>
  <c r="P191"/>
  <c r="T191" s="1"/>
  <c r="I223"/>
  <c r="I231"/>
  <c r="I34" i="16"/>
  <c r="I66" i="15"/>
  <c r="P66"/>
  <c r="T66" s="1"/>
  <c r="I80"/>
  <c r="P80"/>
  <c r="T80" s="1"/>
  <c r="P124"/>
  <c r="T124" s="1"/>
  <c r="I124"/>
  <c r="I126"/>
  <c r="P126"/>
  <c r="T126" s="1"/>
  <c r="P150"/>
  <c r="T150" s="1"/>
  <c r="I150"/>
  <c r="I193"/>
  <c r="P193"/>
  <c r="T193" s="1"/>
  <c r="I224"/>
  <c r="I232"/>
  <c r="P232"/>
  <c r="T232" s="1"/>
  <c r="I63" i="16"/>
  <c r="I65"/>
  <c r="I105"/>
  <c r="I123"/>
  <c r="I156"/>
  <c r="I223"/>
  <c r="I233"/>
  <c r="I54" i="15"/>
  <c r="I65"/>
  <c r="I67"/>
  <c r="P70"/>
  <c r="T70" s="1"/>
  <c r="I70"/>
  <c r="I74"/>
  <c r="P89"/>
  <c r="T89" s="1"/>
  <c r="I89"/>
  <c r="I91"/>
  <c r="P107"/>
  <c r="T107" s="1"/>
  <c r="I107"/>
  <c r="I123"/>
  <c r="P125"/>
  <c r="T125" s="1"/>
  <c r="I125"/>
  <c r="I138"/>
  <c r="I142"/>
  <c r="I146"/>
  <c r="I151"/>
  <c r="I157"/>
  <c r="I158"/>
  <c r="I159"/>
  <c r="I162"/>
  <c r="I164"/>
  <c r="I168"/>
  <c r="I170"/>
  <c r="I187"/>
  <c r="I189"/>
  <c r="I198"/>
  <c r="I204"/>
  <c r="I208"/>
  <c r="I210"/>
  <c r="I212"/>
  <c r="I218"/>
  <c r="I219"/>
  <c r="I220"/>
  <c r="I225"/>
  <c r="I226"/>
  <c r="I227"/>
  <c r="I228"/>
  <c r="I229"/>
  <c r="P234"/>
  <c r="T234" s="1"/>
  <c r="I234"/>
  <c r="P237"/>
  <c r="T237" s="1"/>
  <c r="I237"/>
  <c r="I10" i="16"/>
  <c r="I12"/>
  <c r="I53"/>
  <c r="I64"/>
  <c r="I66"/>
  <c r="I69"/>
  <c r="I73"/>
  <c r="I88"/>
  <c r="I90"/>
  <c r="I106"/>
  <c r="I110"/>
  <c r="I112"/>
  <c r="I120"/>
  <c r="I122"/>
  <c r="I124"/>
  <c r="I140"/>
  <c r="I148"/>
  <c r="I150"/>
  <c r="I155"/>
  <c r="I157"/>
  <c r="I166"/>
  <c r="I170"/>
  <c r="I180"/>
  <c r="I184"/>
  <c r="I188"/>
  <c r="I190"/>
  <c r="I192"/>
  <c r="I194"/>
  <c r="I198"/>
  <c r="I204"/>
  <c r="I209"/>
  <c r="I210"/>
  <c r="I211"/>
  <c r="I214"/>
  <c r="I215"/>
  <c r="I219"/>
  <c r="I220"/>
  <c r="I224"/>
  <c r="I9"/>
  <c r="I17"/>
  <c r="I39"/>
  <c r="I43"/>
  <c r="I62"/>
  <c r="I128"/>
  <c r="I144"/>
  <c r="I147"/>
  <c r="I163"/>
  <c r="I179"/>
  <c r="I183"/>
  <c r="I187"/>
  <c r="I203"/>
  <c r="U67"/>
  <c r="I8"/>
  <c r="I37"/>
  <c r="I45"/>
  <c r="I60"/>
  <c r="I77"/>
  <c r="I98"/>
  <c r="I102"/>
  <c r="I109"/>
  <c r="I116"/>
  <c r="I119"/>
  <c r="I139"/>
  <c r="I169"/>
  <c r="I191"/>
  <c r="I197"/>
  <c r="I71"/>
  <c r="I72"/>
  <c r="I75"/>
  <c r="I82"/>
  <c r="I92"/>
  <c r="I146"/>
  <c r="I164"/>
  <c r="I93"/>
  <c r="I99"/>
  <c r="I113"/>
  <c r="I117"/>
  <c r="I130"/>
  <c r="I135"/>
  <c r="I138"/>
  <c r="I142"/>
  <c r="I161"/>
  <c r="I165"/>
  <c r="I168"/>
  <c r="I177"/>
  <c r="I181"/>
  <c r="I185"/>
  <c r="I189"/>
  <c r="I195"/>
  <c r="I199"/>
  <c r="I205"/>
  <c r="I80"/>
  <c r="I158"/>
  <c r="I84"/>
  <c r="I87"/>
  <c r="I94"/>
  <c r="I96"/>
  <c r="I100"/>
  <c r="I108"/>
  <c r="I114"/>
  <c r="I118"/>
  <c r="I127"/>
  <c r="I137"/>
  <c r="I141"/>
  <c r="I145"/>
  <c r="I162"/>
  <c r="I167"/>
  <c r="I175"/>
  <c r="I178"/>
  <c r="I182"/>
  <c r="I186"/>
  <c r="I196"/>
  <c r="I200"/>
  <c r="I202"/>
  <c r="I206"/>
  <c r="I15"/>
  <c r="I29"/>
  <c r="I35"/>
  <c r="I38"/>
  <c r="I52"/>
  <c r="I18"/>
  <c r="I20"/>
  <c r="I25"/>
  <c r="I27"/>
  <c r="I41"/>
  <c r="I58"/>
  <c r="U68"/>
  <c r="I11"/>
  <c r="I23"/>
  <c r="I44"/>
  <c r="I61"/>
  <c r="I68"/>
  <c r="I19"/>
  <c r="I21"/>
  <c r="I26"/>
  <c r="I33"/>
  <c r="I57"/>
  <c r="I59"/>
  <c r="I213" i="15"/>
  <c r="I13"/>
  <c r="I22"/>
  <c r="I40"/>
  <c r="I44"/>
  <c r="I63"/>
  <c r="I73"/>
  <c r="I78"/>
  <c r="I83"/>
  <c r="I95"/>
  <c r="I99"/>
  <c r="I103"/>
  <c r="I111"/>
  <c r="I115"/>
  <c r="I119"/>
  <c r="I143"/>
  <c r="I147"/>
  <c r="I156"/>
  <c r="I205"/>
  <c r="I11"/>
  <c r="I28"/>
  <c r="I38"/>
  <c r="I46"/>
  <c r="I61"/>
  <c r="I72"/>
  <c r="I81"/>
  <c r="I85"/>
  <c r="I97"/>
  <c r="I101"/>
  <c r="I109"/>
  <c r="I117"/>
  <c r="I121"/>
  <c r="I137"/>
  <c r="I145"/>
  <c r="I203"/>
  <c r="I135"/>
  <c r="I116"/>
  <c r="I131"/>
  <c r="I92"/>
  <c r="I105"/>
  <c r="I76"/>
  <c r="I102"/>
  <c r="I140"/>
  <c r="I181"/>
  <c r="I183"/>
  <c r="I196"/>
  <c r="I200"/>
  <c r="I93"/>
  <c r="I100"/>
  <c r="I167"/>
  <c r="I169"/>
  <c r="I173"/>
  <c r="I179"/>
  <c r="I207"/>
  <c r="I144"/>
  <c r="I163"/>
  <c r="I174"/>
  <c r="I192"/>
  <c r="I206"/>
  <c r="I172"/>
  <c r="I177"/>
  <c r="I94"/>
  <c r="I98"/>
  <c r="I104"/>
  <c r="I110"/>
  <c r="I113"/>
  <c r="I120"/>
  <c r="I129"/>
  <c r="I139"/>
  <c r="I141"/>
  <c r="I148"/>
  <c r="I171"/>
  <c r="I176"/>
  <c r="I178"/>
  <c r="I180"/>
  <c r="I182"/>
  <c r="I184"/>
  <c r="I186"/>
  <c r="I188"/>
  <c r="I190"/>
  <c r="I195"/>
  <c r="I197"/>
  <c r="I199"/>
  <c r="I201"/>
  <c r="I12"/>
  <c r="I20"/>
  <c r="I36"/>
  <c r="I39"/>
  <c r="I53"/>
  <c r="I10"/>
  <c r="I16"/>
  <c r="I18"/>
  <c r="I23"/>
  <c r="I30"/>
  <c r="I42"/>
  <c r="I50"/>
  <c r="I59"/>
  <c r="U69"/>
  <c r="I26"/>
  <c r="I45"/>
  <c r="I51"/>
  <c r="I62"/>
  <c r="I69"/>
  <c r="I9"/>
  <c r="I17"/>
  <c r="I24"/>
  <c r="I29"/>
  <c r="I31"/>
  <c r="I34"/>
  <c r="I58"/>
  <c r="I60"/>
  <c r="I134" i="16"/>
  <c r="P14" i="15"/>
  <c r="T14" s="1"/>
  <c r="P35"/>
  <c r="T35" s="1"/>
  <c r="P64"/>
  <c r="T64" s="1"/>
  <c r="P74"/>
  <c r="T74" s="1"/>
  <c r="P136"/>
  <c r="T136" s="1"/>
  <c r="F31" i="12"/>
  <c r="Q31" s="1"/>
  <c r="F198"/>
  <c r="Q198" s="1"/>
  <c r="F200"/>
  <c r="Q200" s="1"/>
  <c r="F199"/>
  <c r="Q199" s="1"/>
  <c r="F201"/>
  <c r="Q201" s="1"/>
  <c r="F184"/>
  <c r="Q184" s="1"/>
  <c r="F183"/>
  <c r="Q183" s="1"/>
  <c r="F176"/>
  <c r="Q176" s="1"/>
  <c r="F178"/>
  <c r="Q178" s="1"/>
  <c r="F185"/>
  <c r="Q185" s="1"/>
  <c r="F190"/>
  <c r="Q190" s="1"/>
  <c r="F179"/>
  <c r="Q179" s="1"/>
  <c r="F187"/>
  <c r="Q187" s="1"/>
  <c r="F188"/>
  <c r="Q188" s="1"/>
  <c r="F189"/>
  <c r="Q189" s="1"/>
  <c r="F181"/>
  <c r="Q181" s="1"/>
  <c r="F180"/>
  <c r="Q180" s="1"/>
  <c r="F205"/>
  <c r="Q205" s="1"/>
  <c r="F121"/>
  <c r="Q121" s="1"/>
  <c r="F120"/>
  <c r="Q120" s="1"/>
  <c r="F118"/>
  <c r="Q118" s="1"/>
  <c r="F117"/>
  <c r="Q117" s="1"/>
  <c r="F116"/>
  <c r="Q116" s="1"/>
  <c r="F122"/>
  <c r="Q122" s="1"/>
  <c r="T122" s="1"/>
  <c r="F197"/>
  <c r="Q197" s="1"/>
  <c r="F196"/>
  <c r="Q196" s="1"/>
  <c r="F170"/>
  <c r="Q170" s="1"/>
  <c r="P240" i="15" l="1"/>
  <c r="F240"/>
  <c r="F239" i="16"/>
  <c r="P239"/>
  <c r="H239"/>
  <c r="H240" i="15"/>
  <c r="S239" i="16"/>
  <c r="V239" s="1"/>
  <c r="S240" i="15"/>
  <c r="I122" i="12"/>
  <c r="I136" i="16"/>
  <c r="I13"/>
  <c r="I136" i="15"/>
  <c r="Q240"/>
  <c r="I14"/>
  <c r="I240" s="1"/>
  <c r="F168" i="12"/>
  <c r="Q168" s="1"/>
  <c r="F169"/>
  <c r="Q169" s="1"/>
  <c r="F69"/>
  <c r="Q69" s="1"/>
  <c r="F156"/>
  <c r="Q156" s="1"/>
  <c r="F130"/>
  <c r="Q130" s="1"/>
  <c r="F129"/>
  <c r="Q129" s="1"/>
  <c r="F128"/>
  <c r="Q128" s="1"/>
  <c r="F140"/>
  <c r="Q140" s="1"/>
  <c r="F111"/>
  <c r="Q111" s="1"/>
  <c r="F97"/>
  <c r="Q97" s="1"/>
  <c r="F104"/>
  <c r="F167"/>
  <c r="Q167" s="1"/>
  <c r="F224"/>
  <c r="F192"/>
  <c r="Q192" s="1"/>
  <c r="F119"/>
  <c r="Q119" s="1"/>
  <c r="F195"/>
  <c r="Q195" s="1"/>
  <c r="F67"/>
  <c r="Q67" s="1"/>
  <c r="F10"/>
  <c r="Q10" s="1"/>
  <c r="F182"/>
  <c r="Q182" s="1"/>
  <c r="F57"/>
  <c r="Q57" s="1"/>
  <c r="T57" s="1"/>
  <c r="F26"/>
  <c r="Q26" s="1"/>
  <c r="F45"/>
  <c r="Q45" s="1"/>
  <c r="F164"/>
  <c r="Q164" s="1"/>
  <c r="F231"/>
  <c r="Q231" s="1"/>
  <c r="F29"/>
  <c r="Q29" s="1"/>
  <c r="F28"/>
  <c r="Q28" s="1"/>
  <c r="F27"/>
  <c r="Q27" s="1"/>
  <c r="I224" l="1"/>
  <c r="Q224"/>
  <c r="T224" s="1"/>
  <c r="I104"/>
  <c r="Q104"/>
  <c r="T104" s="1"/>
  <c r="V240" i="15"/>
  <c r="U239" i="16" s="1"/>
  <c r="I239"/>
  <c r="Q239"/>
  <c r="I57" i="12"/>
  <c r="T240" i="15"/>
  <c r="F228" i="12"/>
  <c r="Q228" s="1"/>
  <c r="F227"/>
  <c r="Q227" s="1"/>
  <c r="F221"/>
  <c r="F220"/>
  <c r="Q220" s="1"/>
  <c r="F218"/>
  <c r="Q218" s="1"/>
  <c r="F215"/>
  <c r="Q215" s="1"/>
  <c r="F214"/>
  <c r="Q214" s="1"/>
  <c r="F211"/>
  <c r="Q211" s="1"/>
  <c r="T211" s="1"/>
  <c r="F210"/>
  <c r="Q210" s="1"/>
  <c r="F112"/>
  <c r="Q112" s="1"/>
  <c r="T112" s="1"/>
  <c r="I221" l="1"/>
  <c r="Q221"/>
  <c r="T221" s="1"/>
  <c r="I112"/>
  <c r="T239" i="16"/>
  <c r="W239" s="1"/>
  <c r="F222" i="12"/>
  <c r="Q222" s="1"/>
  <c r="F216"/>
  <c r="Q216" s="1"/>
  <c r="F213"/>
  <c r="Q213" s="1"/>
  <c r="F94" l="1"/>
  <c r="F110"/>
  <c r="Q110" s="1"/>
  <c r="F153"/>
  <c r="F177"/>
  <c r="F131"/>
  <c r="F132"/>
  <c r="Q132" s="1"/>
  <c r="T132" s="1"/>
  <c r="F186"/>
  <c r="Q186" s="1"/>
  <c r="F142"/>
  <c r="Q142" s="1"/>
  <c r="F13"/>
  <c r="Q13" s="1"/>
  <c r="F18"/>
  <c r="Q18" s="1"/>
  <c r="F17"/>
  <c r="Q17" s="1"/>
  <c r="F73"/>
  <c r="Q73" s="1"/>
  <c r="F34"/>
  <c r="Q34" s="1"/>
  <c r="F9"/>
  <c r="Q9" s="1"/>
  <c r="F11"/>
  <c r="Q11" s="1"/>
  <c r="F32"/>
  <c r="F163"/>
  <c r="Q163" s="1"/>
  <c r="F162"/>
  <c r="Q162" s="1"/>
  <c r="F115"/>
  <c r="Q115" s="1"/>
  <c r="F114"/>
  <c r="Q114" s="1"/>
  <c r="F139"/>
  <c r="Q139" s="1"/>
  <c r="F138"/>
  <c r="Q138" s="1"/>
  <c r="F230"/>
  <c r="Q230" s="1"/>
  <c r="T230" s="1"/>
  <c r="I32" l="1"/>
  <c r="Q32"/>
  <c r="I177"/>
  <c r="Q177"/>
  <c r="T177" s="1"/>
  <c r="I94"/>
  <c r="Q94"/>
  <c r="I153"/>
  <c r="Q153"/>
  <c r="T153" s="1"/>
  <c r="I131"/>
  <c r="Q131"/>
  <c r="T131" s="1"/>
  <c r="I230"/>
  <c r="I132"/>
  <c r="F77"/>
  <c r="Q77" s="1"/>
  <c r="F103"/>
  <c r="Q103" s="1"/>
  <c r="F102"/>
  <c r="Q102" s="1"/>
  <c r="F101"/>
  <c r="Q101" s="1"/>
  <c r="F100"/>
  <c r="Q100" s="1"/>
  <c r="F99"/>
  <c r="Q99" s="1"/>
  <c r="F98" l="1"/>
  <c r="Q98" s="1"/>
  <c r="F91"/>
  <c r="Q91" s="1"/>
  <c r="F92"/>
  <c r="Q92" s="1"/>
  <c r="F93"/>
  <c r="F207"/>
  <c r="F206"/>
  <c r="Q206" s="1"/>
  <c r="F51"/>
  <c r="F52"/>
  <c r="F50"/>
  <c r="F172"/>
  <c r="F173"/>
  <c r="F166"/>
  <c r="F174"/>
  <c r="F165"/>
  <c r="F49"/>
  <c r="F79"/>
  <c r="Q79" s="1"/>
  <c r="F159"/>
  <c r="Q159" s="1"/>
  <c r="F158"/>
  <c r="Q158" s="1"/>
  <c r="F76"/>
  <c r="Q76" s="1"/>
  <c r="F78"/>
  <c r="Q78" s="1"/>
  <c r="F81"/>
  <c r="Q81" s="1"/>
  <c r="F72"/>
  <c r="Q72" s="1"/>
  <c r="F56"/>
  <c r="Q56" s="1"/>
  <c r="F53"/>
  <c r="Q53" s="1"/>
  <c r="F48"/>
  <c r="Q48" s="1"/>
  <c r="T48" s="1"/>
  <c r="F47"/>
  <c r="F46"/>
  <c r="Q46" s="1"/>
  <c r="F42"/>
  <c r="Q42" s="1"/>
  <c r="F38"/>
  <c r="Q38" s="1"/>
  <c r="F40"/>
  <c r="Q40" s="1"/>
  <c r="F41"/>
  <c r="Q41" s="1"/>
  <c r="F37"/>
  <c r="Q37" s="1"/>
  <c r="T37" s="1"/>
  <c r="F36"/>
  <c r="F39"/>
  <c r="Q39" s="1"/>
  <c r="F44"/>
  <c r="Q44" s="1"/>
  <c r="F109"/>
  <c r="Q109" s="1"/>
  <c r="F95"/>
  <c r="Q95" s="1"/>
  <c r="F208"/>
  <c r="Q208" s="1"/>
  <c r="F88"/>
  <c r="Q88" s="1"/>
  <c r="F171"/>
  <c r="Q171" s="1"/>
  <c r="F30"/>
  <c r="Q30" s="1"/>
  <c r="F23"/>
  <c r="Q23" s="1"/>
  <c r="F21"/>
  <c r="Q21" s="1"/>
  <c r="F20"/>
  <c r="Q20" s="1"/>
  <c r="F219"/>
  <c r="Q219" s="1"/>
  <c r="F212"/>
  <c r="Q212" s="1"/>
  <c r="F217"/>
  <c r="F229"/>
  <c r="Q229" s="1"/>
  <c r="F225"/>
  <c r="Q225" s="1"/>
  <c r="F204"/>
  <c r="Q204" s="1"/>
  <c r="F223"/>
  <c r="Q223" s="1"/>
  <c r="F226"/>
  <c r="Q226" s="1"/>
  <c r="F144"/>
  <c r="Q144" s="1"/>
  <c r="F143"/>
  <c r="Q143" s="1"/>
  <c r="F113"/>
  <c r="Q113" s="1"/>
  <c r="F203"/>
  <c r="Q203" s="1"/>
  <c r="F85"/>
  <c r="Q85" s="1"/>
  <c r="F83"/>
  <c r="Q83" s="1"/>
  <c r="I174" l="1"/>
  <c r="Q174"/>
  <c r="T174" s="1"/>
  <c r="I166"/>
  <c r="Q166"/>
  <c r="T166" s="1"/>
  <c r="I52"/>
  <c r="Q52"/>
  <c r="I93"/>
  <c r="Q93"/>
  <c r="I217"/>
  <c r="Q217"/>
  <c r="T217" s="1"/>
  <c r="I49"/>
  <c r="Q49"/>
  <c r="I173"/>
  <c r="Q173"/>
  <c r="T173" s="1"/>
  <c r="I51"/>
  <c r="Q51"/>
  <c r="I36"/>
  <c r="Q36"/>
  <c r="I50"/>
  <c r="Q50"/>
  <c r="I207"/>
  <c r="Q207"/>
  <c r="T207" s="1"/>
  <c r="I47"/>
  <c r="Q47"/>
  <c r="I165"/>
  <c r="Q165"/>
  <c r="T165" s="1"/>
  <c r="I172"/>
  <c r="Q172"/>
  <c r="T172" s="1"/>
  <c r="I37"/>
  <c r="I48"/>
  <c r="F63"/>
  <c r="Q63" s="1"/>
  <c r="F62"/>
  <c r="Q62" s="1"/>
  <c r="F61" l="1"/>
  <c r="Q61" s="1"/>
  <c r="F60"/>
  <c r="Q60" s="1"/>
  <c r="F59"/>
  <c r="Q59" s="1"/>
  <c r="F58"/>
  <c r="Q58" s="1"/>
  <c r="F22"/>
  <c r="Q22" s="1"/>
  <c r="F12"/>
  <c r="Q12" s="1"/>
  <c r="F146"/>
  <c r="Q146" s="1"/>
  <c r="F148"/>
  <c r="Q148" s="1"/>
  <c r="F147"/>
  <c r="Q147" s="1"/>
  <c r="F145" l="1"/>
  <c r="Q145" s="1"/>
  <c r="H185" l="1"/>
  <c r="H119"/>
  <c r="H140"/>
  <c r="H156"/>
  <c r="H79"/>
  <c r="H171"/>
  <c r="I171" l="1"/>
  <c r="S171"/>
  <c r="T171" s="1"/>
  <c r="I79"/>
  <c r="S79"/>
  <c r="I140"/>
  <c r="S140"/>
  <c r="T140" s="1"/>
  <c r="I119"/>
  <c r="S119"/>
  <c r="T119" s="1"/>
  <c r="I185"/>
  <c r="S185"/>
  <c r="T185" s="1"/>
  <c r="I156"/>
  <c r="S156"/>
  <c r="T156" s="1"/>
  <c r="H186"/>
  <c r="H142"/>
  <c r="I142" l="1"/>
  <c r="S142"/>
  <c r="T142" s="1"/>
  <c r="I186"/>
  <c r="S186"/>
  <c r="T186" s="1"/>
  <c r="H76"/>
  <c r="H184"/>
  <c r="H183"/>
  <c r="H176"/>
  <c r="H167"/>
  <c r="H178"/>
  <c r="H192"/>
  <c r="H195"/>
  <c r="H121"/>
  <c r="H205"/>
  <c r="H120"/>
  <c r="H118"/>
  <c r="H117"/>
  <c r="H116"/>
  <c r="H163"/>
  <c r="I183" l="1"/>
  <c r="S183"/>
  <c r="T183" s="1"/>
  <c r="I195"/>
  <c r="S195"/>
  <c r="T195" s="1"/>
  <c r="I163"/>
  <c r="S163"/>
  <c r="T163" s="1"/>
  <c r="I192"/>
  <c r="S192"/>
  <c r="T192" s="1"/>
  <c r="I116"/>
  <c r="S116"/>
  <c r="T116" s="1"/>
  <c r="I178"/>
  <c r="S178"/>
  <c r="T178" s="1"/>
  <c r="I184"/>
  <c r="S184"/>
  <c r="T184" s="1"/>
  <c r="I118"/>
  <c r="S118"/>
  <c r="T118" s="1"/>
  <c r="I176"/>
  <c r="S176"/>
  <c r="T176" s="1"/>
  <c r="I120"/>
  <c r="S120"/>
  <c r="T120" s="1"/>
  <c r="I205"/>
  <c r="S205"/>
  <c r="T205" s="1"/>
  <c r="I117"/>
  <c r="S117"/>
  <c r="T117" s="1"/>
  <c r="I121"/>
  <c r="S121"/>
  <c r="T121" s="1"/>
  <c r="I167"/>
  <c r="S167"/>
  <c r="T167" s="1"/>
  <c r="I76"/>
  <c r="S76"/>
  <c r="H162"/>
  <c r="H23"/>
  <c r="H56"/>
  <c r="H197"/>
  <c r="H196"/>
  <c r="H31"/>
  <c r="H201"/>
  <c r="H200"/>
  <c r="H199"/>
  <c r="H198"/>
  <c r="H67"/>
  <c r="H10"/>
  <c r="H182"/>
  <c r="H29"/>
  <c r="H28"/>
  <c r="H27"/>
  <c r="H26"/>
  <c r="H45"/>
  <c r="H164"/>
  <c r="H130"/>
  <c r="H129"/>
  <c r="H231"/>
  <c r="H220"/>
  <c r="I211"/>
  <c r="H214"/>
  <c r="H228"/>
  <c r="H215"/>
  <c r="H227"/>
  <c r="H210"/>
  <c r="H218"/>
  <c r="H222"/>
  <c r="H213"/>
  <c r="H216"/>
  <c r="H206"/>
  <c r="H97"/>
  <c r="H110"/>
  <c r="I206" l="1"/>
  <c r="S206"/>
  <c r="T206" s="1"/>
  <c r="I29"/>
  <c r="S29"/>
  <c r="I216"/>
  <c r="S216"/>
  <c r="T216" s="1"/>
  <c r="I129"/>
  <c r="S129"/>
  <c r="T129" s="1"/>
  <c r="I26"/>
  <c r="S26"/>
  <c r="I182"/>
  <c r="S182"/>
  <c r="T182" s="1"/>
  <c r="I199"/>
  <c r="S199"/>
  <c r="T199" s="1"/>
  <c r="I196"/>
  <c r="S196"/>
  <c r="T196" s="1"/>
  <c r="I162"/>
  <c r="S162"/>
  <c r="T162" s="1"/>
  <c r="I218"/>
  <c r="S218"/>
  <c r="T218" s="1"/>
  <c r="I45"/>
  <c r="S45"/>
  <c r="I198"/>
  <c r="S198"/>
  <c r="T198" s="1"/>
  <c r="I31"/>
  <c r="S31"/>
  <c r="I23"/>
  <c r="S23"/>
  <c r="I210"/>
  <c r="S210"/>
  <c r="T210" s="1"/>
  <c r="I110"/>
  <c r="S110"/>
  <c r="T110" s="1"/>
  <c r="I27"/>
  <c r="S27"/>
  <c r="I200"/>
  <c r="S200"/>
  <c r="T200" s="1"/>
  <c r="I228"/>
  <c r="S228"/>
  <c r="T228" s="1"/>
  <c r="I231"/>
  <c r="S231"/>
  <c r="T231" s="1"/>
  <c r="I214"/>
  <c r="S214"/>
  <c r="T214" s="1"/>
  <c r="I213"/>
  <c r="S213"/>
  <c r="T213" s="1"/>
  <c r="I227"/>
  <c r="S227"/>
  <c r="T227" s="1"/>
  <c r="I130"/>
  <c r="S130"/>
  <c r="T130" s="1"/>
  <c r="I10"/>
  <c r="S10"/>
  <c r="I97"/>
  <c r="S97"/>
  <c r="I222"/>
  <c r="S222"/>
  <c r="T222" s="1"/>
  <c r="I215"/>
  <c r="S215"/>
  <c r="T215" s="1"/>
  <c r="I220"/>
  <c r="S220"/>
  <c r="T220" s="1"/>
  <c r="I164"/>
  <c r="S164"/>
  <c r="T164" s="1"/>
  <c r="I28"/>
  <c r="S28"/>
  <c r="I67"/>
  <c r="S67"/>
  <c r="I201"/>
  <c r="S201"/>
  <c r="T201" s="1"/>
  <c r="I56"/>
  <c r="S56"/>
  <c r="I197"/>
  <c r="L197"/>
  <c r="R197" s="1"/>
  <c r="H128"/>
  <c r="H137"/>
  <c r="S137" s="1"/>
  <c r="H136"/>
  <c r="S136" s="1"/>
  <c r="H91"/>
  <c r="H190"/>
  <c r="H111"/>
  <c r="H19"/>
  <c r="S19" s="1"/>
  <c r="H13"/>
  <c r="H18"/>
  <c r="H17"/>
  <c r="H73"/>
  <c r="H34"/>
  <c r="H53"/>
  <c r="H9"/>
  <c r="S9" s="1"/>
  <c r="T9" s="1"/>
  <c r="H179"/>
  <c r="H11"/>
  <c r="H21"/>
  <c r="H16"/>
  <c r="S16" s="1"/>
  <c r="H168"/>
  <c r="H189"/>
  <c r="H188"/>
  <c r="H187"/>
  <c r="H181"/>
  <c r="H180"/>
  <c r="H81"/>
  <c r="H115"/>
  <c r="H114"/>
  <c r="H139"/>
  <c r="H138"/>
  <c r="H24"/>
  <c r="S24" s="1"/>
  <c r="H229"/>
  <c r="H30"/>
  <c r="I81" l="1"/>
  <c r="S81"/>
  <c r="I21"/>
  <c r="S21"/>
  <c r="I18"/>
  <c r="S18"/>
  <c r="I128"/>
  <c r="S128"/>
  <c r="T128" s="1"/>
  <c r="I30"/>
  <c r="S30"/>
  <c r="I189"/>
  <c r="S189"/>
  <c r="T189" s="1"/>
  <c r="I229"/>
  <c r="S229"/>
  <c r="T229" s="1"/>
  <c r="I114"/>
  <c r="S114"/>
  <c r="T114" s="1"/>
  <c r="I181"/>
  <c r="S181"/>
  <c r="T181" s="1"/>
  <c r="I168"/>
  <c r="S168"/>
  <c r="T168" s="1"/>
  <c r="I179"/>
  <c r="S179"/>
  <c r="T179" s="1"/>
  <c r="I73"/>
  <c r="S73"/>
  <c r="I138"/>
  <c r="S138"/>
  <c r="T138" s="1"/>
  <c r="I188"/>
  <c r="S188"/>
  <c r="T188" s="1"/>
  <c r="I53"/>
  <c r="S53"/>
  <c r="I190"/>
  <c r="S190"/>
  <c r="T190" s="1"/>
  <c r="I139"/>
  <c r="S139"/>
  <c r="T139" s="1"/>
  <c r="I180"/>
  <c r="S180"/>
  <c r="T180" s="1"/>
  <c r="I11"/>
  <c r="S11"/>
  <c r="T11" s="1"/>
  <c r="I34"/>
  <c r="S34"/>
  <c r="I13"/>
  <c r="S13"/>
  <c r="I91"/>
  <c r="S91"/>
  <c r="I115"/>
  <c r="S115"/>
  <c r="T115" s="1"/>
  <c r="I187"/>
  <c r="S187"/>
  <c r="T187" s="1"/>
  <c r="I17"/>
  <c r="S17"/>
  <c r="I111"/>
  <c r="S111"/>
  <c r="T111" s="1"/>
  <c r="S197"/>
  <c r="T197" s="1"/>
  <c r="I9"/>
  <c r="H148"/>
  <c r="H147"/>
  <c r="H146"/>
  <c r="H145"/>
  <c r="I146" l="1"/>
  <c r="S146"/>
  <c r="T146" s="1"/>
  <c r="I148"/>
  <c r="S148"/>
  <c r="T148" s="1"/>
  <c r="I145"/>
  <c r="S145"/>
  <c r="T145" s="1"/>
  <c r="I147"/>
  <c r="S147"/>
  <c r="T147" s="1"/>
  <c r="H101"/>
  <c r="H102"/>
  <c r="H103"/>
  <c r="H100"/>
  <c r="H99"/>
  <c r="H98"/>
  <c r="H77"/>
  <c r="H69"/>
  <c r="H208"/>
  <c r="H109"/>
  <c r="H95"/>
  <c r="H44"/>
  <c r="H42"/>
  <c r="H38"/>
  <c r="H40"/>
  <c r="H41"/>
  <c r="H39"/>
  <c r="H212"/>
  <c r="H219"/>
  <c r="H170"/>
  <c r="H88"/>
  <c r="H46"/>
  <c r="H169"/>
  <c r="H159"/>
  <c r="H158"/>
  <c r="H72"/>
  <c r="H78"/>
  <c r="I141"/>
  <c r="H225"/>
  <c r="H92"/>
  <c r="H204"/>
  <c r="H203"/>
  <c r="H226"/>
  <c r="H223"/>
  <c r="H144"/>
  <c r="H113"/>
  <c r="H85"/>
  <c r="H63"/>
  <c r="H62"/>
  <c r="H61"/>
  <c r="H60"/>
  <c r="H59"/>
  <c r="H58"/>
  <c r="H12"/>
  <c r="S12" s="1"/>
  <c r="H22"/>
  <c r="H83"/>
  <c r="H143"/>
  <c r="I113" l="1"/>
  <c r="S113"/>
  <c r="T113" s="1"/>
  <c r="I203"/>
  <c r="S203"/>
  <c r="T203" s="1"/>
  <c r="I159"/>
  <c r="S159"/>
  <c r="T159" s="1"/>
  <c r="I41"/>
  <c r="S41"/>
  <c r="I69"/>
  <c r="S69"/>
  <c r="I100"/>
  <c r="S100"/>
  <c r="I62"/>
  <c r="S62"/>
  <c r="I144"/>
  <c r="S144"/>
  <c r="T144" s="1"/>
  <c r="I78"/>
  <c r="S78"/>
  <c r="I40"/>
  <c r="S40"/>
  <c r="I77"/>
  <c r="S77"/>
  <c r="I83"/>
  <c r="S83"/>
  <c r="I223"/>
  <c r="S223"/>
  <c r="T223" s="1"/>
  <c r="I46"/>
  <c r="S46"/>
  <c r="I38"/>
  <c r="S38"/>
  <c r="I109"/>
  <c r="S109"/>
  <c r="T109" s="1"/>
  <c r="I98"/>
  <c r="S98"/>
  <c r="I102"/>
  <c r="S102"/>
  <c r="T102" s="1"/>
  <c r="I61"/>
  <c r="S61"/>
  <c r="I170"/>
  <c r="S170"/>
  <c r="T170" s="1"/>
  <c r="I44"/>
  <c r="S44"/>
  <c r="I143"/>
  <c r="S143"/>
  <c r="T143" s="1"/>
  <c r="I58"/>
  <c r="S58"/>
  <c r="I204"/>
  <c r="S204"/>
  <c r="T204" s="1"/>
  <c r="I169"/>
  <c r="S169"/>
  <c r="T169" s="1"/>
  <c r="I219"/>
  <c r="S219"/>
  <c r="T219" s="1"/>
  <c r="I95"/>
  <c r="S95"/>
  <c r="I103"/>
  <c r="S103"/>
  <c r="T103" s="1"/>
  <c r="I59"/>
  <c r="S59"/>
  <c r="I63"/>
  <c r="S63"/>
  <c r="I92"/>
  <c r="S92"/>
  <c r="I72"/>
  <c r="S72"/>
  <c r="I212"/>
  <c r="S212"/>
  <c r="T212" s="1"/>
  <c r="I22"/>
  <c r="S22"/>
  <c r="I60"/>
  <c r="S60"/>
  <c r="I85"/>
  <c r="S85"/>
  <c r="I226"/>
  <c r="S226"/>
  <c r="T226" s="1"/>
  <c r="I225"/>
  <c r="S225"/>
  <c r="T225" s="1"/>
  <c r="I158"/>
  <c r="S158"/>
  <c r="T158" s="1"/>
  <c r="I88"/>
  <c r="S88"/>
  <c r="I39"/>
  <c r="S39"/>
  <c r="I42"/>
  <c r="S42"/>
  <c r="I208"/>
  <c r="S208"/>
  <c r="T208" s="1"/>
  <c r="I99"/>
  <c r="S99"/>
  <c r="I101"/>
  <c r="S101"/>
  <c r="T101" s="1"/>
  <c r="I12"/>
  <c r="E137"/>
  <c r="P137" s="1"/>
  <c r="E136"/>
  <c r="P136" s="1"/>
  <c r="F137" l="1"/>
  <c r="F136"/>
  <c r="P10"/>
  <c r="T10" s="1"/>
  <c r="P12"/>
  <c r="T12" s="1"/>
  <c r="P13"/>
  <c r="T13" s="1"/>
  <c r="P15"/>
  <c r="T15" s="1"/>
  <c r="P16"/>
  <c r="P17"/>
  <c r="T17" s="1"/>
  <c r="P18"/>
  <c r="T18" s="1"/>
  <c r="P19"/>
  <c r="P20"/>
  <c r="P21"/>
  <c r="T21" s="1"/>
  <c r="P22"/>
  <c r="T22" s="1"/>
  <c r="P23"/>
  <c r="T23" s="1"/>
  <c r="P24"/>
  <c r="P25"/>
  <c r="T25" s="1"/>
  <c r="P26"/>
  <c r="T26" s="1"/>
  <c r="P30"/>
  <c r="T30" s="1"/>
  <c r="P31"/>
  <c r="T31" s="1"/>
  <c r="P32"/>
  <c r="T32" s="1"/>
  <c r="P33"/>
  <c r="T33" s="1"/>
  <c r="P34"/>
  <c r="T34" s="1"/>
  <c r="P36"/>
  <c r="T36" s="1"/>
  <c r="P38"/>
  <c r="T38" s="1"/>
  <c r="P39"/>
  <c r="T39" s="1"/>
  <c r="P40"/>
  <c r="T40" s="1"/>
  <c r="P41"/>
  <c r="T41" s="1"/>
  <c r="P42"/>
  <c r="T42" s="1"/>
  <c r="P43"/>
  <c r="T43" s="1"/>
  <c r="P44"/>
  <c r="T44" s="1"/>
  <c r="P45"/>
  <c r="T45" s="1"/>
  <c r="P46"/>
  <c r="T46" s="1"/>
  <c r="P47"/>
  <c r="T47" s="1"/>
  <c r="P49"/>
  <c r="T49" s="1"/>
  <c r="P50"/>
  <c r="T50" s="1"/>
  <c r="P51"/>
  <c r="T51" s="1"/>
  <c r="P52"/>
  <c r="T52" s="1"/>
  <c r="P53"/>
  <c r="T53" s="1"/>
  <c r="P55"/>
  <c r="T55" s="1"/>
  <c r="P56"/>
  <c r="T56" s="1"/>
  <c r="P58"/>
  <c r="T58" s="1"/>
  <c r="P59"/>
  <c r="T59" s="1"/>
  <c r="P60"/>
  <c r="T60" s="1"/>
  <c r="P61"/>
  <c r="T61" s="1"/>
  <c r="P62"/>
  <c r="T62" s="1"/>
  <c r="P63"/>
  <c r="T63" s="1"/>
  <c r="P67"/>
  <c r="T67" s="1"/>
  <c r="P68"/>
  <c r="T68" s="1"/>
  <c r="P69"/>
  <c r="T69" s="1"/>
  <c r="P71"/>
  <c r="T71" s="1"/>
  <c r="P72"/>
  <c r="T72" s="1"/>
  <c r="P73"/>
  <c r="T73" s="1"/>
  <c r="P75"/>
  <c r="T75" s="1"/>
  <c r="P76"/>
  <c r="T76" s="1"/>
  <c r="P77"/>
  <c r="T77" s="1"/>
  <c r="P78"/>
  <c r="T78" s="1"/>
  <c r="P79"/>
  <c r="T79" s="1"/>
  <c r="P81"/>
  <c r="T81" s="1"/>
  <c r="P82"/>
  <c r="T82" s="1"/>
  <c r="P83"/>
  <c r="T83" s="1"/>
  <c r="P84"/>
  <c r="T84" s="1"/>
  <c r="P85"/>
  <c r="T85" s="1"/>
  <c r="P87"/>
  <c r="T87" s="1"/>
  <c r="P90"/>
  <c r="T90" s="1"/>
  <c r="P91"/>
  <c r="T91" s="1"/>
  <c r="P92"/>
  <c r="T92" s="1"/>
  <c r="P93"/>
  <c r="T93" s="1"/>
  <c r="P95"/>
  <c r="T95" s="1"/>
  <c r="P96"/>
  <c r="T96" s="1"/>
  <c r="P97"/>
  <c r="T97" s="1"/>
  <c r="P98"/>
  <c r="T98" s="1"/>
  <c r="P99"/>
  <c r="T99" s="1"/>
  <c r="P100"/>
  <c r="T100" s="1"/>
  <c r="H237"/>
  <c r="S237" s="1"/>
  <c r="G237"/>
  <c r="R237" s="1"/>
  <c r="F237"/>
  <c r="Q237" s="1"/>
  <c r="E237"/>
  <c r="P237" s="1"/>
  <c r="H234"/>
  <c r="S234" s="1"/>
  <c r="G234"/>
  <c r="R234" s="1"/>
  <c r="F234"/>
  <c r="Q234" s="1"/>
  <c r="E234"/>
  <c r="P234" s="1"/>
  <c r="H232"/>
  <c r="S232" s="1"/>
  <c r="G232"/>
  <c r="R232" s="1"/>
  <c r="F232"/>
  <c r="Q232" s="1"/>
  <c r="E232"/>
  <c r="P232" s="1"/>
  <c r="H193"/>
  <c r="S193" s="1"/>
  <c r="G193"/>
  <c r="R193" s="1"/>
  <c r="E193"/>
  <c r="P193" s="1"/>
  <c r="F193"/>
  <c r="Q193" s="1"/>
  <c r="H191"/>
  <c r="S191" s="1"/>
  <c r="G191"/>
  <c r="R191" s="1"/>
  <c r="F191"/>
  <c r="Q191" s="1"/>
  <c r="E191"/>
  <c r="P191" s="1"/>
  <c r="H157"/>
  <c r="S157" s="1"/>
  <c r="G157"/>
  <c r="R157" s="1"/>
  <c r="F157"/>
  <c r="Q157" s="1"/>
  <c r="E157"/>
  <c r="P157" s="1"/>
  <c r="H151"/>
  <c r="S151" s="1"/>
  <c r="G151"/>
  <c r="R151" s="1"/>
  <c r="H150"/>
  <c r="S150" s="1"/>
  <c r="G150"/>
  <c r="R150" s="1"/>
  <c r="H149"/>
  <c r="S149" s="1"/>
  <c r="G149"/>
  <c r="R149" s="1"/>
  <c r="F151"/>
  <c r="Q151" s="1"/>
  <c r="E151"/>
  <c r="P151" s="1"/>
  <c r="F150"/>
  <c r="Q150" s="1"/>
  <c r="E150"/>
  <c r="P150" s="1"/>
  <c r="F149"/>
  <c r="Q149" s="1"/>
  <c r="E149"/>
  <c r="P149" s="1"/>
  <c r="H126"/>
  <c r="S126" s="1"/>
  <c r="G126"/>
  <c r="R126" s="1"/>
  <c r="H125"/>
  <c r="S125" s="1"/>
  <c r="G125"/>
  <c r="R125" s="1"/>
  <c r="H124"/>
  <c r="S124" s="1"/>
  <c r="G124"/>
  <c r="R124" s="1"/>
  <c r="H123"/>
  <c r="S123" s="1"/>
  <c r="G123"/>
  <c r="R123" s="1"/>
  <c r="F126"/>
  <c r="Q126" s="1"/>
  <c r="E126"/>
  <c r="P126" s="1"/>
  <c r="F125"/>
  <c r="Q125" s="1"/>
  <c r="E125"/>
  <c r="P125" s="1"/>
  <c r="E124"/>
  <c r="P124" s="1"/>
  <c r="T124" s="1"/>
  <c r="F124"/>
  <c r="Q124" s="1"/>
  <c r="E123"/>
  <c r="P123" s="1"/>
  <c r="F123"/>
  <c r="Q123" s="1"/>
  <c r="G107"/>
  <c r="R107" s="1"/>
  <c r="H107"/>
  <c r="S107" s="1"/>
  <c r="F107"/>
  <c r="Q107" s="1"/>
  <c r="E107"/>
  <c r="P107" s="1"/>
  <c r="H106"/>
  <c r="S106" s="1"/>
  <c r="G106"/>
  <c r="R106" s="1"/>
  <c r="F106"/>
  <c r="Q106" s="1"/>
  <c r="E106"/>
  <c r="P106" s="1"/>
  <c r="P94"/>
  <c r="T94" s="1"/>
  <c r="H89"/>
  <c r="S89" s="1"/>
  <c r="G89"/>
  <c r="R89" s="1"/>
  <c r="E89"/>
  <c r="F89"/>
  <c r="Q89" s="1"/>
  <c r="H86"/>
  <c r="S86" s="1"/>
  <c r="G86"/>
  <c r="R86" s="1"/>
  <c r="E86"/>
  <c r="F86"/>
  <c r="Q86" s="1"/>
  <c r="T125" l="1"/>
  <c r="T107"/>
  <c r="T149"/>
  <c r="T151"/>
  <c r="T157"/>
  <c r="T191"/>
  <c r="T232"/>
  <c r="T234"/>
  <c r="T237"/>
  <c r="I137"/>
  <c r="Q137"/>
  <c r="T137" s="1"/>
  <c r="T106"/>
  <c r="T123"/>
  <c r="T193"/>
  <c r="I136"/>
  <c r="Q136"/>
  <c r="T136" s="1"/>
  <c r="T126"/>
  <c r="T150"/>
  <c r="I125"/>
  <c r="I126"/>
  <c r="I150"/>
  <c r="I151"/>
  <c r="I157"/>
  <c r="I191"/>
  <c r="I232"/>
  <c r="I237"/>
  <c r="I106"/>
  <c r="I107"/>
  <c r="I149"/>
  <c r="I234"/>
  <c r="P86"/>
  <c r="T86" s="1"/>
  <c r="I86"/>
  <c r="P89"/>
  <c r="T89" s="1"/>
  <c r="I89"/>
  <c r="I123"/>
  <c r="I124"/>
  <c r="I193"/>
  <c r="G80" l="1"/>
  <c r="R80" s="1"/>
  <c r="H80"/>
  <c r="S80" s="1"/>
  <c r="F80"/>
  <c r="Q80" s="1"/>
  <c r="E80"/>
  <c r="H74"/>
  <c r="S74" s="1"/>
  <c r="G74"/>
  <c r="R74" s="1"/>
  <c r="E74"/>
  <c r="F74"/>
  <c r="Q74" s="1"/>
  <c r="G70"/>
  <c r="R70" s="1"/>
  <c r="H70"/>
  <c r="S70" s="1"/>
  <c r="E70"/>
  <c r="F70"/>
  <c r="Q70" s="1"/>
  <c r="I74" l="1"/>
  <c r="I70"/>
  <c r="I80"/>
  <c r="P80"/>
  <c r="T80" s="1"/>
  <c r="P70"/>
  <c r="T70" s="1"/>
  <c r="P74"/>
  <c r="T74" s="1"/>
  <c r="H66"/>
  <c r="S66" s="1"/>
  <c r="G66"/>
  <c r="R66" s="1"/>
  <c r="F66"/>
  <c r="Q66" s="1"/>
  <c r="E66"/>
  <c r="H65"/>
  <c r="S65" s="1"/>
  <c r="G65"/>
  <c r="R65" s="1"/>
  <c r="F65"/>
  <c r="Q65" s="1"/>
  <c r="E65"/>
  <c r="F64"/>
  <c r="Q64" s="1"/>
  <c r="E64"/>
  <c r="H64"/>
  <c r="S64" s="1"/>
  <c r="G64"/>
  <c r="R64" s="1"/>
  <c r="G54"/>
  <c r="R54" s="1"/>
  <c r="H54"/>
  <c r="S54" s="1"/>
  <c r="F54"/>
  <c r="Q54" s="1"/>
  <c r="E54"/>
  <c r="H35"/>
  <c r="S35" s="1"/>
  <c r="G35"/>
  <c r="R35" s="1"/>
  <c r="E35"/>
  <c r="F35"/>
  <c r="Q35" s="1"/>
  <c r="E14"/>
  <c r="E240" s="1"/>
  <c r="G14"/>
  <c r="G240" l="1"/>
  <c r="R14"/>
  <c r="I66"/>
  <c r="I54"/>
  <c r="I65"/>
  <c r="I64"/>
  <c r="I35"/>
  <c r="H14"/>
  <c r="S14" s="1"/>
  <c r="R240"/>
  <c r="P64"/>
  <c r="T64" s="1"/>
  <c r="P54"/>
  <c r="T54" s="1"/>
  <c r="P65"/>
  <c r="T65" s="1"/>
  <c r="P66"/>
  <c r="T66" s="1"/>
  <c r="P14"/>
  <c r="F14"/>
  <c r="Q14" s="1"/>
  <c r="P35"/>
  <c r="T35" s="1"/>
  <c r="O35"/>
  <c r="T14" l="1"/>
  <c r="I14"/>
  <c r="O10"/>
  <c r="O11"/>
  <c r="O12"/>
  <c r="O13"/>
  <c r="O14"/>
  <c r="O15"/>
  <c r="O16"/>
  <c r="O17"/>
  <c r="O18"/>
  <c r="O19"/>
  <c r="O20"/>
  <c r="O21"/>
  <c r="O22"/>
  <c r="O23"/>
  <c r="O24"/>
  <c r="O25"/>
  <c r="O26"/>
  <c r="O27"/>
  <c r="O28"/>
  <c r="O29"/>
  <c r="O30"/>
  <c r="O31"/>
  <c r="O32"/>
  <c r="O33"/>
  <c r="O34"/>
  <c r="O36"/>
  <c r="O38"/>
  <c r="O39"/>
  <c r="O40"/>
  <c r="O41"/>
  <c r="O42"/>
  <c r="O43"/>
  <c r="O44"/>
  <c r="O45"/>
  <c r="O46"/>
  <c r="O47"/>
  <c r="O49"/>
  <c r="O50"/>
  <c r="O51"/>
  <c r="O52"/>
  <c r="O53"/>
  <c r="O54"/>
  <c r="O55"/>
  <c r="O56"/>
  <c r="O58"/>
  <c r="O59"/>
  <c r="O60"/>
  <c r="O61"/>
  <c r="O62"/>
  <c r="O63"/>
  <c r="O64"/>
  <c r="O65"/>
  <c r="O66"/>
  <c r="O67"/>
  <c r="O68"/>
  <c r="O69"/>
  <c r="O70"/>
  <c r="O71"/>
  <c r="O72"/>
  <c r="O73"/>
  <c r="O74"/>
  <c r="O75"/>
  <c r="O76"/>
  <c r="O77"/>
  <c r="O78"/>
  <c r="O79"/>
  <c r="O80"/>
  <c r="O81"/>
  <c r="O82"/>
  <c r="O83"/>
  <c r="O84"/>
  <c r="O85"/>
  <c r="O86"/>
  <c r="O87"/>
  <c r="O88"/>
  <c r="O89"/>
  <c r="O90"/>
  <c r="O91"/>
  <c r="O92"/>
  <c r="O93"/>
  <c r="O94"/>
  <c r="O95"/>
  <c r="O96"/>
  <c r="O97"/>
  <c r="O98"/>
  <c r="O99"/>
  <c r="O100"/>
  <c r="O101"/>
  <c r="O102"/>
  <c r="O103"/>
  <c r="O104"/>
  <c r="O105"/>
  <c r="O106"/>
  <c r="O107"/>
  <c r="O108"/>
  <c r="O109"/>
  <c r="O110"/>
  <c r="O111"/>
  <c r="O113"/>
  <c r="O114"/>
  <c r="O115"/>
  <c r="O116"/>
  <c r="O117"/>
  <c r="O118"/>
  <c r="O119"/>
  <c r="O120"/>
  <c r="O121"/>
  <c r="O123"/>
  <c r="O124"/>
  <c r="O125"/>
  <c r="O126"/>
  <c r="O127"/>
  <c r="O128"/>
  <c r="O129"/>
  <c r="O130"/>
  <c r="O133"/>
  <c r="O136"/>
  <c r="O137"/>
  <c r="O138"/>
  <c r="O139"/>
  <c r="O140"/>
  <c r="O141"/>
  <c r="O142"/>
  <c r="O131"/>
  <c r="O143"/>
  <c r="O144"/>
  <c r="O145"/>
  <c r="O146"/>
  <c r="O147"/>
  <c r="O148"/>
  <c r="O149"/>
  <c r="O150"/>
  <c r="O151"/>
  <c r="O153"/>
  <c r="O155"/>
  <c r="O156"/>
  <c r="O157"/>
  <c r="O158"/>
  <c r="O159"/>
  <c r="O161"/>
  <c r="O162"/>
  <c r="O163"/>
  <c r="O164"/>
  <c r="O165"/>
  <c r="O166"/>
  <c r="O167"/>
  <c r="O168"/>
  <c r="O169"/>
  <c r="O170"/>
  <c r="O171"/>
  <c r="O172"/>
  <c r="O173"/>
  <c r="O174"/>
  <c r="O175"/>
  <c r="O176"/>
  <c r="O177"/>
  <c r="O178"/>
  <c r="O179"/>
  <c r="O180"/>
  <c r="O181"/>
  <c r="O182"/>
  <c r="O183"/>
  <c r="O184"/>
  <c r="O185"/>
  <c r="O186"/>
  <c r="O187"/>
  <c r="O188"/>
  <c r="O189"/>
  <c r="O190"/>
  <c r="O191"/>
  <c r="O192"/>
  <c r="O193"/>
  <c r="O194"/>
  <c r="O195"/>
  <c r="O196"/>
  <c r="O197"/>
  <c r="O198"/>
  <c r="O199"/>
  <c r="O200"/>
  <c r="O201"/>
  <c r="O202"/>
  <c r="O203"/>
  <c r="O204"/>
  <c r="O205"/>
  <c r="O206"/>
  <c r="O207"/>
  <c r="O208"/>
  <c r="O209"/>
  <c r="O210"/>
  <c r="O211"/>
  <c r="O212"/>
  <c r="O213"/>
  <c r="O214"/>
  <c r="O215"/>
  <c r="O216"/>
  <c r="O217"/>
  <c r="O218"/>
  <c r="O219"/>
  <c r="O220"/>
  <c r="O221"/>
  <c r="O222"/>
  <c r="O223"/>
  <c r="O224"/>
  <c r="O225"/>
  <c r="O226"/>
  <c r="O227"/>
  <c r="O228"/>
  <c r="O229"/>
  <c r="O231"/>
  <c r="O232"/>
  <c r="O233"/>
  <c r="O234"/>
  <c r="O236"/>
  <c r="O237"/>
  <c r="P27" l="1"/>
  <c r="T27" s="1"/>
  <c r="F19" l="1"/>
  <c r="F16"/>
  <c r="F24"/>
  <c r="F240" l="1"/>
  <c r="Q24"/>
  <c r="T24" s="1"/>
  <c r="I16"/>
  <c r="Q16"/>
  <c r="T16" s="1"/>
  <c r="I19"/>
  <c r="Q19"/>
  <c r="T19" s="1"/>
  <c r="I24"/>
  <c r="H105" l="1"/>
  <c r="H20"/>
  <c r="S20" s="1"/>
  <c r="T20" s="1"/>
  <c r="I105" l="1"/>
  <c r="S105"/>
  <c r="T105" s="1"/>
  <c r="I20"/>
  <c r="I240" s="1"/>
  <c r="H240"/>
  <c r="S240" l="1"/>
  <c r="V240" s="1"/>
  <c r="P28" l="1"/>
  <c r="T28" s="1"/>
  <c r="P29"/>
  <c r="T29" s="1"/>
  <c r="U240" i="15" l="1"/>
  <c r="W240" s="1"/>
  <c r="P88" i="12" l="1"/>
  <c r="T88" s="1"/>
  <c r="P240" l="1"/>
  <c r="Q240"/>
  <c r="U68"/>
  <c r="U69" l="1"/>
  <c r="T240" l="1"/>
  <c r="W240" s="1"/>
</calcChain>
</file>

<file path=xl/comments1.xml><?xml version="1.0" encoding="utf-8"?>
<comments xmlns="http://schemas.openxmlformats.org/spreadsheetml/2006/main">
  <authors>
    <author>lubovtsova</author>
    <author>Любовцова Александра Валерьевна</author>
  </authors>
  <commentList>
    <comment ref="G9" authorId="0">
      <text>
        <r>
          <rPr>
            <b/>
            <sz val="8"/>
            <color indexed="81"/>
            <rFont val="Tahoma"/>
            <family val="2"/>
            <charset val="204"/>
          </rPr>
          <t>lubovtsova:</t>
        </r>
        <r>
          <rPr>
            <sz val="8"/>
            <color indexed="81"/>
            <rFont val="Tahoma"/>
            <family val="2"/>
            <charset val="204"/>
          </rPr>
          <t xml:space="preserve">
план</t>
        </r>
      </text>
    </comment>
    <comment ref="H9" authorId="0">
      <text>
        <r>
          <rPr>
            <b/>
            <sz val="8"/>
            <color indexed="81"/>
            <rFont val="Tahoma"/>
            <family val="2"/>
            <charset val="204"/>
          </rPr>
          <t>lubovtsova:</t>
        </r>
        <r>
          <rPr>
            <sz val="8"/>
            <color indexed="81"/>
            <rFont val="Tahoma"/>
            <family val="2"/>
            <charset val="204"/>
          </rPr>
          <t xml:space="preserve">
план</t>
        </r>
      </text>
    </comment>
    <comment ref="G11" authorId="0">
      <text>
        <r>
          <rPr>
            <b/>
            <sz val="8"/>
            <color indexed="81"/>
            <rFont val="Tahoma"/>
            <family val="2"/>
            <charset val="204"/>
          </rPr>
          <t>lubovtsova:</t>
        </r>
        <r>
          <rPr>
            <sz val="8"/>
            <color indexed="81"/>
            <rFont val="Tahoma"/>
            <family val="2"/>
            <charset val="204"/>
          </rPr>
          <t xml:space="preserve">
план</t>
        </r>
      </text>
    </comment>
    <comment ref="H11" authorId="0">
      <text>
        <r>
          <rPr>
            <b/>
            <sz val="8"/>
            <color indexed="81"/>
            <rFont val="Tahoma"/>
            <family val="2"/>
            <charset val="204"/>
          </rPr>
          <t>lubovtsova:</t>
        </r>
        <r>
          <rPr>
            <sz val="8"/>
            <color indexed="81"/>
            <rFont val="Tahoma"/>
            <family val="2"/>
            <charset val="204"/>
          </rPr>
          <t xml:space="preserve">
план</t>
        </r>
      </text>
    </comment>
    <comment ref="H73" authorId="0">
      <text>
        <r>
          <rPr>
            <b/>
            <sz val="8"/>
            <color indexed="81"/>
            <rFont val="Tahoma"/>
            <family val="2"/>
            <charset val="204"/>
          </rPr>
          <t>lubovtsova:</t>
        </r>
        <r>
          <rPr>
            <sz val="8"/>
            <color indexed="81"/>
            <rFont val="Tahoma"/>
            <family val="2"/>
            <charset val="204"/>
          </rPr>
          <t xml:space="preserve">
план
</t>
        </r>
      </text>
    </comment>
    <comment ref="G105" authorId="0">
      <text>
        <r>
          <rPr>
            <b/>
            <sz val="8"/>
            <color indexed="81"/>
            <rFont val="Tahoma"/>
            <family val="2"/>
            <charset val="204"/>
          </rPr>
          <t>lubovtsova:</t>
        </r>
        <r>
          <rPr>
            <sz val="8"/>
            <color indexed="81"/>
            <rFont val="Tahoma"/>
            <family val="2"/>
            <charset val="204"/>
          </rPr>
          <t xml:space="preserve">
план</t>
        </r>
      </text>
    </comment>
    <comment ref="G172" authorId="1">
      <text>
        <r>
          <rPr>
            <b/>
            <sz val="9"/>
            <color indexed="81"/>
            <rFont val="Tahoma"/>
            <family val="2"/>
            <charset val="204"/>
          </rPr>
          <t>Любовцова Александра Валерьевна:</t>
        </r>
        <r>
          <rPr>
            <sz val="9"/>
            <color indexed="81"/>
            <rFont val="Tahoma"/>
            <family val="2"/>
            <charset val="204"/>
          </rPr>
          <t xml:space="preserve">
план</t>
        </r>
      </text>
    </comment>
    <comment ref="H172" authorId="1">
      <text>
        <r>
          <rPr>
            <b/>
            <sz val="9"/>
            <color indexed="81"/>
            <rFont val="Tahoma"/>
            <family val="2"/>
            <charset val="204"/>
          </rPr>
          <t>Любовцова Александра Валерьевна:</t>
        </r>
        <r>
          <rPr>
            <sz val="9"/>
            <color indexed="81"/>
            <rFont val="Tahoma"/>
            <family val="2"/>
            <charset val="204"/>
          </rPr>
          <t xml:space="preserve">
план</t>
        </r>
      </text>
    </comment>
    <comment ref="G177" authorId="0">
      <text>
        <r>
          <rPr>
            <b/>
            <sz val="8"/>
            <color indexed="81"/>
            <rFont val="Tahoma"/>
            <family val="2"/>
            <charset val="204"/>
          </rPr>
          <t>lubovtsova:</t>
        </r>
        <r>
          <rPr>
            <sz val="8"/>
            <color indexed="81"/>
            <rFont val="Tahoma"/>
            <family val="2"/>
            <charset val="204"/>
          </rPr>
          <t xml:space="preserve">
план</t>
        </r>
      </text>
    </comment>
    <comment ref="H177" authorId="0">
      <text>
        <r>
          <rPr>
            <b/>
            <sz val="8"/>
            <color indexed="81"/>
            <rFont val="Tahoma"/>
            <family val="2"/>
            <charset val="204"/>
          </rPr>
          <t>lubovtsova:</t>
        </r>
        <r>
          <rPr>
            <sz val="8"/>
            <color indexed="81"/>
            <rFont val="Tahoma"/>
            <family val="2"/>
            <charset val="204"/>
          </rPr>
          <t xml:space="preserve">
план</t>
        </r>
      </text>
    </comment>
  </commentList>
</comments>
</file>

<file path=xl/comments2.xml><?xml version="1.0" encoding="utf-8"?>
<comments xmlns="http://schemas.openxmlformats.org/spreadsheetml/2006/main">
  <authors>
    <author>lubovtsova</author>
    <author>Андреева Анна Васильевна</author>
    <author>Любовцова Александра Валерьевна</author>
  </authors>
  <commentList>
    <comment ref="G9" authorId="0">
      <text>
        <r>
          <rPr>
            <b/>
            <sz val="8"/>
            <color indexed="81"/>
            <rFont val="Tahoma"/>
            <family val="2"/>
            <charset val="204"/>
          </rPr>
          <t>lubovtsova:</t>
        </r>
        <r>
          <rPr>
            <sz val="8"/>
            <color indexed="81"/>
            <rFont val="Tahoma"/>
            <family val="2"/>
            <charset val="204"/>
          </rPr>
          <t xml:space="preserve">
план</t>
        </r>
      </text>
    </comment>
    <comment ref="H9" authorId="0">
      <text>
        <r>
          <rPr>
            <b/>
            <sz val="8"/>
            <color indexed="81"/>
            <rFont val="Tahoma"/>
            <family val="2"/>
            <charset val="204"/>
          </rPr>
          <t>lubovtsova:</t>
        </r>
        <r>
          <rPr>
            <sz val="8"/>
            <color indexed="81"/>
            <rFont val="Tahoma"/>
            <family val="2"/>
            <charset val="204"/>
          </rPr>
          <t xml:space="preserve">
план</t>
        </r>
      </text>
    </comment>
    <comment ref="G11" authorId="0">
      <text>
        <r>
          <rPr>
            <b/>
            <sz val="8"/>
            <color indexed="81"/>
            <rFont val="Tahoma"/>
            <family val="2"/>
            <charset val="204"/>
          </rPr>
          <t>lubovtsova:</t>
        </r>
        <r>
          <rPr>
            <sz val="8"/>
            <color indexed="81"/>
            <rFont val="Tahoma"/>
            <family val="2"/>
            <charset val="204"/>
          </rPr>
          <t xml:space="preserve">
план</t>
        </r>
      </text>
    </comment>
    <comment ref="H11" authorId="0">
      <text>
        <r>
          <rPr>
            <b/>
            <sz val="8"/>
            <color indexed="81"/>
            <rFont val="Tahoma"/>
            <family val="2"/>
            <charset val="204"/>
          </rPr>
          <t>lubovtsova:</t>
        </r>
        <r>
          <rPr>
            <sz val="8"/>
            <color indexed="81"/>
            <rFont val="Tahoma"/>
            <family val="2"/>
            <charset val="204"/>
          </rPr>
          <t xml:space="preserve">
план</t>
        </r>
      </text>
    </comment>
    <comment ref="J27" authorId="1">
      <text>
        <r>
          <rPr>
            <b/>
            <sz val="9"/>
            <color indexed="81"/>
            <rFont val="Tahoma"/>
            <family val="2"/>
            <charset val="204"/>
          </rPr>
          <t>в тарифе нет разбивки ПО по МО. Указываю общий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H73" authorId="0">
      <text>
        <r>
          <rPr>
            <b/>
            <sz val="8"/>
            <color indexed="81"/>
            <rFont val="Tahoma"/>
            <family val="2"/>
            <charset val="204"/>
          </rPr>
          <t>lubovtsova:</t>
        </r>
        <r>
          <rPr>
            <sz val="8"/>
            <color indexed="81"/>
            <rFont val="Tahoma"/>
            <family val="2"/>
            <charset val="204"/>
          </rPr>
          <t xml:space="preserve">
план
</t>
        </r>
      </text>
    </comment>
    <comment ref="G105" authorId="0">
      <text>
        <r>
          <rPr>
            <b/>
            <sz val="8"/>
            <color indexed="81"/>
            <rFont val="Tahoma"/>
            <family val="2"/>
            <charset val="204"/>
          </rPr>
          <t>lubovtsova:</t>
        </r>
        <r>
          <rPr>
            <sz val="8"/>
            <color indexed="81"/>
            <rFont val="Tahoma"/>
            <family val="2"/>
            <charset val="204"/>
          </rPr>
          <t xml:space="preserve">
план</t>
        </r>
      </text>
    </comment>
    <comment ref="G172" authorId="2">
      <text>
        <r>
          <rPr>
            <b/>
            <sz val="9"/>
            <color indexed="81"/>
            <rFont val="Tahoma"/>
            <family val="2"/>
            <charset val="204"/>
          </rPr>
          <t>Любовцова Александра Валерьевна:</t>
        </r>
        <r>
          <rPr>
            <sz val="9"/>
            <color indexed="81"/>
            <rFont val="Tahoma"/>
            <family val="2"/>
            <charset val="204"/>
          </rPr>
          <t xml:space="preserve">
план</t>
        </r>
      </text>
    </comment>
    <comment ref="H172" authorId="2">
      <text>
        <r>
          <rPr>
            <b/>
            <sz val="9"/>
            <color indexed="81"/>
            <rFont val="Tahoma"/>
            <family val="2"/>
            <charset val="204"/>
          </rPr>
          <t>Любовцова Александра Валерьевна:</t>
        </r>
        <r>
          <rPr>
            <sz val="9"/>
            <color indexed="81"/>
            <rFont val="Tahoma"/>
            <family val="2"/>
            <charset val="204"/>
          </rPr>
          <t xml:space="preserve">
план</t>
        </r>
      </text>
    </comment>
    <comment ref="G177" authorId="0">
      <text>
        <r>
          <rPr>
            <b/>
            <sz val="8"/>
            <color indexed="81"/>
            <rFont val="Tahoma"/>
            <family val="2"/>
            <charset val="204"/>
          </rPr>
          <t>lubovtsova:</t>
        </r>
        <r>
          <rPr>
            <sz val="8"/>
            <color indexed="81"/>
            <rFont val="Tahoma"/>
            <family val="2"/>
            <charset val="204"/>
          </rPr>
          <t xml:space="preserve">
план</t>
        </r>
      </text>
    </comment>
    <comment ref="H177" authorId="0">
      <text>
        <r>
          <rPr>
            <b/>
            <sz val="8"/>
            <color indexed="81"/>
            <rFont val="Tahoma"/>
            <family val="2"/>
            <charset val="204"/>
          </rPr>
          <t>lubovtsova:</t>
        </r>
        <r>
          <rPr>
            <sz val="8"/>
            <color indexed="81"/>
            <rFont val="Tahoma"/>
            <family val="2"/>
            <charset val="204"/>
          </rPr>
          <t xml:space="preserve">
план</t>
        </r>
      </text>
    </comment>
  </commentList>
</comments>
</file>

<file path=xl/comments3.xml><?xml version="1.0" encoding="utf-8"?>
<comments xmlns="http://schemas.openxmlformats.org/spreadsheetml/2006/main">
  <authors>
    <author>Андреева Анна Васильевна</author>
  </authors>
  <commentList>
    <comment ref="J26" authorId="0">
      <text>
        <r>
          <rPr>
            <b/>
            <sz val="9"/>
            <color indexed="81"/>
            <rFont val="Tahoma"/>
            <family val="2"/>
            <charset val="204"/>
          </rPr>
          <t>в тарифе нет разбивки ПО по МО. Указываю общий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<sst xmlns="http://schemas.openxmlformats.org/spreadsheetml/2006/main" count="1971" uniqueCount="442">
  <si>
    <t>ИНН</t>
  </si>
  <si>
    <t>2901200792</t>
  </si>
  <si>
    <t>2901179251</t>
  </si>
  <si>
    <t>2921000738</t>
  </si>
  <si>
    <t>2910004882</t>
  </si>
  <si>
    <t>2907000246</t>
  </si>
  <si>
    <t>2909003034</t>
  </si>
  <si>
    <t>2923006012</t>
  </si>
  <si>
    <t>2923006245</t>
  </si>
  <si>
    <t>2922007704</t>
  </si>
  <si>
    <t>2909003010</t>
  </si>
  <si>
    <t>2909002320</t>
  </si>
  <si>
    <t>2911005649</t>
  </si>
  <si>
    <t>7802312751</t>
  </si>
  <si>
    <t>2906006277</t>
  </si>
  <si>
    <t>2909002440</t>
  </si>
  <si>
    <t>2920012988</t>
  </si>
  <si>
    <t>2919004990</t>
  </si>
  <si>
    <t>2906006238</t>
  </si>
  <si>
    <t>7708503727</t>
  </si>
  <si>
    <t>2921012050</t>
  </si>
  <si>
    <t>2919006299</t>
  </si>
  <si>
    <t>2918009770</t>
  </si>
  <si>
    <t>2921011754</t>
  </si>
  <si>
    <t>2924005075</t>
  </si>
  <si>
    <t>2909001076</t>
  </si>
  <si>
    <t>2904022749</t>
  </si>
  <si>
    <t>2924005220</t>
  </si>
  <si>
    <t>2920011448</t>
  </si>
  <si>
    <t>2923006541</t>
  </si>
  <si>
    <t>2902046374</t>
  </si>
  <si>
    <t>2922007013</t>
  </si>
  <si>
    <t>2912006155</t>
  </si>
  <si>
    <t>2925003747</t>
  </si>
  <si>
    <t>2922006997</t>
  </si>
  <si>
    <t>2915003297</t>
  </si>
  <si>
    <t>2911004356</t>
  </si>
  <si>
    <t>2911004405</t>
  </si>
  <si>
    <t>2911004420</t>
  </si>
  <si>
    <t>2911004363</t>
  </si>
  <si>
    <t>2911004349</t>
  </si>
  <si>
    <t>Пинежское МП ЖКХ</t>
  </si>
  <si>
    <t>2919000794</t>
  </si>
  <si>
    <t>2914003174</t>
  </si>
  <si>
    <t>2907010396</t>
  </si>
  <si>
    <t>2907010220</t>
  </si>
  <si>
    <t>с. Ненокса</t>
  </si>
  <si>
    <t>Всего</t>
  </si>
  <si>
    <t>Предприятие</t>
  </si>
  <si>
    <t>Поселение</t>
  </si>
  <si>
    <t>Потребность в средствах субсидии, руб.</t>
  </si>
  <si>
    <t>3 кв.</t>
  </si>
  <si>
    <t>год</t>
  </si>
  <si>
    <t>1 полугодие</t>
  </si>
  <si>
    <t>2 полугодие</t>
  </si>
  <si>
    <t>1 кв.</t>
  </si>
  <si>
    <t>2 кв.</t>
  </si>
  <si>
    <t>4 кв.</t>
  </si>
  <si>
    <t>ВСЕГО</t>
  </si>
  <si>
    <t>МО "Верхнетоемский муниципальный район"</t>
  </si>
  <si>
    <t>ООО "Т-Сервис"</t>
  </si>
  <si>
    <t>МО "Пучужское"</t>
  </si>
  <si>
    <t>ООО "МПМК"</t>
  </si>
  <si>
    <t>МО "Верхнетоемское"</t>
  </si>
  <si>
    <t>ООО "Кондратовское"</t>
  </si>
  <si>
    <t>МО "Афанасьевское"</t>
  </si>
  <si>
    <t>ООО "Удар"</t>
  </si>
  <si>
    <t>МО "Двинское"</t>
  </si>
  <si>
    <t>АО "АрхоблЭнерго"</t>
  </si>
  <si>
    <t>МО "Вилегодский муниципальный район"</t>
  </si>
  <si>
    <t>ООО "Ильинск ЖКХ"</t>
  </si>
  <si>
    <t>МО "Ильинское"</t>
  </si>
  <si>
    <t>ООО "Управдом" (Вилегодский район)</t>
  </si>
  <si>
    <t>МО "Никольское"</t>
  </si>
  <si>
    <t>ООО "ЖКХ Регион"</t>
  </si>
  <si>
    <t>МО "Селянское"</t>
  </si>
  <si>
    <t>ООО "Лето"</t>
  </si>
  <si>
    <t>ООО "Вилегодск ЖКХ"</t>
  </si>
  <si>
    <t>МО "Вилегодское"</t>
  </si>
  <si>
    <t>ООО "Павловск ЖКХ"</t>
  </si>
  <si>
    <t>МО "Павловское"</t>
  </si>
  <si>
    <t>МО "Виноградовский муниципальный район"</t>
  </si>
  <si>
    <t>МО "Шидровское"</t>
  </si>
  <si>
    <t>МО "Березниковское"</t>
  </si>
  <si>
    <t>ООО "УК "Весна"</t>
  </si>
  <si>
    <t>МО "Рочегодское"</t>
  </si>
  <si>
    <t>МО "Борецкое"</t>
  </si>
  <si>
    <t>ООО "Березниковское ТСП"</t>
  </si>
  <si>
    <t>ООО ПК "Энергия Севера"</t>
  </si>
  <si>
    <t>МО "Моржегорское"</t>
  </si>
  <si>
    <t>МО "Каргопольский муниципальный район"</t>
  </si>
  <si>
    <t>МУП МО "Каргопольский муниципальный район" "Печниково"</t>
  </si>
  <si>
    <t>МО "Печниковское"</t>
  </si>
  <si>
    <t>МУП МО "Каргопольский муниципальный район" "Архангело"</t>
  </si>
  <si>
    <t>МО "Приозерное"</t>
  </si>
  <si>
    <t>МО "Каргопольское"</t>
  </si>
  <si>
    <t>МУП МО "Каргопольский муниципальный район" "Усачево"</t>
  </si>
  <si>
    <t>МУП МО "Каргопольский муниципальный район" "Ошевенское"</t>
  </si>
  <si>
    <t>МО "Ошевенское"</t>
  </si>
  <si>
    <t>МУП МО "Каргопольский муниципальный район" "Казаково"</t>
  </si>
  <si>
    <t>МУП МО "Каргопольский муниципальный район" "Тихманьга"</t>
  </si>
  <si>
    <t>МО "Ухотское"</t>
  </si>
  <si>
    <t>МО "Коношский муниципальный район"</t>
  </si>
  <si>
    <t>МО "Волошское"</t>
  </si>
  <si>
    <t>МУП "Ерцевские теплосети"</t>
  </si>
  <si>
    <t>МО "Ерцевское"</t>
  </si>
  <si>
    <t>ООО "Коношский хлебозавод"</t>
  </si>
  <si>
    <t>МО "Коношское"</t>
  </si>
  <si>
    <t>ООО "Теплоэнерго"</t>
  </si>
  <si>
    <t>МО "Мирный"</t>
  </si>
  <si>
    <t>МО "Подюжское"</t>
  </si>
  <si>
    <t>ОАО "РЖД" (Исакогорский участок)</t>
  </si>
  <si>
    <t>МО "Котлас"</t>
  </si>
  <si>
    <t>ОАО "РЖД" (Сольвычегодский участок)</t>
  </si>
  <si>
    <t>МО "Котласский муниципальный район"</t>
  </si>
  <si>
    <t>МО "Приводинское"</t>
  </si>
  <si>
    <t>МО "Черемушское"</t>
  </si>
  <si>
    <t>МО "Шипицынское"</t>
  </si>
  <si>
    <t>ООО "Управдом Сервис"</t>
  </si>
  <si>
    <t>МО "Красноборский муниципальный район"</t>
  </si>
  <si>
    <t>МП "Телеговское ЖКХ"</t>
  </si>
  <si>
    <t>МО "Телеговское"</t>
  </si>
  <si>
    <t>МО "Алексеевское"</t>
  </si>
  <si>
    <t>МО "Ленский муниципальный район"</t>
  </si>
  <si>
    <t>ООО "Энергосфера"</t>
  </si>
  <si>
    <t>МО "Урдомское"</t>
  </si>
  <si>
    <t>Козьминское МУППЖКХ</t>
  </si>
  <si>
    <t>МО "Козьминское"</t>
  </si>
  <si>
    <t>ООО "АГТС"</t>
  </si>
  <si>
    <t>МО "Сафроновское"</t>
  </si>
  <si>
    <t>ПАО "МРСК Северо-Запада"</t>
  </si>
  <si>
    <t>ООО "Газпром энерго"</t>
  </si>
  <si>
    <t>МО "Лешуконский муниципальный район"</t>
  </si>
  <si>
    <t>МО "Мезенский муниципальный район"</t>
  </si>
  <si>
    <t>МУП "ЖЭУ"</t>
  </si>
  <si>
    <t>МО "Онежский муниципальный район"</t>
  </si>
  <si>
    <t>ОАО "Онега-Энергия"</t>
  </si>
  <si>
    <t>МО "Онежское"</t>
  </si>
  <si>
    <t>ИП Попов Михаил Александрович</t>
  </si>
  <si>
    <t>МО "Чекуевское"</t>
  </si>
  <si>
    <t>ООО "ПКТС"</t>
  </si>
  <si>
    <t>МО "Пинежский муниципальный район"</t>
  </si>
  <si>
    <t>ООО "Сийское"</t>
  </si>
  <si>
    <t>МО "Сийское"</t>
  </si>
  <si>
    <t>ООО "АльянсТеплоЭнерго"</t>
  </si>
  <si>
    <t>МО "Карпогорское"</t>
  </si>
  <si>
    <t>МО "Междуреченское"</t>
  </si>
  <si>
    <t>МО "Шилегское"</t>
  </si>
  <si>
    <t>МО "Сосновское"</t>
  </si>
  <si>
    <t>МО "Лавельское"</t>
  </si>
  <si>
    <t>МО "Кушкопальское"</t>
  </si>
  <si>
    <t>МО "Пинежское"</t>
  </si>
  <si>
    <t>ООО "Пинежьелес"</t>
  </si>
  <si>
    <t>МО "Плесецкий муниципальный район"</t>
  </si>
  <si>
    <t>ООО "Уют-2"</t>
  </si>
  <si>
    <t>МО "Североонежское"</t>
  </si>
  <si>
    <t>МО "Оксовское"</t>
  </si>
  <si>
    <t>МО "Ярнемское"</t>
  </si>
  <si>
    <t>МО "Обозерское"</t>
  </si>
  <si>
    <t>ООО "Газпром теплоэнерго Плесецк"</t>
  </si>
  <si>
    <t>МО "Плесецкое"</t>
  </si>
  <si>
    <t>МО "Коневское"</t>
  </si>
  <si>
    <t>ООО "ПЖКХ"</t>
  </si>
  <si>
    <t>МО "Савинское"</t>
  </si>
  <si>
    <t>ООО "Северо-западная консалтинговая компания"</t>
  </si>
  <si>
    <t>МО "Приморский муниципальный район"</t>
  </si>
  <si>
    <t>МО "Боброво-Лявленское"</t>
  </si>
  <si>
    <t>ООО "Газпром теплоэнерго Архангельск"</t>
  </si>
  <si>
    <t>МО "Уемское"</t>
  </si>
  <si>
    <t>МО "Приморское"</t>
  </si>
  <si>
    <t>МО "Заостровское"</t>
  </si>
  <si>
    <t>МО "Катунинское"</t>
  </si>
  <si>
    <t>ООО "Помор"</t>
  </si>
  <si>
    <t>ООО "Теплоснаб" (Приморский район)</t>
  </si>
  <si>
    <t>УЧРЕЖДЕНИЕ "БАЗОВЫЙ САНАТОРИЙ "БЕЛОМОРЬЕ"</t>
  </si>
  <si>
    <t>ООО "РЭП "СФЕРА"</t>
  </si>
  <si>
    <t>МО "Лисестровское"</t>
  </si>
  <si>
    <t>ООО "Архбиоэнерго"</t>
  </si>
  <si>
    <t>МО "Соловецкое"</t>
  </si>
  <si>
    <t>МО "Северодвинск"</t>
  </si>
  <si>
    <t>СМУП "Белое озеро"</t>
  </si>
  <si>
    <t>п. Водогон</t>
  </si>
  <si>
    <t>МО "Устьянский муниципальный район"</t>
  </si>
  <si>
    <t>МО "Октябрьское"</t>
  </si>
  <si>
    <t>ООО "ЖКХ Малодоры"</t>
  </si>
  <si>
    <t>МО "Малодорское"</t>
  </si>
  <si>
    <t>ООО УК "Жилуправление"</t>
  </si>
  <si>
    <t>МО "Ростовско-Минское"</t>
  </si>
  <si>
    <t>ООО "Шангальский ЖКС"</t>
  </si>
  <si>
    <t>МО "Шангальское"</t>
  </si>
  <si>
    <t>МУП "Бестужевское"</t>
  </si>
  <si>
    <t>МО "Бестужевское"</t>
  </si>
  <si>
    <t>МО "Березницкое"</t>
  </si>
  <si>
    <t>МО "Орловское"</t>
  </si>
  <si>
    <t>МО "Синицкое"</t>
  </si>
  <si>
    <t>МУП "Илезское"</t>
  </si>
  <si>
    <t>МО "Илезское"</t>
  </si>
  <si>
    <t>ООО "ТеплоСнаб" (Устьянский район)</t>
  </si>
  <si>
    <t>МО "Киземское"</t>
  </si>
  <si>
    <t>МУП "Плосское"</t>
  </si>
  <si>
    <t>МО "Плосское"</t>
  </si>
  <si>
    <t>МО "Дмитриевское"</t>
  </si>
  <si>
    <t>МО "Холмогорский муниципальный район"</t>
  </si>
  <si>
    <t>ООО "Северная Энергетическая Компания"</t>
  </si>
  <si>
    <t>МО "Луковецкое"</t>
  </si>
  <si>
    <t>ООО "КМ ТЭР"</t>
  </si>
  <si>
    <t>МО "Светлозерское"</t>
  </si>
  <si>
    <t>ООО "ТСП Холмогоры"</t>
  </si>
  <si>
    <t>МО "Холмогорское"</t>
  </si>
  <si>
    <t>МО "Емецкое"</t>
  </si>
  <si>
    <t>ООО "Емецкое ТСП"</t>
  </si>
  <si>
    <t>МО "Ракульское"</t>
  </si>
  <si>
    <t>ООО "Пинега"</t>
  </si>
  <si>
    <t>МО "Белогорское"</t>
  </si>
  <si>
    <t>ООО "Холмогорское ТСП"</t>
  </si>
  <si>
    <t>ООО "Штиль"</t>
  </si>
  <si>
    <t>ООО "Фарватер"</t>
  </si>
  <si>
    <t>МО "Матигорское"</t>
  </si>
  <si>
    <t>МО "Шенкурский муниципальный район"</t>
  </si>
  <si>
    <t>ООО "Уютный город"</t>
  </si>
  <si>
    <t>МО "Шенкурское"</t>
  </si>
  <si>
    <t>ООО "УК "Уютный город"</t>
  </si>
  <si>
    <t>МО "Федорогорское"</t>
  </si>
  <si>
    <t>МО "Ровдинское"</t>
  </si>
  <si>
    <t>МО "Няндомский муниципальный район"</t>
  </si>
  <si>
    <t>МО "Няндомское"</t>
  </si>
  <si>
    <t>МО "Шалакушское"</t>
  </si>
  <si>
    <t>МО "Мошинское"</t>
  </si>
  <si>
    <t>ООО "Стройсервис"</t>
  </si>
  <si>
    <t>МУП "ШЛИТ" МО "Шалакушское"</t>
  </si>
  <si>
    <t>МО "Вельский муниципальный район"</t>
  </si>
  <si>
    <t>ООО "Теплоресурс"</t>
  </si>
  <si>
    <t>МО "Попонаволоцкое"</t>
  </si>
  <si>
    <t>МО "Тегринское"</t>
  </si>
  <si>
    <t>МУП "Шадреньгское"</t>
  </si>
  <si>
    <t>МО "Шадреньгское"</t>
  </si>
  <si>
    <t>ООО "Теплодом"</t>
  </si>
  <si>
    <t>МО "Верхнеустькулойское"</t>
  </si>
  <si>
    <t>МО "Липовское"</t>
  </si>
  <si>
    <t>МО "Верхнешоношское"</t>
  </si>
  <si>
    <t>МО "Пуйское"</t>
  </si>
  <si>
    <t>ООО "Теплострой"</t>
  </si>
  <si>
    <t>МО "Низовское"</t>
  </si>
  <si>
    <t>МО "Солгинское"</t>
  </si>
  <si>
    <t>МУП "Хозьминское"</t>
  </si>
  <si>
    <t>МО "Хозьминское"</t>
  </si>
  <si>
    <t>МО "Благовещенское"</t>
  </si>
  <si>
    <t>МО "Ракуло-Кокшеньгское"</t>
  </si>
  <si>
    <t>МО "Судромское"</t>
  </si>
  <si>
    <t>МО "Муравьевское"</t>
  </si>
  <si>
    <t>МО "Кулойское"</t>
  </si>
  <si>
    <t>Вельское ГОРПО</t>
  </si>
  <si>
    <t>МО "Вельское"</t>
  </si>
  <si>
    <t>МО "Аргуновское"</t>
  </si>
  <si>
    <t>МО "Пакшеньгское"</t>
  </si>
  <si>
    <t>ООО "ВГС"</t>
  </si>
  <si>
    <t>ООО "Теплосервис"</t>
  </si>
  <si>
    <t>2907015570</t>
  </si>
  <si>
    <t>2907016905</t>
  </si>
  <si>
    <t>2907014383</t>
  </si>
  <si>
    <t>2907017176</t>
  </si>
  <si>
    <t>2907015524</t>
  </si>
  <si>
    <t>2918002171</t>
  </si>
  <si>
    <t>2921012042</t>
  </si>
  <si>
    <t>2924005452</t>
  </si>
  <si>
    <t>2901248674</t>
  </si>
  <si>
    <t>2901230116</t>
  </si>
  <si>
    <t>2923007217</t>
  </si>
  <si>
    <t>2923007104</t>
  </si>
  <si>
    <t>2923007344</t>
  </si>
  <si>
    <t>2923007175</t>
  </si>
  <si>
    <t>2901192407</t>
  </si>
  <si>
    <t>2922007060</t>
  </si>
  <si>
    <t>2922008803</t>
  </si>
  <si>
    <t>2922009317</t>
  </si>
  <si>
    <t>2922009194</t>
  </si>
  <si>
    <t>290222043671</t>
  </si>
  <si>
    <t>2921126730</t>
  </si>
  <si>
    <t>2901252021</t>
  </si>
  <si>
    <t>2920013847</t>
  </si>
  <si>
    <t>2920015594</t>
  </si>
  <si>
    <t>2901249879</t>
  </si>
  <si>
    <t>290604109003</t>
  </si>
  <si>
    <t>7736186950</t>
  </si>
  <si>
    <t>2901265172</t>
  </si>
  <si>
    <t>2915004011</t>
  </si>
  <si>
    <t>2912006620</t>
  </si>
  <si>
    <t>2912006268</t>
  </si>
  <si>
    <t>2911004331</t>
  </si>
  <si>
    <t>2910005075</t>
  </si>
  <si>
    <t>2909003179</t>
  </si>
  <si>
    <t>2908004966</t>
  </si>
  <si>
    <t>2908003698</t>
  </si>
  <si>
    <t>2908004701</t>
  </si>
  <si>
    <t>2901286856</t>
  </si>
  <si>
    <t>ООО "Каскад"</t>
  </si>
  <si>
    <t>ООО "КТС"(Каргопольский район)</t>
  </si>
  <si>
    <t>2914003625</t>
  </si>
  <si>
    <t>ООО "КТС"(Красноборский район)</t>
  </si>
  <si>
    <t>МО "Кенозерское"</t>
  </si>
  <si>
    <t>пос. Двинской, ул. Лесная, д. 62</t>
  </si>
  <si>
    <t>МО "Усть-Пинежское"</t>
  </si>
  <si>
    <t>МО "Лихачёвское"</t>
  </si>
  <si>
    <t>МО Лешуконский район</t>
  </si>
  <si>
    <t>МО Мезенский район</t>
  </si>
  <si>
    <t>МО Малошуйское</t>
  </si>
  <si>
    <t>МО Коношское</t>
  </si>
  <si>
    <t>МО Обозерское</t>
  </si>
  <si>
    <t>МО "Островное", д. Пустошь</t>
  </si>
  <si>
    <t>МО "Островное", д. Ластола</t>
  </si>
  <si>
    <t>МО "Емецкое", ул. Почтовая</t>
  </si>
  <si>
    <t>МО "Емецкое", ул. Жолобова</t>
  </si>
  <si>
    <t>МО "Шеговарское",(с. Шеговары, ул. Центральная, д.68 а)</t>
  </si>
  <si>
    <t>МО "Шеговарское" (с. Шеговары, ул. Садовая, д.1)</t>
  </si>
  <si>
    <t>МО "Приводинское", д. Курцево</t>
  </si>
  <si>
    <t>МО "Приводинское", д. Куимиха</t>
  </si>
  <si>
    <t>МО "Сольвычегодское", г. Сольвычегодск</t>
  </si>
  <si>
    <t>МО "Сольвычегодское", д. Григорово</t>
  </si>
  <si>
    <t>МО "Сольвычегодское", пос. Харитоново</t>
  </si>
  <si>
    <t>МО "Холмогорское", д. Анашкино</t>
  </si>
  <si>
    <t>МО "Холмогорское", д. Красное село</t>
  </si>
  <si>
    <t>МО "Ильинское", ул. Мелиоративная, д.7</t>
  </si>
  <si>
    <t>МО "Ильинское", дер. Кошкино</t>
  </si>
  <si>
    <t>МО "Ильинское", ул. Советская, д.1</t>
  </si>
  <si>
    <t>МО "Ильинское",ул. Кедрова, д.21</t>
  </si>
  <si>
    <t>МО "Холмогорское", с. Холмогоры, ул. Племзаводская</t>
  </si>
  <si>
    <t xml:space="preserve">Плановый расчет потребности в средствах субсидии
 на возмещение недополученных доходов, возникающих в результате государственного регулирования тарифов на тепловую энергию,поставляемую населению и потребителям, приравненным к населению на нужды теплоснабжения 
в 2020 году </t>
  </si>
  <si>
    <t>Запланированный объем ресурса на 2020 год</t>
  </si>
  <si>
    <t xml:space="preserve">Дебиторская (-), кредиторская (+) задолженность
 на 01.01.2020 г. </t>
  </si>
  <si>
    <t>декабрь 2020 г., руб. (36 % от объемов отпуска 4 квартала)</t>
  </si>
  <si>
    <t>Потребность в средствах субсидии 2020 года с учетом дебиторской, кредиторской задолженности без учета декабря, руб.</t>
  </si>
  <si>
    <t>ГБУЗ АО «Санаторий имени М.Н. Фаворской»</t>
  </si>
  <si>
    <t>3525369837</t>
  </si>
  <si>
    <t>Примечание</t>
  </si>
  <si>
    <t>2913002410</t>
  </si>
  <si>
    <t>ГБПОУ АО «ШАТ»</t>
  </si>
  <si>
    <t>МО «Шипицынское»</t>
  </si>
  <si>
    <t>бюджет</t>
  </si>
  <si>
    <t>2904012719</t>
  </si>
  <si>
    <t>АО "Котласское ДРСУ"</t>
  </si>
  <si>
    <t>МО "Город Архангельск"</t>
  </si>
  <si>
    <t>ФГБУ "ЦЖКУ" МО РФ</t>
  </si>
  <si>
    <t>МО "Мезенское"</t>
  </si>
  <si>
    <t>МО "Новая Земля"</t>
  </si>
  <si>
    <t>МО "Пертоминское"</t>
  </si>
  <si>
    <t>МО "Талажское"</t>
  </si>
  <si>
    <t>МО "Ухтостровское"</t>
  </si>
  <si>
    <t>ФКУ ИК-12 УФСИН России по Архангельской области</t>
  </si>
  <si>
    <t>2923002226</t>
  </si>
  <si>
    <t>ФКУ ИК-14 УФСИН России по Архангельской области</t>
  </si>
  <si>
    <t>2907001458</t>
  </si>
  <si>
    <t>МБОУ "Авнюгская СОШ"</t>
  </si>
  <si>
    <t>МО "Федьковское"</t>
  </si>
  <si>
    <t>2908002905</t>
  </si>
  <si>
    <t>МБОУ  "Кеврольская ООШ  № 18 имени М.Ф. Теплова"</t>
  </si>
  <si>
    <t>МБОУ "Сурская СОШ  № 2"</t>
  </si>
  <si>
    <t>МО "Кеврольское"</t>
  </si>
  <si>
    <t>МО "Сурское"</t>
  </si>
  <si>
    <t>ФКУ ЛИУ-8 УФСИН России по Архангельской области</t>
  </si>
  <si>
    <t>ФКУ ИК-29 УФСИН России по Архангельской области</t>
  </si>
  <si>
    <t>ФКУ ОИУ ОУХД-2 УФСИН России по Архангельской области</t>
  </si>
  <si>
    <t>2920003694</t>
  </si>
  <si>
    <t>2920003609</t>
  </si>
  <si>
    <t>2900150929</t>
  </si>
  <si>
    <t>2920008068</t>
  </si>
  <si>
    <t>МО "Североонежское",                          МО "Ундозерское"</t>
  </si>
  <si>
    <t>ЭКОНОМИЧЕСКИ ОБОСНОВАННЫЙ одноставочный тариф тепловую энергию, отпускаемую потребителям, в случае отутствия дифференциации тарифов по схеме подключения (без НДС),руб./Гкал</t>
  </si>
  <si>
    <t>ЛЬГОТНЫЙ                              одноставочный тариф на тепловую энергию, поставляемую населению на нужды теплоснабжения (без НДС), руб./Гкал</t>
  </si>
  <si>
    <t>2911001370</t>
  </si>
  <si>
    <t>ГАПОУ АО «Каргопольский индустриальный техникум»</t>
  </si>
  <si>
    <t>ООО "ФинансГрупп" (ООО "Кулой ЖКХ")</t>
  </si>
  <si>
    <t>Справочно: объем отпуска тепловой энергии населению, учтенный в тарифах на 2019 год</t>
  </si>
  <si>
    <t>2911004406</t>
  </si>
  <si>
    <t>МО "Павловское" (дер. Казаково)</t>
  </si>
  <si>
    <t>МО "Павловское" (пос. Пригородный)</t>
  </si>
  <si>
    <t>2912006156</t>
  </si>
  <si>
    <t>МО "Тавреньгское", дер. Полномаревская, ул. Школьная, д.1-в</t>
  </si>
  <si>
    <t>МО "Тавреньгское", дер. Пономаревская, ул. Советская, д.4а</t>
  </si>
  <si>
    <t xml:space="preserve"> МПЖРЭП Северодвинска</t>
  </si>
  <si>
    <t>2902009446</t>
  </si>
  <si>
    <t>2912004912</t>
  </si>
  <si>
    <t>МУП "Жилкомсервис"</t>
  </si>
  <si>
    <t>2922006980</t>
  </si>
  <si>
    <t>МУП "Лойгинское"</t>
  </si>
  <si>
    <t>ООО "ВТК"</t>
  </si>
  <si>
    <t>2901284746</t>
  </si>
  <si>
    <t>ООО "Градиант"</t>
  </si>
  <si>
    <t>2901291990</t>
  </si>
  <si>
    <t>ООО "Приморская теплоснабжающая компания"</t>
  </si>
  <si>
    <t>МО "Боброво-Лявленское" (дер. Кузьмино, Новинки, Черный Яр)</t>
  </si>
  <si>
    <t>МО "Боброво-Лявленское" 
(дер. Бабанегово)</t>
  </si>
  <si>
    <t>2923007418</t>
  </si>
  <si>
    <t>ООО "Северная Энергетическая Компания - Беломорье"</t>
  </si>
  <si>
    <t>2920016252</t>
  </si>
  <si>
    <t>ООО "Теплолайн"</t>
  </si>
  <si>
    <t>2904022428</t>
  </si>
  <si>
    <t>ООО "Трест Сервис"</t>
  </si>
  <si>
    <t>2920016693</t>
  </si>
  <si>
    <t>ООО "Уют - Энерго"</t>
  </si>
  <si>
    <t>ООО "ЕмецкСтройСервис"</t>
  </si>
  <si>
    <t>2923006943</t>
  </si>
  <si>
    <t>ООО "Северная Двина"</t>
  </si>
  <si>
    <t>2906008443</t>
  </si>
  <si>
    <t>ООО "С-Неруд"</t>
  </si>
  <si>
    <t>ИП Звягина Александра Владимировна (ПАО ТГК-2" ?)</t>
  </si>
  <si>
    <t>ООО "ГК УЛК" ( ООО "УТК")</t>
  </si>
  <si>
    <t>2922008546</t>
  </si>
  <si>
    <t>МУП "ТеплоСервис"</t>
  </si>
  <si>
    <t>2912005994</t>
  </si>
  <si>
    <t xml:space="preserve">1 кв. </t>
  </si>
  <si>
    <t>МО "Коневское", котельная с. Конево, ул. Мира, д. 6А</t>
  </si>
  <si>
    <t>ПАО "ТГК-2"</t>
  </si>
  <si>
    <t xml:space="preserve">Плановый расчет потребности в средствах субсидии
 на возмещение недополученных доходов, возникающих в результате государственного регулирования тарифов на тепловую энергию,поставляемую населению и потребителям, приравненным к населению на нужды теплоснабжения 
в 2021 году </t>
  </si>
  <si>
    <t>Запланированный объем ресурса на 2021 год</t>
  </si>
  <si>
    <t xml:space="preserve">Дебиторская (-), кредиторская (+) задолженность
 на 01.01.2021 г. </t>
  </si>
  <si>
    <t>Потребность в средствах субсидии 2021 года с учетом дебиторской, кредиторской задолженности без учета декабря, руб.</t>
  </si>
  <si>
    <t>декабрь 2021 г., руб. (36 % от объемов отпуска 4 квартала)</t>
  </si>
  <si>
    <t xml:space="preserve">Плановый расчет потребности в средствах субсидии
 на возмещение недополученных доходов, возникающих в результате государственного регулирования тарифов на тепловую энергию,поставляемую населению и потребителям, приравненным к населению на нужды теплоснабжения 
в 2022 году </t>
  </si>
  <si>
    <t>Запланированный объем ресурса на 2022 год</t>
  </si>
  <si>
    <t xml:space="preserve">Дебиторская (-), кредиторская (+) задолженность
 на 01.01.2022 г. </t>
  </si>
  <si>
    <t>декабрь 2022 г., руб. (36 % от объемов отпуска 4 квартала)</t>
  </si>
  <si>
    <t>МО "Островное", д. Кяростров</t>
  </si>
  <si>
    <t>МО "Островное", с Вознесенье, котельная №1</t>
  </si>
  <si>
    <t>МО "Островное", с Вознесенье, котельная №2</t>
  </si>
  <si>
    <t>МО "Лисестровское", п. Ширшинский</t>
  </si>
  <si>
    <t xml:space="preserve">ИП Звягина Александра Владимировна </t>
  </si>
  <si>
    <t>МО "Лисестровское", дер. Исакогорка</t>
  </si>
  <si>
    <t>МО "Островное",  д. Кяростров</t>
  </si>
  <si>
    <t>МО "Новодвинск"</t>
  </si>
  <si>
    <t>ОАО "Сети"</t>
  </si>
  <si>
    <t>ООО "Уют-2" (МБОУ "Коневская школа" )</t>
  </si>
  <si>
    <t>ИП Звягина Александра Владимировна</t>
  </si>
  <si>
    <t xml:space="preserve">  ИП Денисов В.П. (ООО "Трансавто" )</t>
  </si>
  <si>
    <t>291000022979</t>
  </si>
  <si>
    <t>ИП Денисов В.П. (ООО "Трансавто")</t>
  </si>
  <si>
    <t>290406794205</t>
  </si>
  <si>
    <t>ИП Рукаванов О.А. (ГБПОУ АО «ШАТ» )</t>
  </si>
  <si>
    <t xml:space="preserve"> ИП Рукаванов О.А. (ГБПОУ АО «ШАТ»)</t>
  </si>
  <si>
    <t xml:space="preserve"> ООО "Уют-2" (МБОУ "Коневская школа")</t>
  </si>
  <si>
    <t xml:space="preserve"> ИП Денисов В.П.(ООО "Трансавто")</t>
  </si>
  <si>
    <t>Приложение № 14</t>
  </si>
  <si>
    <t>к пояснительной записке</t>
  </si>
</sst>
</file>

<file path=xl/styles.xml><?xml version="1.0" encoding="utf-8"?>
<styleSheet xmlns="http://schemas.openxmlformats.org/spreadsheetml/2006/main">
  <numFmts count="95">
    <numFmt numFmtId="41" formatCode="_-* #,##0\ _₽_-;\-* #,##0\ _₽_-;_-* &quot;-&quot;\ _₽_-;_-@_-"/>
    <numFmt numFmtId="43" formatCode="_-* #,##0.00\ _₽_-;\-* #,##0.00\ _₽_-;_-* &quot;-&quot;??\ _₽_-;_-@_-"/>
    <numFmt numFmtId="164" formatCode="#,##0.00&quot;р.&quot;;\-#,##0.00&quot;р.&quot;"/>
    <numFmt numFmtId="165" formatCode="_-* #,##0_р_._-;\-* #,##0_р_._-;_-* &quot;-&quot;_р_._-;_-@_-"/>
    <numFmt numFmtId="166" formatCode="_-* #,##0.00&quot;р.&quot;_-;\-* #,##0.00&quot;р.&quot;_-;_-* &quot;-&quot;??&quot;р.&quot;_-;_-@_-"/>
    <numFmt numFmtId="167" formatCode="_-* #,##0.00_р_._-;\-* #,##0.00_р_._-;_-* &quot;-&quot;??_р_._-;_-@_-"/>
    <numFmt numFmtId="168" formatCode="#,##0.000"/>
    <numFmt numFmtId="169" formatCode="#,##0.00_ ;\-#,##0.00\ "/>
    <numFmt numFmtId="170" formatCode="0.0"/>
    <numFmt numFmtId="171" formatCode="_(* #,##0.00_);_(* \(\ #,##0.00\ \);_(* &quot;-&quot;??_);_(\ @_ \)"/>
    <numFmt numFmtId="172" formatCode="_(* #,##0.000_);_(* \(\ #,##0.000\ \);_(* &quot;-&quot;??_);_(\ @_ \)"/>
    <numFmt numFmtId="173" formatCode="_-* #,##0.00[$€-1]_-;\-* #,##0.00[$€-1]_-;_-* &quot;-&quot;??[$€-1]_-"/>
    <numFmt numFmtId="174" formatCode="0.0%"/>
    <numFmt numFmtId="175" formatCode="0.0%_);\(0.0%\)"/>
    <numFmt numFmtId="176" formatCode="#,##0_);[Red]\(#,##0\)"/>
    <numFmt numFmtId="177" formatCode="#,##0;\(#,##0\)"/>
    <numFmt numFmtId="178" formatCode="_-* #,##0.00\ _$_-;\-* #,##0.00\ _$_-;_-* &quot;-&quot;??\ _$_-;_-@_-"/>
    <numFmt numFmtId="179" formatCode="#.##0\.00"/>
    <numFmt numFmtId="180" formatCode="#\.00"/>
    <numFmt numFmtId="181" formatCode="#\."/>
    <numFmt numFmtId="182" formatCode="_-* #,##0\ &quot;руб&quot;_-;\-* #,##0\ &quot;руб&quot;_-;_-* &quot;-&quot;\ &quot;руб&quot;_-;_-@_-"/>
    <numFmt numFmtId="183" formatCode="General_)"/>
    <numFmt numFmtId="184" formatCode="_-* #,##0&quot;đ.&quot;_-;\-* #,##0&quot;đ.&quot;_-;_-* &quot;-&quot;&quot;đ.&quot;_-;_-@_-"/>
    <numFmt numFmtId="185" formatCode="_-* #,##0.00&quot;đ.&quot;_-;\-* #,##0.00&quot;đ.&quot;_-;_-* &quot;-&quot;??&quot;đ.&quot;_-;_-@_-"/>
    <numFmt numFmtId="186" formatCode="&quot;$&quot;#,##0_);[Red]\(&quot;$&quot;#,##0\)"/>
    <numFmt numFmtId="187" formatCode="\$#,##0\ ;\(\$#,##0\)"/>
    <numFmt numFmtId="188" formatCode="#,##0.0"/>
    <numFmt numFmtId="189" formatCode="#,##0.0000"/>
    <numFmt numFmtId="190" formatCode="#,##0.000[$р.-419];\-#,##0.000[$р.-419]"/>
    <numFmt numFmtId="191" formatCode="_-* #,##0.0\ _$_-;\-* #,##0.0\ _$_-;_-* &quot;-&quot;??\ _$_-;_-@_-"/>
    <numFmt numFmtId="192" formatCode="#,##0.0_);\(#,##0.0\)"/>
    <numFmt numFmtId="193" formatCode="#,##0_ ;[Red]\-#,##0\ "/>
    <numFmt numFmtId="194" formatCode="#,##0_);[Blue]\(#,##0\)"/>
    <numFmt numFmtId="195" formatCode="#,##0__\ \ \ \ "/>
    <numFmt numFmtId="196" formatCode="#,##0.00&quot;т.р.&quot;;\-#,##0.00&quot;т.р.&quot;"/>
    <numFmt numFmtId="197" formatCode="#,##0.0;[Red]#,##0.0"/>
    <numFmt numFmtId="198" formatCode="_-* #,##0_đ_._-;\-* #,##0_đ_._-;_-* &quot;-&quot;_đ_._-;_-@_-"/>
    <numFmt numFmtId="199" formatCode="_-* #,##0.00_đ_._-;\-* #,##0.00_đ_._-;_-* &quot;-&quot;??_đ_._-;_-@_-"/>
    <numFmt numFmtId="200" formatCode="\(#,##0.0\)"/>
    <numFmt numFmtId="201" formatCode="#,##0\ &quot;?.&quot;;\-#,##0\ &quot;?.&quot;"/>
    <numFmt numFmtId="202" formatCode="#,##0______;;&quot;------------      &quot;"/>
    <numFmt numFmtId="203" formatCode="&quot;$&quot;#,##0"/>
    <numFmt numFmtId="204" formatCode="#,##0.000_ ;\-#,##0.000\ "/>
    <numFmt numFmtId="205" formatCode="#,##0.00_ ;[Red]\-#,##0.00\ "/>
    <numFmt numFmtId="206" formatCode="_(&quot;$&quot;* #,##0.00_);_(&quot;$&quot;* \(#,##0.00\);_(&quot;$&quot;* &quot;-&quot;??_);_(@_)"/>
    <numFmt numFmtId="207" formatCode="0_)"/>
    <numFmt numFmtId="208" formatCode="0.000"/>
    <numFmt numFmtId="209" formatCode="_(* #,##0_);_(* \(#,##0\);_(* &quot;-&quot;_);_(@_)"/>
    <numFmt numFmtId="210" formatCode="_(* #,##0.00_);_(* \(#,##0.00\);_(* &quot;-&quot;??_);_(@_)"/>
    <numFmt numFmtId="211" formatCode="_-* #,##0.00\ _р_._-;\-* #,##0.00\ _р_._-;_-* &quot;-&quot;??\ _р_._-;_-@_-"/>
    <numFmt numFmtId="212" formatCode="_-* #,##0\ _$_-;\-* #,##0\ _$_-;_-* &quot;-&quot;\ _$_-;_-@_-"/>
    <numFmt numFmtId="213" formatCode="_(* #,##0.0_);_(* \(#,##0.0\);_(* &quot;-&quot;??_);_(@_)"/>
    <numFmt numFmtId="214" formatCode="\$#\.00"/>
    <numFmt numFmtId="215" formatCode="_(&quot;$&quot;* #,##0_);_(&quot;$&quot;* \(#,##0\);_(&quot;$&quot;* &quot;-&quot;_);_(@_)"/>
    <numFmt numFmtId="216" formatCode="_(* #,##0_);_(* \(#,##0\);_(* &quot;-&quot;??_);_(@_)"/>
    <numFmt numFmtId="217" formatCode="#,##0;[Red]#,##0"/>
    <numFmt numFmtId="218" formatCode="&quot;\&quot;#,##0;[Red]\-&quot;\&quot;#,##0"/>
    <numFmt numFmtId="219" formatCode="\£#,##0_);\(\£#,##0\)"/>
    <numFmt numFmtId="220" formatCode="#,##0;\-#,##0;&quot;-&quot;"/>
    <numFmt numFmtId="221" formatCode="#,##0.00;\-#,##0.00;&quot;-&quot;"/>
    <numFmt numFmtId="222" formatCode="#,##0%;\-#,##0%;&quot;- &quot;"/>
    <numFmt numFmtId="223" formatCode="#,##0.0%;\-#,##0.0%;&quot;- &quot;"/>
    <numFmt numFmtId="224" formatCode="#,##0.00%;\-#,##0.00%;&quot;- &quot;"/>
    <numFmt numFmtId="225" formatCode="#,##0.0;\-#,##0.0;&quot;-&quot;"/>
    <numFmt numFmtId="226" formatCode="\$#,##0_);[Red]&quot;($&quot;#,##0\)"/>
    <numFmt numFmtId="227" formatCode="_(* #,##0.00_);[Red]_(* \(#,##0.00\);_(* &quot;-&quot;??_);_(@_)"/>
    <numFmt numFmtId="228" formatCode="0.0\x"/>
    <numFmt numFmtId="229" formatCode="_-* #,##0\ _F_B_-;\-* #,##0\ _F_B_-;_-* &quot;-&quot;\ _F_B_-;_-@_-"/>
    <numFmt numFmtId="230" formatCode="_-* #,##0.00\ _F_B_-;\-* #,##0.00\ _F_B_-;_-* &quot;-&quot;??\ _F_B_-;_-@_-"/>
    <numFmt numFmtId="231" formatCode="#,##0.0_);[Red]\(#,##0.0\)"/>
    <numFmt numFmtId="232" formatCode="_-* #,##0_-;_-* #,##0\-;_-* &quot;-&quot;_-;_-@_-"/>
    <numFmt numFmtId="233" formatCode="_-* #,##0.00_-;_-* #,##0.00\-;_-* &quot;-&quot;??_-;_-@_-"/>
    <numFmt numFmtId="234" formatCode="_-* #,##0\ _P_t_s_-;\-* #,##0\ _P_t_s_-;_-* &quot;- &quot;_P_t_s_-;_-@_-"/>
    <numFmt numFmtId="235" formatCode="_-* #,##0.00\ _P_t_s_-;\-* #,##0.00\ _P_t_s_-;_-* \-??\ _P_t_s_-;_-@_-"/>
    <numFmt numFmtId="236" formatCode="_-* #,##0&quot; Pts&quot;_-;\-* #,##0&quot; Pts&quot;_-;_-* &quot;- Pts&quot;_-;_-@_-"/>
    <numFmt numFmtId="237" formatCode="_-* #,##0.00&quot; Pts&quot;_-;\-* #,##0.00&quot; Pts&quot;_-;_-* \-??&quot; Pts&quot;_-;_-@_-"/>
    <numFmt numFmtId="238" formatCode="_-* #,##0\ &quot;$&quot;_-;\-* #,##0\ &quot;$&quot;_-;_-* &quot;-&quot;\ &quot;$&quot;_-;_-@_-"/>
    <numFmt numFmtId="239" formatCode="_-* #,##0.00\ &quot;$&quot;_-;\-* #,##0.00\ &quot;$&quot;_-;_-* &quot;-&quot;??\ &quot;$&quot;_-;_-@_-"/>
    <numFmt numFmtId="240" formatCode="&quot;$&quot;#,##0.0_);\(&quot;$&quot;#,##0.0\)"/>
    <numFmt numFmtId="241" formatCode="0.00\x"/>
    <numFmt numFmtId="242" formatCode="#\ ###\ ###\ ###"/>
    <numFmt numFmtId="243" formatCode="_-* #,##0\ &quot;FB&quot;_-;\-* #,##0\ &quot;FB&quot;_-;_-* &quot;-&quot;\ &quot;FB&quot;_-;_-@_-"/>
    <numFmt numFmtId="244" formatCode="_-* #,##0.00\ &quot;FB&quot;_-;\-* #,##0.00\ &quot;FB&quot;_-;_-* &quot;-&quot;??\ &quot;FB&quot;_-;_-@_-"/>
    <numFmt numFmtId="245" formatCode="0%;\(0%\)"/>
    <numFmt numFmtId="246" formatCode="_(* #,##0.00_);_(* \(#,##0.00\);_(* \-??_);_(@_)"/>
    <numFmt numFmtId="247" formatCode="\ \ @"/>
    <numFmt numFmtId="248" formatCode="\ \ \ \ @"/>
    <numFmt numFmtId="249" formatCode="_-&quot;F&quot;\ * #,##0_-;_-&quot;F&quot;\ * #,##0\-;_-&quot;F&quot;\ * &quot;-&quot;_-;_-@_-"/>
    <numFmt numFmtId="250" formatCode="_-&quot;F&quot;\ * #,##0.00_-;_-&quot;F&quot;\ * #,##0.00\-;_-&quot;F&quot;\ * &quot;-&quot;??_-;_-@_-"/>
    <numFmt numFmtId="251" formatCode="\¥#,##0_);\(\¥#,##0\)"/>
    <numFmt numFmtId="252" formatCode="_-* #,##0.00&quot;р.&quot;_-;\-* #,##0.00&quot;р.&quot;_-;_-* \-??&quot;р.&quot;_-;_-@_-"/>
    <numFmt numFmtId="253" formatCode="_(&quot;р.&quot;* #,##0.00_);_(&quot;р.&quot;* \(#,##0.00\);_(&quot;р.&quot;* &quot;-&quot;??_);_(@_)"/>
    <numFmt numFmtId="254" formatCode="_-&quot;Ј&quot;* #,##0.00_-;\-&quot;Ј&quot;* #,##0.00_-;_-&quot;Ј&quot;* &quot;-&quot;??_-;_-@_-"/>
    <numFmt numFmtId="255" formatCode="_-* #,##0.00_р_._-;\-* #,##0.00_р_._-;_-* \-??_р_._-;_-@_-"/>
    <numFmt numFmtId="256" formatCode="%#\.00"/>
  </numFmts>
  <fonts count="278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color indexed="8"/>
      <name val="Arial"/>
      <family val="2"/>
      <charset val="204"/>
    </font>
    <font>
      <b/>
      <sz val="8"/>
      <color indexed="81"/>
      <name val="Tahoma"/>
      <family val="2"/>
      <charset val="204"/>
    </font>
    <font>
      <sz val="8"/>
      <color indexed="81"/>
      <name val="Tahoma"/>
      <family val="2"/>
      <charset val="204"/>
    </font>
    <font>
      <sz val="10"/>
      <name val="Tahoma"/>
      <family val="2"/>
      <charset val="204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0"/>
      <name val="Tahoma"/>
      <family val="2"/>
      <charset val="204"/>
    </font>
    <font>
      <sz val="8"/>
      <name val="Tahoma"/>
      <family val="2"/>
      <charset val="204"/>
    </font>
    <font>
      <sz val="14"/>
      <name val="Times New Roman"/>
      <family val="1"/>
      <charset val="204"/>
    </font>
    <font>
      <b/>
      <sz val="8"/>
      <name val="Tahoma"/>
      <family val="2"/>
      <charset val="204"/>
    </font>
    <font>
      <b/>
      <sz val="9"/>
      <name val="Tahoma"/>
      <family val="2"/>
      <charset val="204"/>
    </font>
    <font>
      <sz val="9"/>
      <name val="Tahoma"/>
      <family val="2"/>
      <charset val="204"/>
    </font>
    <font>
      <b/>
      <sz val="12"/>
      <name val="Tahoma"/>
      <family val="2"/>
      <charset val="204"/>
    </font>
    <font>
      <sz val="10"/>
      <name val="Helv"/>
    </font>
    <font>
      <sz val="10"/>
      <name val="Helv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sz val="8"/>
      <color indexed="12"/>
      <name val="Arial"/>
      <family val="2"/>
      <charset val="204"/>
    </font>
    <font>
      <sz val="11"/>
      <name val="?l?r ?o?S?V?b?N"/>
      <family val="3"/>
    </font>
    <font>
      <sz val="10"/>
      <name val="’†?S?V?b?N‘М"/>
      <family val="3"/>
      <charset val="128"/>
    </font>
    <font>
      <sz val="10"/>
      <color indexed="8"/>
      <name val="Verdana"/>
      <family val="2"/>
      <charset val="204"/>
    </font>
    <font>
      <sz val="10"/>
      <name val="Arial Cyr"/>
      <family val="2"/>
      <charset val="204"/>
    </font>
    <font>
      <sz val="10"/>
      <name val="Arial Cyr"/>
    </font>
    <font>
      <sz val="10"/>
      <name val="Arial Cyr"/>
      <charset val="204"/>
    </font>
    <font>
      <sz val="1"/>
      <color indexed="8"/>
      <name val="Courier"/>
      <family val="3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3"/>
    </font>
    <font>
      <sz val="10"/>
      <name val="MS Sans Serif"/>
      <family val="2"/>
      <charset val="204"/>
    </font>
    <font>
      <sz val="11"/>
      <color indexed="8"/>
      <name val="Calibri"/>
      <family val="2"/>
      <charset val="204"/>
    </font>
    <font>
      <sz val="13"/>
      <color indexed="8"/>
      <name val="Times New Roman"/>
      <family val="2"/>
      <charset val="204"/>
    </font>
    <font>
      <sz val="11"/>
      <color indexed="9"/>
      <name val="Calibri"/>
      <family val="2"/>
      <charset val="204"/>
    </font>
    <font>
      <sz val="13"/>
      <color indexed="9"/>
      <name val="Times New Roman"/>
      <family val="2"/>
      <charset val="204"/>
    </font>
    <font>
      <u/>
      <sz val="10"/>
      <color indexed="12"/>
      <name val="Courier"/>
      <family val="3"/>
    </font>
    <font>
      <b/>
      <sz val="10"/>
      <color indexed="62"/>
      <name val="Tahoma"/>
      <family val="2"/>
      <charset val="204"/>
    </font>
    <font>
      <sz val="11"/>
      <color indexed="20"/>
      <name val="Calibri"/>
      <family val="2"/>
      <charset val="204"/>
    </font>
    <font>
      <sz val="9"/>
      <color indexed="56"/>
      <name val="Frutiger 45 Light"/>
      <family val="2"/>
    </font>
    <font>
      <sz val="10"/>
      <name val="Times New Roman"/>
      <family val="1"/>
    </font>
    <font>
      <b/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0"/>
      <color indexed="57"/>
      <name val="Wingdings"/>
      <charset val="2"/>
    </font>
    <font>
      <sz val="8"/>
      <name val="Palatino"/>
      <family val="1"/>
    </font>
    <font>
      <sz val="10"/>
      <color indexed="24"/>
      <name val="Arial"/>
      <family val="2"/>
      <charset val="204"/>
    </font>
    <font>
      <b/>
      <sz val="10"/>
      <color indexed="12"/>
      <name val="Arial Cyr"/>
      <family val="2"/>
      <charset val="204"/>
    </font>
    <font>
      <sz val="8"/>
      <name val="Arial Cyr"/>
      <charset val="204"/>
    </font>
    <font>
      <sz val="12"/>
      <name val="Tms Rmn"/>
      <charset val="204"/>
    </font>
    <font>
      <u/>
      <sz val="8"/>
      <color indexed="12"/>
      <name val="Arial Cyr"/>
      <charset val="204"/>
    </font>
    <font>
      <sz val="10"/>
      <name val="SimSun"/>
      <family val="2"/>
      <charset val="204"/>
    </font>
    <font>
      <sz val="11"/>
      <color rgb="FF00000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8"/>
      <name val="Arial"/>
      <family val="2"/>
      <charset val="204"/>
    </font>
    <font>
      <i/>
      <sz val="12"/>
      <name val="Arial"/>
      <family val="2"/>
      <charset val="204"/>
    </font>
    <font>
      <sz val="12"/>
      <name val="Symbol"/>
      <family val="1"/>
      <charset val="2"/>
    </font>
    <font>
      <sz val="18"/>
      <name val="Symbol"/>
      <family val="1"/>
      <charset val="2"/>
    </font>
    <font>
      <sz val="8"/>
      <name val="Symbol"/>
      <family val="1"/>
      <charset val="2"/>
    </font>
    <font>
      <i/>
      <sz val="12"/>
      <name val="Symbol"/>
      <family val="1"/>
      <charset val="2"/>
    </font>
    <font>
      <sz val="10"/>
      <name val="Courier"/>
      <family val="1"/>
      <charset val="204"/>
    </font>
    <font>
      <u/>
      <sz val="10"/>
      <color indexed="36"/>
      <name val="Arial Cyr"/>
      <charset val="204"/>
    </font>
    <font>
      <sz val="7"/>
      <name val="Palatino"/>
      <family val="1"/>
    </font>
    <font>
      <sz val="11"/>
      <color indexed="17"/>
      <name val="Calibri"/>
      <family val="2"/>
      <charset val="204"/>
    </font>
    <font>
      <sz val="10"/>
      <name val="Arial"/>
      <family val="2"/>
    </font>
    <font>
      <sz val="9"/>
      <name val="Futura UBS Bk"/>
      <family val="2"/>
    </font>
    <font>
      <b/>
      <sz val="10"/>
      <name val="SvobodaFWF"/>
    </font>
    <font>
      <sz val="6"/>
      <color indexed="16"/>
      <name val="Palatino"/>
      <family val="1"/>
    </font>
    <font>
      <b/>
      <sz val="12"/>
      <name val="NTHelvetica/Cyrillic"/>
    </font>
    <font>
      <b/>
      <sz val="10"/>
      <color indexed="18"/>
      <name val="Arial Cyr"/>
      <charset val="204"/>
    </font>
    <font>
      <b/>
      <sz val="18"/>
      <color indexed="24"/>
      <name val="Arial"/>
      <family val="2"/>
      <charset val="204"/>
    </font>
    <font>
      <b/>
      <sz val="12"/>
      <color indexed="24"/>
      <name val="Arial"/>
      <family val="2"/>
      <charset val="204"/>
    </font>
    <font>
      <b/>
      <sz val="11"/>
      <color indexed="56"/>
      <name val="Calibri"/>
      <family val="2"/>
      <charset val="204"/>
    </font>
    <font>
      <b/>
      <sz val="8"/>
      <name val="Arial Cyr"/>
      <charset val="204"/>
    </font>
    <font>
      <b/>
      <sz val="18"/>
      <name val="Times New Roman"/>
      <family val="1"/>
      <charset val="204"/>
    </font>
    <font>
      <b/>
      <sz val="14"/>
      <name val="Times New Roman"/>
      <family val="1"/>
      <charset val="204"/>
    </font>
    <font>
      <u/>
      <sz val="10"/>
      <color indexed="12"/>
      <name val="Arial Cyr"/>
      <charset val="204"/>
    </font>
    <font>
      <sz val="10"/>
      <name val="Courier"/>
      <family val="3"/>
    </font>
    <font>
      <u/>
      <sz val="10"/>
      <color indexed="36"/>
      <name val="Courier"/>
      <family val="3"/>
    </font>
    <font>
      <b/>
      <i/>
      <sz val="11"/>
      <color indexed="12"/>
      <name val="Arial Cyr"/>
      <family val="2"/>
      <charset val="204"/>
    </font>
    <font>
      <sz val="11"/>
      <color indexed="62"/>
      <name val="Calibri"/>
      <family val="2"/>
      <charset val="204"/>
    </font>
    <font>
      <sz val="8"/>
      <color indexed="12"/>
      <name val="Palatino"/>
      <family val="1"/>
    </font>
    <font>
      <sz val="11"/>
      <color indexed="52"/>
      <name val="Calibri"/>
      <family val="2"/>
      <charset val="204"/>
    </font>
    <font>
      <i/>
      <sz val="10"/>
      <name val="PragmaticaC"/>
      <charset val="204"/>
    </font>
    <font>
      <sz val="11"/>
      <color indexed="60"/>
      <name val="Calibri"/>
      <family val="2"/>
      <charset val="204"/>
    </font>
    <font>
      <sz val="12"/>
      <name val="Arial"/>
      <family val="2"/>
      <charset val="204"/>
    </font>
    <font>
      <sz val="14"/>
      <name val="NewtonC"/>
      <charset val="204"/>
    </font>
    <font>
      <sz val="8"/>
      <name val="Helv"/>
      <charset val="204"/>
    </font>
    <font>
      <sz val="10"/>
      <name val="Palatino"/>
      <family val="1"/>
    </font>
    <font>
      <b/>
      <sz val="11"/>
      <color indexed="63"/>
      <name val="Calibri"/>
      <family val="2"/>
      <charset val="204"/>
    </font>
    <font>
      <sz val="10"/>
      <color indexed="16"/>
      <name val="Helvetica-Black"/>
    </font>
    <font>
      <sz val="22"/>
      <name val="UBSHeadline"/>
      <family val="1"/>
    </font>
    <font>
      <u/>
      <sz val="10"/>
      <name val="Arial"/>
      <family val="2"/>
      <charset val="204"/>
    </font>
    <font>
      <sz val="8"/>
      <name val="Helv"/>
    </font>
    <font>
      <i/>
      <sz val="12"/>
      <name val="Tms Rmn"/>
      <charset val="204"/>
    </font>
    <font>
      <b/>
      <sz val="10"/>
      <color indexed="10"/>
      <name val="Arial Cyr"/>
      <family val="2"/>
      <charset val="204"/>
    </font>
    <font>
      <sz val="9.5"/>
      <color indexed="23"/>
      <name val="Helvetica-Black"/>
    </font>
    <font>
      <sz val="10"/>
      <color indexed="8"/>
      <name val="Arial"/>
      <family val="2"/>
    </font>
    <font>
      <sz val="10"/>
      <color indexed="39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  <charset val="204"/>
    </font>
    <font>
      <b/>
      <sz val="16"/>
      <color indexed="23"/>
      <name val="Arial"/>
      <family val="2"/>
      <charset val="204"/>
    </font>
    <font>
      <sz val="10"/>
      <color indexed="10"/>
      <name val="Arial"/>
      <family val="2"/>
    </font>
    <font>
      <sz val="8"/>
      <name val="Arial Cyr"/>
      <family val="2"/>
      <charset val="204"/>
    </font>
    <font>
      <sz val="10"/>
      <name val="NTHelvetica/Cyrillic"/>
      <charset val="204"/>
    </font>
    <font>
      <b/>
      <sz val="10"/>
      <color indexed="9"/>
      <name val="Verdana"/>
      <family val="2"/>
      <charset val="204"/>
    </font>
    <font>
      <sz val="10"/>
      <color indexed="9"/>
      <name val="Arial"/>
      <family val="2"/>
      <charset val="204"/>
    </font>
    <font>
      <b/>
      <sz val="9"/>
      <name val="Palatino"/>
      <family val="1"/>
    </font>
    <font>
      <sz val="9"/>
      <color indexed="21"/>
      <name val="Helvetica-Black"/>
    </font>
    <font>
      <b/>
      <sz val="10"/>
      <name val="Palatino"/>
      <family val="1"/>
    </font>
    <font>
      <b/>
      <sz val="8"/>
      <color indexed="9"/>
      <name val="Arial Cyr"/>
      <charset val="204"/>
    </font>
    <font>
      <sz val="9"/>
      <name val="Helvetica-Black"/>
    </font>
    <font>
      <b/>
      <sz val="10"/>
      <name val="Times New Roman"/>
      <family val="1"/>
    </font>
    <font>
      <sz val="12"/>
      <color indexed="8"/>
      <name val="Palatino"/>
      <family val="1"/>
    </font>
    <font>
      <sz val="11"/>
      <name val="Helvetica-Black"/>
    </font>
    <font>
      <sz val="11"/>
      <color indexed="8"/>
      <name val="Helvetica-Black"/>
    </font>
    <font>
      <b/>
      <sz val="18"/>
      <color indexed="56"/>
      <name val="Cambria"/>
      <family val="2"/>
      <charset val="204"/>
    </font>
    <font>
      <sz val="13"/>
      <name val="Tahoma"/>
      <family val="2"/>
      <charset val="204"/>
    </font>
    <font>
      <sz val="11"/>
      <name val="Tahoma"/>
      <family val="2"/>
      <charset val="204"/>
    </font>
    <font>
      <b/>
      <sz val="8"/>
      <name val="Palatino"/>
      <family val="1"/>
    </font>
    <font>
      <u/>
      <sz val="8"/>
      <color indexed="8"/>
      <name val="Arial"/>
      <family val="2"/>
    </font>
    <font>
      <sz val="11"/>
      <color indexed="10"/>
      <name val="Calibri"/>
      <family val="2"/>
      <charset val="204"/>
    </font>
    <font>
      <b/>
      <i/>
      <sz val="8"/>
      <name val="Helv"/>
    </font>
    <font>
      <sz val="13"/>
      <color indexed="62"/>
      <name val="Times New Roman"/>
      <family val="2"/>
      <charset val="204"/>
    </font>
    <font>
      <b/>
      <sz val="8"/>
      <name val="Arial CYR"/>
      <family val="2"/>
      <charset val="204"/>
    </font>
    <font>
      <b/>
      <sz val="13"/>
      <color indexed="63"/>
      <name val="Times New Roman"/>
      <family val="2"/>
      <charset val="204"/>
    </font>
    <font>
      <b/>
      <sz val="13"/>
      <color indexed="52"/>
      <name val="Times New Roman"/>
      <family val="2"/>
      <charset val="204"/>
    </font>
    <font>
      <b/>
      <u/>
      <sz val="11"/>
      <color indexed="12"/>
      <name val="Arial"/>
      <family val="2"/>
      <charset val="204"/>
    </font>
    <font>
      <u/>
      <sz val="9"/>
      <color indexed="18"/>
      <name val="Tahoma"/>
      <family val="2"/>
      <charset val="204"/>
    </font>
    <font>
      <u/>
      <sz val="9"/>
      <color indexed="12"/>
      <name val="Tahoma"/>
      <family val="2"/>
      <charset val="204"/>
    </font>
    <font>
      <b/>
      <u/>
      <sz val="9"/>
      <color indexed="12"/>
      <name val="Tahoma"/>
      <family val="2"/>
      <charset val="204"/>
    </font>
    <font>
      <b/>
      <sz val="12"/>
      <color indexed="12"/>
      <name val="Arial Cyr"/>
      <family val="2"/>
      <charset val="204"/>
    </font>
    <font>
      <b/>
      <sz val="12"/>
      <name val="Arial Cyr"/>
      <family val="2"/>
      <charset val="204"/>
    </font>
    <font>
      <b/>
      <sz val="10"/>
      <name val="Arial Cyr"/>
      <family val="2"/>
      <charset val="204"/>
    </font>
    <font>
      <b/>
      <sz val="18"/>
      <color indexed="62"/>
      <name val="Arial Cyr"/>
      <family val="2"/>
      <charset val="204"/>
    </font>
    <font>
      <b/>
      <i/>
      <sz val="18"/>
      <color indexed="62"/>
      <name val="Arial Cyr"/>
      <family val="2"/>
      <charset val="204"/>
    </font>
    <font>
      <b/>
      <sz val="14"/>
      <name val="Franklin Gothic Medium"/>
      <family val="2"/>
      <charset val="204"/>
    </font>
    <font>
      <b/>
      <sz val="15"/>
      <color indexed="56"/>
      <name val="Calibri"/>
      <family val="2"/>
      <charset val="204"/>
    </font>
    <font>
      <b/>
      <sz val="15"/>
      <color indexed="56"/>
      <name val="Times New Roman"/>
      <family val="2"/>
      <charset val="204"/>
    </font>
    <font>
      <b/>
      <sz val="13"/>
      <color indexed="56"/>
      <name val="Calibri"/>
      <family val="2"/>
      <charset val="204"/>
    </font>
    <font>
      <b/>
      <sz val="13"/>
      <color indexed="56"/>
      <name val="Times New Roman"/>
      <family val="2"/>
      <charset val="204"/>
    </font>
    <font>
      <b/>
      <sz val="11"/>
      <color indexed="56"/>
      <name val="Times New Roman"/>
      <family val="2"/>
      <charset val="204"/>
    </font>
    <font>
      <b/>
      <sz val="11"/>
      <name val="Arial Cyr"/>
      <family val="2"/>
      <charset val="204"/>
    </font>
    <font>
      <b/>
      <sz val="18"/>
      <name val="Arial"/>
      <family val="2"/>
      <charset val="204"/>
    </font>
    <font>
      <b/>
      <sz val="12"/>
      <name val="Arial"/>
      <family val="2"/>
      <charset val="204"/>
    </font>
    <font>
      <b/>
      <sz val="14"/>
      <name val="Arial Cyr"/>
      <family val="2"/>
      <charset val="204"/>
    </font>
    <font>
      <b/>
      <sz val="11"/>
      <color indexed="8"/>
      <name val="Calibri"/>
      <family val="2"/>
      <charset val="204"/>
    </font>
    <font>
      <b/>
      <sz val="13"/>
      <color indexed="8"/>
      <name val="Times New Roman"/>
      <family val="2"/>
      <charset val="204"/>
    </font>
    <font>
      <b/>
      <sz val="13"/>
      <color indexed="9"/>
      <name val="Times New Roman"/>
      <family val="2"/>
      <charset val="204"/>
    </font>
    <font>
      <b/>
      <sz val="14"/>
      <name val="Arial"/>
      <family val="2"/>
      <charset val="204"/>
    </font>
    <font>
      <b/>
      <sz val="10"/>
      <name val="Arial Cyr"/>
      <charset val="204"/>
    </font>
    <font>
      <sz val="10"/>
      <color indexed="9"/>
      <name val="Arial Cyr"/>
      <family val="2"/>
      <charset val="204"/>
    </font>
    <font>
      <sz val="13"/>
      <color indexed="60"/>
      <name val="Times New Roman"/>
      <family val="2"/>
      <charset val="204"/>
    </font>
    <font>
      <sz val="12"/>
      <name val="Arial Cyr"/>
      <family val="2"/>
      <charset val="204"/>
    </font>
    <font>
      <sz val="8"/>
      <name val="Arial"/>
      <family val="2"/>
    </font>
    <font>
      <sz val="11"/>
      <color theme="1"/>
      <name val="Calibri"/>
      <family val="2"/>
      <scheme val="minor"/>
    </font>
    <font>
      <sz val="10"/>
      <color indexed="64"/>
      <name val="Arial"/>
      <family val="2"/>
      <charset val="204"/>
    </font>
    <font>
      <sz val="9"/>
      <color indexed="11"/>
      <name val="Tahoma"/>
      <family val="2"/>
      <charset val="204"/>
    </font>
    <font>
      <sz val="10"/>
      <name val="Times New Roman CYR"/>
      <charset val="204"/>
    </font>
    <font>
      <sz val="10"/>
      <color theme="1"/>
      <name val="Times New Roman"/>
      <family val="2"/>
      <charset val="204"/>
    </font>
    <font>
      <sz val="11"/>
      <color indexed="8"/>
      <name val="Calibri"/>
      <family val="2"/>
    </font>
    <font>
      <b/>
      <i/>
      <sz val="10"/>
      <color indexed="10"/>
      <name val="Arial Cyr"/>
      <family val="2"/>
      <charset val="204"/>
    </font>
    <font>
      <sz val="13"/>
      <color indexed="20"/>
      <name val="Times New Roman"/>
      <family val="2"/>
      <charset val="204"/>
    </font>
    <font>
      <sz val="11"/>
      <name val="Times New Roman Cyr"/>
      <family val="1"/>
      <charset val="204"/>
    </font>
    <font>
      <i/>
      <sz val="13"/>
      <color indexed="23"/>
      <name val="Times New Roman"/>
      <family val="2"/>
      <charset val="204"/>
    </font>
    <font>
      <b/>
      <i/>
      <sz val="14"/>
      <color indexed="57"/>
      <name val="Arial Cyr"/>
      <family val="2"/>
      <charset val="204"/>
    </font>
    <font>
      <sz val="10"/>
      <color indexed="8"/>
      <name val="Times New Roman Cyr"/>
      <family val="1"/>
      <charset val="204"/>
    </font>
    <font>
      <sz val="13"/>
      <color indexed="52"/>
      <name val="Times New Roman"/>
      <family val="2"/>
      <charset val="204"/>
    </font>
    <font>
      <sz val="14"/>
      <name val="Arial Cyr"/>
      <family val="2"/>
      <charset val="204"/>
    </font>
    <font>
      <sz val="12"/>
      <color indexed="24"/>
      <name val="Arial"/>
      <family val="2"/>
      <charset val="204"/>
    </font>
    <font>
      <sz val="13"/>
      <color indexed="10"/>
      <name val="Times New Roman"/>
      <family val="2"/>
      <charset val="204"/>
    </font>
    <font>
      <sz val="9"/>
      <name val="Arial Cyr"/>
      <charset val="204"/>
    </font>
    <font>
      <sz val="13"/>
      <color indexed="17"/>
      <name val="Times New Roman"/>
      <family val="2"/>
      <charset val="204"/>
    </font>
    <font>
      <sz val="10"/>
      <name val="Tahoma"/>
      <family val="2"/>
      <charset val="204"/>
    </font>
    <font>
      <b/>
      <sz val="10"/>
      <name val="Tahoma"/>
      <family val="2"/>
      <charset val="204"/>
    </font>
    <font>
      <sz val="1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12"/>
      <name val="Times New Roman"/>
      <family val="1"/>
      <charset val="204"/>
    </font>
    <font>
      <sz val="7"/>
      <name val="Tahoma"/>
      <family val="2"/>
      <charset val="204"/>
    </font>
    <font>
      <sz val="10"/>
      <name val="Times New Roman CYR"/>
      <family val="1"/>
      <charset val="204"/>
    </font>
    <font>
      <sz val="10"/>
      <name val="NTHarmonica"/>
      <charset val="204"/>
    </font>
    <font>
      <sz val="11"/>
      <name val="Times New Roman Cyr"/>
      <charset val="204"/>
    </font>
    <font>
      <sz val="10"/>
      <color theme="1"/>
      <name val="Arial Cyr"/>
      <family val="2"/>
      <charset val="204"/>
    </font>
    <font>
      <sz val="18"/>
      <color theme="3"/>
      <name val="Cambria"/>
      <family val="2"/>
      <charset val="204"/>
      <scheme val="major"/>
    </font>
    <font>
      <u/>
      <sz val="6"/>
      <color indexed="12"/>
      <name val="Arial"/>
      <family val="2"/>
      <charset val="204"/>
    </font>
    <font>
      <b/>
      <sz val="1"/>
      <color indexed="8"/>
      <name val="Courier"/>
      <family val="1"/>
      <charset val="204"/>
    </font>
    <font>
      <u/>
      <sz val="10"/>
      <color indexed="12"/>
      <name val="Times New Roman Cyr"/>
      <charset val="204"/>
    </font>
    <font>
      <u/>
      <sz val="9"/>
      <color indexed="32"/>
      <name val="Tahoma"/>
      <family val="2"/>
      <charset val="204"/>
    </font>
    <font>
      <sz val="10"/>
      <color indexed="8"/>
      <name val="Arial Cyr"/>
    </font>
    <font>
      <sz val="18"/>
      <color theme="1"/>
      <name val="Calibri"/>
      <family val="2"/>
      <charset val="204"/>
      <scheme val="minor"/>
    </font>
    <font>
      <b/>
      <u/>
      <sz val="9"/>
      <color rgb="FF0000FF"/>
      <name val="Tahoma"/>
      <family val="2"/>
      <charset val="204"/>
    </font>
    <font>
      <sz val="10"/>
      <name val="Book Antiqua"/>
      <family val="1"/>
      <charset val="204"/>
    </font>
    <font>
      <sz val="11"/>
      <name val="Calibri"/>
      <family val="2"/>
      <charset val="204"/>
    </font>
    <font>
      <b/>
      <i/>
      <sz val="12"/>
      <name val="Arial"/>
      <family val="2"/>
      <charset val="204"/>
    </font>
    <font>
      <b/>
      <sz val="12"/>
      <color indexed="9"/>
      <name val="Arial"/>
      <family val="2"/>
    </font>
    <font>
      <b/>
      <sz val="14"/>
      <color indexed="9"/>
      <name val="Arial"/>
      <family val="2"/>
      <charset val="204"/>
    </font>
    <font>
      <b/>
      <i/>
      <sz val="14"/>
      <name val="Arial"/>
      <family val="2"/>
    </font>
    <font>
      <b/>
      <i/>
      <sz val="20"/>
      <name val="Arial"/>
      <family val="2"/>
    </font>
    <font>
      <b/>
      <sz val="16"/>
      <color indexed="9"/>
      <name val="Arial"/>
      <family val="2"/>
    </font>
    <font>
      <b/>
      <sz val="14"/>
      <name val="Arial"/>
      <family val="2"/>
    </font>
    <font>
      <b/>
      <i/>
      <sz val="22"/>
      <name val="Arial"/>
      <family val="2"/>
    </font>
    <font>
      <sz val="10"/>
      <color theme="0"/>
      <name val="Times New Roman"/>
      <family val="2"/>
      <charset val="204"/>
    </font>
    <font>
      <sz val="12"/>
      <color indexed="9"/>
      <name val="Times New Roman"/>
      <family val="2"/>
      <charset val="204"/>
    </font>
    <font>
      <sz val="11"/>
      <color indexed="9"/>
      <name val="Calibri"/>
      <family val="2"/>
    </font>
    <font>
      <sz val="12"/>
      <name val="Arial"/>
      <family val="2"/>
    </font>
    <font>
      <b/>
      <sz val="10"/>
      <color indexed="8"/>
      <name val="Arial"/>
      <family val="2"/>
      <charset val="204"/>
    </font>
    <font>
      <sz val="8"/>
      <color indexed="8"/>
      <name val="Arial"/>
      <family val="2"/>
      <charset val="204"/>
    </font>
    <font>
      <sz val="10"/>
      <color indexed="8"/>
      <name val="Tms Rmn"/>
    </font>
    <font>
      <sz val="12"/>
      <name val="Tms Rmn"/>
    </font>
    <font>
      <u val="singleAccounting"/>
      <sz val="10"/>
      <name val="Arial"/>
      <family val="2"/>
    </font>
    <font>
      <sz val="12"/>
      <name val="±???A?"/>
      <charset val="129"/>
    </font>
    <font>
      <b/>
      <sz val="12"/>
      <name val="Times New Roman"/>
      <family val="1"/>
    </font>
    <font>
      <sz val="8"/>
      <color indexed="12"/>
      <name val="Times New Roman"/>
      <family val="1"/>
    </font>
    <font>
      <b/>
      <sz val="11"/>
      <name val="Arial Cyr"/>
    </font>
    <font>
      <u val="doubleAccounting"/>
      <sz val="10"/>
      <name val="Arial"/>
      <family val="2"/>
    </font>
    <font>
      <b/>
      <sz val="11"/>
      <color indexed="8"/>
      <name val="Calibri"/>
      <family val="2"/>
    </font>
    <font>
      <sz val="10"/>
      <color indexed="12"/>
      <name val="Arial"/>
      <family val="2"/>
    </font>
    <font>
      <sz val="10"/>
      <color indexed="17"/>
      <name val="Times New Roman"/>
      <family val="1"/>
    </font>
    <font>
      <b/>
      <sz val="12"/>
      <name val="Arial"/>
      <family val="2"/>
    </font>
    <font>
      <b/>
      <i/>
      <sz val="22"/>
      <name val="Times New Roman"/>
      <family val="1"/>
      <charset val="204"/>
    </font>
    <font>
      <sz val="10"/>
      <color indexed="9"/>
      <name val="Times New Roman"/>
      <family val="1"/>
    </font>
    <font>
      <b/>
      <sz val="10"/>
      <color indexed="56"/>
      <name val="Arial"/>
      <family val="2"/>
      <charset val="204"/>
    </font>
    <font>
      <sz val="10"/>
      <color indexed="56"/>
      <name val="Arial"/>
      <family val="2"/>
      <charset val="204"/>
    </font>
    <font>
      <sz val="10"/>
      <color indexed="14"/>
      <name val="Arial"/>
      <family val="2"/>
    </font>
    <font>
      <sz val="12"/>
      <name val="Times New Roman"/>
      <family val="1"/>
    </font>
    <font>
      <sz val="11"/>
      <color indexed="17"/>
      <name val="Calibri"/>
      <family val="2"/>
    </font>
    <font>
      <sz val="7"/>
      <name val="Small Fonts"/>
      <family val="2"/>
      <charset val="204"/>
    </font>
    <font>
      <sz val="10"/>
      <name val="Times New Roman CE"/>
      <charset val="238"/>
    </font>
    <font>
      <sz val="11"/>
      <color indexed="8"/>
      <name val="Arial Cyr"/>
      <family val="2"/>
      <charset val="204"/>
    </font>
    <font>
      <b/>
      <i/>
      <sz val="10"/>
      <color indexed="8"/>
      <name val="Arial"/>
      <family val="2"/>
    </font>
    <font>
      <b/>
      <sz val="10"/>
      <color indexed="9"/>
      <name val="Arial"/>
      <family val="2"/>
    </font>
    <font>
      <b/>
      <sz val="10"/>
      <color indexed="17"/>
      <name val="Arial"/>
      <family val="2"/>
    </font>
    <font>
      <b/>
      <sz val="10"/>
      <color indexed="13"/>
      <name val="Arial"/>
      <family val="2"/>
    </font>
    <font>
      <sz val="10"/>
      <color indexed="10"/>
      <name val="Times New Roman"/>
      <family val="1"/>
    </font>
    <font>
      <b/>
      <i/>
      <sz val="11"/>
      <color indexed="8"/>
      <name val="Arial"/>
      <family val="2"/>
    </font>
    <font>
      <b/>
      <i/>
      <sz val="8"/>
      <color indexed="18"/>
      <name val="Arial"/>
      <family val="2"/>
    </font>
    <font>
      <b/>
      <i/>
      <sz val="8"/>
      <color indexed="8"/>
      <name val="Arial"/>
      <family val="2"/>
    </font>
    <font>
      <b/>
      <sz val="7"/>
      <color indexed="8"/>
      <name val="Arial"/>
      <family val="2"/>
    </font>
    <font>
      <b/>
      <i/>
      <sz val="10"/>
      <color indexed="18"/>
      <name val="Arial"/>
      <family val="2"/>
    </font>
    <font>
      <b/>
      <sz val="9"/>
      <color indexed="8"/>
      <name val="Arial"/>
      <family val="2"/>
    </font>
    <font>
      <sz val="7"/>
      <color indexed="8"/>
      <name val="Arial"/>
      <family val="2"/>
    </font>
    <font>
      <b/>
      <i/>
      <sz val="7"/>
      <color indexed="8"/>
      <name val="Arial"/>
      <family val="2"/>
    </font>
    <font>
      <b/>
      <sz val="10"/>
      <color indexed="63"/>
      <name val="Arial"/>
      <family val="2"/>
    </font>
    <font>
      <sz val="10"/>
      <color indexed="63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8"/>
      <color indexed="8"/>
      <name val="Arial"/>
      <family val="2"/>
    </font>
    <font>
      <b/>
      <sz val="16"/>
      <color indexed="18"/>
      <name val="Arial"/>
      <family val="2"/>
    </font>
    <font>
      <sz val="10"/>
      <name val="Tms Rmn"/>
    </font>
    <font>
      <sz val="12"/>
      <color indexed="62"/>
      <name val="Times New Roman"/>
      <family val="2"/>
      <charset val="204"/>
    </font>
    <font>
      <b/>
      <sz val="10"/>
      <color rgb="FF3F3F3F"/>
      <name val="Times New Roman"/>
      <family val="2"/>
      <charset val="204"/>
    </font>
    <font>
      <b/>
      <sz val="12"/>
      <color indexed="63"/>
      <name val="Times New Roman"/>
      <family val="2"/>
      <charset val="204"/>
    </font>
    <font>
      <b/>
      <sz val="10"/>
      <color rgb="FFFA7D00"/>
      <name val="Times New Roman"/>
      <family val="2"/>
      <charset val="204"/>
    </font>
    <font>
      <b/>
      <sz val="12"/>
      <color indexed="52"/>
      <name val="Times New Roman"/>
      <family val="2"/>
      <charset val="204"/>
    </font>
    <font>
      <sz val="10"/>
      <color indexed="8"/>
      <name val="Times New Roman"/>
      <family val="2"/>
      <charset val="204"/>
    </font>
    <font>
      <b/>
      <sz val="15"/>
      <color indexed="62"/>
      <name val="Times New Roman"/>
      <family val="2"/>
      <charset val="204"/>
    </font>
    <font>
      <b/>
      <sz val="15"/>
      <color theme="3"/>
      <name val="Times New Roman"/>
      <family val="2"/>
      <charset val="204"/>
    </font>
    <font>
      <b/>
      <sz val="13"/>
      <color indexed="62"/>
      <name val="Times New Roman"/>
      <family val="2"/>
      <charset val="204"/>
    </font>
    <font>
      <b/>
      <sz val="13"/>
      <color theme="3"/>
      <name val="Times New Roman"/>
      <family val="2"/>
      <charset val="204"/>
    </font>
    <font>
      <b/>
      <sz val="11"/>
      <color indexed="62"/>
      <name val="Times New Roman"/>
      <family val="2"/>
      <charset val="204"/>
    </font>
    <font>
      <b/>
      <sz val="11"/>
      <color theme="3"/>
      <name val="Times New Roman"/>
      <family val="2"/>
      <charset val="204"/>
    </font>
    <font>
      <b/>
      <sz val="10"/>
      <color theme="1"/>
      <name val="Times New Roman"/>
      <family val="2"/>
      <charset val="204"/>
    </font>
    <font>
      <b/>
      <sz val="10"/>
      <color theme="0"/>
      <name val="Times New Roman"/>
      <family val="2"/>
      <charset val="204"/>
    </font>
    <font>
      <b/>
      <sz val="18"/>
      <color indexed="62"/>
      <name val="Cambria"/>
      <family val="2"/>
      <charset val="204"/>
    </font>
    <font>
      <sz val="10"/>
      <color rgb="FF9C6500"/>
      <name val="Times New Roman"/>
      <family val="2"/>
      <charset val="204"/>
    </font>
    <font>
      <sz val="12"/>
      <name val="Arial Cyr"/>
      <charset val="204"/>
    </font>
    <font>
      <sz val="10"/>
      <color indexed="8"/>
      <name val="Arial Cyr"/>
      <family val="2"/>
      <charset val="204"/>
    </font>
    <font>
      <sz val="11"/>
      <color indexed="8"/>
      <name val="Arial"/>
      <family val="2"/>
      <charset val="204"/>
    </font>
    <font>
      <sz val="13"/>
      <name val="Times New Roman"/>
      <family val="1"/>
      <charset val="204"/>
    </font>
    <font>
      <sz val="10"/>
      <color rgb="FF9C0006"/>
      <name val="Times New Roman"/>
      <family val="2"/>
      <charset val="204"/>
    </font>
    <font>
      <i/>
      <sz val="10"/>
      <color rgb="FF7F7F7F"/>
      <name val="Times New Roman"/>
      <family val="2"/>
      <charset val="204"/>
    </font>
    <font>
      <sz val="12"/>
      <name val="Times New Roman Cyr"/>
    </font>
    <font>
      <sz val="10"/>
      <color rgb="FFFA7D00"/>
      <name val="Times New Roman"/>
      <family val="2"/>
      <charset val="204"/>
    </font>
    <font>
      <sz val="10"/>
      <color rgb="FFFF0000"/>
      <name val="Times New Roman"/>
      <family val="2"/>
      <charset val="204"/>
    </font>
    <font>
      <sz val="10"/>
      <color rgb="FF006100"/>
      <name val="Times New Roman"/>
      <family val="2"/>
      <charset val="204"/>
    </font>
    <font>
      <sz val="10"/>
      <name val="Calibri"/>
      <family val="2"/>
      <charset val="204"/>
      <scheme val="minor"/>
    </font>
    <font>
      <b/>
      <sz val="16"/>
      <name val="Tahoma"/>
      <family val="2"/>
      <charset val="204"/>
    </font>
    <font>
      <b/>
      <sz val="11"/>
      <name val="Tahoma"/>
      <family val="2"/>
      <charset val="204"/>
    </font>
  </fonts>
  <fills count="16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lightGray">
        <fgColor indexed="22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22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lightDown">
        <fgColor indexed="42"/>
      </patternFill>
    </fill>
    <fill>
      <patternFill patternType="solid">
        <fgColor indexed="55"/>
      </patternFill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lightGray">
        <fgColor indexed="8"/>
        <bgColor indexed="11"/>
      </patternFill>
    </fill>
    <fill>
      <patternFill patternType="lightGray"/>
    </fill>
    <fill>
      <patternFill patternType="gray0625"/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61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60"/>
        <bgColor indexed="64"/>
      </patternFill>
    </fill>
    <fill>
      <patternFill patternType="solid">
        <fgColor indexed="16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indexed="42"/>
        <bgColor indexed="27"/>
      </patternFill>
    </fill>
    <fill>
      <patternFill patternType="solid">
        <fgColor indexed="9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3"/>
        <bgColor indexed="24"/>
      </patternFill>
    </fill>
    <fill>
      <patternFill patternType="solid">
        <fgColor indexed="47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lightUp">
        <fgColor indexed="55"/>
      </patternFill>
    </fill>
    <fill>
      <patternFill patternType="solid">
        <fgColor indexed="41"/>
        <bgColor indexed="9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22"/>
        <bgColor indexed="31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44"/>
        <bgColor indexed="44"/>
      </patternFill>
    </fill>
    <fill>
      <patternFill patternType="solid">
        <fgColor indexed="61"/>
        <bgColor indexed="61"/>
      </patternFill>
    </fill>
    <fill>
      <patternFill patternType="solid">
        <fgColor indexed="54"/>
        <bgColor indexed="54"/>
      </patternFill>
    </fill>
    <fill>
      <patternFill patternType="solid">
        <fgColor indexed="22"/>
        <bgColor indexed="22"/>
      </patternFill>
    </fill>
    <fill>
      <patternFill patternType="solid">
        <fgColor indexed="24"/>
        <bgColor indexed="24"/>
      </patternFill>
    </fill>
    <fill>
      <patternFill patternType="solid">
        <fgColor indexed="58"/>
        <bgColor indexed="58"/>
      </patternFill>
    </fill>
    <fill>
      <patternFill patternType="solid">
        <fgColor indexed="62"/>
        <bgColor indexed="56"/>
      </patternFill>
    </fill>
    <fill>
      <patternFill patternType="solid">
        <fgColor indexed="48"/>
        <bgColor indexed="48"/>
      </patternFill>
    </fill>
    <fill>
      <patternFill patternType="solid">
        <fgColor indexed="15"/>
        <bgColor indexed="15"/>
      </patternFill>
    </fill>
    <fill>
      <patternFill patternType="solid">
        <fgColor indexed="31"/>
        <bgColor indexed="31"/>
      </patternFill>
    </fill>
    <fill>
      <patternFill patternType="solid">
        <fgColor indexed="45"/>
        <bgColor indexed="45"/>
      </patternFill>
    </fill>
    <fill>
      <patternFill patternType="solid">
        <fgColor indexed="40"/>
        <bgColor indexed="40"/>
      </patternFill>
    </fill>
    <fill>
      <patternFill patternType="solid">
        <fgColor indexed="55"/>
        <bgColor indexed="55"/>
      </patternFill>
    </fill>
    <fill>
      <patternFill patternType="solid">
        <fgColor indexed="10"/>
        <bgColor indexed="60"/>
      </patternFill>
    </fill>
    <fill>
      <patternFill patternType="solid">
        <fgColor indexed="10"/>
        <bgColor indexed="33"/>
      </patternFill>
    </fill>
    <fill>
      <patternFill patternType="solid">
        <fgColor indexed="25"/>
        <bgColor indexed="25"/>
      </patternFill>
    </fill>
    <fill>
      <patternFill patternType="solid">
        <fgColor indexed="41"/>
        <bgColor indexed="41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57"/>
        <bgColor indexed="21"/>
      </patternFill>
    </fill>
    <fill>
      <patternFill patternType="solid">
        <fgColor indexed="57"/>
        <bgColor indexed="57"/>
      </patternFill>
    </fill>
    <fill>
      <patternFill patternType="solid">
        <fgColor indexed="18"/>
        <bgColor indexed="18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solid">
        <fgColor indexed="53"/>
        <bgColor indexed="52"/>
      </patternFill>
    </fill>
    <fill>
      <patternFill patternType="solid">
        <fgColor indexed="53"/>
        <bgColor indexed="53"/>
      </patternFill>
    </fill>
    <fill>
      <patternFill patternType="solid">
        <fgColor indexed="5"/>
      </patternFill>
    </fill>
    <fill>
      <patternFill patternType="lightGray">
        <fgColor indexed="15"/>
      </patternFill>
    </fill>
    <fill>
      <patternFill patternType="solid">
        <fgColor indexed="55"/>
        <bgColor indexed="23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43"/>
        <bgColor indexed="26"/>
      </patternFill>
    </fill>
    <fill>
      <patternFill patternType="solid">
        <fgColor indexed="60"/>
      </patternFill>
    </fill>
    <fill>
      <patternFill patternType="solid">
        <fgColor indexed="26"/>
        <bgColor indexed="9"/>
      </patternFill>
    </fill>
    <fill>
      <patternFill patternType="solid">
        <fgColor indexed="9"/>
      </patternFill>
    </fill>
    <fill>
      <patternFill patternType="solid">
        <fgColor indexed="13"/>
      </patternFill>
    </fill>
    <fill>
      <patternFill patternType="solid">
        <fgColor indexed="17"/>
      </patternFill>
    </fill>
    <fill>
      <patternFill patternType="solid">
        <fgColor indexed="12"/>
      </patternFill>
    </fill>
    <fill>
      <patternFill patternType="solid">
        <fgColor indexed="50"/>
      </patternFill>
    </fill>
    <fill>
      <patternFill patternType="lightUp">
        <fgColor indexed="48"/>
        <bgColor indexed="41"/>
      </patternFill>
    </fill>
    <fill>
      <patternFill patternType="solid">
        <fgColor indexed="54"/>
      </patternFill>
    </fill>
    <fill>
      <patternFill patternType="solid">
        <fgColor indexed="40"/>
      </patternFill>
    </fill>
    <fill>
      <patternFill patternType="solid">
        <fgColor indexed="41"/>
      </patternFill>
    </fill>
    <fill>
      <patternFill patternType="solid">
        <fgColor indexed="35"/>
        <bgColor indexed="23"/>
      </patternFill>
    </fill>
    <fill>
      <patternFill patternType="solid">
        <fgColor indexed="23"/>
      </patternFill>
    </fill>
    <fill>
      <patternFill patternType="solid">
        <fgColor indexed="35"/>
        <bgColor indexed="55"/>
      </patternFill>
    </fill>
    <fill>
      <patternFill patternType="solid">
        <fgColor indexed="35"/>
        <bgColor indexed="22"/>
      </patternFill>
    </fill>
    <fill>
      <patternFill patternType="solid">
        <fgColor indexed="15"/>
      </patternFill>
    </fill>
    <fill>
      <patternFill patternType="solid">
        <fgColor indexed="20"/>
      </patternFill>
    </fill>
    <fill>
      <patternFill patternType="solid">
        <fgColor indexed="54"/>
        <bgColor indexed="23"/>
      </patternFill>
    </fill>
    <fill>
      <patternFill patternType="solid">
        <fgColor indexed="9"/>
        <bgColor indexed="26"/>
      </patternFill>
    </fill>
  </fills>
  <borders count="63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tted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23"/>
      </top>
      <bottom style="medium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64"/>
      </left>
      <right/>
      <top/>
      <bottom/>
      <diagonal/>
    </border>
    <border>
      <left style="thick">
        <color indexed="23"/>
      </left>
      <right style="thick">
        <color indexed="23"/>
      </right>
      <top style="thick">
        <color indexed="23"/>
      </top>
      <bottom style="thin">
        <color indexed="23"/>
      </bottom>
      <diagonal/>
    </border>
    <border>
      <left style="thick">
        <color indexed="23"/>
      </left>
      <right style="thick">
        <color indexed="23"/>
      </right>
      <top style="thick">
        <color indexed="23"/>
      </top>
      <bottom style="thick">
        <color indexed="23"/>
      </bottom>
      <diagonal/>
    </border>
    <border>
      <left/>
      <right/>
      <top style="double">
        <color indexed="64"/>
      </top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thick">
        <color indexed="64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hair">
        <color indexed="63"/>
      </left>
      <right style="hair">
        <color indexed="63"/>
      </right>
      <top style="hair">
        <color indexed="63"/>
      </top>
      <bottom style="hair">
        <color indexed="63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 style="thin">
        <color indexed="63"/>
      </left>
      <right style="hair">
        <color indexed="63"/>
      </right>
      <top style="hair">
        <color indexed="63"/>
      </top>
      <bottom style="hair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10078">
    <xf numFmtId="0" fontId="0" fillId="0" borderId="0"/>
    <xf numFmtId="167" fontId="1" fillId="0" borderId="0" applyFont="0" applyFill="0" applyBorder="0" applyAlignment="0" applyProtection="0"/>
    <xf numFmtId="0" fontId="6" fillId="0" borderId="0"/>
    <xf numFmtId="0" fontId="9" fillId="0" borderId="0"/>
    <xf numFmtId="0" fontId="6" fillId="0" borderId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0" fontId="16" fillId="0" borderId="0"/>
    <xf numFmtId="173" fontId="16" fillId="0" borderId="0"/>
    <xf numFmtId="0" fontId="17" fillId="0" borderId="0"/>
    <xf numFmtId="0" fontId="18" fillId="0" borderId="0"/>
    <xf numFmtId="174" fontId="19" fillId="0" borderId="0">
      <alignment vertical="top"/>
    </xf>
    <xf numFmtId="174" fontId="20" fillId="0" borderId="0">
      <alignment vertical="top"/>
    </xf>
    <xf numFmtId="175" fontId="20" fillId="2" borderId="0">
      <alignment vertical="top"/>
    </xf>
    <xf numFmtId="175" fontId="20" fillId="2" borderId="0">
      <alignment vertical="top"/>
    </xf>
    <xf numFmtId="175" fontId="20" fillId="2" borderId="0">
      <alignment vertical="top"/>
    </xf>
    <xf numFmtId="175" fontId="20" fillId="2" borderId="0">
      <alignment vertical="top"/>
    </xf>
    <xf numFmtId="174" fontId="20" fillId="3" borderId="0">
      <alignment vertical="top"/>
    </xf>
    <xf numFmtId="174" fontId="20" fillId="3" borderId="0">
      <alignment vertical="top"/>
    </xf>
    <xf numFmtId="174" fontId="20" fillId="3" borderId="0">
      <alignment vertical="top"/>
    </xf>
    <xf numFmtId="174" fontId="20" fillId="3" borderId="0">
      <alignment vertical="top"/>
    </xf>
    <xf numFmtId="0" fontId="3" fillId="0" borderId="0"/>
    <xf numFmtId="40" fontId="21" fillId="0" borderId="0" applyFont="0" applyFill="0" applyBorder="0" applyAlignment="0" applyProtection="0"/>
    <xf numFmtId="0" fontId="22" fillId="0" borderId="0"/>
    <xf numFmtId="0" fontId="18" fillId="0" borderId="0"/>
    <xf numFmtId="0" fontId="18" fillId="0" borderId="0"/>
    <xf numFmtId="0" fontId="17" fillId="0" borderId="0"/>
    <xf numFmtId="0" fontId="3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/>
    <xf numFmtId="176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176" fontId="19" fillId="0" borderId="0">
      <alignment vertical="top"/>
    </xf>
    <xf numFmtId="176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176" fontId="19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77" fontId="18" fillId="4" borderId="5">
      <alignment wrapText="1"/>
      <protection locked="0"/>
    </xf>
    <xf numFmtId="177" fontId="18" fillId="4" borderId="5">
      <alignment wrapText="1"/>
      <protection locked="0"/>
    </xf>
    <xf numFmtId="177" fontId="18" fillId="4" borderId="5">
      <alignment wrapText="1"/>
      <protection locked="0"/>
    </xf>
    <xf numFmtId="177" fontId="18" fillId="4" borderId="5">
      <alignment wrapText="1"/>
      <protection locked="0"/>
    </xf>
    <xf numFmtId="177" fontId="18" fillId="4" borderId="5">
      <alignment wrapText="1"/>
      <protection locked="0"/>
    </xf>
    <xf numFmtId="0" fontId="23" fillId="5" borderId="6" applyNumberFormat="0">
      <alignment readingOrder="1"/>
      <protection locked="0"/>
    </xf>
    <xf numFmtId="0" fontId="16" fillId="0" borderId="0"/>
    <xf numFmtId="0" fontId="16" fillId="0" borderId="0"/>
    <xf numFmtId="0" fontId="16" fillId="0" borderId="0"/>
    <xf numFmtId="0" fontId="24" fillId="0" borderId="0"/>
    <xf numFmtId="0" fontId="17" fillId="0" borderId="0"/>
    <xf numFmtId="0" fontId="17" fillId="0" borderId="0"/>
    <xf numFmtId="0" fontId="17" fillId="0" borderId="0"/>
    <xf numFmtId="0" fontId="16" fillId="0" borderId="0"/>
    <xf numFmtId="0" fontId="16" fillId="0" borderId="0"/>
    <xf numFmtId="0" fontId="17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7" fillId="0" borderId="0"/>
    <xf numFmtId="173" fontId="17" fillId="0" borderId="0"/>
    <xf numFmtId="0" fontId="17" fillId="0" borderId="0"/>
    <xf numFmtId="173" fontId="17" fillId="0" borderId="0"/>
    <xf numFmtId="0" fontId="17" fillId="0" borderId="0"/>
    <xf numFmtId="173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73" fontId="17" fillId="0" borderId="0"/>
    <xf numFmtId="0" fontId="25" fillId="0" borderId="0"/>
    <xf numFmtId="0" fontId="16" fillId="0" borderId="0"/>
    <xf numFmtId="0" fontId="16" fillId="0" borderId="0"/>
    <xf numFmtId="0" fontId="1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/>
    <xf numFmtId="173" fontId="16" fillId="0" borderId="0"/>
    <xf numFmtId="0" fontId="16" fillId="0" borderId="0"/>
    <xf numFmtId="0" fontId="16" fillId="0" borderId="0"/>
    <xf numFmtId="0" fontId="1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/>
    <xf numFmtId="0" fontId="16" fillId="0" borderId="0"/>
    <xf numFmtId="0" fontId="17" fillId="0" borderId="0"/>
    <xf numFmtId="0" fontId="17" fillId="0" borderId="0"/>
    <xf numFmtId="0" fontId="17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6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176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176" fontId="19" fillId="0" borderId="0">
      <alignment vertical="top"/>
    </xf>
    <xf numFmtId="0" fontId="16" fillId="0" borderId="0"/>
    <xf numFmtId="173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3" fontId="16" fillId="0" borderId="0"/>
    <xf numFmtId="0" fontId="16" fillId="0" borderId="0"/>
    <xf numFmtId="0" fontId="16" fillId="0" borderId="0"/>
    <xf numFmtId="0" fontId="16" fillId="0" borderId="0"/>
    <xf numFmtId="0" fontId="17" fillId="0" borderId="0"/>
    <xf numFmtId="173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73" fontId="1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76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176" fontId="19" fillId="0" borderId="0">
      <alignment vertical="top"/>
    </xf>
    <xf numFmtId="0" fontId="16" fillId="0" borderId="0"/>
    <xf numFmtId="0" fontId="16" fillId="0" borderId="0"/>
    <xf numFmtId="0" fontId="16" fillId="0" borderId="0"/>
    <xf numFmtId="0" fontId="17" fillId="0" borderId="0"/>
    <xf numFmtId="173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73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73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76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176" fontId="19" fillId="0" borderId="0">
      <alignment vertical="top"/>
    </xf>
    <xf numFmtId="176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176" fontId="19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/>
    <xf numFmtId="0" fontId="16" fillId="0" borderId="0"/>
    <xf numFmtId="0" fontId="16" fillId="0" borderId="0"/>
    <xf numFmtId="0" fontId="26" fillId="0" borderId="0"/>
    <xf numFmtId="0" fontId="16" fillId="0" borderId="0"/>
    <xf numFmtId="0" fontId="17" fillId="0" borderId="0"/>
    <xf numFmtId="0" fontId="17" fillId="0" borderId="0"/>
    <xf numFmtId="173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/>
    <xf numFmtId="0" fontId="16" fillId="0" borderId="0"/>
    <xf numFmtId="173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3" fontId="16" fillId="0" borderId="0"/>
    <xf numFmtId="0" fontId="16" fillId="0" borderId="0"/>
    <xf numFmtId="0" fontId="16" fillId="0" borderId="0"/>
    <xf numFmtId="0" fontId="16" fillId="0" borderId="0"/>
    <xf numFmtId="0" fontId="17" fillId="0" borderId="0"/>
    <xf numFmtId="0" fontId="16" fillId="0" borderId="0"/>
    <xf numFmtId="0" fontId="16" fillId="0" borderId="0"/>
    <xf numFmtId="0" fontId="1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73" fontId="17" fillId="0" borderId="0"/>
    <xf numFmtId="0" fontId="17" fillId="0" borderId="0"/>
    <xf numFmtId="0" fontId="17" fillId="0" borderId="0"/>
    <xf numFmtId="0" fontId="17" fillId="0" borderId="0"/>
    <xf numFmtId="0" fontId="18" fillId="0" borderId="0"/>
    <xf numFmtId="0" fontId="18" fillId="0" borderId="0"/>
    <xf numFmtId="0" fontId="16" fillId="0" borderId="0"/>
    <xf numFmtId="173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3" fontId="16" fillId="0" borderId="0"/>
    <xf numFmtId="0" fontId="16" fillId="0" borderId="0"/>
    <xf numFmtId="0" fontId="16" fillId="0" borderId="0"/>
    <xf numFmtId="0" fontId="16" fillId="0" borderId="0"/>
    <xf numFmtId="0" fontId="26" fillId="0" borderId="0"/>
    <xf numFmtId="0" fontId="17" fillId="0" borderId="0"/>
    <xf numFmtId="173" fontId="17" fillId="0" borderId="0"/>
    <xf numFmtId="178" fontId="26" fillId="0" borderId="0" applyFont="0" applyFill="0" applyBorder="0" applyAlignment="0" applyProtection="0"/>
    <xf numFmtId="0" fontId="27" fillId="0" borderId="7">
      <protection locked="0"/>
    </xf>
    <xf numFmtId="179" fontId="28" fillId="0" borderId="0">
      <protection locked="0"/>
    </xf>
    <xf numFmtId="180" fontId="28" fillId="0" borderId="0">
      <protection locked="0"/>
    </xf>
    <xf numFmtId="166" fontId="27" fillId="0" borderId="0">
      <protection locked="0"/>
    </xf>
    <xf numFmtId="166" fontId="27" fillId="0" borderId="0">
      <protection locked="0"/>
    </xf>
    <xf numFmtId="166" fontId="27" fillId="0" borderId="0">
      <protection locked="0"/>
    </xf>
    <xf numFmtId="0" fontId="29" fillId="0" borderId="0">
      <protection locked="0"/>
    </xf>
    <xf numFmtId="0" fontId="29" fillId="0" borderId="0">
      <protection locked="0"/>
    </xf>
    <xf numFmtId="181" fontId="28" fillId="0" borderId="7">
      <protection locked="0"/>
    </xf>
    <xf numFmtId="182" fontId="26" fillId="0" borderId="0">
      <alignment horizontal="center"/>
    </xf>
    <xf numFmtId="182" fontId="26" fillId="0" borderId="0">
      <alignment horizontal="center"/>
    </xf>
    <xf numFmtId="182" fontId="26" fillId="0" borderId="0">
      <alignment horizontal="center"/>
    </xf>
    <xf numFmtId="182" fontId="26" fillId="0" borderId="0">
      <alignment horizontal="center"/>
    </xf>
    <xf numFmtId="0" fontId="30" fillId="6" borderId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2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2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2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2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2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2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2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2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2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2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2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2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2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2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2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2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2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2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2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2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2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2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2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2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2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2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2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2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2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2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2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2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2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2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2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2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2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7" borderId="0" applyNumberFormat="0" applyBorder="0" applyAlignment="0" applyProtection="0"/>
    <xf numFmtId="0" fontId="31" fillId="13" borderId="0" applyNumberFormat="0" applyBorder="0" applyAlignment="0" applyProtection="0"/>
    <xf numFmtId="0" fontId="32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2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2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2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2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7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2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2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2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2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2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2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2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2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2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2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2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2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2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7" borderId="0" applyNumberFormat="0" applyBorder="0" applyAlignment="0" applyProtection="0"/>
    <xf numFmtId="0" fontId="31" fillId="10" borderId="0" applyNumberFormat="0" applyBorder="0" applyAlignment="0" applyProtection="0"/>
    <xf numFmtId="0" fontId="32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2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2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2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2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7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2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2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2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2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2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2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2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2" borderId="0" applyNumberFormat="0" applyBorder="0" applyAlignment="0" applyProtection="0"/>
    <xf numFmtId="0" fontId="31" fillId="16" borderId="0" applyNumberFormat="0" applyBorder="0" applyAlignment="0" applyProtection="0"/>
    <xf numFmtId="0" fontId="32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2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2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2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2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2" borderId="0" applyNumberFormat="0" applyBorder="0" applyAlignment="0" applyProtection="0"/>
    <xf numFmtId="0" fontId="33" fillId="18" borderId="0" applyNumberFormat="0" applyBorder="0" applyAlignment="0" applyProtection="0"/>
    <xf numFmtId="0" fontId="33" fillId="14" borderId="0" applyNumberFormat="0" applyBorder="0" applyAlignment="0" applyProtection="0"/>
    <xf numFmtId="0" fontId="33" fillId="15" borderId="0" applyNumberFormat="0" applyBorder="0" applyAlignment="0" applyProtection="0"/>
    <xf numFmtId="0" fontId="33" fillId="19" borderId="0" applyNumberFormat="0" applyBorder="0" applyAlignment="0" applyProtection="0"/>
    <xf numFmtId="0" fontId="33" fillId="20" borderId="0" applyNumberFormat="0" applyBorder="0" applyAlignment="0" applyProtection="0"/>
    <xf numFmtId="0" fontId="33" fillId="21" borderId="0" applyNumberFormat="0" applyBorder="0" applyAlignment="0" applyProtection="0"/>
    <xf numFmtId="0" fontId="33" fillId="18" borderId="0" applyNumberFormat="0" applyBorder="0" applyAlignment="0" applyProtection="0"/>
    <xf numFmtId="0" fontId="33" fillId="18" borderId="0" applyNumberFormat="0" applyBorder="0" applyAlignment="0" applyProtection="0"/>
    <xf numFmtId="0" fontId="33" fillId="18" borderId="0" applyNumberFormat="0" applyBorder="0" applyAlignment="0" applyProtection="0"/>
    <xf numFmtId="0" fontId="33" fillId="18" borderId="0" applyNumberFormat="0" applyBorder="0" applyAlignment="0" applyProtection="0"/>
    <xf numFmtId="0" fontId="33" fillId="18" borderId="0" applyNumberFormat="0" applyBorder="0" applyAlignment="0" applyProtection="0"/>
    <xf numFmtId="0" fontId="33" fillId="18" borderId="0" applyNumberFormat="0" applyBorder="0" applyAlignment="0" applyProtection="0"/>
    <xf numFmtId="0" fontId="33" fillId="18" borderId="0" applyNumberFormat="0" applyBorder="0" applyAlignment="0" applyProtection="0"/>
    <xf numFmtId="0" fontId="33" fillId="18" borderId="0" applyNumberFormat="0" applyBorder="0" applyAlignment="0" applyProtection="0"/>
    <xf numFmtId="0" fontId="33" fillId="18" borderId="0" applyNumberFormat="0" applyBorder="0" applyAlignment="0" applyProtection="0"/>
    <xf numFmtId="0" fontId="33" fillId="18" borderId="0" applyNumberFormat="0" applyBorder="0" applyAlignment="0" applyProtection="0"/>
    <xf numFmtId="0" fontId="33" fillId="18" borderId="0" applyNumberFormat="0" applyBorder="0" applyAlignment="0" applyProtection="0"/>
    <xf numFmtId="0" fontId="33" fillId="18" borderId="0" applyNumberFormat="0" applyBorder="0" applyAlignment="0" applyProtection="0"/>
    <xf numFmtId="0" fontId="33" fillId="18" borderId="0" applyNumberFormat="0" applyBorder="0" applyAlignment="0" applyProtection="0"/>
    <xf numFmtId="0" fontId="33" fillId="18" borderId="0" applyNumberFormat="0" applyBorder="0" applyAlignment="0" applyProtection="0"/>
    <xf numFmtId="0" fontId="33" fillId="18" borderId="0" applyNumberFormat="0" applyBorder="0" applyAlignment="0" applyProtection="0"/>
    <xf numFmtId="0" fontId="33" fillId="18" borderId="0" applyNumberFormat="0" applyBorder="0" applyAlignment="0" applyProtection="0"/>
    <xf numFmtId="0" fontId="34" fillId="18" borderId="0" applyNumberFormat="0" applyBorder="0" applyAlignment="0" applyProtection="0"/>
    <xf numFmtId="0" fontId="33" fillId="18" borderId="0" applyNumberFormat="0" applyBorder="0" applyAlignment="0" applyProtection="0"/>
    <xf numFmtId="0" fontId="33" fillId="18" borderId="0" applyNumberFormat="0" applyBorder="0" applyAlignment="0" applyProtection="0"/>
    <xf numFmtId="0" fontId="33" fillId="18" borderId="0" applyNumberFormat="0" applyBorder="0" applyAlignment="0" applyProtection="0"/>
    <xf numFmtId="0" fontId="33" fillId="18" borderId="0" applyNumberFormat="0" applyBorder="0" applyAlignment="0" applyProtection="0"/>
    <xf numFmtId="0" fontId="33" fillId="18" borderId="0" applyNumberFormat="0" applyBorder="0" applyAlignment="0" applyProtection="0"/>
    <xf numFmtId="0" fontId="33" fillId="18" borderId="0" applyNumberFormat="0" applyBorder="0" applyAlignment="0" applyProtection="0"/>
    <xf numFmtId="0" fontId="33" fillId="18" borderId="0" applyNumberFormat="0" applyBorder="0" applyAlignment="0" applyProtection="0"/>
    <xf numFmtId="0" fontId="33" fillId="18" borderId="0" applyNumberFormat="0" applyBorder="0" applyAlignment="0" applyProtection="0"/>
    <xf numFmtId="0" fontId="33" fillId="18" borderId="0" applyNumberFormat="0" applyBorder="0" applyAlignment="0" applyProtection="0"/>
    <xf numFmtId="0" fontId="33" fillId="18" borderId="0" applyNumberFormat="0" applyBorder="0" applyAlignment="0" applyProtection="0"/>
    <xf numFmtId="0" fontId="33" fillId="18" borderId="0" applyNumberFormat="0" applyBorder="0" applyAlignment="0" applyProtection="0"/>
    <xf numFmtId="0" fontId="33" fillId="20" borderId="0" applyNumberFormat="0" applyBorder="0" applyAlignment="0" applyProtection="0"/>
    <xf numFmtId="0" fontId="33" fillId="18" borderId="0" applyNumberFormat="0" applyBorder="0" applyAlignment="0" applyProtection="0"/>
    <xf numFmtId="0" fontId="34" fillId="18" borderId="0" applyNumberFormat="0" applyBorder="0" applyAlignment="0" applyProtection="0"/>
    <xf numFmtId="0" fontId="33" fillId="18" borderId="0" applyNumberFormat="0" applyBorder="0" applyAlignment="0" applyProtection="0"/>
    <xf numFmtId="0" fontId="33" fillId="18" borderId="0" applyNumberFormat="0" applyBorder="0" applyAlignment="0" applyProtection="0"/>
    <xf numFmtId="0" fontId="33" fillId="18" borderId="0" applyNumberFormat="0" applyBorder="0" applyAlignment="0" applyProtection="0"/>
    <xf numFmtId="0" fontId="33" fillId="18" borderId="0" applyNumberFormat="0" applyBorder="0" applyAlignment="0" applyProtection="0"/>
    <xf numFmtId="0" fontId="33" fillId="18" borderId="0" applyNumberFormat="0" applyBorder="0" applyAlignment="0" applyProtection="0"/>
    <xf numFmtId="0" fontId="33" fillId="18" borderId="0" applyNumberFormat="0" applyBorder="0" applyAlignment="0" applyProtection="0"/>
    <xf numFmtId="0" fontId="33" fillId="18" borderId="0" applyNumberFormat="0" applyBorder="0" applyAlignment="0" applyProtection="0"/>
    <xf numFmtId="0" fontId="33" fillId="18" borderId="0" applyNumberFormat="0" applyBorder="0" applyAlignment="0" applyProtection="0"/>
    <xf numFmtId="0" fontId="33" fillId="18" borderId="0" applyNumberFormat="0" applyBorder="0" applyAlignment="0" applyProtection="0"/>
    <xf numFmtId="0" fontId="34" fillId="18" borderId="0" applyNumberFormat="0" applyBorder="0" applyAlignment="0" applyProtection="0"/>
    <xf numFmtId="0" fontId="33" fillId="18" borderId="0" applyNumberFormat="0" applyBorder="0" applyAlignment="0" applyProtection="0"/>
    <xf numFmtId="0" fontId="33" fillId="18" borderId="0" applyNumberFormat="0" applyBorder="0" applyAlignment="0" applyProtection="0"/>
    <xf numFmtId="0" fontId="33" fillId="18" borderId="0" applyNumberFormat="0" applyBorder="0" applyAlignment="0" applyProtection="0"/>
    <xf numFmtId="0" fontId="34" fillId="18" borderId="0" applyNumberFormat="0" applyBorder="0" applyAlignment="0" applyProtection="0"/>
    <xf numFmtId="0" fontId="33" fillId="18" borderId="0" applyNumberFormat="0" applyBorder="0" applyAlignment="0" applyProtection="0"/>
    <xf numFmtId="0" fontId="33" fillId="18" borderId="0" applyNumberFormat="0" applyBorder="0" applyAlignment="0" applyProtection="0"/>
    <xf numFmtId="0" fontId="33" fillId="18" borderId="0" applyNumberFormat="0" applyBorder="0" applyAlignment="0" applyProtection="0"/>
    <xf numFmtId="0" fontId="34" fillId="18" borderId="0" applyNumberFormat="0" applyBorder="0" applyAlignment="0" applyProtection="0"/>
    <xf numFmtId="0" fontId="33" fillId="18" borderId="0" applyNumberFormat="0" applyBorder="0" applyAlignment="0" applyProtection="0"/>
    <xf numFmtId="0" fontId="33" fillId="18" borderId="0" applyNumberFormat="0" applyBorder="0" applyAlignment="0" applyProtection="0"/>
    <xf numFmtId="0" fontId="33" fillId="18" borderId="0" applyNumberFormat="0" applyBorder="0" applyAlignment="0" applyProtection="0"/>
    <xf numFmtId="0" fontId="34" fillId="18" borderId="0" applyNumberFormat="0" applyBorder="0" applyAlignment="0" applyProtection="0"/>
    <xf numFmtId="0" fontId="33" fillId="18" borderId="0" applyNumberFormat="0" applyBorder="0" applyAlignment="0" applyProtection="0"/>
    <xf numFmtId="0" fontId="33" fillId="18" borderId="0" applyNumberFormat="0" applyBorder="0" applyAlignment="0" applyProtection="0"/>
    <xf numFmtId="0" fontId="33" fillId="18" borderId="0" applyNumberFormat="0" applyBorder="0" applyAlignment="0" applyProtection="0"/>
    <xf numFmtId="0" fontId="33" fillId="18" borderId="0" applyNumberFormat="0" applyBorder="0" applyAlignment="0" applyProtection="0"/>
    <xf numFmtId="0" fontId="33" fillId="18" borderId="0" applyNumberFormat="0" applyBorder="0" applyAlignment="0" applyProtection="0"/>
    <xf numFmtId="0" fontId="33" fillId="18" borderId="0" applyNumberFormat="0" applyBorder="0" applyAlignment="0" applyProtection="0"/>
    <xf numFmtId="0" fontId="33" fillId="18" borderId="0" applyNumberFormat="0" applyBorder="0" applyAlignment="0" applyProtection="0"/>
    <xf numFmtId="0" fontId="33" fillId="18" borderId="0" applyNumberFormat="0" applyBorder="0" applyAlignment="0" applyProtection="0"/>
    <xf numFmtId="0" fontId="33" fillId="18" borderId="0" applyNumberFormat="0" applyBorder="0" applyAlignment="0" applyProtection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34" fillId="14" borderId="0" applyNumberFormat="0" applyBorder="0" applyAlignment="0" applyProtection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34" fillId="14" borderId="0" applyNumberFormat="0" applyBorder="0" applyAlignment="0" applyProtection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34" fillId="14" borderId="0" applyNumberFormat="0" applyBorder="0" applyAlignment="0" applyProtection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34" fillId="14" borderId="0" applyNumberFormat="0" applyBorder="0" applyAlignment="0" applyProtection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34" fillId="14" borderId="0" applyNumberFormat="0" applyBorder="0" applyAlignment="0" applyProtection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34" fillId="14" borderId="0" applyNumberFormat="0" applyBorder="0" applyAlignment="0" applyProtection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4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4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4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4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4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4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4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4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4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4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4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4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4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4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4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4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4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4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1" borderId="0" applyNumberFormat="0" applyBorder="0" applyAlignment="0" applyProtection="0"/>
    <xf numFmtId="0" fontId="33" fillId="21" borderId="0" applyNumberFormat="0" applyBorder="0" applyAlignment="0" applyProtection="0"/>
    <xf numFmtId="0" fontId="33" fillId="21" borderId="0" applyNumberFormat="0" applyBorder="0" applyAlignment="0" applyProtection="0"/>
    <xf numFmtId="0" fontId="33" fillId="21" borderId="0" applyNumberFormat="0" applyBorder="0" applyAlignment="0" applyProtection="0"/>
    <xf numFmtId="0" fontId="33" fillId="21" borderId="0" applyNumberFormat="0" applyBorder="0" applyAlignment="0" applyProtection="0"/>
    <xf numFmtId="0" fontId="33" fillId="21" borderId="0" applyNumberFormat="0" applyBorder="0" applyAlignment="0" applyProtection="0"/>
    <xf numFmtId="0" fontId="33" fillId="21" borderId="0" applyNumberFormat="0" applyBorder="0" applyAlignment="0" applyProtection="0"/>
    <xf numFmtId="0" fontId="33" fillId="21" borderId="0" applyNumberFormat="0" applyBorder="0" applyAlignment="0" applyProtection="0"/>
    <xf numFmtId="0" fontId="33" fillId="21" borderId="0" applyNumberFormat="0" applyBorder="0" applyAlignment="0" applyProtection="0"/>
    <xf numFmtId="0" fontId="33" fillId="21" borderId="0" applyNumberFormat="0" applyBorder="0" applyAlignment="0" applyProtection="0"/>
    <xf numFmtId="0" fontId="33" fillId="21" borderId="0" applyNumberFormat="0" applyBorder="0" applyAlignment="0" applyProtection="0"/>
    <xf numFmtId="0" fontId="33" fillId="21" borderId="0" applyNumberFormat="0" applyBorder="0" applyAlignment="0" applyProtection="0"/>
    <xf numFmtId="0" fontId="33" fillId="21" borderId="0" applyNumberFormat="0" applyBorder="0" applyAlignment="0" applyProtection="0"/>
    <xf numFmtId="0" fontId="33" fillId="21" borderId="0" applyNumberFormat="0" applyBorder="0" applyAlignment="0" applyProtection="0"/>
    <xf numFmtId="0" fontId="33" fillId="21" borderId="0" applyNumberFormat="0" applyBorder="0" applyAlignment="0" applyProtection="0"/>
    <xf numFmtId="0" fontId="33" fillId="21" borderId="0" applyNumberFormat="0" applyBorder="0" applyAlignment="0" applyProtection="0"/>
    <xf numFmtId="0" fontId="34" fillId="21" borderId="0" applyNumberFormat="0" applyBorder="0" applyAlignment="0" applyProtection="0"/>
    <xf numFmtId="0" fontId="33" fillId="21" borderId="0" applyNumberFormat="0" applyBorder="0" applyAlignment="0" applyProtection="0"/>
    <xf numFmtId="0" fontId="33" fillId="21" borderId="0" applyNumberFormat="0" applyBorder="0" applyAlignment="0" applyProtection="0"/>
    <xf numFmtId="0" fontId="33" fillId="21" borderId="0" applyNumberFormat="0" applyBorder="0" applyAlignment="0" applyProtection="0"/>
    <xf numFmtId="0" fontId="33" fillId="21" borderId="0" applyNumberFormat="0" applyBorder="0" applyAlignment="0" applyProtection="0"/>
    <xf numFmtId="0" fontId="33" fillId="21" borderId="0" applyNumberFormat="0" applyBorder="0" applyAlignment="0" applyProtection="0"/>
    <xf numFmtId="0" fontId="33" fillId="21" borderId="0" applyNumberFormat="0" applyBorder="0" applyAlignment="0" applyProtection="0"/>
    <xf numFmtId="0" fontId="33" fillId="21" borderId="0" applyNumberFormat="0" applyBorder="0" applyAlignment="0" applyProtection="0"/>
    <xf numFmtId="0" fontId="33" fillId="21" borderId="0" applyNumberFormat="0" applyBorder="0" applyAlignment="0" applyProtection="0"/>
    <xf numFmtId="0" fontId="33" fillId="21" borderId="0" applyNumberFormat="0" applyBorder="0" applyAlignment="0" applyProtection="0"/>
    <xf numFmtId="0" fontId="33" fillId="21" borderId="0" applyNumberFormat="0" applyBorder="0" applyAlignment="0" applyProtection="0"/>
    <xf numFmtId="0" fontId="33" fillId="21" borderId="0" applyNumberFormat="0" applyBorder="0" applyAlignment="0" applyProtection="0"/>
    <xf numFmtId="0" fontId="33" fillId="21" borderId="0" applyNumberFormat="0" applyBorder="0" applyAlignment="0" applyProtection="0"/>
    <xf numFmtId="0" fontId="33" fillId="21" borderId="0" applyNumberFormat="0" applyBorder="0" applyAlignment="0" applyProtection="0"/>
    <xf numFmtId="0" fontId="34" fillId="21" borderId="0" applyNumberFormat="0" applyBorder="0" applyAlignment="0" applyProtection="0"/>
    <xf numFmtId="0" fontId="33" fillId="21" borderId="0" applyNumberFormat="0" applyBorder="0" applyAlignment="0" applyProtection="0"/>
    <xf numFmtId="0" fontId="33" fillId="21" borderId="0" applyNumberFormat="0" applyBorder="0" applyAlignment="0" applyProtection="0"/>
    <xf numFmtId="0" fontId="33" fillId="21" borderId="0" applyNumberFormat="0" applyBorder="0" applyAlignment="0" applyProtection="0"/>
    <xf numFmtId="0" fontId="33" fillId="21" borderId="0" applyNumberFormat="0" applyBorder="0" applyAlignment="0" applyProtection="0"/>
    <xf numFmtId="0" fontId="33" fillId="21" borderId="0" applyNumberFormat="0" applyBorder="0" applyAlignment="0" applyProtection="0"/>
    <xf numFmtId="0" fontId="33" fillId="21" borderId="0" applyNumberFormat="0" applyBorder="0" applyAlignment="0" applyProtection="0"/>
    <xf numFmtId="0" fontId="33" fillId="21" borderId="0" applyNumberFormat="0" applyBorder="0" applyAlignment="0" applyProtection="0"/>
    <xf numFmtId="0" fontId="33" fillId="21" borderId="0" applyNumberFormat="0" applyBorder="0" applyAlignment="0" applyProtection="0"/>
    <xf numFmtId="0" fontId="33" fillId="21" borderId="0" applyNumberFormat="0" applyBorder="0" applyAlignment="0" applyProtection="0"/>
    <xf numFmtId="0" fontId="34" fillId="21" borderId="0" applyNumberFormat="0" applyBorder="0" applyAlignment="0" applyProtection="0"/>
    <xf numFmtId="0" fontId="33" fillId="21" borderId="0" applyNumberFormat="0" applyBorder="0" applyAlignment="0" applyProtection="0"/>
    <xf numFmtId="0" fontId="33" fillId="21" borderId="0" applyNumberFormat="0" applyBorder="0" applyAlignment="0" applyProtection="0"/>
    <xf numFmtId="0" fontId="33" fillId="21" borderId="0" applyNumberFormat="0" applyBorder="0" applyAlignment="0" applyProtection="0"/>
    <xf numFmtId="0" fontId="34" fillId="21" borderId="0" applyNumberFormat="0" applyBorder="0" applyAlignment="0" applyProtection="0"/>
    <xf numFmtId="0" fontId="33" fillId="21" borderId="0" applyNumberFormat="0" applyBorder="0" applyAlignment="0" applyProtection="0"/>
    <xf numFmtId="0" fontId="33" fillId="21" borderId="0" applyNumberFormat="0" applyBorder="0" applyAlignment="0" applyProtection="0"/>
    <xf numFmtId="0" fontId="33" fillId="21" borderId="0" applyNumberFormat="0" applyBorder="0" applyAlignment="0" applyProtection="0"/>
    <xf numFmtId="0" fontId="34" fillId="21" borderId="0" applyNumberFormat="0" applyBorder="0" applyAlignment="0" applyProtection="0"/>
    <xf numFmtId="0" fontId="33" fillId="21" borderId="0" applyNumberFormat="0" applyBorder="0" applyAlignment="0" applyProtection="0"/>
    <xf numFmtId="0" fontId="33" fillId="21" borderId="0" applyNumberFormat="0" applyBorder="0" applyAlignment="0" applyProtection="0"/>
    <xf numFmtId="0" fontId="33" fillId="21" borderId="0" applyNumberFormat="0" applyBorder="0" applyAlignment="0" applyProtection="0"/>
    <xf numFmtId="0" fontId="34" fillId="21" borderId="0" applyNumberFormat="0" applyBorder="0" applyAlignment="0" applyProtection="0"/>
    <xf numFmtId="0" fontId="33" fillId="21" borderId="0" applyNumberFormat="0" applyBorder="0" applyAlignment="0" applyProtection="0"/>
    <xf numFmtId="0" fontId="33" fillId="21" borderId="0" applyNumberFormat="0" applyBorder="0" applyAlignment="0" applyProtection="0"/>
    <xf numFmtId="0" fontId="33" fillId="21" borderId="0" applyNumberFormat="0" applyBorder="0" applyAlignment="0" applyProtection="0"/>
    <xf numFmtId="0" fontId="33" fillId="21" borderId="0" applyNumberFormat="0" applyBorder="0" applyAlignment="0" applyProtection="0"/>
    <xf numFmtId="0" fontId="33" fillId="21" borderId="0" applyNumberFormat="0" applyBorder="0" applyAlignment="0" applyProtection="0"/>
    <xf numFmtId="0" fontId="33" fillId="21" borderId="0" applyNumberFormat="0" applyBorder="0" applyAlignment="0" applyProtection="0"/>
    <xf numFmtId="0" fontId="33" fillId="21" borderId="0" applyNumberFormat="0" applyBorder="0" applyAlignment="0" applyProtection="0"/>
    <xf numFmtId="0" fontId="33" fillId="21" borderId="0" applyNumberFormat="0" applyBorder="0" applyAlignment="0" applyProtection="0"/>
    <xf numFmtId="0" fontId="33" fillId="21" borderId="0" applyNumberFormat="0" applyBorder="0" applyAlignment="0" applyProtection="0"/>
    <xf numFmtId="0" fontId="33" fillId="22" borderId="0" applyNumberFormat="0" applyBorder="0" applyAlignment="0" applyProtection="0"/>
    <xf numFmtId="0" fontId="33" fillId="23" borderId="0" applyNumberFormat="0" applyBorder="0" applyAlignment="0" applyProtection="0"/>
    <xf numFmtId="0" fontId="33" fillId="24" borderId="0" applyNumberFormat="0" applyBorder="0" applyAlignment="0" applyProtection="0"/>
    <xf numFmtId="0" fontId="33" fillId="19" borderId="0" applyNumberFormat="0" applyBorder="0" applyAlignment="0" applyProtection="0"/>
    <xf numFmtId="0" fontId="33" fillId="20" borderId="0" applyNumberFormat="0" applyBorder="0" applyAlignment="0" applyProtection="0"/>
    <xf numFmtId="0" fontId="33" fillId="25" borderId="0" applyNumberFormat="0" applyBorder="0" applyAlignment="0" applyProtection="0"/>
    <xf numFmtId="0" fontId="35" fillId="0" borderId="0" applyNumberFormat="0" applyFill="0" applyBorder="0" applyAlignment="0" applyProtection="0">
      <alignment vertical="top"/>
      <protection locked="0"/>
    </xf>
    <xf numFmtId="0" fontId="36" fillId="26" borderId="6" applyNumberFormat="0" applyAlignment="0"/>
    <xf numFmtId="0" fontId="25" fillId="0" borderId="0"/>
    <xf numFmtId="183" fontId="24" fillId="0" borderId="8">
      <protection locked="0"/>
    </xf>
    <xf numFmtId="184" fontId="26" fillId="0" borderId="0" applyFont="0" applyFill="0" applyBorder="0" applyAlignment="0" applyProtection="0"/>
    <xf numFmtId="185" fontId="26" fillId="0" borderId="0" applyFont="0" applyFill="0" applyBorder="0" applyAlignment="0" applyProtection="0"/>
    <xf numFmtId="0" fontId="37" fillId="8" borderId="0" applyNumberFormat="0" applyBorder="0" applyAlignment="0" applyProtection="0"/>
    <xf numFmtId="10" fontId="38" fillId="0" borderId="0" applyNumberFormat="0" applyFill="0" applyBorder="0" applyAlignment="0"/>
    <xf numFmtId="0" fontId="40" fillId="17" borderId="6" applyNumberFormat="0" applyAlignment="0" applyProtection="0"/>
    <xf numFmtId="0" fontId="6" fillId="0" borderId="6" applyNumberFormat="0" applyAlignment="0">
      <protection locked="0"/>
    </xf>
    <xf numFmtId="0" fontId="6" fillId="0" borderId="6" applyNumberFormat="0" applyAlignment="0">
      <protection locked="0"/>
    </xf>
    <xf numFmtId="0" fontId="6" fillId="0" borderId="6" applyNumberFormat="0" applyAlignment="0">
      <protection locked="0"/>
    </xf>
    <xf numFmtId="0" fontId="6" fillId="0" borderId="6" applyNumberFormat="0" applyAlignment="0">
      <protection locked="0"/>
    </xf>
    <xf numFmtId="0" fontId="41" fillId="27" borderId="9" applyNumberFormat="0" applyAlignment="0" applyProtection="0"/>
    <xf numFmtId="0" fontId="42" fillId="0" borderId="2">
      <alignment horizontal="left" vertical="center"/>
    </xf>
    <xf numFmtId="165" fontId="18" fillId="0" borderId="0" applyFont="0" applyFill="0" applyBorder="0" applyAlignment="0" applyProtection="0"/>
    <xf numFmtId="0" fontId="43" fillId="0" borderId="0" applyFont="0" applyFill="0" applyBorder="0" applyAlignment="0" applyProtection="0">
      <alignment horizontal="right"/>
    </xf>
    <xf numFmtId="0" fontId="43" fillId="0" borderId="0" applyFont="0" applyFill="0" applyBorder="0" applyAlignment="0" applyProtection="0"/>
    <xf numFmtId="0" fontId="43" fillId="0" borderId="0" applyFont="0" applyFill="0" applyBorder="0" applyAlignment="0" applyProtection="0">
      <alignment horizontal="right"/>
    </xf>
    <xf numFmtId="0" fontId="43" fillId="0" borderId="0" applyFont="0" applyFill="0" applyBorder="0" applyAlignment="0" applyProtection="0"/>
    <xf numFmtId="167" fontId="18" fillId="0" borderId="0" applyFont="0" applyFill="0" applyBorder="0" applyAlignment="0" applyProtection="0"/>
    <xf numFmtId="3" fontId="44" fillId="0" borderId="0" applyFont="0" applyFill="0" applyBorder="0" applyAlignment="0" applyProtection="0"/>
    <xf numFmtId="183" fontId="45" fillId="28" borderId="8"/>
    <xf numFmtId="186" fontId="30" fillId="0" borderId="0" applyFont="0" applyFill="0" applyBorder="0" applyAlignment="0" applyProtection="0"/>
    <xf numFmtId="186" fontId="30" fillId="0" borderId="0" applyFont="0" applyFill="0" applyBorder="0" applyAlignment="0" applyProtection="0"/>
    <xf numFmtId="186" fontId="30" fillId="0" borderId="0" applyFont="0" applyFill="0" applyBorder="0" applyAlignment="0" applyProtection="0"/>
    <xf numFmtId="186" fontId="30" fillId="0" borderId="0" applyFont="0" applyFill="0" applyBorder="0" applyAlignment="0" applyProtection="0"/>
    <xf numFmtId="186" fontId="30" fillId="0" borderId="0" applyFont="0" applyFill="0" applyBorder="0" applyAlignment="0" applyProtection="0"/>
    <xf numFmtId="186" fontId="30" fillId="0" borderId="0" applyFont="0" applyFill="0" applyBorder="0" applyAlignment="0" applyProtection="0"/>
    <xf numFmtId="186" fontId="30" fillId="0" borderId="0" applyFont="0" applyFill="0" applyBorder="0" applyAlignment="0" applyProtection="0"/>
    <xf numFmtId="186" fontId="30" fillId="0" borderId="0" applyFont="0" applyFill="0" applyBorder="0" applyAlignment="0" applyProtection="0"/>
    <xf numFmtId="186" fontId="30" fillId="0" borderId="0" applyFont="0" applyFill="0" applyBorder="0" applyAlignment="0" applyProtection="0"/>
    <xf numFmtId="186" fontId="30" fillId="0" borderId="0" applyFont="0" applyFill="0" applyBorder="0" applyAlignment="0" applyProtection="0"/>
    <xf numFmtId="186" fontId="30" fillId="0" borderId="0" applyFont="0" applyFill="0" applyBorder="0" applyAlignment="0" applyProtection="0"/>
    <xf numFmtId="186" fontId="30" fillId="0" borderId="0" applyFont="0" applyFill="0" applyBorder="0" applyAlignment="0" applyProtection="0"/>
    <xf numFmtId="186" fontId="30" fillId="0" borderId="0" applyFont="0" applyFill="0" applyBorder="0" applyAlignment="0" applyProtection="0"/>
    <xf numFmtId="186" fontId="30" fillId="0" borderId="0" applyFont="0" applyFill="0" applyBorder="0" applyAlignment="0" applyProtection="0"/>
    <xf numFmtId="186" fontId="30" fillId="0" borderId="0" applyFont="0" applyFill="0" applyBorder="0" applyAlignment="0" applyProtection="0"/>
    <xf numFmtId="186" fontId="30" fillId="0" borderId="0" applyFont="0" applyFill="0" applyBorder="0" applyAlignment="0" applyProtection="0"/>
    <xf numFmtId="186" fontId="30" fillId="0" borderId="0" applyFont="0" applyFill="0" applyBorder="0" applyAlignment="0" applyProtection="0"/>
    <xf numFmtId="186" fontId="30" fillId="0" borderId="0" applyFont="0" applyFill="0" applyBorder="0" applyAlignment="0" applyProtection="0"/>
    <xf numFmtId="186" fontId="30" fillId="0" borderId="0" applyFont="0" applyFill="0" applyBorder="0" applyAlignment="0" applyProtection="0"/>
    <xf numFmtId="186" fontId="30" fillId="0" borderId="0" applyFont="0" applyFill="0" applyBorder="0" applyAlignment="0" applyProtection="0"/>
    <xf numFmtId="186" fontId="30" fillId="0" borderId="0" applyFont="0" applyFill="0" applyBorder="0" applyAlignment="0" applyProtection="0"/>
    <xf numFmtId="186" fontId="30" fillId="0" borderId="0" applyFont="0" applyFill="0" applyBorder="0" applyAlignment="0" applyProtection="0"/>
    <xf numFmtId="186" fontId="30" fillId="0" borderId="0" applyFont="0" applyFill="0" applyBorder="0" applyAlignment="0" applyProtection="0"/>
    <xf numFmtId="186" fontId="30" fillId="0" borderId="0" applyFont="0" applyFill="0" applyBorder="0" applyAlignment="0" applyProtection="0"/>
    <xf numFmtId="186" fontId="30" fillId="0" borderId="0" applyFont="0" applyFill="0" applyBorder="0" applyAlignment="0" applyProtection="0"/>
    <xf numFmtId="186" fontId="30" fillId="0" borderId="0" applyFont="0" applyFill="0" applyBorder="0" applyAlignment="0" applyProtection="0"/>
    <xf numFmtId="186" fontId="30" fillId="0" borderId="0" applyFont="0" applyFill="0" applyBorder="0" applyAlignment="0" applyProtection="0"/>
    <xf numFmtId="186" fontId="30" fillId="0" borderId="0" applyFont="0" applyFill="0" applyBorder="0" applyAlignment="0" applyProtection="0"/>
    <xf numFmtId="186" fontId="30" fillId="0" borderId="0" applyFont="0" applyFill="0" applyBorder="0" applyAlignment="0" applyProtection="0"/>
    <xf numFmtId="186" fontId="30" fillId="0" borderId="0" applyFont="0" applyFill="0" applyBorder="0" applyAlignment="0" applyProtection="0"/>
    <xf numFmtId="186" fontId="30" fillId="0" borderId="0" applyFont="0" applyFill="0" applyBorder="0" applyAlignment="0" applyProtection="0"/>
    <xf numFmtId="186" fontId="30" fillId="0" borderId="0" applyFont="0" applyFill="0" applyBorder="0" applyAlignment="0" applyProtection="0"/>
    <xf numFmtId="186" fontId="30" fillId="0" borderId="0" applyFont="0" applyFill="0" applyBorder="0" applyAlignment="0" applyProtection="0"/>
    <xf numFmtId="186" fontId="30" fillId="0" borderId="0" applyFont="0" applyFill="0" applyBorder="0" applyAlignment="0" applyProtection="0"/>
    <xf numFmtId="186" fontId="30" fillId="0" borderId="0" applyFont="0" applyFill="0" applyBorder="0" applyAlignment="0" applyProtection="0"/>
    <xf numFmtId="186" fontId="30" fillId="0" borderId="0" applyFont="0" applyFill="0" applyBorder="0" applyAlignment="0" applyProtection="0"/>
    <xf numFmtId="186" fontId="30" fillId="0" borderId="0" applyFont="0" applyFill="0" applyBorder="0" applyAlignment="0" applyProtection="0"/>
    <xf numFmtId="186" fontId="30" fillId="0" borderId="0" applyFont="0" applyFill="0" applyBorder="0" applyAlignment="0" applyProtection="0"/>
    <xf numFmtId="186" fontId="30" fillId="0" borderId="0" applyFont="0" applyFill="0" applyBorder="0" applyAlignment="0" applyProtection="0"/>
    <xf numFmtId="186" fontId="30" fillId="0" borderId="0" applyFont="0" applyFill="0" applyBorder="0" applyAlignment="0" applyProtection="0"/>
    <xf numFmtId="186" fontId="30" fillId="0" borderId="0" applyFont="0" applyFill="0" applyBorder="0" applyAlignment="0" applyProtection="0"/>
    <xf numFmtId="186" fontId="30" fillId="0" borderId="0" applyFont="0" applyFill="0" applyBorder="0" applyAlignment="0" applyProtection="0"/>
    <xf numFmtId="186" fontId="30" fillId="0" borderId="0" applyFont="0" applyFill="0" applyBorder="0" applyAlignment="0" applyProtection="0"/>
    <xf numFmtId="186" fontId="30" fillId="0" borderId="0" applyFont="0" applyFill="0" applyBorder="0" applyAlignment="0" applyProtection="0"/>
    <xf numFmtId="186" fontId="30" fillId="0" borderId="0" applyFont="0" applyFill="0" applyBorder="0" applyAlignment="0" applyProtection="0"/>
    <xf numFmtId="186" fontId="30" fillId="0" borderId="0" applyFont="0" applyFill="0" applyBorder="0" applyAlignment="0" applyProtection="0"/>
    <xf numFmtId="186" fontId="30" fillId="0" borderId="0" applyFont="0" applyFill="0" applyBorder="0" applyAlignment="0" applyProtection="0"/>
    <xf numFmtId="0" fontId="43" fillId="0" borderId="0" applyFont="0" applyFill="0" applyBorder="0" applyAlignment="0" applyProtection="0">
      <alignment horizontal="right"/>
    </xf>
    <xf numFmtId="0" fontId="43" fillId="0" borderId="0" applyFont="0" applyFill="0" applyBorder="0" applyAlignment="0" applyProtection="0">
      <alignment horizontal="right"/>
    </xf>
    <xf numFmtId="166" fontId="18" fillId="0" borderId="0" applyFont="0" applyFill="0" applyBorder="0" applyAlignment="0" applyProtection="0"/>
    <xf numFmtId="187" fontId="44" fillId="0" borderId="0" applyFont="0" applyFill="0" applyBorder="0" applyAlignment="0" applyProtection="0"/>
    <xf numFmtId="188" fontId="14" fillId="4" borderId="0">
      <protection locked="0"/>
    </xf>
    <xf numFmtId="0" fontId="43" fillId="0" borderId="0" applyFill="0" applyBorder="0" applyProtection="0">
      <alignment vertical="center"/>
    </xf>
    <xf numFmtId="168" fontId="14" fillId="4" borderId="0">
      <protection locked="0"/>
    </xf>
    <xf numFmtId="189" fontId="14" fillId="4" borderId="0">
      <protection locked="0"/>
    </xf>
    <xf numFmtId="0" fontId="44" fillId="0" borderId="0" applyFont="0" applyFill="0" applyBorder="0" applyAlignment="0" applyProtection="0"/>
    <xf numFmtId="0" fontId="43" fillId="0" borderId="0" applyFont="0" applyFill="0" applyBorder="0" applyAlignment="0" applyProtection="0"/>
    <xf numFmtId="14" fontId="46" fillId="0" borderId="0">
      <alignment vertical="top"/>
    </xf>
    <xf numFmtId="0" fontId="6" fillId="29" borderId="6" applyAlignment="0">
      <alignment horizontal="left" vertical="center"/>
    </xf>
    <xf numFmtId="0" fontId="6" fillId="29" borderId="6" applyAlignment="0">
      <alignment horizontal="left" vertical="center"/>
    </xf>
    <xf numFmtId="190" fontId="26" fillId="0" borderId="0" applyFont="0" applyFill="0" applyBorder="0" applyAlignment="0" applyProtection="0"/>
    <xf numFmtId="191" fontId="26" fillId="0" borderId="0" applyFont="0" applyFill="0" applyBorder="0" applyAlignment="0" applyProtection="0"/>
    <xf numFmtId="0" fontId="43" fillId="0" borderId="10" applyNumberFormat="0" applyFont="0" applyFill="0" applyAlignment="0" applyProtection="0"/>
    <xf numFmtId="0" fontId="47" fillId="0" borderId="0" applyNumberFormat="0" applyFill="0" applyBorder="0" applyAlignment="0" applyProtection="0"/>
    <xf numFmtId="176" fontId="48" fillId="0" borderId="0">
      <alignment vertical="top"/>
    </xf>
    <xf numFmtId="38" fontId="48" fillId="0" borderId="0">
      <alignment vertical="top"/>
    </xf>
    <xf numFmtId="38" fontId="48" fillId="0" borderId="0">
      <alignment vertical="top"/>
    </xf>
    <xf numFmtId="173" fontId="11" fillId="0" borderId="0" applyFont="0" applyFill="0" applyBorder="0" applyAlignment="0" applyProtection="0"/>
    <xf numFmtId="173" fontId="26" fillId="0" borderId="0" applyFont="0" applyFill="0" applyBorder="0" applyAlignment="0" applyProtection="0"/>
    <xf numFmtId="173" fontId="26" fillId="0" borderId="0" applyFont="0" applyFill="0" applyBorder="0" applyAlignment="0" applyProtection="0"/>
    <xf numFmtId="173" fontId="26" fillId="0" borderId="0" applyFont="0" applyFill="0" applyBorder="0" applyAlignment="0" applyProtection="0"/>
    <xf numFmtId="37" fontId="18" fillId="0" borderId="0"/>
    <xf numFmtId="0" fontId="31" fillId="0" borderId="0"/>
    <xf numFmtId="0" fontId="49" fillId="0" borderId="0"/>
    <xf numFmtId="0" fontId="50" fillId="0" borderId="0"/>
    <xf numFmtId="0" fontId="51" fillId="0" borderId="0" applyNumberFormat="0" applyFill="0" applyBorder="0" applyAlignment="0" applyProtection="0"/>
    <xf numFmtId="170" fontId="52" fillId="0" borderId="0" applyFill="0" applyBorder="0" applyAlignment="0" applyProtection="0"/>
    <xf numFmtId="170" fontId="19" fillId="0" borderId="0" applyFill="0" applyBorder="0" applyAlignment="0" applyProtection="0"/>
    <xf numFmtId="170" fontId="53" fillId="0" borderId="0" applyFill="0" applyBorder="0" applyAlignment="0" applyProtection="0"/>
    <xf numFmtId="170" fontId="54" fillId="0" borderId="0" applyFill="0" applyBorder="0" applyAlignment="0" applyProtection="0"/>
    <xf numFmtId="170" fontId="55" fillId="0" borderId="0" applyFill="0" applyBorder="0" applyAlignment="0" applyProtection="0"/>
    <xf numFmtId="170" fontId="56" fillId="0" borderId="0" applyFill="0" applyBorder="0" applyAlignment="0" applyProtection="0"/>
    <xf numFmtId="170" fontId="57" fillId="0" borderId="0" applyFill="0" applyBorder="0" applyAlignment="0" applyProtection="0"/>
    <xf numFmtId="2" fontId="44" fillId="0" borderId="0" applyFont="0" applyFill="0" applyBorder="0" applyAlignment="0" applyProtection="0"/>
    <xf numFmtId="0" fontId="58" fillId="0" borderId="0">
      <alignment vertical="center"/>
    </xf>
    <xf numFmtId="0" fontId="59" fillId="0" borderId="0" applyNumberFormat="0" applyFill="0" applyBorder="0" applyAlignment="0" applyProtection="0">
      <alignment vertical="top"/>
      <protection locked="0"/>
    </xf>
    <xf numFmtId="0" fontId="60" fillId="0" borderId="0" applyFill="0" applyBorder="0" applyProtection="0">
      <alignment horizontal="left"/>
    </xf>
    <xf numFmtId="0" fontId="6" fillId="9" borderId="6" applyNumberFormat="0" applyAlignment="0"/>
    <xf numFmtId="0" fontId="6" fillId="9" borderId="6" applyNumberFormat="0" applyAlignment="0"/>
    <xf numFmtId="0" fontId="61" fillId="9" borderId="0" applyNumberFormat="0" applyBorder="0" applyAlignment="0" applyProtection="0"/>
    <xf numFmtId="174" fontId="62" fillId="3" borderId="2" applyNumberFormat="0" applyFont="0" applyBorder="0" applyAlignment="0" applyProtection="0"/>
    <xf numFmtId="0" fontId="43" fillId="0" borderId="0" applyFont="0" applyFill="0" applyBorder="0" applyAlignment="0" applyProtection="0">
      <alignment horizontal="right"/>
    </xf>
    <xf numFmtId="192" fontId="63" fillId="3" borderId="0" applyNumberFormat="0" applyFont="0" applyAlignment="0"/>
    <xf numFmtId="0" fontId="64" fillId="0" borderId="11" applyNumberFormat="0" applyBorder="0">
      <alignment horizontal="centerContinuous"/>
    </xf>
    <xf numFmtId="0" fontId="65" fillId="0" borderId="0" applyProtection="0">
      <alignment horizontal="right"/>
    </xf>
    <xf numFmtId="0" fontId="6" fillId="17" borderId="6" applyNumberFormat="0" applyAlignment="0"/>
    <xf numFmtId="0" fontId="6" fillId="17" borderId="6" applyNumberFormat="0" applyAlignment="0"/>
    <xf numFmtId="0" fontId="66" fillId="0" borderId="0">
      <alignment horizontal="center"/>
    </xf>
    <xf numFmtId="0" fontId="66" fillId="30" borderId="0">
      <alignment horizontal="center"/>
    </xf>
    <xf numFmtId="0" fontId="67" fillId="0" borderId="0">
      <alignment vertical="top"/>
    </xf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70" fillId="0" borderId="12" applyNumberFormat="0" applyFill="0" applyAlignment="0" applyProtection="0"/>
    <xf numFmtId="0" fontId="70" fillId="0" borderId="0" applyNumberFormat="0" applyFill="0" applyBorder="0" applyAlignment="0" applyProtection="0"/>
    <xf numFmtId="176" fontId="71" fillId="0" borderId="0">
      <alignment vertical="top"/>
    </xf>
    <xf numFmtId="38" fontId="71" fillId="0" borderId="0">
      <alignment vertical="top"/>
    </xf>
    <xf numFmtId="38" fontId="71" fillId="0" borderId="0">
      <alignment vertical="top"/>
    </xf>
    <xf numFmtId="0" fontId="72" fillId="31" borderId="0"/>
    <xf numFmtId="0" fontId="73" fillId="32" borderId="0"/>
    <xf numFmtId="0" fontId="11" fillId="0" borderId="0"/>
    <xf numFmtId="0" fontId="74" fillId="0" borderId="0" applyNumberFormat="0" applyFill="0" applyBorder="0" applyAlignment="0" applyProtection="0">
      <alignment vertical="top"/>
      <protection locked="0"/>
    </xf>
    <xf numFmtId="0" fontId="26" fillId="0" borderId="0"/>
    <xf numFmtId="183" fontId="75" fillId="0" borderId="0"/>
    <xf numFmtId="0" fontId="18" fillId="0" borderId="0"/>
    <xf numFmtId="0" fontId="76" fillId="0" borderId="0" applyNumberFormat="0" applyFill="0" applyBorder="0" applyAlignment="0" applyProtection="0">
      <alignment vertical="top"/>
      <protection locked="0"/>
    </xf>
    <xf numFmtId="193" fontId="77" fillId="0" borderId="2">
      <alignment horizontal="center" vertical="center" wrapText="1"/>
    </xf>
    <xf numFmtId="0" fontId="78" fillId="12" borderId="6" applyNumberFormat="0" applyAlignment="0" applyProtection="0"/>
    <xf numFmtId="0" fontId="79" fillId="0" borderId="0" applyFill="0" applyBorder="0" applyProtection="0">
      <alignment vertical="center"/>
    </xf>
    <xf numFmtId="0" fontId="79" fillId="0" borderId="0" applyFill="0" applyBorder="0" applyProtection="0">
      <alignment vertical="center"/>
    </xf>
    <xf numFmtId="0" fontId="79" fillId="0" borderId="0" applyFill="0" applyBorder="0" applyProtection="0">
      <alignment vertical="center"/>
    </xf>
    <xf numFmtId="0" fontId="79" fillId="0" borderId="0" applyFill="0" applyBorder="0" applyProtection="0">
      <alignment vertical="center"/>
    </xf>
    <xf numFmtId="176" fontId="20" fillId="0" borderId="0">
      <alignment vertical="top"/>
    </xf>
    <xf numFmtId="176" fontId="20" fillId="2" borderId="0">
      <alignment vertical="top"/>
    </xf>
    <xf numFmtId="38" fontId="20" fillId="2" borderId="0">
      <alignment vertical="top"/>
    </xf>
    <xf numFmtId="38" fontId="20" fillId="2" borderId="0">
      <alignment vertical="top"/>
    </xf>
    <xf numFmtId="38" fontId="20" fillId="0" borderId="0">
      <alignment vertical="top"/>
    </xf>
    <xf numFmtId="194" fontId="20" fillId="3" borderId="0">
      <alignment vertical="top"/>
    </xf>
    <xf numFmtId="38" fontId="20" fillId="0" borderId="0">
      <alignment vertical="top"/>
    </xf>
    <xf numFmtId="0" fontId="80" fillId="0" borderId="13" applyNumberFormat="0" applyFill="0" applyAlignment="0" applyProtection="0"/>
    <xf numFmtId="195" fontId="81" fillId="0" borderId="2">
      <alignment horizontal="right"/>
      <protection locked="0"/>
    </xf>
    <xf numFmtId="0" fontId="43" fillId="0" borderId="0" applyFont="0" applyFill="0" applyBorder="0" applyAlignment="0" applyProtection="0">
      <alignment horizontal="right"/>
    </xf>
    <xf numFmtId="0" fontId="43" fillId="0" borderId="0" applyFill="0" applyBorder="0" applyProtection="0">
      <alignment vertical="center"/>
    </xf>
    <xf numFmtId="0" fontId="43" fillId="0" borderId="0" applyFont="0" applyFill="0" applyBorder="0" applyAlignment="0" applyProtection="0">
      <alignment horizontal="right"/>
    </xf>
    <xf numFmtId="3" fontId="26" fillId="0" borderId="14" applyFont="0" applyBorder="0">
      <alignment horizontal="center" vertical="center"/>
    </xf>
    <xf numFmtId="0" fontId="82" fillId="33" borderId="0" applyNumberFormat="0" applyBorder="0" applyAlignment="0" applyProtection="0"/>
    <xf numFmtId="0" fontId="30" fillId="0" borderId="1"/>
    <xf numFmtId="0" fontId="83" fillId="0" borderId="0" applyNumberFormat="0" applyFill="0" applyBorder="0" applyAlignment="0" applyProtection="0"/>
    <xf numFmtId="196" fontId="26" fillId="0" borderId="0"/>
    <xf numFmtId="0" fontId="83" fillId="0" borderId="0" applyNumberForma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4" fillId="0" borderId="0">
      <alignment horizontal="right"/>
    </xf>
    <xf numFmtId="0" fontId="26" fillId="0" borderId="0"/>
    <xf numFmtId="0" fontId="85" fillId="0" borderId="0"/>
    <xf numFmtId="0" fontId="43" fillId="0" borderId="0" applyFill="0" applyBorder="0" applyProtection="0">
      <alignment vertical="center"/>
    </xf>
    <xf numFmtId="0" fontId="86" fillId="0" borderId="0"/>
    <xf numFmtId="0" fontId="18" fillId="0" borderId="0"/>
    <xf numFmtId="0" fontId="16" fillId="0" borderId="0"/>
    <xf numFmtId="0" fontId="14" fillId="34" borderId="15" applyNumberFormat="0" applyFont="0" applyAlignment="0" applyProtection="0"/>
    <xf numFmtId="0" fontId="26" fillId="34" borderId="15" applyNumberFormat="0" applyFont="0" applyAlignment="0" applyProtection="0"/>
    <xf numFmtId="0" fontId="26" fillId="34" borderId="15" applyNumberFormat="0" applyFont="0" applyAlignment="0" applyProtection="0"/>
    <xf numFmtId="197" fontId="26" fillId="0" borderId="0" applyFont="0" applyAlignment="0">
      <alignment horizontal="center"/>
    </xf>
    <xf numFmtId="198" fontId="26" fillId="0" borderId="0" applyFont="0" applyFill="0" applyBorder="0" applyAlignment="0" applyProtection="0"/>
    <xf numFmtId="199" fontId="26" fillId="0" borderId="0" applyFont="0" applyFill="0" applyBorder="0" applyAlignment="0" applyProtection="0"/>
    <xf numFmtId="0" fontId="62" fillId="0" borderId="0"/>
    <xf numFmtId="200" fontId="62" fillId="0" borderId="0" applyFont="0" applyFill="0" applyBorder="0" applyAlignment="0" applyProtection="0"/>
    <xf numFmtId="201" fontId="62" fillId="0" borderId="0" applyFont="0" applyFill="0" applyBorder="0" applyAlignment="0" applyProtection="0"/>
    <xf numFmtId="0" fontId="87" fillId="17" borderId="16" applyNumberFormat="0" applyAlignment="0" applyProtection="0"/>
    <xf numFmtId="1" fontId="88" fillId="0" borderId="0" applyProtection="0">
      <alignment horizontal="right" vertical="center"/>
    </xf>
    <xf numFmtId="49" fontId="89" fillId="0" borderId="17" applyFill="0" applyProtection="0">
      <alignment vertical="center"/>
    </xf>
    <xf numFmtId="9" fontId="18" fillId="0" borderId="0" applyFont="0" applyFill="0" applyBorder="0" applyAlignment="0" applyProtection="0"/>
    <xf numFmtId="0" fontId="43" fillId="0" borderId="0" applyFill="0" applyBorder="0" applyProtection="0">
      <alignment vertical="center"/>
    </xf>
    <xf numFmtId="37" fontId="90" fillId="4" borderId="18"/>
    <xf numFmtId="37" fontId="90" fillId="4" borderId="18"/>
    <xf numFmtId="0" fontId="91" fillId="0" borderId="0" applyNumberFormat="0">
      <alignment horizontal="left"/>
    </xf>
    <xf numFmtId="202" fontId="92" fillId="0" borderId="19" applyBorder="0">
      <alignment horizontal="right"/>
      <protection locked="0"/>
    </xf>
    <xf numFmtId="49" fontId="93" fillId="0" borderId="2" applyNumberFormat="0">
      <alignment horizontal="left" vertical="center"/>
    </xf>
    <xf numFmtId="0" fontId="94" fillId="0" borderId="20">
      <alignment vertical="center"/>
    </xf>
    <xf numFmtId="4" fontId="95" fillId="4" borderId="16" applyNumberFormat="0" applyProtection="0">
      <alignment vertical="center"/>
    </xf>
    <xf numFmtId="4" fontId="96" fillId="4" borderId="16" applyNumberFormat="0" applyProtection="0">
      <alignment vertical="center"/>
    </xf>
    <xf numFmtId="4" fontId="95" fillId="4" borderId="16" applyNumberFormat="0" applyProtection="0">
      <alignment horizontal="left" vertical="center" indent="1"/>
    </xf>
    <xf numFmtId="4" fontId="95" fillId="4" borderId="16" applyNumberFormat="0" applyProtection="0">
      <alignment horizontal="left" vertical="center" indent="1"/>
    </xf>
    <xf numFmtId="0" fontId="18" fillId="5" borderId="16" applyNumberFormat="0" applyProtection="0">
      <alignment horizontal="left" vertical="center" indent="1"/>
    </xf>
    <xf numFmtId="4" fontId="95" fillId="35" borderId="16" applyNumberFormat="0" applyProtection="0">
      <alignment horizontal="right" vertical="center"/>
    </xf>
    <xf numFmtId="4" fontId="95" fillId="36" borderId="16" applyNumberFormat="0" applyProtection="0">
      <alignment horizontal="right" vertical="center"/>
    </xf>
    <xf numFmtId="4" fontId="95" fillId="37" borderId="16" applyNumberFormat="0" applyProtection="0">
      <alignment horizontal="right" vertical="center"/>
    </xf>
    <xf numFmtId="4" fontId="95" fillId="38" borderId="16" applyNumberFormat="0" applyProtection="0">
      <alignment horizontal="right" vertical="center"/>
    </xf>
    <xf numFmtId="4" fontId="95" fillId="39" borderId="16" applyNumberFormat="0" applyProtection="0">
      <alignment horizontal="right" vertical="center"/>
    </xf>
    <xf numFmtId="4" fontId="95" fillId="40" borderId="16" applyNumberFormat="0" applyProtection="0">
      <alignment horizontal="right" vertical="center"/>
    </xf>
    <xf numFmtId="4" fontId="95" fillId="41" borderId="16" applyNumberFormat="0" applyProtection="0">
      <alignment horizontal="right" vertical="center"/>
    </xf>
    <xf numFmtId="4" fontId="95" fillId="42" borderId="16" applyNumberFormat="0" applyProtection="0">
      <alignment horizontal="right" vertical="center"/>
    </xf>
    <xf numFmtId="4" fontId="95" fillId="43" borderId="16" applyNumberFormat="0" applyProtection="0">
      <alignment horizontal="right" vertical="center"/>
    </xf>
    <xf numFmtId="4" fontId="97" fillId="44" borderId="16" applyNumberFormat="0" applyProtection="0">
      <alignment horizontal="left" vertical="center" indent="1"/>
    </xf>
    <xf numFmtId="4" fontId="95" fillId="45" borderId="21" applyNumberFormat="0" applyProtection="0">
      <alignment horizontal="left" vertical="center" indent="1"/>
    </xf>
    <xf numFmtId="4" fontId="98" fillId="46" borderId="0" applyNumberFormat="0" applyProtection="0">
      <alignment horizontal="left" vertical="center" indent="1"/>
    </xf>
    <xf numFmtId="0" fontId="18" fillId="5" borderId="16" applyNumberFormat="0" applyProtection="0">
      <alignment horizontal="left" vertical="center" indent="1"/>
    </xf>
    <xf numFmtId="4" fontId="3" fillId="45" borderId="16" applyNumberFormat="0" applyProtection="0">
      <alignment horizontal="left" vertical="center" indent="1"/>
    </xf>
    <xf numFmtId="4" fontId="3" fillId="47" borderId="16" applyNumberFormat="0" applyProtection="0">
      <alignment horizontal="left" vertical="center" indent="1"/>
    </xf>
    <xf numFmtId="0" fontId="18" fillId="47" borderId="16" applyNumberFormat="0" applyProtection="0">
      <alignment horizontal="left" vertical="center" indent="1"/>
    </xf>
    <xf numFmtId="0" fontId="18" fillId="47" borderId="16" applyNumberFormat="0" applyProtection="0">
      <alignment horizontal="left" vertical="center" indent="1"/>
    </xf>
    <xf numFmtId="0" fontId="18" fillId="48" borderId="16" applyNumberFormat="0" applyProtection="0">
      <alignment horizontal="left" vertical="center" indent="1"/>
    </xf>
    <xf numFmtId="0" fontId="18" fillId="48" borderId="16" applyNumberFormat="0" applyProtection="0">
      <alignment horizontal="left" vertical="center" indent="1"/>
    </xf>
    <xf numFmtId="0" fontId="18" fillId="2" borderId="16" applyNumberFormat="0" applyProtection="0">
      <alignment horizontal="left" vertical="center" indent="1"/>
    </xf>
    <xf numFmtId="0" fontId="18" fillId="2" borderId="16" applyNumberFormat="0" applyProtection="0">
      <alignment horizontal="left" vertical="center" indent="1"/>
    </xf>
    <xf numFmtId="0" fontId="18" fillId="5" borderId="16" applyNumberFormat="0" applyProtection="0">
      <alignment horizontal="left" vertical="center" indent="1"/>
    </xf>
    <xf numFmtId="0" fontId="18" fillId="5" borderId="16" applyNumberFormat="0" applyProtection="0">
      <alignment horizontal="left" vertical="center" indent="1"/>
    </xf>
    <xf numFmtId="0" fontId="26" fillId="0" borderId="0"/>
    <xf numFmtId="4" fontId="95" fillId="49" borderId="16" applyNumberFormat="0" applyProtection="0">
      <alignment vertical="center"/>
    </xf>
    <xf numFmtId="4" fontId="96" fillId="49" borderId="16" applyNumberFormat="0" applyProtection="0">
      <alignment vertical="center"/>
    </xf>
    <xf numFmtId="4" fontId="95" fillId="49" borderId="16" applyNumberFormat="0" applyProtection="0">
      <alignment horizontal="left" vertical="center" indent="1"/>
    </xf>
    <xf numFmtId="4" fontId="95" fillId="49" borderId="16" applyNumberFormat="0" applyProtection="0">
      <alignment horizontal="left" vertical="center" indent="1"/>
    </xf>
    <xf numFmtId="4" fontId="95" fillId="45" borderId="16" applyNumberFormat="0" applyProtection="0">
      <alignment horizontal="right" vertical="center"/>
    </xf>
    <xf numFmtId="4" fontId="96" fillId="45" borderId="16" applyNumberFormat="0" applyProtection="0">
      <alignment horizontal="right" vertical="center"/>
    </xf>
    <xf numFmtId="0" fontId="18" fillId="5" borderId="16" applyNumberFormat="0" applyProtection="0">
      <alignment horizontal="left" vertical="center" indent="1"/>
    </xf>
    <xf numFmtId="0" fontId="18" fillId="5" borderId="16" applyNumberFormat="0" applyProtection="0">
      <alignment horizontal="left" vertical="center" indent="1"/>
    </xf>
    <xf numFmtId="0" fontId="99" fillId="0" borderId="0"/>
    <xf numFmtId="4" fontId="100" fillId="45" borderId="16" applyNumberFormat="0" applyProtection="0">
      <alignment horizontal="right" vertical="center"/>
    </xf>
    <xf numFmtId="0" fontId="101" fillId="0" borderId="0">
      <alignment horizontal="left" vertical="center" wrapText="1"/>
    </xf>
    <xf numFmtId="203" fontId="102" fillId="0" borderId="2">
      <alignment horizontal="left" vertical="center"/>
      <protection locked="0"/>
    </xf>
    <xf numFmtId="0" fontId="18" fillId="0" borderId="0"/>
    <xf numFmtId="0" fontId="16" fillId="0" borderId="0"/>
    <xf numFmtId="2" fontId="103" fillId="50" borderId="22" applyProtection="0"/>
    <xf numFmtId="2" fontId="103" fillId="50" borderId="22" applyProtection="0"/>
    <xf numFmtId="2" fontId="104" fillId="0" borderId="0" applyFill="0" applyBorder="0" applyProtection="0"/>
    <xf numFmtId="2" fontId="23" fillId="0" borderId="0" applyFill="0" applyBorder="0" applyProtection="0"/>
    <xf numFmtId="2" fontId="23" fillId="51" borderId="22" applyProtection="0"/>
    <xf numFmtId="2" fontId="23" fillId="52" borderId="22" applyProtection="0"/>
    <xf numFmtId="2" fontId="23" fillId="53" borderId="22" applyProtection="0"/>
    <xf numFmtId="2" fontId="23" fillId="53" borderId="22" applyProtection="0">
      <alignment horizontal="center"/>
    </xf>
    <xf numFmtId="2" fontId="23" fillId="52" borderId="22" applyProtection="0">
      <alignment horizontal="center"/>
    </xf>
    <xf numFmtId="0" fontId="105" fillId="0" borderId="0" applyBorder="0" applyProtection="0">
      <alignment vertical="center"/>
    </xf>
    <xf numFmtId="0" fontId="105" fillId="0" borderId="17" applyBorder="0" applyProtection="0">
      <alignment horizontal="right" vertical="center"/>
    </xf>
    <xf numFmtId="0" fontId="106" fillId="54" borderId="0" applyBorder="0" applyProtection="0">
      <alignment horizontal="centerContinuous" vertical="center"/>
    </xf>
    <xf numFmtId="0" fontId="106" fillId="55" borderId="17" applyBorder="0" applyProtection="0">
      <alignment horizontal="centerContinuous" vertical="center"/>
    </xf>
    <xf numFmtId="0" fontId="107" fillId="0" borderId="0"/>
    <xf numFmtId="176" fontId="108" fillId="56" borderId="0">
      <alignment horizontal="right" vertical="top"/>
    </xf>
    <xf numFmtId="38" fontId="108" fillId="56" borderId="0">
      <alignment horizontal="right" vertical="top"/>
    </xf>
    <xf numFmtId="38" fontId="108" fillId="56" borderId="0">
      <alignment horizontal="right" vertical="top"/>
    </xf>
    <xf numFmtId="0" fontId="86" fillId="0" borderId="0"/>
    <xf numFmtId="0" fontId="109" fillId="0" borderId="0" applyFill="0" applyBorder="0" applyProtection="0">
      <alignment horizontal="left"/>
    </xf>
    <xf numFmtId="0" fontId="60" fillId="0" borderId="23" applyFill="0" applyBorder="0" applyProtection="0">
      <alignment horizontal="left" vertical="top"/>
    </xf>
    <xf numFmtId="0" fontId="110" fillId="0" borderId="0">
      <alignment horizontal="centerContinuous"/>
    </xf>
    <xf numFmtId="4" fontId="31" fillId="57" borderId="0">
      <alignment horizontal="right"/>
    </xf>
    <xf numFmtId="4" fontId="31" fillId="57" borderId="0">
      <alignment horizontal="right"/>
    </xf>
    <xf numFmtId="0" fontId="111" fillId="0" borderId="23" applyFill="0" applyBorder="0" applyProtection="0"/>
    <xf numFmtId="0" fontId="111" fillId="0" borderId="0"/>
    <xf numFmtId="0" fontId="112" fillId="0" borderId="0" applyFill="0" applyBorder="0" applyProtection="0"/>
    <xf numFmtId="0" fontId="113" fillId="0" borderId="0"/>
    <xf numFmtId="0" fontId="114" fillId="0" borderId="0" applyNumberFormat="0" applyFill="0" applyBorder="0" applyAlignment="0" applyProtection="0"/>
    <xf numFmtId="0" fontId="115" fillId="58" borderId="24" applyNumberFormat="0">
      <alignment horizontal="center" vertical="center"/>
    </xf>
    <xf numFmtId="49" fontId="116" fillId="48" borderId="25" applyNumberFormat="0">
      <alignment horizontal="center" vertical="center"/>
    </xf>
    <xf numFmtId="0" fontId="44" fillId="0" borderId="26" applyNumberFormat="0" applyFont="0" applyFill="0" applyAlignment="0" applyProtection="0"/>
    <xf numFmtId="0" fontId="44" fillId="0" borderId="26" applyNumberFormat="0" applyFont="0" applyFill="0" applyAlignment="0" applyProtection="0"/>
    <xf numFmtId="0" fontId="117" fillId="0" borderId="10" applyFill="0" applyBorder="0" applyProtection="0">
      <alignment vertical="center"/>
    </xf>
    <xf numFmtId="0" fontId="118" fillId="0" borderId="0">
      <alignment horizontal="fill"/>
    </xf>
    <xf numFmtId="0" fontId="62" fillId="0" borderId="0"/>
    <xf numFmtId="0" fontId="119" fillId="0" borderId="0" applyNumberFormat="0" applyFill="0" applyBorder="0" applyAlignment="0" applyProtection="0"/>
    <xf numFmtId="0" fontId="120" fillId="0" borderId="17" applyBorder="0" applyProtection="0">
      <alignment horizontal="right"/>
    </xf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34" fillId="22" borderId="0" applyNumberFormat="0" applyBorder="0" applyAlignment="0" applyProtection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34" fillId="22" borderId="0" applyNumberFormat="0" applyBorder="0" applyAlignment="0" applyProtection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34" fillId="22" borderId="0" applyNumberFormat="0" applyBorder="0" applyAlignment="0" applyProtection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34" fillId="22" borderId="0" applyNumberFormat="0" applyBorder="0" applyAlignment="0" applyProtection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34" fillId="22" borderId="0" applyNumberFormat="0" applyBorder="0" applyAlignment="0" applyProtection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34" fillId="22" borderId="0" applyNumberFormat="0" applyBorder="0" applyAlignment="0" applyProtection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4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4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4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4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4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4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4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4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4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4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4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4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4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4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4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4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4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4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4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4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4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4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4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4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5" borderId="0" applyNumberFormat="0" applyBorder="0" applyAlignment="0" applyProtection="0"/>
    <xf numFmtId="0" fontId="33" fillId="25" borderId="0" applyNumberFormat="0" applyBorder="0" applyAlignment="0" applyProtection="0"/>
    <xf numFmtId="0" fontId="33" fillId="25" borderId="0" applyNumberFormat="0" applyBorder="0" applyAlignment="0" applyProtection="0"/>
    <xf numFmtId="0" fontId="33" fillId="25" borderId="0" applyNumberFormat="0" applyBorder="0" applyAlignment="0" applyProtection="0"/>
    <xf numFmtId="0" fontId="34" fillId="25" borderId="0" applyNumberFormat="0" applyBorder="0" applyAlignment="0" applyProtection="0"/>
    <xf numFmtId="0" fontId="33" fillId="25" borderId="0" applyNumberFormat="0" applyBorder="0" applyAlignment="0" applyProtection="0"/>
    <xf numFmtId="0" fontId="33" fillId="25" borderId="0" applyNumberFormat="0" applyBorder="0" applyAlignment="0" applyProtection="0"/>
    <xf numFmtId="0" fontId="33" fillId="25" borderId="0" applyNumberFormat="0" applyBorder="0" applyAlignment="0" applyProtection="0"/>
    <xf numFmtId="0" fontId="33" fillId="25" borderId="0" applyNumberFormat="0" applyBorder="0" applyAlignment="0" applyProtection="0"/>
    <xf numFmtId="0" fontId="33" fillId="25" borderId="0" applyNumberFormat="0" applyBorder="0" applyAlignment="0" applyProtection="0"/>
    <xf numFmtId="0" fontId="33" fillId="25" borderId="0" applyNumberFormat="0" applyBorder="0" applyAlignment="0" applyProtection="0"/>
    <xf numFmtId="0" fontId="33" fillId="25" borderId="0" applyNumberFormat="0" applyBorder="0" applyAlignment="0" applyProtection="0"/>
    <xf numFmtId="0" fontId="33" fillId="25" borderId="0" applyNumberFormat="0" applyBorder="0" applyAlignment="0" applyProtection="0"/>
    <xf numFmtId="0" fontId="33" fillId="25" borderId="0" applyNumberFormat="0" applyBorder="0" applyAlignment="0" applyProtection="0"/>
    <xf numFmtId="0" fontId="33" fillId="25" borderId="0" applyNumberFormat="0" applyBorder="0" applyAlignment="0" applyProtection="0"/>
    <xf numFmtId="0" fontId="34" fillId="25" borderId="0" applyNumberFormat="0" applyBorder="0" applyAlignment="0" applyProtection="0"/>
    <xf numFmtId="0" fontId="33" fillId="25" borderId="0" applyNumberFormat="0" applyBorder="0" applyAlignment="0" applyProtection="0"/>
    <xf numFmtId="0" fontId="33" fillId="25" borderId="0" applyNumberFormat="0" applyBorder="0" applyAlignment="0" applyProtection="0"/>
    <xf numFmtId="0" fontId="33" fillId="25" borderId="0" applyNumberFormat="0" applyBorder="0" applyAlignment="0" applyProtection="0"/>
    <xf numFmtId="0" fontId="33" fillId="25" borderId="0" applyNumberFormat="0" applyBorder="0" applyAlignment="0" applyProtection="0"/>
    <xf numFmtId="0" fontId="33" fillId="25" borderId="0" applyNumberFormat="0" applyBorder="0" applyAlignment="0" applyProtection="0"/>
    <xf numFmtId="0" fontId="33" fillId="25" borderId="0" applyNumberFormat="0" applyBorder="0" applyAlignment="0" applyProtection="0"/>
    <xf numFmtId="0" fontId="33" fillId="25" borderId="0" applyNumberFormat="0" applyBorder="0" applyAlignment="0" applyProtection="0"/>
    <xf numFmtId="0" fontId="33" fillId="25" borderId="0" applyNumberFormat="0" applyBorder="0" applyAlignment="0" applyProtection="0"/>
    <xf numFmtId="0" fontId="33" fillId="25" borderId="0" applyNumberFormat="0" applyBorder="0" applyAlignment="0" applyProtection="0"/>
    <xf numFmtId="0" fontId="34" fillId="25" borderId="0" applyNumberFormat="0" applyBorder="0" applyAlignment="0" applyProtection="0"/>
    <xf numFmtId="0" fontId="33" fillId="25" borderId="0" applyNumberFormat="0" applyBorder="0" applyAlignment="0" applyProtection="0"/>
    <xf numFmtId="0" fontId="33" fillId="25" borderId="0" applyNumberFormat="0" applyBorder="0" applyAlignment="0" applyProtection="0"/>
    <xf numFmtId="0" fontId="34" fillId="25" borderId="0" applyNumberFormat="0" applyBorder="0" applyAlignment="0" applyProtection="0"/>
    <xf numFmtId="0" fontId="33" fillId="25" borderId="0" applyNumberFormat="0" applyBorder="0" applyAlignment="0" applyProtection="0"/>
    <xf numFmtId="0" fontId="33" fillId="25" borderId="0" applyNumberFormat="0" applyBorder="0" applyAlignment="0" applyProtection="0"/>
    <xf numFmtId="0" fontId="34" fillId="25" borderId="0" applyNumberFormat="0" applyBorder="0" applyAlignment="0" applyProtection="0"/>
    <xf numFmtId="0" fontId="33" fillId="25" borderId="0" applyNumberFormat="0" applyBorder="0" applyAlignment="0" applyProtection="0"/>
    <xf numFmtId="0" fontId="33" fillId="25" borderId="0" applyNumberFormat="0" applyBorder="0" applyAlignment="0" applyProtection="0"/>
    <xf numFmtId="0" fontId="34" fillId="25" borderId="0" applyNumberFormat="0" applyBorder="0" applyAlignment="0" applyProtection="0"/>
    <xf numFmtId="0" fontId="33" fillId="25" borderId="0" applyNumberFormat="0" applyBorder="0" applyAlignment="0" applyProtection="0"/>
    <xf numFmtId="0" fontId="33" fillId="25" borderId="0" applyNumberFormat="0" applyBorder="0" applyAlignment="0" applyProtection="0"/>
    <xf numFmtId="0" fontId="33" fillId="25" borderId="0" applyNumberFormat="0" applyBorder="0" applyAlignment="0" applyProtection="0"/>
    <xf numFmtId="0" fontId="33" fillId="25" borderId="0" applyNumberFormat="0" applyBorder="0" applyAlignment="0" applyProtection="0"/>
    <xf numFmtId="0" fontId="33" fillId="25" borderId="0" applyNumberFormat="0" applyBorder="0" applyAlignment="0" applyProtection="0"/>
    <xf numFmtId="0" fontId="33" fillId="25" borderId="0" applyNumberFormat="0" applyBorder="0" applyAlignment="0" applyProtection="0"/>
    <xf numFmtId="183" fontId="24" fillId="0" borderId="8">
      <protection locked="0"/>
    </xf>
    <xf numFmtId="0" fontId="78" fillId="12" borderId="6" applyNumberFormat="0" applyAlignment="0" applyProtection="0"/>
    <xf numFmtId="0" fontId="78" fillId="12" borderId="6" applyNumberFormat="0" applyAlignment="0" applyProtection="0"/>
    <xf numFmtId="0" fontId="78" fillId="12" borderId="6" applyNumberFormat="0" applyAlignment="0" applyProtection="0"/>
    <xf numFmtId="0" fontId="78" fillId="12" borderId="6" applyNumberFormat="0" applyAlignment="0" applyProtection="0"/>
    <xf numFmtId="0" fontId="78" fillId="12" borderId="6" applyNumberFormat="0" applyAlignment="0" applyProtection="0"/>
    <xf numFmtId="0" fontId="78" fillId="12" borderId="6" applyNumberFormat="0" applyAlignment="0" applyProtection="0"/>
    <xf numFmtId="0" fontId="78" fillId="12" borderId="6" applyNumberFormat="0" applyAlignment="0" applyProtection="0"/>
    <xf numFmtId="0" fontId="78" fillId="12" borderId="6" applyNumberFormat="0" applyAlignment="0" applyProtection="0"/>
    <xf numFmtId="0" fontId="78" fillId="12" borderId="6" applyNumberFormat="0" applyAlignment="0" applyProtection="0"/>
    <xf numFmtId="0" fontId="78" fillId="12" borderId="6" applyNumberFormat="0" applyAlignment="0" applyProtection="0"/>
    <xf numFmtId="0" fontId="78" fillId="12" borderId="6" applyNumberFormat="0" applyAlignment="0" applyProtection="0"/>
    <xf numFmtId="0" fontId="78" fillId="12" borderId="6" applyNumberFormat="0" applyAlignment="0" applyProtection="0"/>
    <xf numFmtId="0" fontId="121" fillId="12" borderId="6" applyNumberFormat="0" applyAlignment="0" applyProtection="0"/>
    <xf numFmtId="0" fontId="78" fillId="12" borderId="6" applyNumberFormat="0" applyAlignment="0" applyProtection="0"/>
    <xf numFmtId="0" fontId="78" fillId="12" borderId="6" applyNumberFormat="0" applyAlignment="0" applyProtection="0"/>
    <xf numFmtId="0" fontId="78" fillId="12" borderId="6" applyNumberFormat="0" applyAlignment="0" applyProtection="0"/>
    <xf numFmtId="0" fontId="78" fillId="12" borderId="6" applyNumberFormat="0" applyAlignment="0" applyProtection="0"/>
    <xf numFmtId="0" fontId="78" fillId="12" borderId="6" applyNumberFormat="0" applyAlignment="0" applyProtection="0"/>
    <xf numFmtId="0" fontId="78" fillId="12" borderId="6" applyNumberFormat="0" applyAlignment="0" applyProtection="0"/>
    <xf numFmtId="0" fontId="78" fillId="12" borderId="6" applyNumberFormat="0" applyAlignment="0" applyProtection="0"/>
    <xf numFmtId="0" fontId="78" fillId="12" borderId="6" applyNumberFormat="0" applyAlignment="0" applyProtection="0"/>
    <xf numFmtId="0" fontId="78" fillId="12" borderId="6" applyNumberFormat="0" applyAlignment="0" applyProtection="0"/>
    <xf numFmtId="0" fontId="78" fillId="12" borderId="6" applyNumberFormat="0" applyAlignment="0" applyProtection="0"/>
    <xf numFmtId="0" fontId="121" fillId="12" borderId="6" applyNumberFormat="0" applyAlignment="0" applyProtection="0"/>
    <xf numFmtId="0" fontId="78" fillId="12" borderId="6" applyNumberFormat="0" applyAlignment="0" applyProtection="0"/>
    <xf numFmtId="0" fontId="78" fillId="12" borderId="6" applyNumberFormat="0" applyAlignment="0" applyProtection="0"/>
    <xf numFmtId="0" fontId="121" fillId="12" borderId="6" applyNumberFormat="0" applyAlignment="0" applyProtection="0"/>
    <xf numFmtId="0" fontId="78" fillId="12" borderId="6" applyNumberFormat="0" applyAlignment="0" applyProtection="0"/>
    <xf numFmtId="0" fontId="78" fillId="12" borderId="6" applyNumberFormat="0" applyAlignment="0" applyProtection="0"/>
    <xf numFmtId="0" fontId="78" fillId="12" borderId="6" applyNumberFormat="0" applyAlignment="0" applyProtection="0"/>
    <xf numFmtId="0" fontId="78" fillId="12" borderId="6" applyNumberFormat="0" applyAlignment="0" applyProtection="0"/>
    <xf numFmtId="0" fontId="78" fillId="12" borderId="6" applyNumberFormat="0" applyAlignment="0" applyProtection="0"/>
    <xf numFmtId="0" fontId="78" fillId="12" borderId="6" applyNumberFormat="0" applyAlignment="0" applyProtection="0"/>
    <xf numFmtId="0" fontId="78" fillId="12" borderId="6" applyNumberFormat="0" applyAlignment="0" applyProtection="0"/>
    <xf numFmtId="0" fontId="121" fillId="12" borderId="6" applyNumberFormat="0" applyAlignment="0" applyProtection="0"/>
    <xf numFmtId="0" fontId="78" fillId="12" borderId="6" applyNumberFormat="0" applyAlignment="0" applyProtection="0"/>
    <xf numFmtId="0" fontId="121" fillId="12" borderId="6" applyNumberFormat="0" applyAlignment="0" applyProtection="0"/>
    <xf numFmtId="0" fontId="78" fillId="12" borderId="6" applyNumberFormat="0" applyAlignment="0" applyProtection="0"/>
    <xf numFmtId="0" fontId="121" fillId="12" borderId="6" applyNumberFormat="0" applyAlignment="0" applyProtection="0"/>
    <xf numFmtId="0" fontId="78" fillId="12" borderId="6" applyNumberFormat="0" applyAlignment="0" applyProtection="0"/>
    <xf numFmtId="0" fontId="121" fillId="12" borderId="6" applyNumberFormat="0" applyAlignment="0" applyProtection="0"/>
    <xf numFmtId="0" fontId="78" fillId="12" borderId="6" applyNumberFormat="0" applyAlignment="0" applyProtection="0"/>
    <xf numFmtId="0" fontId="121" fillId="12" borderId="6" applyNumberFormat="0" applyAlignment="0" applyProtection="0"/>
    <xf numFmtId="0" fontId="78" fillId="12" borderId="6" applyNumberFormat="0" applyAlignment="0" applyProtection="0"/>
    <xf numFmtId="0" fontId="121" fillId="12" borderId="6" applyNumberFormat="0" applyAlignment="0" applyProtection="0"/>
    <xf numFmtId="0" fontId="78" fillId="12" borderId="6" applyNumberFormat="0" applyAlignment="0" applyProtection="0"/>
    <xf numFmtId="0" fontId="121" fillId="12" borderId="6" applyNumberFormat="0" applyAlignment="0" applyProtection="0"/>
    <xf numFmtId="0" fontId="78" fillId="12" borderId="6" applyNumberFormat="0" applyAlignment="0" applyProtection="0"/>
    <xf numFmtId="0" fontId="121" fillId="12" borderId="6" applyNumberFormat="0" applyAlignment="0" applyProtection="0"/>
    <xf numFmtId="0" fontId="78" fillId="12" borderId="6" applyNumberFormat="0" applyAlignment="0" applyProtection="0"/>
    <xf numFmtId="0" fontId="78" fillId="12" borderId="6" applyNumberFormat="0" applyAlignment="0" applyProtection="0"/>
    <xf numFmtId="0" fontId="78" fillId="12" borderId="6" applyNumberFormat="0" applyAlignment="0" applyProtection="0"/>
    <xf numFmtId="0" fontId="78" fillId="12" borderId="6" applyNumberFormat="0" applyAlignment="0" applyProtection="0"/>
    <xf numFmtId="0" fontId="78" fillId="12" borderId="6" applyNumberFormat="0" applyAlignment="0" applyProtection="0"/>
    <xf numFmtId="0" fontId="78" fillId="12" borderId="6" applyNumberFormat="0" applyAlignment="0" applyProtection="0"/>
    <xf numFmtId="0" fontId="78" fillId="12" borderId="6" applyNumberFormat="0" applyAlignment="0" applyProtection="0"/>
    <xf numFmtId="0" fontId="78" fillId="12" borderId="6" applyNumberFormat="0" applyAlignment="0" applyProtection="0"/>
    <xf numFmtId="0" fontId="78" fillId="12" borderId="6" applyNumberFormat="0" applyAlignment="0" applyProtection="0"/>
    <xf numFmtId="3" fontId="122" fillId="0" borderId="0">
      <alignment horizontal="center" vertical="center" textRotation="90" wrapText="1"/>
    </xf>
    <xf numFmtId="204" fontId="24" fillId="0" borderId="2">
      <alignment vertical="top" wrapText="1"/>
    </xf>
    <xf numFmtId="0" fontId="87" fillId="17" borderId="16" applyNumberFormat="0" applyAlignment="0" applyProtection="0"/>
    <xf numFmtId="0" fontId="87" fillId="17" borderId="16" applyNumberFormat="0" applyAlignment="0" applyProtection="0"/>
    <xf numFmtId="0" fontId="87" fillId="17" borderId="16" applyNumberFormat="0" applyAlignment="0" applyProtection="0"/>
    <xf numFmtId="0" fontId="87" fillId="17" borderId="16" applyNumberFormat="0" applyAlignment="0" applyProtection="0"/>
    <xf numFmtId="0" fontId="123" fillId="17" borderId="16" applyNumberFormat="0" applyAlignment="0" applyProtection="0"/>
    <xf numFmtId="0" fontId="87" fillId="17" borderId="16" applyNumberFormat="0" applyAlignment="0" applyProtection="0"/>
    <xf numFmtId="0" fontId="87" fillId="17" borderId="16" applyNumberFormat="0" applyAlignment="0" applyProtection="0"/>
    <xf numFmtId="0" fontId="87" fillId="17" borderId="16" applyNumberFormat="0" applyAlignment="0" applyProtection="0"/>
    <xf numFmtId="0" fontId="87" fillId="17" borderId="16" applyNumberFormat="0" applyAlignment="0" applyProtection="0"/>
    <xf numFmtId="0" fontId="87" fillId="17" borderId="16" applyNumberFormat="0" applyAlignment="0" applyProtection="0"/>
    <xf numFmtId="0" fontId="87" fillId="17" borderId="16" applyNumberFormat="0" applyAlignment="0" applyProtection="0"/>
    <xf numFmtId="0" fontId="87" fillId="17" borderId="16" applyNumberFormat="0" applyAlignment="0" applyProtection="0"/>
    <xf numFmtId="0" fontId="87" fillId="17" borderId="16" applyNumberFormat="0" applyAlignment="0" applyProtection="0"/>
    <xf numFmtId="0" fontId="87" fillId="17" borderId="16" applyNumberFormat="0" applyAlignment="0" applyProtection="0"/>
    <xf numFmtId="0" fontId="87" fillId="17" borderId="16" applyNumberFormat="0" applyAlignment="0" applyProtection="0"/>
    <xf numFmtId="0" fontId="123" fillId="17" borderId="16" applyNumberFormat="0" applyAlignment="0" applyProtection="0"/>
    <xf numFmtId="0" fontId="87" fillId="17" borderId="16" applyNumberFormat="0" applyAlignment="0" applyProtection="0"/>
    <xf numFmtId="0" fontId="87" fillId="17" borderId="16" applyNumberFormat="0" applyAlignment="0" applyProtection="0"/>
    <xf numFmtId="0" fontId="87" fillId="17" borderId="16" applyNumberFormat="0" applyAlignment="0" applyProtection="0"/>
    <xf numFmtId="0" fontId="87" fillId="17" borderId="16" applyNumberFormat="0" applyAlignment="0" applyProtection="0"/>
    <xf numFmtId="0" fontId="87" fillId="17" borderId="16" applyNumberFormat="0" applyAlignment="0" applyProtection="0"/>
    <xf numFmtId="0" fontId="87" fillId="17" borderId="16" applyNumberFormat="0" applyAlignment="0" applyProtection="0"/>
    <xf numFmtId="0" fontId="87" fillId="17" borderId="16" applyNumberFormat="0" applyAlignment="0" applyProtection="0"/>
    <xf numFmtId="0" fontId="87" fillId="17" borderId="16" applyNumberFormat="0" applyAlignment="0" applyProtection="0"/>
    <xf numFmtId="0" fontId="87" fillId="17" borderId="16" applyNumberFormat="0" applyAlignment="0" applyProtection="0"/>
    <xf numFmtId="0" fontId="123" fillId="17" borderId="16" applyNumberFormat="0" applyAlignment="0" applyProtection="0"/>
    <xf numFmtId="0" fontId="87" fillId="17" borderId="16" applyNumberFormat="0" applyAlignment="0" applyProtection="0"/>
    <xf numFmtId="0" fontId="87" fillId="17" borderId="16" applyNumberFormat="0" applyAlignment="0" applyProtection="0"/>
    <xf numFmtId="0" fontId="123" fillId="17" borderId="16" applyNumberFormat="0" applyAlignment="0" applyProtection="0"/>
    <xf numFmtId="0" fontId="87" fillId="17" borderId="16" applyNumberFormat="0" applyAlignment="0" applyProtection="0"/>
    <xf numFmtId="0" fontId="87" fillId="17" borderId="16" applyNumberFormat="0" applyAlignment="0" applyProtection="0"/>
    <xf numFmtId="0" fontId="123" fillId="17" borderId="16" applyNumberFormat="0" applyAlignment="0" applyProtection="0"/>
    <xf numFmtId="0" fontId="87" fillId="17" borderId="16" applyNumberFormat="0" applyAlignment="0" applyProtection="0"/>
    <xf numFmtId="0" fontId="87" fillId="17" borderId="16" applyNumberFormat="0" applyAlignment="0" applyProtection="0"/>
    <xf numFmtId="0" fontId="123" fillId="17" borderId="16" applyNumberFormat="0" applyAlignment="0" applyProtection="0"/>
    <xf numFmtId="0" fontId="87" fillId="17" borderId="16" applyNumberFormat="0" applyAlignment="0" applyProtection="0"/>
    <xf numFmtId="0" fontId="87" fillId="17" borderId="16" applyNumberFormat="0" applyAlignment="0" applyProtection="0"/>
    <xf numFmtId="0" fontId="87" fillId="17" borderId="16" applyNumberFormat="0" applyAlignment="0" applyProtection="0"/>
    <xf numFmtId="0" fontId="87" fillId="17" borderId="16" applyNumberFormat="0" applyAlignment="0" applyProtection="0"/>
    <xf numFmtId="0" fontId="87" fillId="17" borderId="16" applyNumberFormat="0" applyAlignment="0" applyProtection="0"/>
    <xf numFmtId="0" fontId="87" fillId="17" borderId="16" applyNumberFormat="0" applyAlignment="0" applyProtection="0"/>
    <xf numFmtId="0" fontId="87" fillId="17" borderId="16" applyNumberFormat="0" applyAlignment="0" applyProtection="0"/>
    <xf numFmtId="0" fontId="87" fillId="17" borderId="16" applyNumberFormat="0" applyAlignment="0" applyProtection="0"/>
    <xf numFmtId="0" fontId="40" fillId="17" borderId="6" applyNumberFormat="0" applyAlignment="0" applyProtection="0"/>
    <xf numFmtId="0" fontId="40" fillId="17" borderId="6" applyNumberFormat="0" applyAlignment="0" applyProtection="0"/>
    <xf numFmtId="0" fontId="40" fillId="17" borderId="6" applyNumberFormat="0" applyAlignment="0" applyProtection="0"/>
    <xf numFmtId="0" fontId="40" fillId="17" borderId="6" applyNumberFormat="0" applyAlignment="0" applyProtection="0"/>
    <xf numFmtId="0" fontId="124" fillId="17" borderId="6" applyNumberFormat="0" applyAlignment="0" applyProtection="0"/>
    <xf numFmtId="0" fontId="40" fillId="17" borderId="6" applyNumberFormat="0" applyAlignment="0" applyProtection="0"/>
    <xf numFmtId="0" fontId="40" fillId="17" borderId="6" applyNumberFormat="0" applyAlignment="0" applyProtection="0"/>
    <xf numFmtId="0" fontId="40" fillId="17" borderId="6" applyNumberFormat="0" applyAlignment="0" applyProtection="0"/>
    <xf numFmtId="0" fontId="40" fillId="17" borderId="6" applyNumberFormat="0" applyAlignment="0" applyProtection="0"/>
    <xf numFmtId="0" fontId="40" fillId="17" borderId="6" applyNumberFormat="0" applyAlignment="0" applyProtection="0"/>
    <xf numFmtId="0" fontId="40" fillId="17" borderId="6" applyNumberFormat="0" applyAlignment="0" applyProtection="0"/>
    <xf numFmtId="0" fontId="40" fillId="17" borderId="6" applyNumberFormat="0" applyAlignment="0" applyProtection="0"/>
    <xf numFmtId="0" fontId="40" fillId="17" borderId="6" applyNumberFormat="0" applyAlignment="0" applyProtection="0"/>
    <xf numFmtId="0" fontId="40" fillId="17" borderId="6" applyNumberFormat="0" applyAlignment="0" applyProtection="0"/>
    <xf numFmtId="0" fontId="40" fillId="17" borderId="6" applyNumberFormat="0" applyAlignment="0" applyProtection="0"/>
    <xf numFmtId="0" fontId="124" fillId="17" borderId="6" applyNumberFormat="0" applyAlignment="0" applyProtection="0"/>
    <xf numFmtId="0" fontId="40" fillId="17" borderId="6" applyNumberFormat="0" applyAlignment="0" applyProtection="0"/>
    <xf numFmtId="0" fontId="40" fillId="17" borderId="6" applyNumberFormat="0" applyAlignment="0" applyProtection="0"/>
    <xf numFmtId="0" fontId="40" fillId="17" borderId="6" applyNumberFormat="0" applyAlignment="0" applyProtection="0"/>
    <xf numFmtId="0" fontId="40" fillId="17" borderId="6" applyNumberFormat="0" applyAlignment="0" applyProtection="0"/>
    <xf numFmtId="0" fontId="40" fillId="17" borderId="6" applyNumberFormat="0" applyAlignment="0" applyProtection="0"/>
    <xf numFmtId="0" fontId="40" fillId="17" borderId="6" applyNumberFormat="0" applyAlignment="0" applyProtection="0"/>
    <xf numFmtId="0" fontId="40" fillId="17" borderId="6" applyNumberFormat="0" applyAlignment="0" applyProtection="0"/>
    <xf numFmtId="0" fontId="40" fillId="17" borderId="6" applyNumberFormat="0" applyAlignment="0" applyProtection="0"/>
    <xf numFmtId="0" fontId="40" fillId="17" borderId="6" applyNumberFormat="0" applyAlignment="0" applyProtection="0"/>
    <xf numFmtId="0" fontId="124" fillId="17" borderId="6" applyNumberFormat="0" applyAlignment="0" applyProtection="0"/>
    <xf numFmtId="0" fontId="40" fillId="17" borderId="6" applyNumberFormat="0" applyAlignment="0" applyProtection="0"/>
    <xf numFmtId="0" fontId="40" fillId="17" borderId="6" applyNumberFormat="0" applyAlignment="0" applyProtection="0"/>
    <xf numFmtId="0" fontId="124" fillId="17" borderId="6" applyNumberFormat="0" applyAlignment="0" applyProtection="0"/>
    <xf numFmtId="0" fontId="40" fillId="17" borderId="6" applyNumberFormat="0" applyAlignment="0" applyProtection="0"/>
    <xf numFmtId="0" fontId="40" fillId="17" borderId="6" applyNumberFormat="0" applyAlignment="0" applyProtection="0"/>
    <xf numFmtId="0" fontId="124" fillId="17" borderId="6" applyNumberFormat="0" applyAlignment="0" applyProtection="0"/>
    <xf numFmtId="0" fontId="40" fillId="17" borderId="6" applyNumberFormat="0" applyAlignment="0" applyProtection="0"/>
    <xf numFmtId="0" fontId="40" fillId="17" borderId="6" applyNumberFormat="0" applyAlignment="0" applyProtection="0"/>
    <xf numFmtId="0" fontId="124" fillId="17" borderId="6" applyNumberFormat="0" applyAlignment="0" applyProtection="0"/>
    <xf numFmtId="0" fontId="40" fillId="17" borderId="6" applyNumberFormat="0" applyAlignment="0" applyProtection="0"/>
    <xf numFmtId="0" fontId="40" fillId="17" borderId="6" applyNumberFormat="0" applyAlignment="0" applyProtection="0"/>
    <xf numFmtId="0" fontId="40" fillId="17" borderId="6" applyNumberFormat="0" applyAlignment="0" applyProtection="0"/>
    <xf numFmtId="0" fontId="40" fillId="17" borderId="6" applyNumberFormat="0" applyAlignment="0" applyProtection="0"/>
    <xf numFmtId="0" fontId="40" fillId="17" borderId="6" applyNumberFormat="0" applyAlignment="0" applyProtection="0"/>
    <xf numFmtId="0" fontId="40" fillId="17" borderId="6" applyNumberFormat="0" applyAlignment="0" applyProtection="0"/>
    <xf numFmtId="0" fontId="40" fillId="17" borderId="6" applyNumberFormat="0" applyAlignment="0" applyProtection="0"/>
    <xf numFmtId="0" fontId="40" fillId="17" borderId="6" applyNumberFormat="0" applyAlignment="0" applyProtection="0"/>
    <xf numFmtId="0" fontId="125" fillId="0" borderId="0" applyNumberFormat="0" applyFill="0" applyBorder="0" applyAlignment="0" applyProtection="0">
      <alignment vertical="top"/>
      <protection locked="0"/>
    </xf>
    <xf numFmtId="49" fontId="126" fillId="0" borderId="0" applyNumberFormat="0" applyFill="0" applyBorder="0" applyAlignment="0" applyProtection="0">
      <alignment vertical="top"/>
    </xf>
    <xf numFmtId="49" fontId="126" fillId="0" borderId="0" applyNumberFormat="0" applyFill="0" applyBorder="0" applyAlignment="0" applyProtection="0">
      <alignment vertical="top"/>
    </xf>
    <xf numFmtId="49" fontId="126" fillId="0" borderId="0" applyNumberFormat="0" applyFill="0" applyBorder="0" applyAlignment="0" applyProtection="0">
      <alignment vertical="top"/>
    </xf>
    <xf numFmtId="49" fontId="126" fillId="0" borderId="0" applyNumberFormat="0" applyFill="0" applyBorder="0" applyAlignment="0" applyProtection="0">
      <alignment vertical="top"/>
    </xf>
    <xf numFmtId="49" fontId="126" fillId="0" borderId="0" applyNumberFormat="0" applyFill="0" applyBorder="0" applyAlignment="0" applyProtection="0">
      <alignment vertical="top"/>
    </xf>
    <xf numFmtId="49" fontId="126" fillId="0" borderId="0" applyNumberFormat="0" applyFill="0" applyBorder="0" applyAlignment="0" applyProtection="0">
      <alignment vertical="top"/>
    </xf>
    <xf numFmtId="49" fontId="126" fillId="0" borderId="0" applyNumberFormat="0" applyFill="0" applyBorder="0" applyAlignment="0" applyProtection="0">
      <alignment vertical="top"/>
    </xf>
    <xf numFmtId="0" fontId="125" fillId="0" borderId="0" applyNumberFormat="0" applyFill="0" applyBorder="0" applyAlignment="0" applyProtection="0">
      <alignment vertical="top"/>
      <protection locked="0"/>
    </xf>
    <xf numFmtId="0" fontId="125" fillId="0" borderId="0" applyNumberFormat="0" applyFill="0" applyBorder="0" applyAlignment="0" applyProtection="0">
      <alignment vertical="top"/>
      <protection locked="0"/>
    </xf>
    <xf numFmtId="0" fontId="127" fillId="0" borderId="0" applyNumberFormat="0" applyFill="0" applyBorder="0" applyAlignment="0" applyProtection="0">
      <alignment vertical="top"/>
      <protection locked="0"/>
    </xf>
    <xf numFmtId="0" fontId="127" fillId="0" borderId="0" applyNumberFormat="0" applyFill="0" applyBorder="0" applyAlignment="0" applyProtection="0">
      <alignment vertical="top"/>
      <protection locked="0"/>
    </xf>
    <xf numFmtId="0" fontId="127" fillId="0" borderId="0" applyNumberFormat="0" applyFill="0" applyBorder="0" applyAlignment="0" applyProtection="0">
      <alignment vertical="top"/>
      <protection locked="0"/>
    </xf>
    <xf numFmtId="0" fontId="127" fillId="0" borderId="0" applyNumberFormat="0" applyFill="0" applyBorder="0" applyAlignment="0" applyProtection="0">
      <alignment vertical="top"/>
      <protection locked="0"/>
    </xf>
    <xf numFmtId="0" fontId="127" fillId="0" borderId="0" applyNumberFormat="0" applyFill="0" applyBorder="0" applyAlignment="0" applyProtection="0">
      <alignment vertical="top"/>
      <protection locked="0"/>
    </xf>
    <xf numFmtId="0" fontId="127" fillId="0" borderId="0" applyNumberFormat="0" applyFill="0" applyBorder="0" applyAlignment="0" applyProtection="0">
      <alignment vertical="top"/>
      <protection locked="0"/>
    </xf>
    <xf numFmtId="0" fontId="127" fillId="0" borderId="0" applyNumberFormat="0" applyFill="0" applyBorder="0" applyAlignment="0" applyProtection="0">
      <alignment vertical="top"/>
      <protection locked="0"/>
    </xf>
    <xf numFmtId="49" fontId="126" fillId="0" borderId="0" applyNumberFormat="0" applyFill="0" applyBorder="0" applyAlignment="0" applyProtection="0">
      <alignment vertical="top"/>
    </xf>
    <xf numFmtId="49" fontId="126" fillId="0" borderId="0" applyNumberFormat="0" applyFill="0" applyBorder="0" applyAlignment="0" applyProtection="0">
      <alignment vertical="top"/>
    </xf>
    <xf numFmtId="0" fontId="127" fillId="0" borderId="0" applyNumberFormat="0" applyFill="0" applyBorder="0" applyAlignment="0" applyProtection="0">
      <alignment vertical="top"/>
      <protection locked="0"/>
    </xf>
    <xf numFmtId="0" fontId="127" fillId="0" borderId="0" applyNumberFormat="0" applyFill="0" applyBorder="0" applyAlignment="0" applyProtection="0">
      <alignment vertical="top"/>
      <protection locked="0"/>
    </xf>
    <xf numFmtId="0" fontId="127" fillId="0" borderId="0" applyNumberFormat="0" applyFill="0" applyBorder="0" applyAlignment="0" applyProtection="0">
      <alignment vertical="top"/>
      <protection locked="0"/>
    </xf>
    <xf numFmtId="0" fontId="127" fillId="0" borderId="0" applyNumberFormat="0" applyFill="0" applyBorder="0" applyAlignment="0" applyProtection="0">
      <alignment vertical="top"/>
      <protection locked="0"/>
    </xf>
    <xf numFmtId="0" fontId="127" fillId="0" borderId="0" applyNumberFormat="0" applyFill="0" applyBorder="0" applyAlignment="0" applyProtection="0">
      <alignment vertical="top"/>
      <protection locked="0"/>
    </xf>
    <xf numFmtId="0" fontId="127" fillId="0" borderId="0" applyNumberFormat="0" applyFill="0" applyBorder="0" applyAlignment="0" applyProtection="0">
      <alignment vertical="top"/>
      <protection locked="0"/>
    </xf>
    <xf numFmtId="0" fontId="127" fillId="0" borderId="0" applyNumberFormat="0" applyFill="0" applyBorder="0" applyAlignment="0" applyProtection="0">
      <alignment vertical="top"/>
      <protection locked="0"/>
    </xf>
    <xf numFmtId="0" fontId="127" fillId="0" borderId="0" applyNumberFormat="0" applyFill="0" applyBorder="0" applyAlignment="0" applyProtection="0">
      <alignment vertical="top"/>
      <protection locked="0"/>
    </xf>
    <xf numFmtId="0" fontId="127" fillId="0" borderId="0" applyNumberFormat="0" applyFill="0" applyBorder="0" applyAlignment="0" applyProtection="0">
      <alignment vertical="top"/>
      <protection locked="0"/>
    </xf>
    <xf numFmtId="49" fontId="126" fillId="0" borderId="0" applyNumberFormat="0" applyFill="0" applyBorder="0" applyAlignment="0" applyProtection="0">
      <alignment vertical="top"/>
    </xf>
    <xf numFmtId="49" fontId="126" fillId="0" borderId="0" applyNumberFormat="0" applyFill="0" applyBorder="0" applyAlignment="0" applyProtection="0">
      <alignment vertical="top"/>
    </xf>
    <xf numFmtId="49" fontId="126" fillId="0" borderId="0" applyNumberFormat="0" applyFill="0" applyBorder="0" applyAlignment="0" applyProtection="0">
      <alignment vertical="top"/>
    </xf>
    <xf numFmtId="49" fontId="126" fillId="0" borderId="0" applyNumberFormat="0" applyFill="0" applyBorder="0" applyAlignment="0" applyProtection="0">
      <alignment vertical="top"/>
    </xf>
    <xf numFmtId="49" fontId="126" fillId="0" borderId="0" applyNumberFormat="0" applyFill="0" applyBorder="0" applyAlignment="0" applyProtection="0">
      <alignment vertical="top"/>
    </xf>
    <xf numFmtId="49" fontId="126" fillId="0" borderId="0" applyNumberFormat="0" applyFill="0" applyBorder="0" applyAlignment="0" applyProtection="0">
      <alignment vertical="top"/>
    </xf>
    <xf numFmtId="49" fontId="126" fillId="0" borderId="0" applyNumberFormat="0" applyFill="0" applyBorder="0" applyAlignment="0" applyProtection="0">
      <alignment vertical="top"/>
    </xf>
    <xf numFmtId="0" fontId="74" fillId="0" borderId="0" applyNumberFormat="0" applyFill="0" applyBorder="0" applyAlignment="0" applyProtection="0">
      <alignment vertical="top"/>
      <protection locked="0"/>
    </xf>
    <xf numFmtId="0" fontId="74" fillId="0" borderId="0" applyNumberFormat="0" applyFill="0" applyBorder="0" applyAlignment="0" applyProtection="0">
      <alignment vertical="top"/>
      <protection locked="0"/>
    </xf>
    <xf numFmtId="0" fontId="128" fillId="0" borderId="0" applyNumberFormat="0" applyFill="0" applyBorder="0" applyAlignment="0" applyProtection="0">
      <alignment vertical="top"/>
      <protection locked="0"/>
    </xf>
    <xf numFmtId="0" fontId="128" fillId="0" borderId="0" applyNumberFormat="0" applyFill="0" applyBorder="0" applyAlignment="0" applyProtection="0">
      <alignment vertical="top"/>
      <protection locked="0"/>
    </xf>
    <xf numFmtId="205" fontId="129" fillId="0" borderId="2">
      <alignment vertical="top" wrapText="1"/>
    </xf>
    <xf numFmtId="4" fontId="130" fillId="0" borderId="2">
      <alignment horizontal="left" vertical="center"/>
    </xf>
    <xf numFmtId="4" fontId="130" fillId="0" borderId="2"/>
    <xf numFmtId="4" fontId="130" fillId="59" borderId="2"/>
    <xf numFmtId="4" fontId="130" fillId="60" borderId="2"/>
    <xf numFmtId="4" fontId="131" fillId="61" borderId="2"/>
    <xf numFmtId="4" fontId="132" fillId="2" borderId="2"/>
    <xf numFmtId="4" fontId="133" fillId="0" borderId="2">
      <alignment horizontal="center" wrapText="1"/>
    </xf>
    <xf numFmtId="205" fontId="130" fillId="0" borderId="2"/>
    <xf numFmtId="205" fontId="129" fillId="0" borderId="2">
      <alignment horizontal="center" vertical="center" wrapText="1"/>
    </xf>
    <xf numFmtId="205" fontId="129" fillId="0" borderId="2">
      <alignment vertical="top" wrapText="1"/>
    </xf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206" fontId="18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0" fontId="18" fillId="0" borderId="0"/>
    <xf numFmtId="0" fontId="18" fillId="0" borderId="0"/>
    <xf numFmtId="0" fontId="134" fillId="0" borderId="0" applyBorder="0">
      <alignment horizontal="center" vertical="center" wrapText="1"/>
    </xf>
    <xf numFmtId="0" fontId="135" fillId="0" borderId="27" applyNumberFormat="0" applyFill="0" applyAlignment="0" applyProtection="0"/>
    <xf numFmtId="0" fontId="135" fillId="0" borderId="27" applyNumberFormat="0" applyFill="0" applyAlignment="0" applyProtection="0"/>
    <xf numFmtId="0" fontId="135" fillId="0" borderId="27" applyNumberFormat="0" applyFill="0" applyAlignment="0" applyProtection="0"/>
    <xf numFmtId="0" fontId="135" fillId="0" borderId="27" applyNumberFormat="0" applyFill="0" applyAlignment="0" applyProtection="0"/>
    <xf numFmtId="0" fontId="136" fillId="0" borderId="27" applyNumberFormat="0" applyFill="0" applyAlignment="0" applyProtection="0"/>
    <xf numFmtId="0" fontId="135" fillId="0" borderId="27" applyNumberFormat="0" applyFill="0" applyAlignment="0" applyProtection="0"/>
    <xf numFmtId="0" fontId="135" fillId="0" borderId="27" applyNumberFormat="0" applyFill="0" applyAlignment="0" applyProtection="0"/>
    <xf numFmtId="0" fontId="135" fillId="0" borderId="27" applyNumberFormat="0" applyFill="0" applyAlignment="0" applyProtection="0"/>
    <xf numFmtId="0" fontId="135" fillId="0" borderId="27" applyNumberFormat="0" applyFill="0" applyAlignment="0" applyProtection="0"/>
    <xf numFmtId="0" fontId="135" fillId="0" borderId="27" applyNumberFormat="0" applyFill="0" applyAlignment="0" applyProtection="0"/>
    <xf numFmtId="0" fontId="135" fillId="0" borderId="27" applyNumberFormat="0" applyFill="0" applyAlignment="0" applyProtection="0"/>
    <xf numFmtId="0" fontId="135" fillId="0" borderId="27" applyNumberFormat="0" applyFill="0" applyAlignment="0" applyProtection="0"/>
    <xf numFmtId="0" fontId="135" fillId="0" borderId="27" applyNumberFormat="0" applyFill="0" applyAlignment="0" applyProtection="0"/>
    <xf numFmtId="0" fontId="135" fillId="0" borderId="27" applyNumberFormat="0" applyFill="0" applyAlignment="0" applyProtection="0"/>
    <xf numFmtId="0" fontId="135" fillId="0" borderId="27" applyNumberFormat="0" applyFill="0" applyAlignment="0" applyProtection="0"/>
    <xf numFmtId="0" fontId="136" fillId="0" borderId="27" applyNumberFormat="0" applyFill="0" applyAlignment="0" applyProtection="0"/>
    <xf numFmtId="0" fontId="135" fillId="0" borderId="27" applyNumberFormat="0" applyFill="0" applyAlignment="0" applyProtection="0"/>
    <xf numFmtId="0" fontId="135" fillId="0" borderId="27" applyNumberFormat="0" applyFill="0" applyAlignment="0" applyProtection="0"/>
    <xf numFmtId="0" fontId="135" fillId="0" borderId="27" applyNumberFormat="0" applyFill="0" applyAlignment="0" applyProtection="0"/>
    <xf numFmtId="0" fontId="135" fillId="0" borderId="27" applyNumberFormat="0" applyFill="0" applyAlignment="0" applyProtection="0"/>
    <xf numFmtId="0" fontId="135" fillId="0" borderId="27" applyNumberFormat="0" applyFill="0" applyAlignment="0" applyProtection="0"/>
    <xf numFmtId="0" fontId="135" fillId="0" borderId="27" applyNumberFormat="0" applyFill="0" applyAlignment="0" applyProtection="0"/>
    <xf numFmtId="0" fontId="135" fillId="0" borderId="27" applyNumberFormat="0" applyFill="0" applyAlignment="0" applyProtection="0"/>
    <xf numFmtId="0" fontId="135" fillId="0" borderId="27" applyNumberFormat="0" applyFill="0" applyAlignment="0" applyProtection="0"/>
    <xf numFmtId="0" fontId="135" fillId="0" borderId="27" applyNumberFormat="0" applyFill="0" applyAlignment="0" applyProtection="0"/>
    <xf numFmtId="0" fontId="136" fillId="0" borderId="27" applyNumberFormat="0" applyFill="0" applyAlignment="0" applyProtection="0"/>
    <xf numFmtId="0" fontId="135" fillId="0" borderId="27" applyNumberFormat="0" applyFill="0" applyAlignment="0" applyProtection="0"/>
    <xf numFmtId="0" fontId="135" fillId="0" borderId="27" applyNumberFormat="0" applyFill="0" applyAlignment="0" applyProtection="0"/>
    <xf numFmtId="0" fontId="136" fillId="0" borderId="27" applyNumberFormat="0" applyFill="0" applyAlignment="0" applyProtection="0"/>
    <xf numFmtId="0" fontId="135" fillId="0" borderId="27" applyNumberFormat="0" applyFill="0" applyAlignment="0" applyProtection="0"/>
    <xf numFmtId="0" fontId="135" fillId="0" borderId="27" applyNumberFormat="0" applyFill="0" applyAlignment="0" applyProtection="0"/>
    <xf numFmtId="0" fontId="136" fillId="0" borderId="27" applyNumberFormat="0" applyFill="0" applyAlignment="0" applyProtection="0"/>
    <xf numFmtId="0" fontId="135" fillId="0" borderId="27" applyNumberFormat="0" applyFill="0" applyAlignment="0" applyProtection="0"/>
    <xf numFmtId="0" fontId="135" fillId="0" borderId="27" applyNumberFormat="0" applyFill="0" applyAlignment="0" applyProtection="0"/>
    <xf numFmtId="0" fontId="136" fillId="0" borderId="27" applyNumberFormat="0" applyFill="0" applyAlignment="0" applyProtection="0"/>
    <xf numFmtId="0" fontId="135" fillId="0" borderId="27" applyNumberFormat="0" applyFill="0" applyAlignment="0" applyProtection="0"/>
    <xf numFmtId="0" fontId="135" fillId="0" borderId="27" applyNumberFormat="0" applyFill="0" applyAlignment="0" applyProtection="0"/>
    <xf numFmtId="0" fontId="135" fillId="0" borderId="27" applyNumberFormat="0" applyFill="0" applyAlignment="0" applyProtection="0"/>
    <xf numFmtId="0" fontId="135" fillId="0" borderId="27" applyNumberFormat="0" applyFill="0" applyAlignment="0" applyProtection="0"/>
    <xf numFmtId="0" fontId="135" fillId="0" borderId="27" applyNumberFormat="0" applyFill="0" applyAlignment="0" applyProtection="0"/>
    <xf numFmtId="0" fontId="135" fillId="0" borderId="27" applyNumberFormat="0" applyFill="0" applyAlignment="0" applyProtection="0"/>
    <xf numFmtId="0" fontId="135" fillId="0" borderId="27" applyNumberFormat="0" applyFill="0" applyAlignment="0" applyProtection="0"/>
    <xf numFmtId="0" fontId="135" fillId="0" borderId="27" applyNumberFormat="0" applyFill="0" applyAlignment="0" applyProtection="0"/>
    <xf numFmtId="0" fontId="137" fillId="0" borderId="28" applyNumberFormat="0" applyFill="0" applyAlignment="0" applyProtection="0"/>
    <xf numFmtId="0" fontId="7" fillId="0" borderId="3" applyNumberFormat="0" applyFill="0" applyAlignment="0" applyProtection="0"/>
    <xf numFmtId="0" fontId="137" fillId="0" borderId="28" applyNumberFormat="0" applyFill="0" applyAlignment="0" applyProtection="0"/>
    <xf numFmtId="0" fontId="137" fillId="0" borderId="28" applyNumberFormat="0" applyFill="0" applyAlignment="0" applyProtection="0"/>
    <xf numFmtId="0" fontId="137" fillId="0" borderId="28" applyNumberFormat="0" applyFill="0" applyAlignment="0" applyProtection="0"/>
    <xf numFmtId="0" fontId="138" fillId="0" borderId="28" applyNumberFormat="0" applyFill="0" applyAlignment="0" applyProtection="0"/>
    <xf numFmtId="0" fontId="137" fillId="0" borderId="28" applyNumberFormat="0" applyFill="0" applyAlignment="0" applyProtection="0"/>
    <xf numFmtId="0" fontId="137" fillId="0" borderId="28" applyNumberFormat="0" applyFill="0" applyAlignment="0" applyProtection="0"/>
    <xf numFmtId="0" fontId="137" fillId="0" borderId="28" applyNumberFormat="0" applyFill="0" applyAlignment="0" applyProtection="0"/>
    <xf numFmtId="0" fontId="137" fillId="0" borderId="28" applyNumberFormat="0" applyFill="0" applyAlignment="0" applyProtection="0"/>
    <xf numFmtId="0" fontId="137" fillId="0" borderId="28" applyNumberFormat="0" applyFill="0" applyAlignment="0" applyProtection="0"/>
    <xf numFmtId="0" fontId="137" fillId="0" borderId="28" applyNumberFormat="0" applyFill="0" applyAlignment="0" applyProtection="0"/>
    <xf numFmtId="0" fontId="137" fillId="0" borderId="28" applyNumberFormat="0" applyFill="0" applyAlignment="0" applyProtection="0"/>
    <xf numFmtId="0" fontId="137" fillId="0" borderId="28" applyNumberFormat="0" applyFill="0" applyAlignment="0" applyProtection="0"/>
    <xf numFmtId="0" fontId="137" fillId="0" borderId="28" applyNumberFormat="0" applyFill="0" applyAlignment="0" applyProtection="0"/>
    <xf numFmtId="0" fontId="137" fillId="0" borderId="28" applyNumberFormat="0" applyFill="0" applyAlignment="0" applyProtection="0"/>
    <xf numFmtId="0" fontId="138" fillId="0" borderId="28" applyNumberFormat="0" applyFill="0" applyAlignment="0" applyProtection="0"/>
    <xf numFmtId="0" fontId="137" fillId="0" borderId="28" applyNumberFormat="0" applyFill="0" applyAlignment="0" applyProtection="0"/>
    <xf numFmtId="0" fontId="137" fillId="0" borderId="28" applyNumberFormat="0" applyFill="0" applyAlignment="0" applyProtection="0"/>
    <xf numFmtId="0" fontId="137" fillId="0" borderId="28" applyNumberFormat="0" applyFill="0" applyAlignment="0" applyProtection="0"/>
    <xf numFmtId="0" fontId="137" fillId="0" borderId="28" applyNumberFormat="0" applyFill="0" applyAlignment="0" applyProtection="0"/>
    <xf numFmtId="0" fontId="137" fillId="0" borderId="28" applyNumberFormat="0" applyFill="0" applyAlignment="0" applyProtection="0"/>
    <xf numFmtId="0" fontId="137" fillId="0" borderId="28" applyNumberFormat="0" applyFill="0" applyAlignment="0" applyProtection="0"/>
    <xf numFmtId="0" fontId="137" fillId="0" borderId="28" applyNumberFormat="0" applyFill="0" applyAlignment="0" applyProtection="0"/>
    <xf numFmtId="0" fontId="137" fillId="0" borderId="28" applyNumberFormat="0" applyFill="0" applyAlignment="0" applyProtection="0"/>
    <xf numFmtId="0" fontId="137" fillId="0" borderId="28" applyNumberFormat="0" applyFill="0" applyAlignment="0" applyProtection="0"/>
    <xf numFmtId="0" fontId="138" fillId="0" borderId="28" applyNumberFormat="0" applyFill="0" applyAlignment="0" applyProtection="0"/>
    <xf numFmtId="0" fontId="137" fillId="0" borderId="28" applyNumberFormat="0" applyFill="0" applyAlignment="0" applyProtection="0"/>
    <xf numFmtId="0" fontId="137" fillId="0" borderId="28" applyNumberFormat="0" applyFill="0" applyAlignment="0" applyProtection="0"/>
    <xf numFmtId="0" fontId="138" fillId="0" borderId="28" applyNumberFormat="0" applyFill="0" applyAlignment="0" applyProtection="0"/>
    <xf numFmtId="0" fontId="137" fillId="0" borderId="28" applyNumberFormat="0" applyFill="0" applyAlignment="0" applyProtection="0"/>
    <xf numFmtId="0" fontId="137" fillId="0" borderId="28" applyNumberFormat="0" applyFill="0" applyAlignment="0" applyProtection="0"/>
    <xf numFmtId="0" fontId="138" fillId="0" borderId="28" applyNumberFormat="0" applyFill="0" applyAlignment="0" applyProtection="0"/>
    <xf numFmtId="0" fontId="137" fillId="0" borderId="28" applyNumberFormat="0" applyFill="0" applyAlignment="0" applyProtection="0"/>
    <xf numFmtId="0" fontId="137" fillId="0" borderId="28" applyNumberFormat="0" applyFill="0" applyAlignment="0" applyProtection="0"/>
    <xf numFmtId="0" fontId="138" fillId="0" borderId="28" applyNumberFormat="0" applyFill="0" applyAlignment="0" applyProtection="0"/>
    <xf numFmtId="0" fontId="137" fillId="0" borderId="28" applyNumberFormat="0" applyFill="0" applyAlignment="0" applyProtection="0"/>
    <xf numFmtId="0" fontId="137" fillId="0" borderId="28" applyNumberFormat="0" applyFill="0" applyAlignment="0" applyProtection="0"/>
    <xf numFmtId="0" fontId="137" fillId="0" borderId="28" applyNumberFormat="0" applyFill="0" applyAlignment="0" applyProtection="0"/>
    <xf numFmtId="0" fontId="137" fillId="0" borderId="28" applyNumberFormat="0" applyFill="0" applyAlignment="0" applyProtection="0"/>
    <xf numFmtId="0" fontId="137" fillId="0" borderId="28" applyNumberFormat="0" applyFill="0" applyAlignment="0" applyProtection="0"/>
    <xf numFmtId="0" fontId="137" fillId="0" borderId="28" applyNumberFormat="0" applyFill="0" applyAlignment="0" applyProtection="0"/>
    <xf numFmtId="0" fontId="137" fillId="0" borderId="28" applyNumberFormat="0" applyFill="0" applyAlignment="0" applyProtection="0"/>
    <xf numFmtId="0" fontId="137" fillId="0" borderId="28" applyNumberFormat="0" applyFill="0" applyAlignment="0" applyProtection="0"/>
    <xf numFmtId="0" fontId="70" fillId="0" borderId="12" applyNumberFormat="0" applyFill="0" applyAlignment="0" applyProtection="0"/>
    <xf numFmtId="0" fontId="8" fillId="0" borderId="4" applyNumberFormat="0" applyFill="0" applyAlignment="0" applyProtection="0"/>
    <xf numFmtId="0" fontId="70" fillId="0" borderId="12" applyNumberFormat="0" applyFill="0" applyAlignment="0" applyProtection="0"/>
    <xf numFmtId="0" fontId="70" fillId="0" borderId="12" applyNumberFormat="0" applyFill="0" applyAlignment="0" applyProtection="0"/>
    <xf numFmtId="0" fontId="70" fillId="0" borderId="12" applyNumberFormat="0" applyFill="0" applyAlignment="0" applyProtection="0"/>
    <xf numFmtId="0" fontId="139" fillId="0" borderId="12" applyNumberFormat="0" applyFill="0" applyAlignment="0" applyProtection="0"/>
    <xf numFmtId="0" fontId="70" fillId="0" borderId="12" applyNumberFormat="0" applyFill="0" applyAlignment="0" applyProtection="0"/>
    <xf numFmtId="0" fontId="70" fillId="0" borderId="12" applyNumberFormat="0" applyFill="0" applyAlignment="0" applyProtection="0"/>
    <xf numFmtId="0" fontId="70" fillId="0" borderId="12" applyNumberFormat="0" applyFill="0" applyAlignment="0" applyProtection="0"/>
    <xf numFmtId="0" fontId="70" fillId="0" borderId="12" applyNumberFormat="0" applyFill="0" applyAlignment="0" applyProtection="0"/>
    <xf numFmtId="0" fontId="70" fillId="0" borderId="12" applyNumberFormat="0" applyFill="0" applyAlignment="0" applyProtection="0"/>
    <xf numFmtId="0" fontId="70" fillId="0" borderId="12" applyNumberFormat="0" applyFill="0" applyAlignment="0" applyProtection="0"/>
    <xf numFmtId="0" fontId="70" fillId="0" borderId="12" applyNumberFormat="0" applyFill="0" applyAlignment="0" applyProtection="0"/>
    <xf numFmtId="0" fontId="70" fillId="0" borderId="12" applyNumberFormat="0" applyFill="0" applyAlignment="0" applyProtection="0"/>
    <xf numFmtId="0" fontId="70" fillId="0" borderId="12" applyNumberFormat="0" applyFill="0" applyAlignment="0" applyProtection="0"/>
    <xf numFmtId="0" fontId="70" fillId="0" borderId="12" applyNumberFormat="0" applyFill="0" applyAlignment="0" applyProtection="0"/>
    <xf numFmtId="0" fontId="139" fillId="0" borderId="12" applyNumberFormat="0" applyFill="0" applyAlignment="0" applyProtection="0"/>
    <xf numFmtId="0" fontId="70" fillId="0" borderId="12" applyNumberFormat="0" applyFill="0" applyAlignment="0" applyProtection="0"/>
    <xf numFmtId="0" fontId="70" fillId="0" borderId="12" applyNumberFormat="0" applyFill="0" applyAlignment="0" applyProtection="0"/>
    <xf numFmtId="0" fontId="70" fillId="0" borderId="12" applyNumberFormat="0" applyFill="0" applyAlignment="0" applyProtection="0"/>
    <xf numFmtId="0" fontId="70" fillId="0" borderId="12" applyNumberFormat="0" applyFill="0" applyAlignment="0" applyProtection="0"/>
    <xf numFmtId="0" fontId="70" fillId="0" borderId="12" applyNumberFormat="0" applyFill="0" applyAlignment="0" applyProtection="0"/>
    <xf numFmtId="0" fontId="70" fillId="0" borderId="12" applyNumberFormat="0" applyFill="0" applyAlignment="0" applyProtection="0"/>
    <xf numFmtId="0" fontId="70" fillId="0" borderId="12" applyNumberFormat="0" applyFill="0" applyAlignment="0" applyProtection="0"/>
    <xf numFmtId="0" fontId="70" fillId="0" borderId="12" applyNumberFormat="0" applyFill="0" applyAlignment="0" applyProtection="0"/>
    <xf numFmtId="0" fontId="70" fillId="0" borderId="12" applyNumberFormat="0" applyFill="0" applyAlignment="0" applyProtection="0"/>
    <xf numFmtId="0" fontId="139" fillId="0" borderId="12" applyNumberFormat="0" applyFill="0" applyAlignment="0" applyProtection="0"/>
    <xf numFmtId="0" fontId="70" fillId="0" borderId="12" applyNumberFormat="0" applyFill="0" applyAlignment="0" applyProtection="0"/>
    <xf numFmtId="0" fontId="70" fillId="0" borderId="12" applyNumberFormat="0" applyFill="0" applyAlignment="0" applyProtection="0"/>
    <xf numFmtId="0" fontId="139" fillId="0" borderId="12" applyNumberFormat="0" applyFill="0" applyAlignment="0" applyProtection="0"/>
    <xf numFmtId="0" fontId="70" fillId="0" borderId="12" applyNumberFormat="0" applyFill="0" applyAlignment="0" applyProtection="0"/>
    <xf numFmtId="0" fontId="70" fillId="0" borderId="12" applyNumberFormat="0" applyFill="0" applyAlignment="0" applyProtection="0"/>
    <xf numFmtId="0" fontId="139" fillId="0" borderId="12" applyNumberFormat="0" applyFill="0" applyAlignment="0" applyProtection="0"/>
    <xf numFmtId="0" fontId="70" fillId="0" borderId="12" applyNumberFormat="0" applyFill="0" applyAlignment="0" applyProtection="0"/>
    <xf numFmtId="0" fontId="70" fillId="0" borderId="12" applyNumberFormat="0" applyFill="0" applyAlignment="0" applyProtection="0"/>
    <xf numFmtId="0" fontId="139" fillId="0" borderId="12" applyNumberFormat="0" applyFill="0" applyAlignment="0" applyProtection="0"/>
    <xf numFmtId="0" fontId="70" fillId="0" borderId="12" applyNumberFormat="0" applyFill="0" applyAlignment="0" applyProtection="0"/>
    <xf numFmtId="0" fontId="70" fillId="0" borderId="12" applyNumberFormat="0" applyFill="0" applyAlignment="0" applyProtection="0"/>
    <xf numFmtId="0" fontId="70" fillId="0" borderId="12" applyNumberFormat="0" applyFill="0" applyAlignment="0" applyProtection="0"/>
    <xf numFmtId="0" fontId="70" fillId="0" borderId="12" applyNumberFormat="0" applyFill="0" applyAlignment="0" applyProtection="0"/>
    <xf numFmtId="0" fontId="70" fillId="0" borderId="12" applyNumberFormat="0" applyFill="0" applyAlignment="0" applyProtection="0"/>
    <xf numFmtId="0" fontId="70" fillId="0" borderId="12" applyNumberFormat="0" applyFill="0" applyAlignment="0" applyProtection="0"/>
    <xf numFmtId="0" fontId="70" fillId="0" borderId="12" applyNumberFormat="0" applyFill="0" applyAlignment="0" applyProtection="0"/>
    <xf numFmtId="0" fontId="70" fillId="0" borderId="12" applyNumberFormat="0" applyFill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139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139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139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139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139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139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134" fillId="0" borderId="0" applyBorder="0">
      <alignment horizontal="center" vertical="center" wrapText="1"/>
    </xf>
    <xf numFmtId="203" fontId="140" fillId="0" borderId="0" applyProtection="0">
      <alignment horizontal="center"/>
    </xf>
    <xf numFmtId="0" fontId="141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3" fillId="0" borderId="29" applyBorder="0">
      <alignment horizontal="center" vertical="center" wrapText="1"/>
    </xf>
    <xf numFmtId="183" fontId="45" fillId="28" borderId="8"/>
    <xf numFmtId="4" fontId="14" fillId="4" borderId="2" applyBorder="0">
      <alignment horizontal="right"/>
    </xf>
    <xf numFmtId="49" fontId="143" fillId="0" borderId="0" applyBorder="0">
      <alignment vertical="center"/>
    </xf>
    <xf numFmtId="0" fontId="144" fillId="0" borderId="30" applyNumberFormat="0" applyFill="0" applyAlignment="0" applyProtection="0"/>
    <xf numFmtId="0" fontId="144" fillId="0" borderId="30" applyNumberFormat="0" applyFill="0" applyAlignment="0" applyProtection="0"/>
    <xf numFmtId="0" fontId="144" fillId="0" borderId="30" applyNumberFormat="0" applyFill="0" applyAlignment="0" applyProtection="0"/>
    <xf numFmtId="0" fontId="144" fillId="0" borderId="30" applyNumberFormat="0" applyFill="0" applyAlignment="0" applyProtection="0"/>
    <xf numFmtId="0" fontId="145" fillId="0" borderId="30" applyNumberFormat="0" applyFill="0" applyAlignment="0" applyProtection="0"/>
    <xf numFmtId="0" fontId="144" fillId="0" borderId="30" applyNumberFormat="0" applyFill="0" applyAlignment="0" applyProtection="0"/>
    <xf numFmtId="0" fontId="144" fillId="0" borderId="30" applyNumberFormat="0" applyFill="0" applyAlignment="0" applyProtection="0"/>
    <xf numFmtId="0" fontId="144" fillId="0" borderId="30" applyNumberFormat="0" applyFill="0" applyAlignment="0" applyProtection="0"/>
    <xf numFmtId="0" fontId="144" fillId="0" borderId="30" applyNumberFormat="0" applyFill="0" applyAlignment="0" applyProtection="0"/>
    <xf numFmtId="0" fontId="144" fillId="0" borderId="30" applyNumberFormat="0" applyFill="0" applyAlignment="0" applyProtection="0"/>
    <xf numFmtId="0" fontId="144" fillId="0" borderId="30" applyNumberFormat="0" applyFill="0" applyAlignment="0" applyProtection="0"/>
    <xf numFmtId="0" fontId="144" fillId="0" borderId="30" applyNumberFormat="0" applyFill="0" applyAlignment="0" applyProtection="0"/>
    <xf numFmtId="0" fontId="144" fillId="0" borderId="30" applyNumberFormat="0" applyFill="0" applyAlignment="0" applyProtection="0"/>
    <xf numFmtId="0" fontId="144" fillId="0" borderId="30" applyNumberFormat="0" applyFill="0" applyAlignment="0" applyProtection="0"/>
    <xf numFmtId="0" fontId="144" fillId="0" borderId="30" applyNumberFormat="0" applyFill="0" applyAlignment="0" applyProtection="0"/>
    <xf numFmtId="0" fontId="145" fillId="0" borderId="30" applyNumberFormat="0" applyFill="0" applyAlignment="0" applyProtection="0"/>
    <xf numFmtId="0" fontId="144" fillId="0" borderId="30" applyNumberFormat="0" applyFill="0" applyAlignment="0" applyProtection="0"/>
    <xf numFmtId="0" fontId="144" fillId="0" borderId="30" applyNumberFormat="0" applyFill="0" applyAlignment="0" applyProtection="0"/>
    <xf numFmtId="0" fontId="144" fillId="0" borderId="30" applyNumberFormat="0" applyFill="0" applyAlignment="0" applyProtection="0"/>
    <xf numFmtId="0" fontId="144" fillId="0" borderId="30" applyNumberFormat="0" applyFill="0" applyAlignment="0" applyProtection="0"/>
    <xf numFmtId="0" fontId="144" fillId="0" borderId="30" applyNumberFormat="0" applyFill="0" applyAlignment="0" applyProtection="0"/>
    <xf numFmtId="0" fontId="144" fillId="0" borderId="30" applyNumberFormat="0" applyFill="0" applyAlignment="0" applyProtection="0"/>
    <xf numFmtId="0" fontId="144" fillId="0" borderId="30" applyNumberFormat="0" applyFill="0" applyAlignment="0" applyProtection="0"/>
    <xf numFmtId="0" fontId="144" fillId="0" borderId="30" applyNumberFormat="0" applyFill="0" applyAlignment="0" applyProtection="0"/>
    <xf numFmtId="0" fontId="144" fillId="0" borderId="30" applyNumberFormat="0" applyFill="0" applyAlignment="0" applyProtection="0"/>
    <xf numFmtId="0" fontId="145" fillId="0" borderId="30" applyNumberFormat="0" applyFill="0" applyAlignment="0" applyProtection="0"/>
    <xf numFmtId="0" fontId="144" fillId="0" borderId="30" applyNumberFormat="0" applyFill="0" applyAlignment="0" applyProtection="0"/>
    <xf numFmtId="0" fontId="144" fillId="0" borderId="30" applyNumberFormat="0" applyFill="0" applyAlignment="0" applyProtection="0"/>
    <xf numFmtId="0" fontId="145" fillId="0" borderId="30" applyNumberFormat="0" applyFill="0" applyAlignment="0" applyProtection="0"/>
    <xf numFmtId="0" fontId="144" fillId="0" borderId="30" applyNumberFormat="0" applyFill="0" applyAlignment="0" applyProtection="0"/>
    <xf numFmtId="0" fontId="144" fillId="0" borderId="30" applyNumberFormat="0" applyFill="0" applyAlignment="0" applyProtection="0"/>
    <xf numFmtId="0" fontId="145" fillId="0" borderId="30" applyNumberFormat="0" applyFill="0" applyAlignment="0" applyProtection="0"/>
    <xf numFmtId="0" fontId="144" fillId="0" borderId="30" applyNumberFormat="0" applyFill="0" applyAlignment="0" applyProtection="0"/>
    <xf numFmtId="0" fontId="144" fillId="0" borderId="30" applyNumberFormat="0" applyFill="0" applyAlignment="0" applyProtection="0"/>
    <xf numFmtId="0" fontId="145" fillId="0" borderId="30" applyNumberFormat="0" applyFill="0" applyAlignment="0" applyProtection="0"/>
    <xf numFmtId="0" fontId="144" fillId="0" borderId="30" applyNumberFormat="0" applyFill="0" applyAlignment="0" applyProtection="0"/>
    <xf numFmtId="0" fontId="144" fillId="0" borderId="30" applyNumberFormat="0" applyFill="0" applyAlignment="0" applyProtection="0"/>
    <xf numFmtId="0" fontId="144" fillId="0" borderId="30" applyNumberFormat="0" applyFill="0" applyAlignment="0" applyProtection="0"/>
    <xf numFmtId="0" fontId="144" fillId="0" borderId="30" applyNumberFormat="0" applyFill="0" applyAlignment="0" applyProtection="0"/>
    <xf numFmtId="0" fontId="144" fillId="0" borderId="30" applyNumberFormat="0" applyFill="0" applyAlignment="0" applyProtection="0"/>
    <xf numFmtId="0" fontId="144" fillId="0" borderId="30" applyNumberFormat="0" applyFill="0" applyAlignment="0" applyProtection="0"/>
    <xf numFmtId="0" fontId="144" fillId="0" borderId="30" applyNumberFormat="0" applyFill="0" applyAlignment="0" applyProtection="0"/>
    <xf numFmtId="0" fontId="144" fillId="0" borderId="30" applyNumberFormat="0" applyFill="0" applyAlignment="0" applyProtection="0"/>
    <xf numFmtId="3" fontId="45" fillId="0" borderId="2" applyBorder="0">
      <alignment vertical="center"/>
    </xf>
    <xf numFmtId="0" fontId="83" fillId="0" borderId="7" applyNumberFormat="0" applyFill="0" applyAlignment="0" applyProtection="0"/>
    <xf numFmtId="0" fontId="83" fillId="0" borderId="7" applyNumberFormat="0" applyFill="0" applyAlignment="0" applyProtection="0"/>
    <xf numFmtId="0" fontId="83" fillId="0" borderId="7" applyNumberFormat="0" applyFill="0" applyAlignment="0" applyProtection="0"/>
    <xf numFmtId="0" fontId="83" fillId="0" borderId="7" applyNumberFormat="0" applyFill="0" applyAlignment="0" applyProtection="0"/>
    <xf numFmtId="0" fontId="83" fillId="0" borderId="7" applyNumberFormat="0" applyFill="0" applyAlignment="0" applyProtection="0"/>
    <xf numFmtId="0" fontId="83" fillId="0" borderId="7" applyNumberFormat="0" applyFill="0" applyAlignment="0" applyProtection="0"/>
    <xf numFmtId="0" fontId="83" fillId="0" borderId="7" applyNumberFormat="0" applyFill="0" applyAlignment="0" applyProtection="0"/>
    <xf numFmtId="0" fontId="83" fillId="0" borderId="7" applyNumberFormat="0" applyFill="0" applyAlignment="0" applyProtection="0"/>
    <xf numFmtId="0" fontId="83" fillId="0" borderId="7" applyNumberFormat="0" applyFill="0" applyAlignment="0" applyProtection="0"/>
    <xf numFmtId="0" fontId="83" fillId="0" borderId="7" applyNumberFormat="0" applyFill="0" applyAlignment="0" applyProtection="0"/>
    <xf numFmtId="0" fontId="41" fillId="27" borderId="9" applyNumberFormat="0" applyAlignment="0" applyProtection="0"/>
    <xf numFmtId="0" fontId="41" fillId="27" borderId="9" applyNumberFormat="0" applyAlignment="0" applyProtection="0"/>
    <xf numFmtId="0" fontId="41" fillId="27" borderId="9" applyNumberFormat="0" applyAlignment="0" applyProtection="0"/>
    <xf numFmtId="0" fontId="41" fillId="27" borderId="9" applyNumberFormat="0" applyAlignment="0" applyProtection="0"/>
    <xf numFmtId="0" fontId="146" fillId="27" borderId="9" applyNumberFormat="0" applyAlignment="0" applyProtection="0"/>
    <xf numFmtId="0" fontId="41" fillId="27" borderId="9" applyNumberFormat="0" applyAlignment="0" applyProtection="0"/>
    <xf numFmtId="0" fontId="41" fillId="27" borderId="9" applyNumberFormat="0" applyAlignment="0" applyProtection="0"/>
    <xf numFmtId="0" fontId="41" fillId="27" borderId="9" applyNumberFormat="0" applyAlignment="0" applyProtection="0"/>
    <xf numFmtId="0" fontId="41" fillId="27" borderId="9" applyNumberFormat="0" applyAlignment="0" applyProtection="0"/>
    <xf numFmtId="0" fontId="41" fillId="27" borderId="9" applyNumberFormat="0" applyAlignment="0" applyProtection="0"/>
    <xf numFmtId="0" fontId="41" fillId="27" borderId="9" applyNumberFormat="0" applyAlignment="0" applyProtection="0"/>
    <xf numFmtId="0" fontId="41" fillId="27" borderId="9" applyNumberFormat="0" applyAlignment="0" applyProtection="0"/>
    <xf numFmtId="0" fontId="41" fillId="27" borderId="9" applyNumberFormat="0" applyAlignment="0" applyProtection="0"/>
    <xf numFmtId="0" fontId="41" fillId="27" borderId="9" applyNumberFormat="0" applyAlignment="0" applyProtection="0"/>
    <xf numFmtId="0" fontId="41" fillId="27" borderId="9" applyNumberFormat="0" applyAlignment="0" applyProtection="0"/>
    <xf numFmtId="0" fontId="146" fillId="27" borderId="9" applyNumberFormat="0" applyAlignment="0" applyProtection="0"/>
    <xf numFmtId="0" fontId="41" fillId="27" borderId="9" applyNumberFormat="0" applyAlignment="0" applyProtection="0"/>
    <xf numFmtId="0" fontId="41" fillId="27" borderId="9" applyNumberFormat="0" applyAlignment="0" applyProtection="0"/>
    <xf numFmtId="0" fontId="41" fillId="27" borderId="9" applyNumberFormat="0" applyAlignment="0" applyProtection="0"/>
    <xf numFmtId="0" fontId="41" fillId="27" borderId="9" applyNumberFormat="0" applyAlignment="0" applyProtection="0"/>
    <xf numFmtId="0" fontId="41" fillId="27" borderId="9" applyNumberFormat="0" applyAlignment="0" applyProtection="0"/>
    <xf numFmtId="0" fontId="41" fillId="27" borderId="9" applyNumberFormat="0" applyAlignment="0" applyProtection="0"/>
    <xf numFmtId="0" fontId="41" fillId="27" borderId="9" applyNumberFormat="0" applyAlignment="0" applyProtection="0"/>
    <xf numFmtId="0" fontId="41" fillId="27" borderId="9" applyNumberFormat="0" applyAlignment="0" applyProtection="0"/>
    <xf numFmtId="0" fontId="41" fillId="27" borderId="9" applyNumberFormat="0" applyAlignment="0" applyProtection="0"/>
    <xf numFmtId="0" fontId="146" fillId="27" borderId="9" applyNumberFormat="0" applyAlignment="0" applyProtection="0"/>
    <xf numFmtId="0" fontId="41" fillId="27" borderId="9" applyNumberFormat="0" applyAlignment="0" applyProtection="0"/>
    <xf numFmtId="0" fontId="41" fillId="27" borderId="9" applyNumberFormat="0" applyAlignment="0" applyProtection="0"/>
    <xf numFmtId="0" fontId="146" fillId="27" borderId="9" applyNumberFormat="0" applyAlignment="0" applyProtection="0"/>
    <xf numFmtId="0" fontId="41" fillId="27" borderId="9" applyNumberFormat="0" applyAlignment="0" applyProtection="0"/>
    <xf numFmtId="0" fontId="41" fillId="27" borderId="9" applyNumberFormat="0" applyAlignment="0" applyProtection="0"/>
    <xf numFmtId="0" fontId="146" fillId="27" borderId="9" applyNumberFormat="0" applyAlignment="0" applyProtection="0"/>
    <xf numFmtId="0" fontId="41" fillId="27" borderId="9" applyNumberFormat="0" applyAlignment="0" applyProtection="0"/>
    <xf numFmtId="0" fontId="41" fillId="27" borderId="9" applyNumberFormat="0" applyAlignment="0" applyProtection="0"/>
    <xf numFmtId="0" fontId="146" fillId="27" borderId="9" applyNumberFormat="0" applyAlignment="0" applyProtection="0"/>
    <xf numFmtId="0" fontId="41" fillId="27" borderId="9" applyNumberFormat="0" applyAlignment="0" applyProtection="0"/>
    <xf numFmtId="0" fontId="41" fillId="27" borderId="9" applyNumberFormat="0" applyAlignment="0" applyProtection="0"/>
    <xf numFmtId="0" fontId="41" fillId="27" borderId="9" applyNumberFormat="0" applyAlignment="0" applyProtection="0"/>
    <xf numFmtId="0" fontId="41" fillId="27" borderId="9" applyNumberFormat="0" applyAlignment="0" applyProtection="0"/>
    <xf numFmtId="0" fontId="41" fillId="27" borderId="9" applyNumberFormat="0" applyAlignment="0" applyProtection="0"/>
    <xf numFmtId="0" fontId="41" fillId="27" borderId="9" applyNumberFormat="0" applyAlignment="0" applyProtection="0"/>
    <xf numFmtId="0" fontId="41" fillId="27" borderId="9" applyNumberFormat="0" applyAlignment="0" applyProtection="0"/>
    <xf numFmtId="0" fontId="41" fillId="27" borderId="9" applyNumberFormat="0" applyAlignment="0" applyProtection="0"/>
    <xf numFmtId="0" fontId="26" fillId="0" borderId="0">
      <alignment wrapText="1"/>
    </xf>
    <xf numFmtId="0" fontId="83" fillId="3" borderId="0" applyFill="0">
      <alignment wrapText="1"/>
    </xf>
    <xf numFmtId="0" fontId="83" fillId="3" borderId="0" applyFill="0">
      <alignment wrapText="1"/>
    </xf>
    <xf numFmtId="0" fontId="83" fillId="3" borderId="0" applyFill="0">
      <alignment wrapText="1"/>
    </xf>
    <xf numFmtId="0" fontId="83" fillId="3" borderId="0" applyFill="0">
      <alignment wrapText="1"/>
    </xf>
    <xf numFmtId="0" fontId="83" fillId="3" borderId="0" applyFill="0">
      <alignment wrapText="1"/>
    </xf>
    <xf numFmtId="0" fontId="83" fillId="3" borderId="0" applyFill="0">
      <alignment wrapText="1"/>
    </xf>
    <xf numFmtId="0" fontId="83" fillId="3" borderId="0" applyFill="0">
      <alignment wrapText="1"/>
    </xf>
    <xf numFmtId="0" fontId="83" fillId="3" borderId="0" applyFill="0">
      <alignment wrapText="1"/>
    </xf>
    <xf numFmtId="0" fontId="83" fillId="3" borderId="0" applyFill="0">
      <alignment wrapText="1"/>
    </xf>
    <xf numFmtId="0" fontId="83" fillId="3" borderId="0" applyFill="0">
      <alignment wrapText="1"/>
    </xf>
    <xf numFmtId="0" fontId="83" fillId="3" borderId="0" applyFill="0">
      <alignment wrapText="1"/>
    </xf>
    <xf numFmtId="0" fontId="83" fillId="3" borderId="0" applyFill="0">
      <alignment wrapText="1"/>
    </xf>
    <xf numFmtId="0" fontId="83" fillId="3" borderId="0" applyFill="0">
      <alignment wrapText="1"/>
    </xf>
    <xf numFmtId="0" fontId="83" fillId="3" borderId="0" applyFill="0">
      <alignment wrapText="1"/>
    </xf>
    <xf numFmtId="0" fontId="83" fillId="3" borderId="0" applyFill="0">
      <alignment wrapText="1"/>
    </xf>
    <xf numFmtId="0" fontId="83" fillId="3" borderId="0" applyFill="0">
      <alignment wrapText="1"/>
    </xf>
    <xf numFmtId="0" fontId="83" fillId="3" borderId="0" applyFill="0">
      <alignment wrapText="1"/>
    </xf>
    <xf numFmtId="0" fontId="83" fillId="3" borderId="0" applyFill="0">
      <alignment wrapText="1"/>
    </xf>
    <xf numFmtId="0" fontId="83" fillId="3" borderId="0" applyFill="0">
      <alignment wrapText="1"/>
    </xf>
    <xf numFmtId="0" fontId="83" fillId="3" borderId="0" applyFill="0">
      <alignment wrapText="1"/>
    </xf>
    <xf numFmtId="0" fontId="83" fillId="3" borderId="0" applyFill="0">
      <alignment wrapText="1"/>
    </xf>
    <xf numFmtId="0" fontId="83" fillId="3" borderId="0" applyFill="0">
      <alignment wrapText="1"/>
    </xf>
    <xf numFmtId="0" fontId="83" fillId="3" borderId="0" applyFill="0">
      <alignment wrapText="1"/>
    </xf>
    <xf numFmtId="0" fontId="83" fillId="3" borderId="0" applyFill="0">
      <alignment wrapText="1"/>
    </xf>
    <xf numFmtId="0" fontId="83" fillId="3" borderId="0" applyFill="0">
      <alignment wrapText="1"/>
    </xf>
    <xf numFmtId="0" fontId="83" fillId="3" borderId="0" applyFill="0">
      <alignment wrapText="1"/>
    </xf>
    <xf numFmtId="0" fontId="83" fillId="3" borderId="0" applyFill="0">
      <alignment wrapText="1"/>
    </xf>
    <xf numFmtId="0" fontId="83" fillId="3" borderId="0" applyFill="0">
      <alignment wrapText="1"/>
    </xf>
    <xf numFmtId="0" fontId="83" fillId="3" borderId="0" applyFill="0">
      <alignment wrapText="1"/>
    </xf>
    <xf numFmtId="0" fontId="83" fillId="3" borderId="0" applyFill="0">
      <alignment wrapText="1"/>
    </xf>
    <xf numFmtId="0" fontId="83" fillId="3" borderId="0" applyFill="0">
      <alignment wrapText="1"/>
    </xf>
    <xf numFmtId="0" fontId="83" fillId="3" borderId="0" applyFill="0">
      <alignment wrapText="1"/>
    </xf>
    <xf numFmtId="0" fontId="83" fillId="3" borderId="0" applyFill="0">
      <alignment wrapText="1"/>
    </xf>
    <xf numFmtId="0" fontId="83" fillId="3" borderId="0" applyFill="0">
      <alignment wrapText="1"/>
    </xf>
    <xf numFmtId="0" fontId="83" fillId="3" borderId="0" applyFill="0">
      <alignment wrapText="1"/>
    </xf>
    <xf numFmtId="0" fontId="83" fillId="3" borderId="0" applyFill="0">
      <alignment wrapText="1"/>
    </xf>
    <xf numFmtId="0" fontId="83" fillId="3" borderId="0" applyFill="0">
      <alignment wrapText="1"/>
    </xf>
    <xf numFmtId="0" fontId="83" fillId="3" borderId="0" applyFill="0">
      <alignment wrapText="1"/>
    </xf>
    <xf numFmtId="0" fontId="83" fillId="3" borderId="0" applyFill="0">
      <alignment wrapText="1"/>
    </xf>
    <xf numFmtId="0" fontId="83" fillId="3" borderId="0" applyFill="0">
      <alignment wrapText="1"/>
    </xf>
    <xf numFmtId="0" fontId="83" fillId="3" borderId="0" applyFill="0">
      <alignment wrapText="1"/>
    </xf>
    <xf numFmtId="0" fontId="83" fillId="3" borderId="0" applyFill="0">
      <alignment wrapText="1"/>
    </xf>
    <xf numFmtId="0" fontId="83" fillId="3" borderId="0" applyFill="0">
      <alignment wrapText="1"/>
    </xf>
    <xf numFmtId="0" fontId="83" fillId="3" borderId="0" applyFill="0">
      <alignment wrapText="1"/>
    </xf>
    <xf numFmtId="0" fontId="83" fillId="3" borderId="0" applyFill="0">
      <alignment wrapText="1"/>
    </xf>
    <xf numFmtId="0" fontId="83" fillId="3" borderId="0" applyFill="0">
      <alignment wrapText="1"/>
    </xf>
    <xf numFmtId="0" fontId="83" fillId="3" borderId="0" applyFill="0">
      <alignment wrapText="1"/>
    </xf>
    <xf numFmtId="0" fontId="83" fillId="3" borderId="0" applyFill="0">
      <alignment wrapText="1"/>
    </xf>
    <xf numFmtId="0" fontId="83" fillId="3" borderId="0" applyFill="0">
      <alignment wrapText="1"/>
    </xf>
    <xf numFmtId="0" fontId="83" fillId="3" borderId="0" applyFill="0">
      <alignment wrapText="1"/>
    </xf>
    <xf numFmtId="0" fontId="83" fillId="3" borderId="0" applyFill="0">
      <alignment wrapText="1"/>
    </xf>
    <xf numFmtId="0" fontId="83" fillId="3" borderId="0" applyFill="0">
      <alignment wrapText="1"/>
    </xf>
    <xf numFmtId="0" fontId="83" fillId="3" borderId="0" applyFill="0">
      <alignment wrapText="1"/>
    </xf>
    <xf numFmtId="173" fontId="83" fillId="3" borderId="0" applyFill="0">
      <alignment wrapText="1"/>
    </xf>
    <xf numFmtId="0" fontId="142" fillId="0" borderId="0">
      <alignment horizontal="center" vertical="top" wrapText="1"/>
    </xf>
    <xf numFmtId="0" fontId="147" fillId="0" borderId="0">
      <alignment horizontal="center" vertical="center" wrapText="1"/>
    </xf>
    <xf numFmtId="0" fontId="147" fillId="0" borderId="0">
      <alignment horizontal="center" vertical="center" wrapText="1"/>
    </xf>
    <xf numFmtId="173" fontId="142" fillId="0" borderId="0">
      <alignment horizontal="center" vertical="top" wrapText="1"/>
    </xf>
    <xf numFmtId="168" fontId="148" fillId="3" borderId="2">
      <alignment wrapText="1"/>
    </xf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164" fontId="149" fillId="0" borderId="0"/>
    <xf numFmtId="0" fontId="82" fillId="33" borderId="0" applyNumberFormat="0" applyBorder="0" applyAlignment="0" applyProtection="0"/>
    <xf numFmtId="0" fontId="82" fillId="33" borderId="0" applyNumberFormat="0" applyBorder="0" applyAlignment="0" applyProtection="0"/>
    <xf numFmtId="0" fontId="82" fillId="33" borderId="0" applyNumberFormat="0" applyBorder="0" applyAlignment="0" applyProtection="0"/>
    <xf numFmtId="0" fontId="82" fillId="33" borderId="0" applyNumberFormat="0" applyBorder="0" applyAlignment="0" applyProtection="0"/>
    <xf numFmtId="0" fontId="150" fillId="33" borderId="0" applyNumberFormat="0" applyBorder="0" applyAlignment="0" applyProtection="0"/>
    <xf numFmtId="0" fontId="82" fillId="33" borderId="0" applyNumberFormat="0" applyBorder="0" applyAlignment="0" applyProtection="0"/>
    <xf numFmtId="0" fontId="82" fillId="33" borderId="0" applyNumberFormat="0" applyBorder="0" applyAlignment="0" applyProtection="0"/>
    <xf numFmtId="0" fontId="82" fillId="33" borderId="0" applyNumberFormat="0" applyBorder="0" applyAlignment="0" applyProtection="0"/>
    <xf numFmtId="0" fontId="82" fillId="33" borderId="0" applyNumberFormat="0" applyBorder="0" applyAlignment="0" applyProtection="0"/>
    <xf numFmtId="0" fontId="82" fillId="33" borderId="0" applyNumberFormat="0" applyBorder="0" applyAlignment="0" applyProtection="0"/>
    <xf numFmtId="0" fontId="82" fillId="33" borderId="0" applyNumberFormat="0" applyBorder="0" applyAlignment="0" applyProtection="0"/>
    <xf numFmtId="0" fontId="82" fillId="33" borderId="0" applyNumberFormat="0" applyBorder="0" applyAlignment="0" applyProtection="0"/>
    <xf numFmtId="0" fontId="82" fillId="33" borderId="0" applyNumberFormat="0" applyBorder="0" applyAlignment="0" applyProtection="0"/>
    <xf numFmtId="0" fontId="82" fillId="33" borderId="0" applyNumberFormat="0" applyBorder="0" applyAlignment="0" applyProtection="0"/>
    <xf numFmtId="0" fontId="82" fillId="33" borderId="0" applyNumberFormat="0" applyBorder="0" applyAlignment="0" applyProtection="0"/>
    <xf numFmtId="0" fontId="150" fillId="33" borderId="0" applyNumberFormat="0" applyBorder="0" applyAlignment="0" applyProtection="0"/>
    <xf numFmtId="0" fontId="82" fillId="33" borderId="0" applyNumberFormat="0" applyBorder="0" applyAlignment="0" applyProtection="0"/>
    <xf numFmtId="0" fontId="82" fillId="33" borderId="0" applyNumberFormat="0" applyBorder="0" applyAlignment="0" applyProtection="0"/>
    <xf numFmtId="0" fontId="82" fillId="33" borderId="0" applyNumberFormat="0" applyBorder="0" applyAlignment="0" applyProtection="0"/>
    <xf numFmtId="0" fontId="82" fillId="33" borderId="0" applyNumberFormat="0" applyBorder="0" applyAlignment="0" applyProtection="0"/>
    <xf numFmtId="0" fontId="82" fillId="33" borderId="0" applyNumberFormat="0" applyBorder="0" applyAlignment="0" applyProtection="0"/>
    <xf numFmtId="0" fontId="82" fillId="33" borderId="0" applyNumberFormat="0" applyBorder="0" applyAlignment="0" applyProtection="0"/>
    <xf numFmtId="0" fontId="82" fillId="33" borderId="0" applyNumberFormat="0" applyBorder="0" applyAlignment="0" applyProtection="0"/>
    <xf numFmtId="0" fontId="82" fillId="33" borderId="0" applyNumberFormat="0" applyBorder="0" applyAlignment="0" applyProtection="0"/>
    <xf numFmtId="0" fontId="82" fillId="33" borderId="0" applyNumberFormat="0" applyBorder="0" applyAlignment="0" applyProtection="0"/>
    <xf numFmtId="0" fontId="150" fillId="33" borderId="0" applyNumberFormat="0" applyBorder="0" applyAlignment="0" applyProtection="0"/>
    <xf numFmtId="0" fontId="82" fillId="33" borderId="0" applyNumberFormat="0" applyBorder="0" applyAlignment="0" applyProtection="0"/>
    <xf numFmtId="0" fontId="82" fillId="33" borderId="0" applyNumberFormat="0" applyBorder="0" applyAlignment="0" applyProtection="0"/>
    <xf numFmtId="0" fontId="150" fillId="33" borderId="0" applyNumberFormat="0" applyBorder="0" applyAlignment="0" applyProtection="0"/>
    <xf numFmtId="0" fontId="82" fillId="33" borderId="0" applyNumberFormat="0" applyBorder="0" applyAlignment="0" applyProtection="0"/>
    <xf numFmtId="0" fontId="82" fillId="33" borderId="0" applyNumberFormat="0" applyBorder="0" applyAlignment="0" applyProtection="0"/>
    <xf numFmtId="0" fontId="150" fillId="33" borderId="0" applyNumberFormat="0" applyBorder="0" applyAlignment="0" applyProtection="0"/>
    <xf numFmtId="0" fontId="82" fillId="33" borderId="0" applyNumberFormat="0" applyBorder="0" applyAlignment="0" applyProtection="0"/>
    <xf numFmtId="0" fontId="82" fillId="33" borderId="0" applyNumberFormat="0" applyBorder="0" applyAlignment="0" applyProtection="0"/>
    <xf numFmtId="0" fontId="150" fillId="33" borderId="0" applyNumberFormat="0" applyBorder="0" applyAlignment="0" applyProtection="0"/>
    <xf numFmtId="0" fontId="82" fillId="33" borderId="0" applyNumberFormat="0" applyBorder="0" applyAlignment="0" applyProtection="0"/>
    <xf numFmtId="0" fontId="82" fillId="33" borderId="0" applyNumberFormat="0" applyBorder="0" applyAlignment="0" applyProtection="0"/>
    <xf numFmtId="0" fontId="82" fillId="33" borderId="0" applyNumberFormat="0" applyBorder="0" applyAlignment="0" applyProtection="0"/>
    <xf numFmtId="0" fontId="82" fillId="33" borderId="0" applyNumberFormat="0" applyBorder="0" applyAlignment="0" applyProtection="0"/>
    <xf numFmtId="0" fontId="82" fillId="33" borderId="0" applyNumberFormat="0" applyBorder="0" applyAlignment="0" applyProtection="0"/>
    <xf numFmtId="0" fontId="82" fillId="33" borderId="0" applyNumberFormat="0" applyBorder="0" applyAlignment="0" applyProtection="0"/>
    <xf numFmtId="49" fontId="122" fillId="0" borderId="2">
      <alignment horizontal="right" vertical="top" wrapText="1"/>
    </xf>
    <xf numFmtId="170" fontId="151" fillId="0" borderId="0">
      <alignment horizontal="right" vertical="top" wrapText="1"/>
    </xf>
    <xf numFmtId="0" fontId="6" fillId="0" borderId="0"/>
    <xf numFmtId="0" fontId="1" fillId="0" borderId="0"/>
    <xf numFmtId="0" fontId="1" fillId="0" borderId="0"/>
    <xf numFmtId="49" fontId="14" fillId="0" borderId="0" applyBorder="0">
      <alignment vertical="top"/>
    </xf>
    <xf numFmtId="0" fontId="6" fillId="0" borderId="0"/>
    <xf numFmtId="0" fontId="6" fillId="0" borderId="0"/>
    <xf numFmtId="0" fontId="152" fillId="0" borderId="0"/>
    <xf numFmtId="0" fontId="18" fillId="0" borderId="0"/>
    <xf numFmtId="0" fontId="18" fillId="0" borderId="0"/>
    <xf numFmtId="0" fontId="15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8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31" fillId="0" borderId="0"/>
    <xf numFmtId="0" fontId="6" fillId="0" borderId="0"/>
    <xf numFmtId="0" fontId="154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49" fontId="14" fillId="0" borderId="0" applyBorder="0">
      <alignment vertical="top"/>
    </xf>
    <xf numFmtId="0" fontId="31" fillId="0" borderId="0"/>
    <xf numFmtId="0" fontId="31" fillId="0" borderId="0"/>
    <xf numFmtId="49" fontId="14" fillId="0" borderId="0" applyBorder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53" fillId="0" borderId="0"/>
    <xf numFmtId="0" fontId="26" fillId="0" borderId="0"/>
    <xf numFmtId="0" fontId="19" fillId="0" borderId="0">
      <alignment horizontal="left"/>
    </xf>
    <xf numFmtId="0" fontId="1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3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55" fillId="43" borderId="0" applyNumberFormat="0" applyBorder="0" applyAlignment="0">
      <alignment horizontal="left" vertical="center"/>
    </xf>
    <xf numFmtId="0" fontId="26" fillId="0" borderId="0"/>
    <xf numFmtId="0" fontId="156" fillId="0" borderId="0"/>
    <xf numFmtId="0" fontId="26" fillId="0" borderId="0"/>
    <xf numFmtId="0" fontId="18" fillId="0" borderId="0"/>
    <xf numFmtId="0" fontId="26" fillId="0" borderId="0"/>
    <xf numFmtId="0" fontId="153" fillId="0" borderId="0"/>
    <xf numFmtId="0" fontId="153" fillId="0" borderId="0"/>
    <xf numFmtId="49" fontId="14" fillId="0" borderId="0" applyBorder="0">
      <alignment vertical="top"/>
    </xf>
    <xf numFmtId="0" fontId="153" fillId="0" borderId="0"/>
    <xf numFmtId="0" fontId="26" fillId="0" borderId="0"/>
    <xf numFmtId="0" fontId="18" fillId="0" borderId="0" applyNumberFormat="0" applyFont="0" applyFill="0" applyBorder="0" applyAlignment="0" applyProtection="0">
      <alignment vertical="top"/>
    </xf>
    <xf numFmtId="0" fontId="156" fillId="0" borderId="0"/>
    <xf numFmtId="0" fontId="18" fillId="0" borderId="0"/>
    <xf numFmtId="0" fontId="31" fillId="0" borderId="0"/>
    <xf numFmtId="0" fontId="31" fillId="0" borderId="0"/>
    <xf numFmtId="0" fontId="26" fillId="0" borderId="0"/>
    <xf numFmtId="0" fontId="155" fillId="43" borderId="0" applyNumberFormat="0" applyBorder="0" applyAlignment="0">
      <alignment horizontal="left" vertical="center"/>
    </xf>
    <xf numFmtId="0" fontId="155" fillId="43" borderId="0" applyNumberFormat="0" applyBorder="0" applyAlignment="0">
      <alignment horizontal="left" vertical="center"/>
    </xf>
    <xf numFmtId="0" fontId="157" fillId="0" borderId="0"/>
    <xf numFmtId="0" fontId="26" fillId="0" borderId="0"/>
    <xf numFmtId="0" fontId="156" fillId="0" borderId="0"/>
    <xf numFmtId="0" fontId="31" fillId="0" borderId="0"/>
    <xf numFmtId="0" fontId="31" fillId="0" borderId="0"/>
    <xf numFmtId="0" fontId="26" fillId="0" borderId="0"/>
    <xf numFmtId="0" fontId="1" fillId="0" borderId="0"/>
    <xf numFmtId="0" fontId="1" fillId="0" borderId="0"/>
    <xf numFmtId="0" fontId="156" fillId="0" borderId="0"/>
    <xf numFmtId="0" fontId="31" fillId="0" borderId="0"/>
    <xf numFmtId="0" fontId="26" fillId="0" borderId="0"/>
    <xf numFmtId="0" fontId="1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8" fillId="0" borderId="0"/>
    <xf numFmtId="0" fontId="31" fillId="0" borderId="0"/>
    <xf numFmtId="0" fontId="26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8" fillId="0" borderId="0"/>
    <xf numFmtId="0" fontId="18" fillId="0" borderId="0"/>
    <xf numFmtId="0" fontId="31" fillId="0" borderId="0"/>
    <xf numFmtId="0" fontId="26" fillId="0" borderId="0"/>
    <xf numFmtId="0" fontId="26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6" fillId="0" borderId="0"/>
    <xf numFmtId="0" fontId="1" fillId="0" borderId="0"/>
    <xf numFmtId="0" fontId="1" fillId="0" borderId="0"/>
    <xf numFmtId="0" fontId="31" fillId="0" borderId="0"/>
    <xf numFmtId="0" fontId="26" fillId="0" borderId="0"/>
    <xf numFmtId="0" fontId="18" fillId="0" borderId="0"/>
    <xf numFmtId="0" fontId="26" fillId="0" borderId="0"/>
    <xf numFmtId="0" fontId="18" fillId="0" borderId="0"/>
    <xf numFmtId="0" fontId="6" fillId="0" borderId="0">
      <alignment wrapText="1"/>
    </xf>
    <xf numFmtId="0" fontId="26" fillId="0" borderId="0"/>
    <xf numFmtId="0" fontId="6" fillId="0" borderId="0">
      <alignment wrapText="1"/>
    </xf>
    <xf numFmtId="0" fontId="6" fillId="0" borderId="0">
      <alignment wrapText="1"/>
    </xf>
    <xf numFmtId="0" fontId="26" fillId="0" borderId="0"/>
    <xf numFmtId="0" fontId="6" fillId="0" borderId="0">
      <alignment wrapText="1"/>
    </xf>
    <xf numFmtId="0" fontId="6" fillId="0" borderId="0">
      <alignment wrapText="1"/>
    </xf>
    <xf numFmtId="0" fontId="26" fillId="0" borderId="0"/>
    <xf numFmtId="0" fontId="6" fillId="0" borderId="0">
      <alignment wrapText="1"/>
    </xf>
    <xf numFmtId="0" fontId="6" fillId="0" borderId="0">
      <alignment wrapText="1"/>
    </xf>
    <xf numFmtId="0" fontId="6" fillId="0" borderId="0">
      <alignment wrapText="1"/>
    </xf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18" fillId="0" borderId="0"/>
    <xf numFmtId="0" fontId="26" fillId="0" borderId="0"/>
    <xf numFmtId="0" fontId="18" fillId="0" borderId="0"/>
    <xf numFmtId="0" fontId="26" fillId="0" borderId="0"/>
    <xf numFmtId="0" fontId="18" fillId="0" borderId="0"/>
    <xf numFmtId="0" fontId="26" fillId="0" borderId="0"/>
    <xf numFmtId="0" fontId="26" fillId="0" borderId="0"/>
    <xf numFmtId="49" fontId="14" fillId="43" borderId="0" applyBorder="0">
      <alignment vertical="top"/>
    </xf>
    <xf numFmtId="0" fontId="18" fillId="0" borderId="0"/>
    <xf numFmtId="0" fontId="26" fillId="0" borderId="0"/>
    <xf numFmtId="0" fontId="31" fillId="0" borderId="0"/>
    <xf numFmtId="0" fontId="31" fillId="0" borderId="0"/>
    <xf numFmtId="0" fontId="26" fillId="0" borderId="0"/>
    <xf numFmtId="0" fontId="18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57" fillId="0" borderId="0"/>
    <xf numFmtId="0" fontId="18" fillId="0" borderId="0"/>
    <xf numFmtId="0" fontId="26" fillId="0" borderId="0"/>
    <xf numFmtId="0" fontId="26" fillId="0" borderId="0"/>
    <xf numFmtId="0" fontId="158" fillId="0" borderId="0"/>
    <xf numFmtId="0" fontId="1" fillId="0" borderId="0"/>
    <xf numFmtId="0" fontId="1" fillId="0" borderId="0"/>
    <xf numFmtId="0" fontId="26" fillId="0" borderId="0"/>
    <xf numFmtId="207" fontId="5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207" fontId="58" fillId="0" borderId="0"/>
    <xf numFmtId="0" fontId="31" fillId="0" borderId="0"/>
    <xf numFmtId="0" fontId="26" fillId="0" borderId="0"/>
    <xf numFmtId="0" fontId="18" fillId="0" borderId="0"/>
    <xf numFmtId="0" fontId="26" fillId="0" borderId="0"/>
    <xf numFmtId="0" fontId="18" fillId="0" borderId="0"/>
    <xf numFmtId="0" fontId="26" fillId="0" borderId="0"/>
    <xf numFmtId="0" fontId="18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1" fillId="0" borderId="0"/>
    <xf numFmtId="0" fontId="26" fillId="0" borderId="0"/>
    <xf numFmtId="0" fontId="6" fillId="0" borderId="0"/>
    <xf numFmtId="0" fontId="26" fillId="0" borderId="0"/>
    <xf numFmtId="0" fontId="26" fillId="0" borderId="0"/>
    <xf numFmtId="0" fontId="6" fillId="0" borderId="0"/>
    <xf numFmtId="0" fontId="26" fillId="0" borderId="0"/>
    <xf numFmtId="0" fontId="1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8" fillId="0" borderId="0"/>
    <xf numFmtId="0" fontId="6" fillId="0" borderId="0"/>
    <xf numFmtId="0" fontId="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3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8" fillId="0" borderId="0"/>
    <xf numFmtId="0" fontId="31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1" fillId="0" borderId="0"/>
    <xf numFmtId="0" fontId="3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9" fontId="14" fillId="0" borderId="0" applyBorder="0">
      <alignment vertical="top"/>
    </xf>
    <xf numFmtId="0" fontId="6" fillId="0" borderId="0"/>
    <xf numFmtId="0" fontId="15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8" fillId="0" borderId="0"/>
    <xf numFmtId="0" fontId="6" fillId="0" borderId="0"/>
    <xf numFmtId="0" fontId="6" fillId="0" borderId="0"/>
    <xf numFmtId="0" fontId="6" fillId="0" borderId="0"/>
    <xf numFmtId="1" fontId="159" fillId="0" borderId="2">
      <alignment horizontal="left" vertical="center"/>
    </xf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160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160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160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160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160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160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26" fillId="0" borderId="0" applyFont="0" applyFill="0" applyBorder="0" applyProtection="0">
      <alignment horizontal="center" vertical="center" wrapText="1"/>
    </xf>
    <xf numFmtId="0" fontId="26" fillId="0" borderId="0" applyNumberFormat="0" applyFont="0" applyFill="0" applyBorder="0" applyProtection="0">
      <alignment horizontal="justify" vertical="center" wrapText="1"/>
    </xf>
    <xf numFmtId="205" fontId="140" fillId="0" borderId="2">
      <alignment vertical="top"/>
    </xf>
    <xf numFmtId="170" fontId="161" fillId="4" borderId="18" applyNumberFormat="0" applyBorder="0" applyAlignment="0">
      <alignment vertical="center"/>
      <protection locked="0"/>
    </xf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162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162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162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162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162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162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26" fillId="34" borderId="15" applyNumberFormat="0" applyFont="0" applyAlignment="0" applyProtection="0"/>
    <xf numFmtId="0" fontId="26" fillId="34" borderId="15" applyNumberFormat="0" applyFont="0" applyAlignment="0" applyProtection="0"/>
    <xf numFmtId="0" fontId="26" fillId="34" borderId="15" applyNumberFormat="0" applyFont="0" applyAlignment="0" applyProtection="0"/>
    <xf numFmtId="0" fontId="26" fillId="34" borderId="15" applyNumberFormat="0" applyFont="0" applyAlignment="0" applyProtection="0"/>
    <xf numFmtId="0" fontId="26" fillId="34" borderId="15" applyNumberFormat="0" applyFont="0" applyAlignment="0" applyProtection="0"/>
    <xf numFmtId="0" fontId="26" fillId="34" borderId="15" applyNumberFormat="0" applyFont="0" applyAlignment="0" applyProtection="0"/>
    <xf numFmtId="0" fontId="26" fillId="34" borderId="15" applyNumberFormat="0" applyFont="0" applyAlignment="0" applyProtection="0"/>
    <xf numFmtId="0" fontId="26" fillId="34" borderId="15" applyNumberFormat="0" applyFont="0" applyAlignment="0" applyProtection="0"/>
    <xf numFmtId="0" fontId="26" fillId="34" borderId="15" applyNumberFormat="0" applyFont="0" applyAlignment="0" applyProtection="0"/>
    <xf numFmtId="0" fontId="26" fillId="34" borderId="15" applyNumberFormat="0" applyFont="0" applyAlignment="0" applyProtection="0"/>
    <xf numFmtId="0" fontId="26" fillId="34" borderId="15" applyNumberFormat="0" applyFont="0" applyAlignment="0" applyProtection="0"/>
    <xf numFmtId="0" fontId="26" fillId="34" borderId="15" applyNumberFormat="0" applyFont="0" applyAlignment="0" applyProtection="0"/>
    <xf numFmtId="0" fontId="26" fillId="34" borderId="15" applyNumberFormat="0" applyFont="0" applyAlignment="0" applyProtection="0"/>
    <xf numFmtId="0" fontId="31" fillId="34" borderId="15" applyNumberFormat="0" applyFont="0" applyAlignment="0" applyProtection="0"/>
    <xf numFmtId="0" fontId="31" fillId="34" borderId="15" applyNumberFormat="0" applyFont="0" applyAlignment="0" applyProtection="0"/>
    <xf numFmtId="0" fontId="31" fillId="34" borderId="15" applyNumberFormat="0" applyFont="0" applyAlignment="0" applyProtection="0"/>
    <xf numFmtId="0" fontId="31" fillId="34" borderId="15" applyNumberFormat="0" applyFont="0" applyAlignment="0" applyProtection="0"/>
    <xf numFmtId="0" fontId="6" fillId="34" borderId="15" applyNumberFormat="0" applyFont="0" applyAlignment="0" applyProtection="0"/>
    <xf numFmtId="0" fontId="6" fillId="34" borderId="15" applyNumberFormat="0" applyFont="0" applyAlignment="0" applyProtection="0"/>
    <xf numFmtId="0" fontId="6" fillId="34" borderId="15" applyNumberFormat="0" applyFont="0" applyAlignment="0" applyProtection="0"/>
    <xf numFmtId="0" fontId="6" fillId="34" borderId="15" applyNumberFormat="0" applyFont="0" applyAlignment="0" applyProtection="0"/>
    <xf numFmtId="0" fontId="6" fillId="34" borderId="15" applyNumberFormat="0" applyFont="0" applyAlignment="0" applyProtection="0"/>
    <xf numFmtId="0" fontId="6" fillId="34" borderId="15" applyNumberFormat="0" applyFont="0" applyAlignment="0" applyProtection="0"/>
    <xf numFmtId="0" fontId="6" fillId="34" borderId="15" applyNumberFormat="0" applyFont="0" applyAlignment="0" applyProtection="0"/>
    <xf numFmtId="0" fontId="6" fillId="34" borderId="15" applyNumberFormat="0" applyFont="0" applyAlignment="0" applyProtection="0"/>
    <xf numFmtId="0" fontId="6" fillId="34" borderId="15" applyNumberFormat="0" applyFont="0" applyAlignment="0" applyProtection="0"/>
    <xf numFmtId="0" fontId="26" fillId="34" borderId="15" applyNumberFormat="0" applyFont="0" applyAlignment="0" applyProtection="0"/>
    <xf numFmtId="0" fontId="6" fillId="34" borderId="15" applyNumberFormat="0" applyFont="0" applyAlignment="0" applyProtection="0"/>
    <xf numFmtId="0" fontId="6" fillId="34" borderId="15" applyNumberFormat="0" applyFont="0" applyAlignment="0" applyProtection="0"/>
    <xf numFmtId="0" fontId="6" fillId="34" borderId="15" applyNumberFormat="0" applyFont="0" applyAlignment="0" applyProtection="0"/>
    <xf numFmtId="0" fontId="6" fillId="34" borderId="15" applyNumberFormat="0" applyFont="0" applyAlignment="0" applyProtection="0"/>
    <xf numFmtId="0" fontId="18" fillId="34" borderId="15" applyNumberFormat="0" applyFont="0" applyAlignment="0" applyProtection="0"/>
    <xf numFmtId="0" fontId="18" fillId="34" borderId="15" applyNumberFormat="0" applyFont="0" applyAlignment="0" applyProtection="0"/>
    <xf numFmtId="0" fontId="6" fillId="34" borderId="15" applyNumberFormat="0" applyFont="0" applyAlignment="0" applyProtection="0"/>
    <xf numFmtId="0" fontId="6" fillId="34" borderId="15" applyNumberFormat="0" applyFont="0" applyAlignment="0" applyProtection="0"/>
    <xf numFmtId="0" fontId="6" fillId="34" borderId="15" applyNumberFormat="0" applyFont="0" applyAlignment="0" applyProtection="0"/>
    <xf numFmtId="0" fontId="6" fillId="34" borderId="15" applyNumberFormat="0" applyFont="0" applyAlignment="0" applyProtection="0"/>
    <xf numFmtId="0" fontId="18" fillId="34" borderId="15" applyNumberFormat="0" applyFont="0" applyAlignment="0" applyProtection="0"/>
    <xf numFmtId="0" fontId="6" fillId="34" borderId="15" applyNumberFormat="0" applyFont="0" applyAlignment="0" applyProtection="0"/>
    <xf numFmtId="0" fontId="6" fillId="34" borderId="15" applyNumberFormat="0" applyFont="0" applyAlignment="0" applyProtection="0"/>
    <xf numFmtId="0" fontId="6" fillId="34" borderId="15" applyNumberFormat="0" applyFont="0" applyAlignment="0" applyProtection="0"/>
    <xf numFmtId="0" fontId="6" fillId="34" borderId="15" applyNumberFormat="0" applyFont="0" applyAlignment="0" applyProtection="0"/>
    <xf numFmtId="0" fontId="18" fillId="34" borderId="15" applyNumberFormat="0" applyFont="0" applyAlignment="0" applyProtection="0"/>
    <xf numFmtId="0" fontId="6" fillId="34" borderId="15" applyNumberFormat="0" applyFont="0" applyAlignment="0" applyProtection="0"/>
    <xf numFmtId="0" fontId="6" fillId="34" borderId="15" applyNumberFormat="0" applyFont="0" applyAlignment="0" applyProtection="0"/>
    <xf numFmtId="0" fontId="6" fillId="34" borderId="15" applyNumberFormat="0" applyFont="0" applyAlignment="0" applyProtection="0"/>
    <xf numFmtId="0" fontId="6" fillId="34" borderId="15" applyNumberFormat="0" applyFont="0" applyAlignment="0" applyProtection="0"/>
    <xf numFmtId="0" fontId="18" fillId="34" borderId="15" applyNumberFormat="0" applyFont="0" applyAlignment="0" applyProtection="0"/>
    <xf numFmtId="0" fontId="6" fillId="34" borderId="15" applyNumberFormat="0" applyFont="0" applyAlignment="0" applyProtection="0"/>
    <xf numFmtId="0" fontId="6" fillId="34" borderId="15" applyNumberFormat="0" applyFont="0" applyAlignment="0" applyProtection="0"/>
    <xf numFmtId="0" fontId="6" fillId="34" borderId="15" applyNumberFormat="0" applyFont="0" applyAlignment="0" applyProtection="0"/>
    <xf numFmtId="0" fontId="6" fillId="34" borderId="15" applyNumberFormat="0" applyFont="0" applyAlignment="0" applyProtection="0"/>
    <xf numFmtId="0" fontId="18" fillId="34" borderId="15" applyNumberFormat="0" applyFont="0" applyAlignment="0" applyProtection="0"/>
    <xf numFmtId="0" fontId="6" fillId="34" borderId="15" applyNumberFormat="0" applyFont="0" applyAlignment="0" applyProtection="0"/>
    <xf numFmtId="0" fontId="6" fillId="34" borderId="15" applyNumberFormat="0" applyFont="0" applyAlignment="0" applyProtection="0"/>
    <xf numFmtId="0" fontId="6" fillId="34" borderId="15" applyNumberFormat="0" applyFont="0" applyAlignment="0" applyProtection="0"/>
    <xf numFmtId="0" fontId="6" fillId="34" borderId="15" applyNumberFormat="0" applyFont="0" applyAlignment="0" applyProtection="0"/>
    <xf numFmtId="0" fontId="18" fillId="34" borderId="15" applyNumberFormat="0" applyFont="0" applyAlignment="0" applyProtection="0"/>
    <xf numFmtId="0" fontId="6" fillId="34" borderId="15" applyNumberFormat="0" applyFont="0" applyAlignment="0" applyProtection="0"/>
    <xf numFmtId="0" fontId="6" fillId="34" borderId="15" applyNumberFormat="0" applyFont="0" applyAlignment="0" applyProtection="0"/>
    <xf numFmtId="0" fontId="6" fillId="34" borderId="15" applyNumberFormat="0" applyFont="0" applyAlignment="0" applyProtection="0"/>
    <xf numFmtId="0" fontId="6" fillId="34" borderId="15" applyNumberFormat="0" applyFont="0" applyAlignment="0" applyProtection="0"/>
    <xf numFmtId="0" fontId="18" fillId="34" borderId="15" applyNumberFormat="0" applyFont="0" applyAlignment="0" applyProtection="0"/>
    <xf numFmtId="0" fontId="6" fillId="34" borderId="15" applyNumberFormat="0" applyFont="0" applyAlignment="0" applyProtection="0"/>
    <xf numFmtId="0" fontId="6" fillId="34" borderId="15" applyNumberFormat="0" applyFont="0" applyAlignment="0" applyProtection="0"/>
    <xf numFmtId="0" fontId="6" fillId="34" borderId="15" applyNumberFormat="0" applyFont="0" applyAlignment="0" applyProtection="0"/>
    <xf numFmtId="0" fontId="6" fillId="34" borderId="15" applyNumberFormat="0" applyFont="0" applyAlignment="0" applyProtection="0"/>
    <xf numFmtId="0" fontId="18" fillId="34" borderId="15" applyNumberFormat="0" applyFont="0" applyAlignment="0" applyProtection="0"/>
    <xf numFmtId="0" fontId="6" fillId="34" borderId="15" applyNumberFormat="0" applyFont="0" applyAlignment="0" applyProtection="0"/>
    <xf numFmtId="0" fontId="6" fillId="34" borderId="15" applyNumberFormat="0" applyFont="0" applyAlignment="0" applyProtection="0"/>
    <xf numFmtId="0" fontId="6" fillId="34" borderId="15" applyNumberFormat="0" applyFont="0" applyAlignment="0" applyProtection="0"/>
    <xf numFmtId="0" fontId="18" fillId="34" borderId="15" applyNumberFormat="0" applyFont="0" applyAlignment="0" applyProtection="0"/>
    <xf numFmtId="0" fontId="6" fillId="34" borderId="15" applyNumberFormat="0" applyFont="0" applyAlignment="0" applyProtection="0"/>
    <xf numFmtId="0" fontId="6" fillId="34" borderId="15" applyNumberFormat="0" applyFont="0" applyAlignment="0" applyProtection="0"/>
    <xf numFmtId="0" fontId="6" fillId="34" borderId="15" applyNumberFormat="0" applyFont="0" applyAlignment="0" applyProtection="0"/>
    <xf numFmtId="0" fontId="6" fillId="34" borderId="15" applyNumberFormat="0" applyFont="0" applyAlignment="0" applyProtection="0"/>
    <xf numFmtId="0" fontId="6" fillId="34" borderId="15" applyNumberFormat="0" applyFont="0" applyAlignment="0" applyProtection="0"/>
    <xf numFmtId="0" fontId="6" fillId="34" borderId="15" applyNumberFormat="0" applyFont="0" applyAlignment="0" applyProtection="0"/>
    <xf numFmtId="0" fontId="6" fillId="34" borderId="15" applyNumberFormat="0" applyFont="0" applyAlignment="0" applyProtection="0"/>
    <xf numFmtId="0" fontId="6" fillId="34" borderId="15" applyNumberFormat="0" applyFont="0" applyAlignment="0" applyProtection="0"/>
    <xf numFmtId="0" fontId="6" fillId="34" borderId="15" applyNumberFormat="0" applyFont="0" applyAlignment="0" applyProtection="0"/>
    <xf numFmtId="0" fontId="6" fillId="34" borderId="15" applyNumberFormat="0" applyFont="0" applyAlignment="0" applyProtection="0"/>
    <xf numFmtId="0" fontId="6" fillId="34" borderId="15" applyNumberFormat="0" applyFont="0" applyAlignment="0" applyProtection="0"/>
    <xf numFmtId="0" fontId="6" fillId="34" borderId="15" applyNumberFormat="0" applyFont="0" applyAlignment="0" applyProtection="0"/>
    <xf numFmtId="0" fontId="6" fillId="34" borderId="15" applyNumberFormat="0" applyFont="0" applyAlignment="0" applyProtection="0"/>
    <xf numFmtId="0" fontId="6" fillId="34" borderId="15" applyNumberFormat="0" applyFont="0" applyAlignment="0" applyProtection="0"/>
    <xf numFmtId="0" fontId="6" fillId="34" borderId="15" applyNumberFormat="0" applyFont="0" applyAlignment="0" applyProtection="0"/>
    <xf numFmtId="0" fontId="18" fillId="34" borderId="15" applyNumberFormat="0" applyFont="0" applyAlignment="0" applyProtection="0"/>
    <xf numFmtId="0" fontId="6" fillId="34" borderId="15" applyNumberFormat="0" applyFont="0" applyAlignment="0" applyProtection="0"/>
    <xf numFmtId="0" fontId="6" fillId="34" borderId="15" applyNumberFormat="0" applyFont="0" applyAlignment="0" applyProtection="0"/>
    <xf numFmtId="0" fontId="6" fillId="34" borderId="15" applyNumberFormat="0" applyFont="0" applyAlignment="0" applyProtection="0"/>
    <xf numFmtId="0" fontId="6" fillId="34" borderId="15" applyNumberFormat="0" applyFont="0" applyAlignment="0" applyProtection="0"/>
    <xf numFmtId="0" fontId="18" fillId="34" borderId="15" applyNumberFormat="0" applyFont="0" applyAlignment="0" applyProtection="0"/>
    <xf numFmtId="0" fontId="6" fillId="34" borderId="15" applyNumberFormat="0" applyFont="0" applyAlignment="0" applyProtection="0"/>
    <xf numFmtId="0" fontId="6" fillId="34" borderId="15" applyNumberFormat="0" applyFont="0" applyAlignment="0" applyProtection="0"/>
    <xf numFmtId="0" fontId="6" fillId="34" borderId="15" applyNumberFormat="0" applyFont="0" applyAlignment="0" applyProtection="0"/>
    <xf numFmtId="0" fontId="6" fillId="34" borderId="15" applyNumberFormat="0" applyFont="0" applyAlignment="0" applyProtection="0"/>
    <xf numFmtId="0" fontId="18" fillId="34" borderId="15" applyNumberFormat="0" applyFont="0" applyAlignment="0" applyProtection="0"/>
    <xf numFmtId="0" fontId="6" fillId="34" borderId="15" applyNumberFormat="0" applyFont="0" applyAlignment="0" applyProtection="0"/>
    <xf numFmtId="0" fontId="6" fillId="34" borderId="15" applyNumberFormat="0" applyFont="0" applyAlignment="0" applyProtection="0"/>
    <xf numFmtId="0" fontId="6" fillId="34" borderId="15" applyNumberFormat="0" applyFont="0" applyAlignment="0" applyProtection="0"/>
    <xf numFmtId="0" fontId="6" fillId="34" borderId="15" applyNumberFormat="0" applyFont="0" applyAlignment="0" applyProtection="0"/>
    <xf numFmtId="0" fontId="18" fillId="34" borderId="15" applyNumberFormat="0" applyFont="0" applyAlignment="0" applyProtection="0"/>
    <xf numFmtId="0" fontId="6" fillId="34" borderId="15" applyNumberFormat="0" applyFont="0" applyAlignment="0" applyProtection="0"/>
    <xf numFmtId="0" fontId="6" fillId="34" borderId="15" applyNumberFormat="0" applyFont="0" applyAlignment="0" applyProtection="0"/>
    <xf numFmtId="0" fontId="6" fillId="34" borderId="15" applyNumberFormat="0" applyFont="0" applyAlignment="0" applyProtection="0"/>
    <xf numFmtId="0" fontId="6" fillId="34" borderId="15" applyNumberFormat="0" applyFont="0" applyAlignment="0" applyProtection="0"/>
    <xf numFmtId="0" fontId="18" fillId="34" borderId="15" applyNumberFormat="0" applyFont="0" applyAlignment="0" applyProtection="0"/>
    <xf numFmtId="0" fontId="6" fillId="34" borderId="15" applyNumberFormat="0" applyFont="0" applyAlignment="0" applyProtection="0"/>
    <xf numFmtId="0" fontId="6" fillId="34" borderId="15" applyNumberFormat="0" applyFont="0" applyAlignment="0" applyProtection="0"/>
    <xf numFmtId="0" fontId="6" fillId="34" borderId="15" applyNumberFormat="0" applyFont="0" applyAlignment="0" applyProtection="0"/>
    <xf numFmtId="0" fontId="6" fillId="34" borderId="15" applyNumberFormat="0" applyFont="0" applyAlignment="0" applyProtection="0"/>
    <xf numFmtId="0" fontId="18" fillId="34" borderId="15" applyNumberFormat="0" applyFont="0" applyAlignment="0" applyProtection="0"/>
    <xf numFmtId="0" fontId="6" fillId="34" borderId="15" applyNumberFormat="0" applyFont="0" applyAlignment="0" applyProtection="0"/>
    <xf numFmtId="0" fontId="6" fillId="34" borderId="15" applyNumberFormat="0" applyFont="0" applyAlignment="0" applyProtection="0"/>
    <xf numFmtId="0" fontId="6" fillId="34" borderId="15" applyNumberFormat="0" applyFont="0" applyAlignment="0" applyProtection="0"/>
    <xf numFmtId="0" fontId="6" fillId="34" borderId="15" applyNumberFormat="0" applyFont="0" applyAlignment="0" applyProtection="0"/>
    <xf numFmtId="0" fontId="18" fillId="34" borderId="15" applyNumberFormat="0" applyFont="0" applyAlignment="0" applyProtection="0"/>
    <xf numFmtId="0" fontId="6" fillId="34" borderId="15" applyNumberFormat="0" applyFont="0" applyAlignment="0" applyProtection="0"/>
    <xf numFmtId="0" fontId="6" fillId="34" borderId="15" applyNumberFormat="0" applyFont="0" applyAlignment="0" applyProtection="0"/>
    <xf numFmtId="0" fontId="6" fillId="34" borderId="15" applyNumberFormat="0" applyFont="0" applyAlignment="0" applyProtection="0"/>
    <xf numFmtId="0" fontId="6" fillId="34" borderId="15" applyNumberFormat="0" applyFont="0" applyAlignment="0" applyProtection="0"/>
    <xf numFmtId="0" fontId="18" fillId="34" borderId="15" applyNumberFormat="0" applyFont="0" applyAlignment="0" applyProtection="0"/>
    <xf numFmtId="0" fontId="6" fillId="34" borderId="15" applyNumberFormat="0" applyFont="0" applyAlignment="0" applyProtection="0"/>
    <xf numFmtId="0" fontId="6" fillId="34" borderId="15" applyNumberFormat="0" applyFont="0" applyAlignment="0" applyProtection="0"/>
    <xf numFmtId="0" fontId="6" fillId="34" borderId="15" applyNumberFormat="0" applyFont="0" applyAlignment="0" applyProtection="0"/>
    <xf numFmtId="0" fontId="6" fillId="34" borderId="15" applyNumberFormat="0" applyFont="0" applyAlignment="0" applyProtection="0"/>
    <xf numFmtId="0" fontId="18" fillId="34" borderId="15" applyNumberFormat="0" applyFont="0" applyAlignment="0" applyProtection="0"/>
    <xf numFmtId="0" fontId="6" fillId="34" borderId="15" applyNumberFormat="0" applyFont="0" applyAlignment="0" applyProtection="0"/>
    <xf numFmtId="0" fontId="6" fillId="34" borderId="15" applyNumberFormat="0" applyFont="0" applyAlignment="0" applyProtection="0"/>
    <xf numFmtId="0" fontId="6" fillId="34" borderId="15" applyNumberFormat="0" applyFont="0" applyAlignment="0" applyProtection="0"/>
    <xf numFmtId="0" fontId="18" fillId="34" borderId="15" applyNumberFormat="0" applyFont="0" applyAlignment="0" applyProtection="0"/>
    <xf numFmtId="0" fontId="6" fillId="34" borderId="15" applyNumberFormat="0" applyFont="0" applyAlignment="0" applyProtection="0"/>
    <xf numFmtId="0" fontId="6" fillId="34" borderId="15" applyNumberFormat="0" applyFont="0" applyAlignment="0" applyProtection="0"/>
    <xf numFmtId="0" fontId="6" fillId="34" borderId="15" applyNumberFormat="0" applyFont="0" applyAlignment="0" applyProtection="0"/>
    <xf numFmtId="0" fontId="6" fillId="34" borderId="15" applyNumberFormat="0" applyFont="0" applyAlignment="0" applyProtection="0"/>
    <xf numFmtId="0" fontId="18" fillId="34" borderId="15" applyNumberFormat="0" applyFont="0" applyAlignment="0" applyProtection="0"/>
    <xf numFmtId="0" fontId="18" fillId="34" borderId="15" applyNumberFormat="0" applyFont="0" applyAlignment="0" applyProtection="0"/>
    <xf numFmtId="0" fontId="18" fillId="34" borderId="15" applyNumberFormat="0" applyFont="0" applyAlignment="0" applyProtection="0"/>
    <xf numFmtId="0" fontId="18" fillId="34" borderId="15" applyNumberFormat="0" applyFont="0" applyAlignment="0" applyProtection="0"/>
    <xf numFmtId="0" fontId="18" fillId="34" borderId="15" applyNumberFormat="0" applyFont="0" applyAlignment="0" applyProtection="0"/>
    <xf numFmtId="0" fontId="18" fillId="34" borderId="15" applyNumberFormat="0" applyFont="0" applyAlignment="0" applyProtection="0"/>
    <xf numFmtId="0" fontId="18" fillId="34" borderId="15" applyNumberFormat="0" applyFont="0" applyAlignment="0" applyProtection="0"/>
    <xf numFmtId="0" fontId="18" fillId="34" borderId="15" applyNumberFormat="0" applyFont="0" applyAlignment="0" applyProtection="0"/>
    <xf numFmtId="0" fontId="18" fillId="34" borderId="15" applyNumberFormat="0" applyFont="0" applyAlignment="0" applyProtection="0"/>
    <xf numFmtId="0" fontId="18" fillId="34" borderId="15" applyNumberFormat="0" applyFont="0" applyAlignment="0" applyProtection="0"/>
    <xf numFmtId="0" fontId="18" fillId="34" borderId="15" applyNumberFormat="0" applyFont="0" applyAlignment="0" applyProtection="0"/>
    <xf numFmtId="0" fontId="18" fillId="34" borderId="15" applyNumberFormat="0" applyFont="0" applyAlignment="0" applyProtection="0"/>
    <xf numFmtId="0" fontId="18" fillId="34" borderId="15" applyNumberFormat="0" applyFont="0" applyAlignment="0" applyProtection="0"/>
    <xf numFmtId="0" fontId="18" fillId="34" borderId="15" applyNumberFormat="0" applyFont="0" applyAlignment="0" applyProtection="0"/>
    <xf numFmtId="0" fontId="18" fillId="34" borderId="15" applyNumberFormat="0" applyFont="0" applyAlignment="0" applyProtection="0"/>
    <xf numFmtId="0" fontId="18" fillId="34" borderId="15" applyNumberFormat="0" applyFont="0" applyAlignment="0" applyProtection="0"/>
    <xf numFmtId="0" fontId="18" fillId="34" borderId="15" applyNumberFormat="0" applyFont="0" applyAlignment="0" applyProtection="0"/>
    <xf numFmtId="0" fontId="18" fillId="34" borderId="15" applyNumberFormat="0" applyFont="0" applyAlignment="0" applyProtection="0"/>
    <xf numFmtId="0" fontId="18" fillId="34" borderId="15" applyNumberFormat="0" applyFont="0" applyAlignment="0" applyProtection="0"/>
    <xf numFmtId="0" fontId="18" fillId="34" borderId="15" applyNumberFormat="0" applyFont="0" applyAlignment="0" applyProtection="0"/>
    <xf numFmtId="0" fontId="32" fillId="34" borderId="15" applyNumberFormat="0" applyFont="0" applyAlignment="0" applyProtection="0"/>
    <xf numFmtId="0" fontId="18" fillId="34" borderId="15" applyNumberFormat="0" applyFont="0" applyAlignment="0" applyProtection="0"/>
    <xf numFmtId="0" fontId="18" fillId="34" borderId="15" applyNumberFormat="0" applyFont="0" applyAlignment="0" applyProtection="0"/>
    <xf numFmtId="0" fontId="32" fillId="34" borderId="15" applyNumberFormat="0" applyFont="0" applyAlignment="0" applyProtection="0"/>
    <xf numFmtId="0" fontId="18" fillId="34" borderId="15" applyNumberFormat="0" applyFont="0" applyAlignment="0" applyProtection="0"/>
    <xf numFmtId="0" fontId="18" fillId="34" borderId="15" applyNumberFormat="0" applyFont="0" applyAlignment="0" applyProtection="0"/>
    <xf numFmtId="0" fontId="18" fillId="34" borderId="15" applyNumberFormat="0" applyFont="0" applyAlignment="0" applyProtection="0"/>
    <xf numFmtId="0" fontId="18" fillId="34" borderId="15" applyNumberFormat="0" applyFont="0" applyAlignment="0" applyProtection="0"/>
    <xf numFmtId="0" fontId="18" fillId="34" borderId="15" applyNumberFormat="0" applyFont="0" applyAlignment="0" applyProtection="0"/>
    <xf numFmtId="0" fontId="18" fillId="34" borderId="15" applyNumberFormat="0" applyFont="0" applyAlignment="0" applyProtection="0"/>
    <xf numFmtId="0" fontId="18" fillId="34" borderId="15" applyNumberFormat="0" applyFont="0" applyAlignment="0" applyProtection="0"/>
    <xf numFmtId="0" fontId="18" fillId="34" borderId="15" applyNumberFormat="0" applyFont="0" applyAlignment="0" applyProtection="0"/>
    <xf numFmtId="49" fontId="131" fillId="0" borderId="5">
      <alignment horizontal="left" vertical="center"/>
    </xf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156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156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56" fillId="0" borderId="0" applyFont="0" applyFill="0" applyBorder="0" applyAlignment="0" applyProtection="0"/>
    <xf numFmtId="9" fontId="156" fillId="0" borderId="0" applyFont="0" applyFill="0" applyBorder="0" applyAlignment="0" applyProtection="0"/>
    <xf numFmtId="9" fontId="24" fillId="0" borderId="0" applyFill="0" applyBorder="0" applyAlignment="0" applyProtection="0"/>
    <xf numFmtId="9" fontId="6" fillId="0" borderId="0" applyFont="0" applyFill="0" applyBorder="0" applyAlignment="0" applyProtection="0"/>
    <xf numFmtId="9" fontId="15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56" fillId="0" borderId="0" applyFont="0" applyFill="0" applyBorder="0" applyAlignment="0" applyProtection="0"/>
    <xf numFmtId="9" fontId="15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31" fillId="0" borderId="0" applyFont="0" applyFill="0" applyBorder="0" applyAlignment="0" applyProtection="0"/>
    <xf numFmtId="208" fontId="163" fillId="0" borderId="2"/>
    <xf numFmtId="0" fontId="26" fillId="0" borderId="2" applyNumberFormat="0" applyFont="0" applyFill="0" applyAlignment="0" applyProtection="0"/>
    <xf numFmtId="3" fontId="164" fillId="62" borderId="5">
      <alignment horizontal="justify" vertical="center"/>
    </xf>
    <xf numFmtId="0" fontId="80" fillId="0" borderId="13" applyNumberFormat="0" applyFill="0" applyAlignment="0" applyProtection="0"/>
    <xf numFmtId="0" fontId="80" fillId="0" borderId="13" applyNumberFormat="0" applyFill="0" applyAlignment="0" applyProtection="0"/>
    <xf numFmtId="0" fontId="80" fillId="0" borderId="13" applyNumberFormat="0" applyFill="0" applyAlignment="0" applyProtection="0"/>
    <xf numFmtId="0" fontId="80" fillId="0" borderId="13" applyNumberFormat="0" applyFill="0" applyAlignment="0" applyProtection="0"/>
    <xf numFmtId="0" fontId="165" fillId="0" borderId="13" applyNumberFormat="0" applyFill="0" applyAlignment="0" applyProtection="0"/>
    <xf numFmtId="0" fontId="80" fillId="0" borderId="13" applyNumberFormat="0" applyFill="0" applyAlignment="0" applyProtection="0"/>
    <xf numFmtId="0" fontId="80" fillId="0" borderId="13" applyNumberFormat="0" applyFill="0" applyAlignment="0" applyProtection="0"/>
    <xf numFmtId="0" fontId="80" fillId="0" borderId="13" applyNumberFormat="0" applyFill="0" applyAlignment="0" applyProtection="0"/>
    <xf numFmtId="0" fontId="80" fillId="0" borderId="13" applyNumberFormat="0" applyFill="0" applyAlignment="0" applyProtection="0"/>
    <xf numFmtId="0" fontId="80" fillId="0" borderId="13" applyNumberFormat="0" applyFill="0" applyAlignment="0" applyProtection="0"/>
    <xf numFmtId="0" fontId="80" fillId="0" borderId="13" applyNumberFormat="0" applyFill="0" applyAlignment="0" applyProtection="0"/>
    <xf numFmtId="0" fontId="80" fillId="0" borderId="13" applyNumberFormat="0" applyFill="0" applyAlignment="0" applyProtection="0"/>
    <xf numFmtId="0" fontId="80" fillId="0" borderId="13" applyNumberFormat="0" applyFill="0" applyAlignment="0" applyProtection="0"/>
    <xf numFmtId="0" fontId="80" fillId="0" borderId="13" applyNumberFormat="0" applyFill="0" applyAlignment="0" applyProtection="0"/>
    <xf numFmtId="0" fontId="80" fillId="0" borderId="13" applyNumberFormat="0" applyFill="0" applyAlignment="0" applyProtection="0"/>
    <xf numFmtId="0" fontId="165" fillId="0" borderId="13" applyNumberFormat="0" applyFill="0" applyAlignment="0" applyProtection="0"/>
    <xf numFmtId="0" fontId="80" fillId="0" borderId="13" applyNumberFormat="0" applyFill="0" applyAlignment="0" applyProtection="0"/>
    <xf numFmtId="0" fontId="80" fillId="0" borderId="13" applyNumberFormat="0" applyFill="0" applyAlignment="0" applyProtection="0"/>
    <xf numFmtId="0" fontId="80" fillId="0" borderId="13" applyNumberFormat="0" applyFill="0" applyAlignment="0" applyProtection="0"/>
    <xf numFmtId="0" fontId="80" fillId="0" borderId="13" applyNumberFormat="0" applyFill="0" applyAlignment="0" applyProtection="0"/>
    <xf numFmtId="0" fontId="80" fillId="0" borderId="13" applyNumberFormat="0" applyFill="0" applyAlignment="0" applyProtection="0"/>
    <xf numFmtId="0" fontId="80" fillId="0" borderId="13" applyNumberFormat="0" applyFill="0" applyAlignment="0" applyProtection="0"/>
    <xf numFmtId="0" fontId="80" fillId="0" borderId="13" applyNumberFormat="0" applyFill="0" applyAlignment="0" applyProtection="0"/>
    <xf numFmtId="0" fontId="80" fillId="0" borderId="13" applyNumberFormat="0" applyFill="0" applyAlignment="0" applyProtection="0"/>
    <xf numFmtId="0" fontId="80" fillId="0" borderId="13" applyNumberFormat="0" applyFill="0" applyAlignment="0" applyProtection="0"/>
    <xf numFmtId="0" fontId="165" fillId="0" borderId="13" applyNumberFormat="0" applyFill="0" applyAlignment="0" applyProtection="0"/>
    <xf numFmtId="0" fontId="80" fillId="0" borderId="13" applyNumberFormat="0" applyFill="0" applyAlignment="0" applyProtection="0"/>
    <xf numFmtId="0" fontId="80" fillId="0" borderId="13" applyNumberFormat="0" applyFill="0" applyAlignment="0" applyProtection="0"/>
    <xf numFmtId="0" fontId="165" fillId="0" borderId="13" applyNumberFormat="0" applyFill="0" applyAlignment="0" applyProtection="0"/>
    <xf numFmtId="0" fontId="80" fillId="0" borderId="13" applyNumberFormat="0" applyFill="0" applyAlignment="0" applyProtection="0"/>
    <xf numFmtId="0" fontId="80" fillId="0" borderId="13" applyNumberFormat="0" applyFill="0" applyAlignment="0" applyProtection="0"/>
    <xf numFmtId="0" fontId="165" fillId="0" borderId="13" applyNumberFormat="0" applyFill="0" applyAlignment="0" applyProtection="0"/>
    <xf numFmtId="0" fontId="80" fillId="0" borderId="13" applyNumberFormat="0" applyFill="0" applyAlignment="0" applyProtection="0"/>
    <xf numFmtId="0" fontId="80" fillId="0" borderId="13" applyNumberFormat="0" applyFill="0" applyAlignment="0" applyProtection="0"/>
    <xf numFmtId="0" fontId="165" fillId="0" borderId="13" applyNumberFormat="0" applyFill="0" applyAlignment="0" applyProtection="0"/>
    <xf numFmtId="0" fontId="80" fillId="0" borderId="13" applyNumberFormat="0" applyFill="0" applyAlignment="0" applyProtection="0"/>
    <xf numFmtId="0" fontId="80" fillId="0" borderId="13" applyNumberFormat="0" applyFill="0" applyAlignment="0" applyProtection="0"/>
    <xf numFmtId="0" fontId="80" fillId="0" borderId="13" applyNumberFormat="0" applyFill="0" applyAlignment="0" applyProtection="0"/>
    <xf numFmtId="0" fontId="80" fillId="0" borderId="13" applyNumberFormat="0" applyFill="0" applyAlignment="0" applyProtection="0"/>
    <xf numFmtId="0" fontId="80" fillId="0" borderId="13" applyNumberFormat="0" applyFill="0" applyAlignment="0" applyProtection="0"/>
    <xf numFmtId="0" fontId="80" fillId="0" borderId="13" applyNumberFormat="0" applyFill="0" applyAlignment="0" applyProtection="0"/>
    <xf numFmtId="0" fontId="80" fillId="0" borderId="13" applyNumberFormat="0" applyFill="0" applyAlignment="0" applyProtection="0"/>
    <xf numFmtId="0" fontId="80" fillId="0" borderId="13" applyNumberFormat="0" applyFill="0" applyAlignment="0" applyProtection="0"/>
    <xf numFmtId="0" fontId="16" fillId="0" borderId="0"/>
    <xf numFmtId="176" fontId="19" fillId="0" borderId="0">
      <alignment vertical="top"/>
    </xf>
    <xf numFmtId="38" fontId="19" fillId="0" borderId="0">
      <alignment vertical="top"/>
    </xf>
    <xf numFmtId="0" fontId="17" fillId="0" borderId="0"/>
    <xf numFmtId="38" fontId="19" fillId="0" borderId="0">
      <alignment vertical="top"/>
    </xf>
    <xf numFmtId="0" fontId="16" fillId="0" borderId="0"/>
    <xf numFmtId="49" fontId="151" fillId="0" borderId="0"/>
    <xf numFmtId="49" fontId="166" fillId="0" borderId="0">
      <alignment vertical="top"/>
    </xf>
    <xf numFmtId="3" fontId="167" fillId="0" borderId="0"/>
    <xf numFmtId="170" fontId="83" fillId="0" borderId="0" applyFill="0" applyBorder="0" applyAlignment="0" applyProtection="0"/>
    <xf numFmtId="170" fontId="83" fillId="0" borderId="0" applyFill="0" applyBorder="0" applyAlignment="0" applyProtection="0"/>
    <xf numFmtId="170" fontId="83" fillId="0" borderId="0" applyFill="0" applyBorder="0" applyAlignment="0" applyProtection="0"/>
    <xf numFmtId="170" fontId="83" fillId="0" borderId="0" applyFill="0" applyBorder="0" applyAlignment="0" applyProtection="0"/>
    <xf numFmtId="170" fontId="83" fillId="0" borderId="0" applyFill="0" applyBorder="0" applyAlignment="0" applyProtection="0"/>
    <xf numFmtId="170" fontId="83" fillId="0" borderId="0" applyFill="0" applyBorder="0" applyAlignment="0" applyProtection="0"/>
    <xf numFmtId="170" fontId="83" fillId="0" borderId="0" applyFill="0" applyBorder="0" applyAlignment="0" applyProtection="0"/>
    <xf numFmtId="170" fontId="83" fillId="0" borderId="0" applyFill="0" applyBorder="0" applyAlignment="0" applyProtection="0"/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68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68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68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68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68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68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49" fontId="83" fillId="0" borderId="0">
      <alignment horizontal="center"/>
    </xf>
    <xf numFmtId="49" fontId="83" fillId="0" borderId="0">
      <alignment horizontal="center"/>
    </xf>
    <xf numFmtId="49" fontId="83" fillId="0" borderId="0">
      <alignment horizontal="center"/>
    </xf>
    <xf numFmtId="49" fontId="83" fillId="0" borderId="0">
      <alignment horizontal="center"/>
    </xf>
    <xf numFmtId="49" fontId="83" fillId="0" borderId="0">
      <alignment horizontal="center"/>
    </xf>
    <xf numFmtId="49" fontId="83" fillId="0" borderId="0">
      <alignment horizontal="center"/>
    </xf>
    <xf numFmtId="49" fontId="83" fillId="0" borderId="0">
      <alignment horizontal="center"/>
    </xf>
    <xf numFmtId="49" fontId="83" fillId="0" borderId="0">
      <alignment horizontal="center"/>
    </xf>
    <xf numFmtId="49" fontId="83" fillId="0" borderId="0">
      <alignment horizontal="center"/>
    </xf>
    <xf numFmtId="49" fontId="83" fillId="0" borderId="0">
      <alignment horizontal="center"/>
    </xf>
    <xf numFmtId="38" fontId="25" fillId="0" borderId="0" applyFont="0" applyFill="0" applyBorder="0" applyAlignment="0" applyProtection="0"/>
    <xf numFmtId="3" fontId="169" fillId="0" borderId="5" applyFont="0" applyBorder="0">
      <alignment horizontal="right"/>
      <protection locked="0"/>
    </xf>
    <xf numFmtId="38" fontId="25" fillId="0" borderId="0" applyFont="0" applyFill="0" applyBorder="0" applyAlignment="0" applyProtection="0"/>
    <xf numFmtId="40" fontId="25" fillId="0" borderId="0" applyFont="0" applyFill="0" applyBorder="0" applyAlignment="0" applyProtection="0"/>
    <xf numFmtId="2" fontId="83" fillId="0" borderId="0" applyFill="0" applyBorder="0" applyAlignment="0" applyProtection="0"/>
    <xf numFmtId="2" fontId="83" fillId="0" borderId="0" applyFill="0" applyBorder="0" applyAlignment="0" applyProtection="0"/>
    <xf numFmtId="2" fontId="83" fillId="0" borderId="0" applyFill="0" applyBorder="0" applyAlignment="0" applyProtection="0"/>
    <xf numFmtId="2" fontId="83" fillId="0" borderId="0" applyFill="0" applyBorder="0" applyAlignment="0" applyProtection="0"/>
    <xf numFmtId="2" fontId="83" fillId="0" borderId="0" applyFill="0" applyBorder="0" applyAlignment="0" applyProtection="0"/>
    <xf numFmtId="2" fontId="83" fillId="0" borderId="0" applyFill="0" applyBorder="0" applyAlignment="0" applyProtection="0"/>
    <xf numFmtId="2" fontId="83" fillId="0" borderId="0" applyFill="0" applyBorder="0" applyAlignment="0" applyProtection="0"/>
    <xf numFmtId="2" fontId="83" fillId="0" borderId="0" applyFill="0" applyBorder="0" applyAlignment="0" applyProtection="0"/>
    <xf numFmtId="2" fontId="83" fillId="0" borderId="0" applyFill="0" applyBorder="0" applyAlignment="0" applyProtection="0"/>
    <xf numFmtId="2" fontId="83" fillId="0" borderId="0" applyFill="0" applyBorder="0" applyAlignment="0" applyProtection="0"/>
    <xf numFmtId="209" fontId="18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71" fontId="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156" fillId="0" borderId="0" applyFont="0" applyFill="0" applyBorder="0" applyAlignment="0" applyProtection="0"/>
    <xf numFmtId="210" fontId="18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156" fillId="0" borderId="0" applyFont="0" applyFill="0" applyBorder="0" applyAlignment="0" applyProtection="0"/>
    <xf numFmtId="21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67" fontId="2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31" fillId="0" borderId="0" applyFont="0" applyFill="0" applyBorder="0" applyAlignment="0" applyProtection="0"/>
    <xf numFmtId="210" fontId="18" fillId="0" borderId="0" applyFont="0" applyFill="0" applyBorder="0" applyAlignment="0" applyProtection="0"/>
    <xf numFmtId="167" fontId="31" fillId="0" borderId="0" applyFont="0" applyFill="0" applyBorder="0" applyAlignment="0" applyProtection="0"/>
    <xf numFmtId="211" fontId="18" fillId="0" borderId="0" applyFont="0" applyFill="0" applyBorder="0" applyAlignment="0" applyProtection="0"/>
    <xf numFmtId="211" fontId="18" fillId="0" borderId="0" applyFont="0" applyFill="0" applyBorder="0" applyAlignment="0" applyProtection="0"/>
    <xf numFmtId="210" fontId="18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212" fontId="26" fillId="0" borderId="0" applyFont="0" applyFill="0" applyBorder="0" applyAlignment="0" applyProtection="0"/>
    <xf numFmtId="4" fontId="14" fillId="3" borderId="0" applyFont="0" applyBorder="0">
      <alignment horizontal="right"/>
    </xf>
    <xf numFmtId="4" fontId="14" fillId="3" borderId="0" applyBorder="0">
      <alignment horizontal="right"/>
    </xf>
    <xf numFmtId="4" fontId="14" fillId="3" borderId="0" applyBorder="0">
      <alignment horizontal="right"/>
    </xf>
    <xf numFmtId="4" fontId="14" fillId="3" borderId="0" applyBorder="0">
      <alignment horizontal="right"/>
    </xf>
    <xf numFmtId="4" fontId="14" fillId="3" borderId="0" applyBorder="0">
      <alignment horizontal="right"/>
    </xf>
    <xf numFmtId="4" fontId="14" fillId="3" borderId="0" applyBorder="0">
      <alignment horizontal="right"/>
    </xf>
    <xf numFmtId="4" fontId="14" fillId="3" borderId="0" applyBorder="0">
      <alignment horizontal="right"/>
    </xf>
    <xf numFmtId="4" fontId="14" fillId="3" borderId="0" applyBorder="0">
      <alignment horizontal="right"/>
    </xf>
    <xf numFmtId="4" fontId="14" fillId="3" borderId="0" applyBorder="0">
      <alignment horizontal="right"/>
    </xf>
    <xf numFmtId="4" fontId="14" fillId="3" borderId="0" applyFont="0" applyBorder="0">
      <alignment horizontal="right"/>
    </xf>
    <xf numFmtId="4" fontId="14" fillId="3" borderId="0" applyBorder="0">
      <alignment horizontal="right"/>
    </xf>
    <xf numFmtId="4" fontId="14" fillId="3" borderId="0" applyBorder="0">
      <alignment horizontal="right"/>
    </xf>
    <xf numFmtId="4" fontId="14" fillId="3" borderId="0" applyBorder="0">
      <alignment horizontal="right"/>
    </xf>
    <xf numFmtId="4" fontId="14" fillId="3" borderId="0" applyBorder="0">
      <alignment horizontal="right"/>
    </xf>
    <xf numFmtId="4" fontId="14" fillId="3" borderId="0" applyBorder="0">
      <alignment horizontal="right"/>
    </xf>
    <xf numFmtId="4" fontId="14" fillId="3" borderId="0" applyBorder="0">
      <alignment horizontal="right"/>
    </xf>
    <xf numFmtId="4" fontId="14" fillId="3" borderId="0" applyBorder="0">
      <alignment horizontal="right"/>
    </xf>
    <xf numFmtId="4" fontId="14" fillId="3" borderId="0" applyBorder="0">
      <alignment horizontal="right"/>
    </xf>
    <xf numFmtId="4" fontId="14" fillId="3" borderId="0" applyBorder="0">
      <alignment horizontal="right"/>
    </xf>
    <xf numFmtId="4" fontId="14" fillId="3" borderId="0" applyBorder="0">
      <alignment horizontal="right"/>
    </xf>
    <xf numFmtId="4" fontId="14" fillId="3" borderId="31" applyBorder="0">
      <alignment horizontal="right"/>
    </xf>
    <xf numFmtId="4" fontId="14" fillId="3" borderId="31" applyBorder="0">
      <alignment horizontal="right"/>
    </xf>
    <xf numFmtId="4" fontId="14" fillId="63" borderId="32" applyBorder="0">
      <alignment horizontal="right"/>
    </xf>
    <xf numFmtId="4" fontId="14" fillId="63" borderId="32" applyBorder="0">
      <alignment horizontal="right"/>
    </xf>
    <xf numFmtId="0" fontId="61" fillId="9" borderId="0" applyNumberFormat="0" applyBorder="0" applyAlignment="0" applyProtection="0"/>
    <xf numFmtId="0" fontId="61" fillId="9" borderId="0" applyNumberFormat="0" applyBorder="0" applyAlignment="0" applyProtection="0"/>
    <xf numFmtId="0" fontId="61" fillId="9" borderId="0" applyNumberFormat="0" applyBorder="0" applyAlignment="0" applyProtection="0"/>
    <xf numFmtId="0" fontId="61" fillId="9" borderId="0" applyNumberFormat="0" applyBorder="0" applyAlignment="0" applyProtection="0"/>
    <xf numFmtId="0" fontId="170" fillId="9" borderId="0" applyNumberFormat="0" applyBorder="0" applyAlignment="0" applyProtection="0"/>
    <xf numFmtId="0" fontId="61" fillId="9" borderId="0" applyNumberFormat="0" applyBorder="0" applyAlignment="0" applyProtection="0"/>
    <xf numFmtId="0" fontId="61" fillId="9" borderId="0" applyNumberFormat="0" applyBorder="0" applyAlignment="0" applyProtection="0"/>
    <xf numFmtId="0" fontId="61" fillId="9" borderId="0" applyNumberFormat="0" applyBorder="0" applyAlignment="0" applyProtection="0"/>
    <xf numFmtId="0" fontId="61" fillId="9" borderId="0" applyNumberFormat="0" applyBorder="0" applyAlignment="0" applyProtection="0"/>
    <xf numFmtId="0" fontId="61" fillId="9" borderId="0" applyNumberFormat="0" applyBorder="0" applyAlignment="0" applyProtection="0"/>
    <xf numFmtId="0" fontId="61" fillId="9" borderId="0" applyNumberFormat="0" applyBorder="0" applyAlignment="0" applyProtection="0"/>
    <xf numFmtId="0" fontId="61" fillId="9" borderId="0" applyNumberFormat="0" applyBorder="0" applyAlignment="0" applyProtection="0"/>
    <xf numFmtId="0" fontId="61" fillId="9" borderId="0" applyNumberFormat="0" applyBorder="0" applyAlignment="0" applyProtection="0"/>
    <xf numFmtId="0" fontId="61" fillId="9" borderId="0" applyNumberFormat="0" applyBorder="0" applyAlignment="0" applyProtection="0"/>
    <xf numFmtId="0" fontId="61" fillId="9" borderId="0" applyNumberFormat="0" applyBorder="0" applyAlignment="0" applyProtection="0"/>
    <xf numFmtId="0" fontId="170" fillId="9" borderId="0" applyNumberFormat="0" applyBorder="0" applyAlignment="0" applyProtection="0"/>
    <xf numFmtId="0" fontId="61" fillId="9" borderId="0" applyNumberFormat="0" applyBorder="0" applyAlignment="0" applyProtection="0"/>
    <xf numFmtId="0" fontId="61" fillId="9" borderId="0" applyNumberFormat="0" applyBorder="0" applyAlignment="0" applyProtection="0"/>
    <xf numFmtId="0" fontId="61" fillId="9" borderId="0" applyNumberFormat="0" applyBorder="0" applyAlignment="0" applyProtection="0"/>
    <xf numFmtId="0" fontId="61" fillId="9" borderId="0" applyNumberFormat="0" applyBorder="0" applyAlignment="0" applyProtection="0"/>
    <xf numFmtId="0" fontId="61" fillId="9" borderId="0" applyNumberFormat="0" applyBorder="0" applyAlignment="0" applyProtection="0"/>
    <xf numFmtId="0" fontId="61" fillId="9" borderId="0" applyNumberFormat="0" applyBorder="0" applyAlignment="0" applyProtection="0"/>
    <xf numFmtId="0" fontId="61" fillId="9" borderId="0" applyNumberFormat="0" applyBorder="0" applyAlignment="0" applyProtection="0"/>
    <xf numFmtId="0" fontId="61" fillId="9" borderId="0" applyNumberFormat="0" applyBorder="0" applyAlignment="0" applyProtection="0"/>
    <xf numFmtId="0" fontId="61" fillId="9" borderId="0" applyNumberFormat="0" applyBorder="0" applyAlignment="0" applyProtection="0"/>
    <xf numFmtId="0" fontId="170" fillId="9" borderId="0" applyNumberFormat="0" applyBorder="0" applyAlignment="0" applyProtection="0"/>
    <xf numFmtId="0" fontId="61" fillId="9" borderId="0" applyNumberFormat="0" applyBorder="0" applyAlignment="0" applyProtection="0"/>
    <xf numFmtId="0" fontId="61" fillId="9" borderId="0" applyNumberFormat="0" applyBorder="0" applyAlignment="0" applyProtection="0"/>
    <xf numFmtId="0" fontId="170" fillId="9" borderId="0" applyNumberFormat="0" applyBorder="0" applyAlignment="0" applyProtection="0"/>
    <xf numFmtId="0" fontId="61" fillId="9" borderId="0" applyNumberFormat="0" applyBorder="0" applyAlignment="0" applyProtection="0"/>
    <xf numFmtId="0" fontId="61" fillId="9" borderId="0" applyNumberFormat="0" applyBorder="0" applyAlignment="0" applyProtection="0"/>
    <xf numFmtId="0" fontId="170" fillId="9" borderId="0" applyNumberFormat="0" applyBorder="0" applyAlignment="0" applyProtection="0"/>
    <xf numFmtId="0" fontId="61" fillId="9" borderId="0" applyNumberFormat="0" applyBorder="0" applyAlignment="0" applyProtection="0"/>
    <xf numFmtId="0" fontId="61" fillId="9" borderId="0" applyNumberFormat="0" applyBorder="0" applyAlignment="0" applyProtection="0"/>
    <xf numFmtId="0" fontId="170" fillId="9" borderId="0" applyNumberFormat="0" applyBorder="0" applyAlignment="0" applyProtection="0"/>
    <xf numFmtId="0" fontId="61" fillId="9" borderId="0" applyNumberFormat="0" applyBorder="0" applyAlignment="0" applyProtection="0"/>
    <xf numFmtId="0" fontId="61" fillId="9" borderId="0" applyNumberFormat="0" applyBorder="0" applyAlignment="0" applyProtection="0"/>
    <xf numFmtId="0" fontId="61" fillId="9" borderId="0" applyNumberFormat="0" applyBorder="0" applyAlignment="0" applyProtection="0"/>
    <xf numFmtId="0" fontId="61" fillId="9" borderId="0" applyNumberFormat="0" applyBorder="0" applyAlignment="0" applyProtection="0"/>
    <xf numFmtId="0" fontId="61" fillId="9" borderId="0" applyNumberFormat="0" applyBorder="0" applyAlignment="0" applyProtection="0"/>
    <xf numFmtId="0" fontId="61" fillId="9" borderId="0" applyNumberFormat="0" applyBorder="0" applyAlignment="0" applyProtection="0"/>
    <xf numFmtId="169" fontId="24" fillId="0" borderId="5">
      <alignment vertical="top" wrapText="1"/>
    </xf>
    <xf numFmtId="188" fontId="26" fillId="0" borderId="2" applyFont="0" applyFill="0" applyBorder="0" applyProtection="0">
      <alignment horizontal="center" vertical="center"/>
    </xf>
    <xf numFmtId="3" fontId="26" fillId="0" borderId="0" applyFont="0" applyBorder="0">
      <alignment horizontal="center"/>
    </xf>
    <xf numFmtId="166" fontId="27" fillId="0" borderId="0">
      <protection locked="0"/>
    </xf>
    <xf numFmtId="49" fontId="129" fillId="0" borderId="2">
      <alignment horizontal="center" vertical="center" wrapText="1"/>
    </xf>
    <xf numFmtId="0" fontId="24" fillId="0" borderId="2" applyBorder="0">
      <alignment horizontal="center" vertical="center" wrapText="1"/>
    </xf>
    <xf numFmtId="49" fontId="129" fillId="0" borderId="2">
      <alignment horizontal="center" vertical="center" wrapText="1"/>
    </xf>
    <xf numFmtId="49" fontId="101" fillId="0" borderId="2" applyNumberFormat="0" applyFill="0" applyAlignment="0" applyProtection="0"/>
    <xf numFmtId="168" fontId="26" fillId="0" borderId="0"/>
    <xf numFmtId="0" fontId="78" fillId="12" borderId="6" applyNumberFormat="0" applyAlignment="0" applyProtection="0"/>
    <xf numFmtId="0" fontId="18" fillId="0" borderId="0"/>
    <xf numFmtId="0" fontId="171" fillId="0" borderId="0"/>
    <xf numFmtId="0" fontId="171" fillId="34" borderId="15" applyNumberFormat="0" applyFont="0" applyAlignment="0" applyProtection="0"/>
    <xf numFmtId="0" fontId="171" fillId="0" borderId="0"/>
    <xf numFmtId="0" fontId="171" fillId="34" borderId="15" applyNumberFormat="0" applyFont="0" applyAlignment="0" applyProtection="0"/>
    <xf numFmtId="0" fontId="171" fillId="34" borderId="15" applyNumberFormat="0" applyFont="0" applyAlignment="0" applyProtection="0"/>
    <xf numFmtId="0" fontId="171" fillId="34" borderId="15" applyNumberFormat="0" applyFont="0" applyAlignment="0" applyProtection="0"/>
    <xf numFmtId="0" fontId="171" fillId="34" borderId="15" applyNumberFormat="0" applyFont="0" applyAlignment="0" applyProtection="0"/>
    <xf numFmtId="0" fontId="171" fillId="0" borderId="0"/>
    <xf numFmtId="0" fontId="171" fillId="0" borderId="0"/>
    <xf numFmtId="0" fontId="17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3" fillId="18" borderId="0" applyNumberFormat="0" applyBorder="0" applyAlignment="0" applyProtection="0"/>
    <xf numFmtId="0" fontId="31" fillId="16" borderId="0" applyNumberFormat="0" applyBorder="0" applyAlignment="0" applyProtection="0"/>
    <xf numFmtId="0" fontId="31" fillId="10" borderId="0" applyNumberFormat="0" applyBorder="0" applyAlignment="0" applyProtection="0"/>
    <xf numFmtId="0" fontId="31" fillId="13" borderId="0" applyNumberFormat="0" applyBorder="0" applyAlignment="0" applyProtection="0"/>
    <xf numFmtId="43" fontId="1" fillId="0" borderId="0" applyFont="0" applyFill="0" applyBorder="0" applyAlignment="0" applyProtection="0"/>
    <xf numFmtId="0" fontId="33" fillId="18" borderId="0" applyNumberFormat="0" applyBorder="0" applyAlignment="0" applyProtection="0"/>
    <xf numFmtId="0" fontId="31" fillId="16" borderId="0" applyNumberFormat="0" applyBorder="0" applyAlignment="0" applyProtection="0"/>
    <xf numFmtId="0" fontId="31" fillId="10" borderId="0" applyNumberFormat="0" applyBorder="0" applyAlignment="0" applyProtection="0"/>
    <xf numFmtId="0" fontId="31" fillId="13" borderId="0" applyNumberFormat="0" applyBorder="0" applyAlignment="0" applyProtection="0"/>
    <xf numFmtId="43" fontId="1" fillId="0" borderId="0" applyFont="0" applyFill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31" fillId="12" borderId="0" applyNumberFormat="0" applyBorder="0" applyAlignment="0" applyProtection="0"/>
    <xf numFmtId="0" fontId="31" fillId="17" borderId="0" applyNumberFormat="0" applyBorder="0" applyAlignment="0" applyProtection="0"/>
    <xf numFmtId="0" fontId="33" fillId="20" borderId="0" applyNumberFormat="0" applyBorder="0" applyAlignment="0" applyProtection="0"/>
    <xf numFmtId="0" fontId="31" fillId="12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0" fontId="31" fillId="13" borderId="0" applyNumberFormat="0" applyBorder="0" applyAlignment="0" applyProtection="0"/>
    <xf numFmtId="0" fontId="31" fillId="10" borderId="0" applyNumberFormat="0" applyBorder="0" applyAlignment="0" applyProtection="0"/>
    <xf numFmtId="0" fontId="31" fillId="16" borderId="0" applyNumberFormat="0" applyBorder="0" applyAlignment="0" applyProtection="0"/>
    <xf numFmtId="0" fontId="33" fillId="18" borderId="0" applyNumberFormat="0" applyBorder="0" applyAlignment="0" applyProtection="0"/>
    <xf numFmtId="9" fontId="3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31" fillId="13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31" fillId="10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6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18" borderId="0" applyNumberFormat="0" applyBorder="0" applyAlignment="0" applyProtection="0"/>
    <xf numFmtId="0" fontId="152" fillId="0" borderId="0"/>
    <xf numFmtId="0" fontId="18" fillId="0" borderId="0"/>
    <xf numFmtId="0" fontId="2" fillId="0" borderId="0"/>
    <xf numFmtId="0" fontId="26" fillId="0" borderId="0"/>
    <xf numFmtId="0" fontId="26" fillId="0" borderId="0"/>
    <xf numFmtId="0" fontId="1" fillId="0" borderId="0"/>
    <xf numFmtId="0" fontId="157" fillId="0" borderId="0"/>
    <xf numFmtId="0" fontId="158" fillId="0" borderId="0"/>
    <xf numFmtId="0" fontId="1" fillId="0" borderId="0"/>
    <xf numFmtId="0" fontId="26" fillId="0" borderId="0"/>
    <xf numFmtId="0" fontId="18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26" fillId="0" borderId="0"/>
    <xf numFmtId="0" fontId="26" fillId="0" borderId="0"/>
    <xf numFmtId="0" fontId="26" fillId="0" borderId="0"/>
    <xf numFmtId="0" fontId="152" fillId="0" borderId="0"/>
    <xf numFmtId="0" fontId="26" fillId="34" borderId="15" applyNumberFormat="0" applyFont="0" applyAlignment="0" applyProtection="0"/>
    <xf numFmtId="0" fontId="18" fillId="34" borderId="15" applyNumberFormat="0" applyFont="0" applyAlignment="0" applyProtection="0"/>
    <xf numFmtId="0" fontId="18" fillId="34" borderId="15" applyNumberFormat="0" applyFont="0" applyAlignment="0" applyProtection="0"/>
    <xf numFmtId="0" fontId="18" fillId="34" borderId="15" applyNumberFormat="0" applyFont="0" applyAlignment="0" applyProtection="0"/>
    <xf numFmtId="0" fontId="18" fillId="34" borderId="15" applyNumberFormat="0" applyFont="0" applyAlignment="0" applyProtection="0"/>
    <xf numFmtId="0" fontId="18" fillId="34" borderId="15" applyNumberFormat="0" applyFont="0" applyAlignment="0" applyProtection="0"/>
    <xf numFmtId="0" fontId="18" fillId="34" borderId="15" applyNumberFormat="0" applyFont="0" applyAlignment="0" applyProtection="0"/>
    <xf numFmtId="0" fontId="18" fillId="34" borderId="15" applyNumberFormat="0" applyFont="0" applyAlignment="0" applyProtection="0"/>
    <xf numFmtId="0" fontId="18" fillId="34" borderId="15" applyNumberFormat="0" applyFont="0" applyAlignment="0" applyProtection="0"/>
    <xf numFmtId="0" fontId="18" fillId="34" borderId="15" applyNumberFormat="0" applyFont="0" applyAlignment="0" applyProtection="0"/>
    <xf numFmtId="0" fontId="18" fillId="34" borderId="15" applyNumberFormat="0" applyFont="0" applyAlignment="0" applyProtection="0"/>
    <xf numFmtId="0" fontId="18" fillId="34" borderId="15" applyNumberFormat="0" applyFont="0" applyAlignment="0" applyProtection="0"/>
    <xf numFmtId="0" fontId="18" fillId="34" borderId="15" applyNumberFormat="0" applyFont="0" applyAlignment="0" applyProtection="0"/>
    <xf numFmtId="0" fontId="18" fillId="34" borderId="15" applyNumberFormat="0" applyFont="0" applyAlignment="0" applyProtection="0"/>
    <xf numFmtId="0" fontId="18" fillId="34" borderId="15" applyNumberFormat="0" applyFont="0" applyAlignment="0" applyProtection="0"/>
    <xf numFmtId="0" fontId="18" fillId="34" borderId="15" applyNumberFormat="0" applyFont="0" applyAlignment="0" applyProtection="0"/>
    <xf numFmtId="0" fontId="18" fillId="34" borderId="15" applyNumberFormat="0" applyFont="0" applyAlignment="0" applyProtection="0"/>
    <xf numFmtId="0" fontId="18" fillId="34" borderId="15" applyNumberFormat="0" applyFont="0" applyAlignment="0" applyProtection="0"/>
    <xf numFmtId="0" fontId="18" fillId="34" borderId="15" applyNumberFormat="0" applyFont="0" applyAlignment="0" applyProtection="0"/>
    <xf numFmtId="9" fontId="26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1" fillId="0" borderId="0" applyFont="0" applyFill="0" applyBorder="0" applyAlignment="0" applyProtection="0"/>
    <xf numFmtId="0" fontId="80" fillId="0" borderId="13" applyNumberFormat="0" applyFill="0" applyAlignment="0" applyProtection="0"/>
    <xf numFmtId="0" fontId="165" fillId="0" borderId="13" applyNumberFormat="0" applyFill="0" applyAlignment="0" applyProtection="0"/>
    <xf numFmtId="0" fontId="80" fillId="0" borderId="13" applyNumberFormat="0" applyFill="0" applyAlignment="0" applyProtection="0"/>
    <xf numFmtId="0" fontId="165" fillId="0" borderId="13" applyNumberFormat="0" applyFill="0" applyAlignment="0" applyProtection="0"/>
    <xf numFmtId="0" fontId="80" fillId="0" borderId="13" applyNumberFormat="0" applyFill="0" applyAlignment="0" applyProtection="0"/>
    <xf numFmtId="0" fontId="80" fillId="0" borderId="13" applyNumberFormat="0" applyFill="0" applyAlignment="0" applyProtection="0"/>
    <xf numFmtId="0" fontId="80" fillId="0" borderId="13" applyNumberFormat="0" applyFill="0" applyAlignment="0" applyProtection="0"/>
    <xf numFmtId="0" fontId="80" fillId="0" borderId="13" applyNumberFormat="0" applyFill="0" applyAlignment="0" applyProtection="0"/>
    <xf numFmtId="38" fontId="19" fillId="0" borderId="0">
      <alignment vertical="top"/>
    </xf>
    <xf numFmtId="0" fontId="17" fillId="0" borderId="0"/>
    <xf numFmtId="176" fontId="19" fillId="0" borderId="0">
      <alignment vertical="top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9" fontId="151" fillId="0" borderId="0"/>
    <xf numFmtId="49" fontId="166" fillId="0" borderId="0">
      <alignment vertical="top"/>
    </xf>
    <xf numFmtId="3" fontId="167" fillId="0" borderId="0"/>
    <xf numFmtId="170" fontId="83" fillId="0" borderId="0" applyFill="0" applyBorder="0" applyAlignment="0" applyProtection="0"/>
    <xf numFmtId="170" fontId="83" fillId="0" borderId="0" applyFill="0" applyBorder="0" applyAlignment="0" applyProtection="0"/>
    <xf numFmtId="170" fontId="83" fillId="0" borderId="0" applyFill="0" applyBorder="0" applyAlignment="0" applyProtection="0"/>
    <xf numFmtId="170" fontId="83" fillId="0" borderId="0" applyFill="0" applyBorder="0" applyAlignment="0" applyProtection="0"/>
    <xf numFmtId="170" fontId="83" fillId="0" borderId="0" applyFill="0" applyBorder="0" applyAlignment="0" applyProtection="0"/>
    <xf numFmtId="170" fontId="83" fillId="0" borderId="0" applyFill="0" applyBorder="0" applyAlignment="0" applyProtection="0"/>
    <xf numFmtId="170" fontId="83" fillId="0" borderId="0" applyFill="0" applyBorder="0" applyAlignment="0" applyProtection="0"/>
    <xf numFmtId="170" fontId="83" fillId="0" borderId="0" applyFill="0" applyBorder="0" applyAlignment="0" applyProtection="0"/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68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68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68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68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68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68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49" fontId="83" fillId="0" borderId="0">
      <alignment horizontal="center"/>
    </xf>
    <xf numFmtId="49" fontId="83" fillId="0" borderId="0">
      <alignment horizontal="center"/>
    </xf>
    <xf numFmtId="49" fontId="83" fillId="0" borderId="0">
      <alignment horizontal="center"/>
    </xf>
    <xf numFmtId="49" fontId="83" fillId="0" borderId="0">
      <alignment horizontal="center"/>
    </xf>
    <xf numFmtId="49" fontId="83" fillId="0" borderId="0">
      <alignment horizontal="center"/>
    </xf>
    <xf numFmtId="49" fontId="83" fillId="0" borderId="0">
      <alignment horizontal="center"/>
    </xf>
    <xf numFmtId="49" fontId="83" fillId="0" borderId="0">
      <alignment horizontal="center"/>
    </xf>
    <xf numFmtId="49" fontId="83" fillId="0" borderId="0">
      <alignment horizontal="center"/>
    </xf>
    <xf numFmtId="49" fontId="83" fillId="0" borderId="0">
      <alignment horizontal="center"/>
    </xf>
    <xf numFmtId="3" fontId="169" fillId="0" borderId="5" applyFont="0" applyBorder="0">
      <alignment horizontal="right"/>
      <protection locked="0"/>
    </xf>
    <xf numFmtId="2" fontId="83" fillId="0" borderId="0" applyFill="0" applyBorder="0" applyAlignment="0" applyProtection="0"/>
    <xf numFmtId="2" fontId="83" fillId="0" borderId="0" applyFill="0" applyBorder="0" applyAlignment="0" applyProtection="0"/>
    <xf numFmtId="2" fontId="83" fillId="0" borderId="0" applyFill="0" applyBorder="0" applyAlignment="0" applyProtection="0"/>
    <xf numFmtId="2" fontId="83" fillId="0" borderId="0" applyFill="0" applyBorder="0" applyAlignment="0" applyProtection="0"/>
    <xf numFmtId="2" fontId="83" fillId="0" borderId="0" applyFill="0" applyBorder="0" applyAlignment="0" applyProtection="0"/>
    <xf numFmtId="2" fontId="83" fillId="0" borderId="0" applyFill="0" applyBorder="0" applyAlignment="0" applyProtection="0"/>
    <xf numFmtId="2" fontId="83" fillId="0" borderId="0" applyFill="0" applyBorder="0" applyAlignment="0" applyProtection="0"/>
    <xf numFmtId="2" fontId="83" fillId="0" borderId="0" applyFill="0" applyBorder="0" applyAlignment="0" applyProtection="0"/>
    <xf numFmtId="2" fontId="83" fillId="0" borderId="0" applyFill="0" applyBorder="0" applyAlignment="0" applyProtection="0"/>
    <xf numFmtId="209" fontId="18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156" fillId="0" borderId="0" applyFont="0" applyFill="0" applyBorder="0" applyAlignment="0" applyProtection="0"/>
    <xf numFmtId="210" fontId="18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156" fillId="0" borderId="0" applyFont="0" applyFill="0" applyBorder="0" applyAlignment="0" applyProtection="0"/>
    <xf numFmtId="21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67" fontId="26" fillId="0" borderId="0" applyFont="0" applyFill="0" applyBorder="0" applyAlignment="0" applyProtection="0"/>
    <xf numFmtId="210" fontId="18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211" fontId="18" fillId="0" borderId="0" applyFont="0" applyFill="0" applyBorder="0" applyAlignment="0" applyProtection="0"/>
    <xf numFmtId="211" fontId="18" fillId="0" borderId="0" applyFont="0" applyFill="0" applyBorder="0" applyAlignment="0" applyProtection="0"/>
    <xf numFmtId="210" fontId="18" fillId="0" borderId="0" applyFont="0" applyFill="0" applyBorder="0" applyAlignment="0" applyProtection="0"/>
    <xf numFmtId="167" fontId="31" fillId="0" borderId="0" applyFont="0" applyFill="0" applyBorder="0" applyAlignment="0" applyProtection="0"/>
    <xf numFmtId="0" fontId="31" fillId="0" borderId="0"/>
    <xf numFmtId="167" fontId="26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0" fontId="31" fillId="0" borderId="0"/>
    <xf numFmtId="167" fontId="31" fillId="0" borderId="0" applyFont="0" applyFill="0" applyBorder="0" applyAlignment="0" applyProtection="0"/>
    <xf numFmtId="167" fontId="26" fillId="0" borderId="0" applyFont="0" applyFill="0" applyBorder="0" applyAlignment="0" applyProtection="0"/>
    <xf numFmtId="0" fontId="31" fillId="0" borderId="0"/>
    <xf numFmtId="167" fontId="26" fillId="0" borderId="0" applyFont="0" applyFill="0" applyBorder="0" applyAlignment="0" applyProtection="0"/>
    <xf numFmtId="0" fontId="31" fillId="0" borderId="0"/>
    <xf numFmtId="167" fontId="26" fillId="0" borderId="0" applyFont="0" applyFill="0" applyBorder="0" applyAlignment="0" applyProtection="0"/>
    <xf numFmtId="0" fontId="31" fillId="0" borderId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4" fontId="14" fillId="3" borderId="0" applyBorder="0">
      <alignment horizontal="right"/>
    </xf>
    <xf numFmtId="4" fontId="14" fillId="3" borderId="0" applyBorder="0">
      <alignment horizontal="right"/>
    </xf>
    <xf numFmtId="4" fontId="14" fillId="3" borderId="0" applyBorder="0">
      <alignment horizontal="right"/>
    </xf>
    <xf numFmtId="4" fontId="14" fillId="3" borderId="0" applyBorder="0">
      <alignment horizontal="right"/>
    </xf>
    <xf numFmtId="4" fontId="14" fillId="3" borderId="0" applyBorder="0">
      <alignment horizontal="right"/>
    </xf>
    <xf numFmtId="4" fontId="14" fillId="3" borderId="0" applyBorder="0">
      <alignment horizontal="right"/>
    </xf>
    <xf numFmtId="4" fontId="14" fillId="3" borderId="0" applyBorder="0">
      <alignment horizontal="right"/>
    </xf>
    <xf numFmtId="4" fontId="14" fillId="3" borderId="0" applyBorder="0">
      <alignment horizontal="right"/>
    </xf>
    <xf numFmtId="4" fontId="14" fillId="3" borderId="0" applyFont="0" applyBorder="0">
      <alignment horizontal="right"/>
    </xf>
    <xf numFmtId="4" fontId="14" fillId="3" borderId="0" applyFont="0" applyBorder="0">
      <alignment horizontal="right"/>
    </xf>
    <xf numFmtId="4" fontId="14" fillId="3" borderId="0" applyBorder="0">
      <alignment horizontal="right"/>
    </xf>
    <xf numFmtId="4" fontId="14" fillId="3" borderId="0" applyBorder="0">
      <alignment horizontal="right"/>
    </xf>
    <xf numFmtId="4" fontId="14" fillId="3" borderId="0" applyBorder="0">
      <alignment horizontal="right"/>
    </xf>
    <xf numFmtId="4" fontId="14" fillId="3" borderId="0" applyBorder="0">
      <alignment horizontal="right"/>
    </xf>
    <xf numFmtId="4" fontId="14" fillId="3" borderId="0" applyBorder="0">
      <alignment horizontal="right"/>
    </xf>
    <xf numFmtId="4" fontId="14" fillId="3" borderId="0" applyBorder="0">
      <alignment horizontal="right"/>
    </xf>
    <xf numFmtId="4" fontId="14" fillId="3" borderId="0" applyBorder="0">
      <alignment horizontal="right"/>
    </xf>
    <xf numFmtId="4" fontId="14" fillId="3" borderId="0" applyBorder="0">
      <alignment horizontal="right"/>
    </xf>
    <xf numFmtId="4" fontId="14" fillId="3" borderId="0" applyBorder="0">
      <alignment horizontal="right"/>
    </xf>
    <xf numFmtId="4" fontId="14" fillId="3" borderId="31" applyBorder="0">
      <alignment horizontal="right"/>
    </xf>
    <xf numFmtId="4" fontId="14" fillId="3" borderId="31" applyBorder="0">
      <alignment horizontal="right"/>
    </xf>
    <xf numFmtId="4" fontId="14" fillId="63" borderId="32" applyBorder="0">
      <alignment horizontal="right"/>
    </xf>
    <xf numFmtId="4" fontId="14" fillId="63" borderId="32" applyBorder="0">
      <alignment horizontal="right"/>
    </xf>
    <xf numFmtId="0" fontId="61" fillId="9" borderId="0" applyNumberFormat="0" applyBorder="0" applyAlignment="0" applyProtection="0"/>
    <xf numFmtId="0" fontId="61" fillId="9" borderId="0" applyNumberFormat="0" applyBorder="0" applyAlignment="0" applyProtection="0"/>
    <xf numFmtId="0" fontId="61" fillId="9" borderId="0" applyNumberFormat="0" applyBorder="0" applyAlignment="0" applyProtection="0"/>
    <xf numFmtId="0" fontId="170" fillId="9" borderId="0" applyNumberFormat="0" applyBorder="0" applyAlignment="0" applyProtection="0"/>
    <xf numFmtId="0" fontId="61" fillId="9" borderId="0" applyNumberFormat="0" applyBorder="0" applyAlignment="0" applyProtection="0"/>
    <xf numFmtId="0" fontId="61" fillId="9" borderId="0" applyNumberFormat="0" applyBorder="0" applyAlignment="0" applyProtection="0"/>
    <xf numFmtId="0" fontId="61" fillId="9" borderId="0" applyNumberFormat="0" applyBorder="0" applyAlignment="0" applyProtection="0"/>
    <xf numFmtId="0" fontId="61" fillId="9" borderId="0" applyNumberFormat="0" applyBorder="0" applyAlignment="0" applyProtection="0"/>
    <xf numFmtId="0" fontId="61" fillId="9" borderId="0" applyNumberFormat="0" applyBorder="0" applyAlignment="0" applyProtection="0"/>
    <xf numFmtId="0" fontId="61" fillId="9" borderId="0" applyNumberFormat="0" applyBorder="0" applyAlignment="0" applyProtection="0"/>
    <xf numFmtId="0" fontId="61" fillId="9" borderId="0" applyNumberFormat="0" applyBorder="0" applyAlignment="0" applyProtection="0"/>
    <xf numFmtId="0" fontId="61" fillId="9" borderId="0" applyNumberFormat="0" applyBorder="0" applyAlignment="0" applyProtection="0"/>
    <xf numFmtId="0" fontId="61" fillId="9" borderId="0" applyNumberFormat="0" applyBorder="0" applyAlignment="0" applyProtection="0"/>
    <xf numFmtId="0" fontId="170" fillId="9" borderId="0" applyNumberFormat="0" applyBorder="0" applyAlignment="0" applyProtection="0"/>
    <xf numFmtId="0" fontId="61" fillId="9" borderId="0" applyNumberFormat="0" applyBorder="0" applyAlignment="0" applyProtection="0"/>
    <xf numFmtId="0" fontId="61" fillId="9" borderId="0" applyNumberFormat="0" applyBorder="0" applyAlignment="0" applyProtection="0"/>
    <xf numFmtId="0" fontId="61" fillId="9" borderId="0" applyNumberFormat="0" applyBorder="0" applyAlignment="0" applyProtection="0"/>
    <xf numFmtId="0" fontId="61" fillId="9" borderId="0" applyNumberFormat="0" applyBorder="0" applyAlignment="0" applyProtection="0"/>
    <xf numFmtId="0" fontId="61" fillId="9" borderId="0" applyNumberFormat="0" applyBorder="0" applyAlignment="0" applyProtection="0"/>
    <xf numFmtId="0" fontId="61" fillId="9" borderId="0" applyNumberFormat="0" applyBorder="0" applyAlignment="0" applyProtection="0"/>
    <xf numFmtId="0" fontId="61" fillId="9" borderId="0" applyNumberFormat="0" applyBorder="0" applyAlignment="0" applyProtection="0"/>
    <xf numFmtId="0" fontId="61" fillId="9" borderId="0" applyNumberFormat="0" applyBorder="0" applyAlignment="0" applyProtection="0"/>
    <xf numFmtId="0" fontId="61" fillId="9" borderId="0" applyNumberFormat="0" applyBorder="0" applyAlignment="0" applyProtection="0"/>
    <xf numFmtId="0" fontId="61" fillId="9" borderId="0" applyNumberFormat="0" applyBorder="0" applyAlignment="0" applyProtection="0"/>
    <xf numFmtId="0" fontId="170" fillId="9" borderId="0" applyNumberFormat="0" applyBorder="0" applyAlignment="0" applyProtection="0"/>
    <xf numFmtId="0" fontId="61" fillId="9" borderId="0" applyNumberFormat="0" applyBorder="0" applyAlignment="0" applyProtection="0"/>
    <xf numFmtId="0" fontId="170" fillId="9" borderId="0" applyNumberFormat="0" applyBorder="0" applyAlignment="0" applyProtection="0"/>
    <xf numFmtId="0" fontId="61" fillId="9" borderId="0" applyNumberFormat="0" applyBorder="0" applyAlignment="0" applyProtection="0"/>
    <xf numFmtId="0" fontId="170" fillId="9" borderId="0" applyNumberFormat="0" applyBorder="0" applyAlignment="0" applyProtection="0"/>
    <xf numFmtId="0" fontId="61" fillId="9" borderId="0" applyNumberFormat="0" applyBorder="0" applyAlignment="0" applyProtection="0"/>
    <xf numFmtId="0" fontId="170" fillId="9" borderId="0" applyNumberFormat="0" applyBorder="0" applyAlignment="0" applyProtection="0"/>
    <xf numFmtId="0" fontId="61" fillId="9" borderId="0" applyNumberFormat="0" applyBorder="0" applyAlignment="0" applyProtection="0"/>
    <xf numFmtId="0" fontId="61" fillId="9" borderId="0" applyNumberFormat="0" applyBorder="0" applyAlignment="0" applyProtection="0"/>
    <xf numFmtId="0" fontId="61" fillId="9" borderId="0" applyNumberFormat="0" applyBorder="0" applyAlignment="0" applyProtection="0"/>
    <xf numFmtId="0" fontId="61" fillId="9" borderId="0" applyNumberFormat="0" applyBorder="0" applyAlignment="0" applyProtection="0"/>
    <xf numFmtId="188" fontId="26" fillId="0" borderId="2" applyFont="0" applyFill="0" applyBorder="0" applyProtection="0">
      <alignment horizontal="center" vertical="center"/>
    </xf>
    <xf numFmtId="3" fontId="26" fillId="0" borderId="0" applyFont="0" applyBorder="0">
      <alignment horizontal="center"/>
    </xf>
    <xf numFmtId="166" fontId="27" fillId="0" borderId="0">
      <protection locked="0"/>
    </xf>
    <xf numFmtId="49" fontId="129" fillId="0" borderId="2">
      <alignment horizontal="center" vertical="center" wrapText="1"/>
    </xf>
    <xf numFmtId="0" fontId="24" fillId="0" borderId="2" applyBorder="0">
      <alignment horizontal="center" vertical="center" wrapText="1"/>
    </xf>
    <xf numFmtId="49" fontId="101" fillId="0" borderId="2" applyNumberFormat="0" applyFill="0" applyAlignment="0" applyProtection="0"/>
    <xf numFmtId="0" fontId="78" fillId="12" borderId="6" applyNumberFormat="0" applyAlignment="0" applyProtection="0"/>
    <xf numFmtId="0" fontId="18" fillId="0" borderId="0"/>
    <xf numFmtId="0" fontId="18" fillId="0" borderId="0"/>
    <xf numFmtId="0" fontId="18" fillId="0" borderId="0"/>
    <xf numFmtId="0" fontId="33" fillId="18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1" fillId="16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0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31" fillId="13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43" fontId="1" fillId="0" borderId="0" applyFont="0" applyFill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31" fillId="12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1" fillId="12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43" fontId="1" fillId="0" borderId="0" applyFont="0" applyFill="0" applyBorder="0" applyAlignment="0" applyProtection="0"/>
    <xf numFmtId="0" fontId="31" fillId="13" borderId="0" applyNumberFormat="0" applyBorder="0" applyAlignment="0" applyProtection="0"/>
    <xf numFmtId="0" fontId="31" fillId="10" borderId="0" applyNumberFormat="0" applyBorder="0" applyAlignment="0" applyProtection="0"/>
    <xf numFmtId="0" fontId="31" fillId="16" borderId="0" applyNumberFormat="0" applyBorder="0" applyAlignment="0" applyProtection="0"/>
    <xf numFmtId="0" fontId="33" fillId="18" borderId="0" applyNumberFormat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26" fillId="0" borderId="0"/>
    <xf numFmtId="9" fontId="31" fillId="0" borderId="0" applyFont="0" applyFill="0" applyBorder="0" applyAlignment="0" applyProtection="0"/>
    <xf numFmtId="9" fontId="156" fillId="0" borderId="0" applyFont="0" applyFill="0" applyBorder="0" applyAlignment="0" applyProtection="0"/>
    <xf numFmtId="0" fontId="32" fillId="7" borderId="0" applyNumberFormat="0" applyBorder="0" applyAlignment="0" applyProtection="0"/>
    <xf numFmtId="0" fontId="32" fillId="7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9" borderId="0" applyNumberFormat="0" applyBorder="0" applyAlignment="0" applyProtection="0"/>
    <xf numFmtId="0" fontId="32" fillId="9" borderId="0" applyNumberFormat="0" applyBorder="0" applyAlignment="0" applyProtection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32" fillId="12" borderId="0" applyNumberFormat="0" applyBorder="0" applyAlignment="0" applyProtection="0"/>
    <xf numFmtId="0" fontId="32" fillId="12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32" fillId="15" borderId="0" applyNumberFormat="0" applyBorder="0" applyAlignment="0" applyProtection="0"/>
    <xf numFmtId="0" fontId="32" fillId="15" borderId="0" applyNumberFormat="0" applyBorder="0" applyAlignment="0" applyProtection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16" borderId="0" applyNumberFormat="0" applyBorder="0" applyAlignment="0" applyProtection="0"/>
    <xf numFmtId="0" fontId="32" fillId="16" borderId="0" applyNumberFormat="0" applyBorder="0" applyAlignment="0" applyProtection="0"/>
    <xf numFmtId="0" fontId="34" fillId="18" borderId="0" applyNumberFormat="0" applyBorder="0" applyAlignment="0" applyProtection="0"/>
    <xf numFmtId="0" fontId="34" fillId="18" borderId="0" applyNumberFormat="0" applyBorder="0" applyAlignment="0" applyProtection="0"/>
    <xf numFmtId="0" fontId="34" fillId="14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5" borderId="0" applyNumberFormat="0" applyBorder="0" applyAlignment="0" applyProtection="0"/>
    <xf numFmtId="0" fontId="34" fillId="19" borderId="0" applyNumberFormat="0" applyBorder="0" applyAlignment="0" applyProtection="0"/>
    <xf numFmtId="0" fontId="34" fillId="19" borderId="0" applyNumberFormat="0" applyBorder="0" applyAlignment="0" applyProtection="0"/>
    <xf numFmtId="0" fontId="34" fillId="20" borderId="0" applyNumberFormat="0" applyBorder="0" applyAlignment="0" applyProtection="0"/>
    <xf numFmtId="0" fontId="34" fillId="20" borderId="0" applyNumberFormat="0" applyBorder="0" applyAlignment="0" applyProtection="0"/>
    <xf numFmtId="0" fontId="34" fillId="21" borderId="0" applyNumberFormat="0" applyBorder="0" applyAlignment="0" applyProtection="0"/>
    <xf numFmtId="0" fontId="34" fillId="21" borderId="0" applyNumberFormat="0" applyBorder="0" applyAlignment="0" applyProtection="0"/>
    <xf numFmtId="0" fontId="135" fillId="0" borderId="27" applyNumberFormat="0" applyFill="0" applyAlignment="0" applyProtection="0"/>
    <xf numFmtId="0" fontId="137" fillId="0" borderId="28" applyNumberFormat="0" applyFill="0" applyAlignment="0" applyProtection="0"/>
    <xf numFmtId="0" fontId="144" fillId="0" borderId="30" applyNumberFormat="0" applyFill="0" applyAlignment="0" applyProtection="0"/>
    <xf numFmtId="0" fontId="147" fillId="0" borderId="0">
      <alignment horizontal="centerContinuous" vertical="center" wrapText="1"/>
    </xf>
    <xf numFmtId="0" fontId="32" fillId="13" borderId="0" applyNumberFormat="0" applyBorder="0" applyAlignment="0" applyProtection="0"/>
    <xf numFmtId="0" fontId="18" fillId="0" borderId="0"/>
    <xf numFmtId="0" fontId="32" fillId="34" borderId="15" applyNumberFormat="0" applyFont="0" applyAlignment="0" applyProtection="0"/>
    <xf numFmtId="0" fontId="32" fillId="34" borderId="15" applyNumberFormat="0" applyFont="0" applyAlignment="0" applyProtection="0"/>
    <xf numFmtId="0" fontId="32" fillId="34" borderId="15" applyNumberFormat="0" applyFont="0" applyAlignment="0" applyProtection="0"/>
    <xf numFmtId="0" fontId="32" fillId="34" borderId="15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34" fillId="14" borderId="0" applyNumberFormat="0" applyBorder="0" applyAlignment="0" applyProtection="0"/>
    <xf numFmtId="0" fontId="34" fillId="18" borderId="0" applyNumberFormat="0" applyBorder="0" applyAlignment="0" applyProtection="0"/>
    <xf numFmtId="0" fontId="18" fillId="0" borderId="0" applyFont="0" applyFill="0" applyBorder="0" applyAlignment="0" applyProtection="0"/>
    <xf numFmtId="213" fontId="18" fillId="0" borderId="0" applyFont="0" applyFill="0" applyBorder="0" applyAlignment="0" applyProtection="0"/>
    <xf numFmtId="213" fontId="18" fillId="0" borderId="0" applyFont="0" applyFill="0" applyBorder="0" applyAlignment="0" applyProtection="0"/>
    <xf numFmtId="213" fontId="18" fillId="0" borderId="0" applyFont="0" applyFill="0" applyBorder="0" applyAlignment="0" applyProtection="0"/>
    <xf numFmtId="0" fontId="32" fillId="11" borderId="0" applyNumberFormat="0" applyBorder="0" applyAlignment="0" applyProtection="0"/>
    <xf numFmtId="4" fontId="14" fillId="63" borderId="31" applyBorder="0">
      <alignment horizontal="right"/>
    </xf>
    <xf numFmtId="4" fontId="14" fillId="3" borderId="2" applyFont="0" applyBorder="0">
      <alignment horizontal="right"/>
    </xf>
    <xf numFmtId="0" fontId="32" fillId="7" borderId="0" applyNumberFormat="0" applyBorder="0" applyAlignment="0" applyProtection="0"/>
    <xf numFmtId="0" fontId="18" fillId="0" borderId="0"/>
    <xf numFmtId="0" fontId="16" fillId="0" borderId="0"/>
    <xf numFmtId="0" fontId="18" fillId="0" borderId="0"/>
    <xf numFmtId="0" fontId="18" fillId="0" borderId="0"/>
    <xf numFmtId="0" fontId="26" fillId="0" borderId="0"/>
    <xf numFmtId="0" fontId="156" fillId="0" borderId="0"/>
    <xf numFmtId="0" fontId="32" fillId="14" borderId="0" applyNumberFormat="0" applyBorder="0" applyAlignment="0" applyProtection="0"/>
    <xf numFmtId="0" fontId="1" fillId="0" borderId="0"/>
    <xf numFmtId="0" fontId="18" fillId="0" borderId="0"/>
    <xf numFmtId="0" fontId="179" fillId="0" borderId="0"/>
    <xf numFmtId="0" fontId="26" fillId="0" borderId="0"/>
    <xf numFmtId="0" fontId="26" fillId="0" borderId="0"/>
    <xf numFmtId="0" fontId="1" fillId="0" borderId="0"/>
    <xf numFmtId="9" fontId="24" fillId="0" borderId="0" applyFill="0" applyBorder="0" applyAlignment="0" applyProtection="0"/>
    <xf numFmtId="38" fontId="20" fillId="0" borderId="0">
      <alignment vertical="top"/>
    </xf>
    <xf numFmtId="38" fontId="20" fillId="0" borderId="0">
      <alignment vertical="top"/>
    </xf>
    <xf numFmtId="14" fontId="180" fillId="0" borderId="0" applyFont="0" applyBorder="0">
      <alignment vertical="top"/>
    </xf>
    <xf numFmtId="173" fontId="181" fillId="0" borderId="0" applyFont="0" applyFill="0" applyBorder="0" applyAlignment="0" applyProtection="0"/>
    <xf numFmtId="38" fontId="20" fillId="0" borderId="0">
      <alignment vertical="top"/>
    </xf>
    <xf numFmtId="203" fontId="24" fillId="0" borderId="0" applyFill="0" applyProtection="0"/>
    <xf numFmtId="0" fontId="32" fillId="10" borderId="0" applyNumberFormat="0" applyBorder="0" applyAlignment="0" applyProtection="0"/>
    <xf numFmtId="0" fontId="32" fillId="13" borderId="0" applyNumberFormat="0" applyBorder="0" applyAlignment="0" applyProtection="0"/>
    <xf numFmtId="0" fontId="1" fillId="0" borderId="0"/>
    <xf numFmtId="0" fontId="1" fillId="0" borderId="0"/>
    <xf numFmtId="0" fontId="26" fillId="0" borderId="0"/>
    <xf numFmtId="0" fontId="32" fillId="34" borderId="15" applyNumberFormat="0" applyFont="0" applyAlignment="0" applyProtection="0"/>
    <xf numFmtId="9" fontId="156" fillId="0" borderId="0" applyFont="0" applyFill="0" applyBorder="0" applyAlignment="0" applyProtection="0"/>
    <xf numFmtId="0" fontId="34" fillId="21" borderId="0" applyNumberFormat="0" applyBorder="0" applyAlignment="0" applyProtection="0"/>
    <xf numFmtId="0" fontId="34" fillId="21" borderId="0" applyNumberFormat="0" applyBorder="0" applyAlignment="0" applyProtection="0"/>
    <xf numFmtId="0" fontId="24" fillId="0" borderId="0"/>
    <xf numFmtId="0" fontId="34" fillId="20" borderId="0" applyNumberFormat="0" applyBorder="0" applyAlignment="0" applyProtection="0"/>
    <xf numFmtId="0" fontId="34" fillId="20" borderId="0" applyNumberFormat="0" applyBorder="0" applyAlignment="0" applyProtection="0"/>
    <xf numFmtId="203" fontId="24" fillId="0" borderId="0" applyFill="0" applyProtection="0"/>
    <xf numFmtId="0" fontId="34" fillId="19" borderId="0" applyNumberFormat="0" applyBorder="0" applyAlignment="0" applyProtection="0"/>
    <xf numFmtId="0" fontId="34" fillId="19" borderId="0" applyNumberFormat="0" applyBorder="0" applyAlignment="0" applyProtection="0"/>
    <xf numFmtId="0" fontId="34" fillId="15" borderId="0" applyNumberFormat="0" applyBorder="0" applyAlignment="0" applyProtection="0"/>
    <xf numFmtId="0" fontId="34" fillId="15" borderId="0" applyNumberFormat="0" applyBorder="0" applyAlignment="0" applyProtection="0"/>
    <xf numFmtId="0" fontId="34" fillId="14" borderId="0" applyNumberFormat="0" applyBorder="0" applyAlignment="0" applyProtection="0"/>
    <xf numFmtId="0" fontId="34" fillId="18" borderId="0" applyNumberFormat="0" applyBorder="0" applyAlignment="0" applyProtection="0"/>
    <xf numFmtId="0" fontId="32" fillId="16" borderId="0" applyNumberFormat="0" applyBorder="0" applyAlignment="0" applyProtection="0"/>
    <xf numFmtId="0" fontId="32" fillId="16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32" fillId="15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12" borderId="0" applyNumberFormat="0" applyBorder="0" applyAlignment="0" applyProtection="0"/>
    <xf numFmtId="0" fontId="32" fillId="12" borderId="0" applyNumberFormat="0" applyBorder="0" applyAlignment="0" applyProtection="0"/>
    <xf numFmtId="0" fontId="32" fillId="11" borderId="0" applyNumberFormat="0" applyBorder="0" applyAlignment="0" applyProtection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4" fontId="14" fillId="3" borderId="0" applyFont="0" applyBorder="0">
      <alignment horizontal="right"/>
    </xf>
    <xf numFmtId="0" fontId="32" fillId="9" borderId="0" applyNumberFormat="0" applyBorder="0" applyAlignment="0" applyProtection="0"/>
    <xf numFmtId="0" fontId="32" fillId="9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7" borderId="0" applyNumberFormat="0" applyBorder="0" applyAlignment="0" applyProtection="0"/>
    <xf numFmtId="0" fontId="1" fillId="0" borderId="0"/>
    <xf numFmtId="0" fontId="26" fillId="0" borderId="0"/>
    <xf numFmtId="0" fontId="153" fillId="0" borderId="0"/>
    <xf numFmtId="0" fontId="182" fillId="0" borderId="0"/>
    <xf numFmtId="0" fontId="24" fillId="0" borderId="0"/>
    <xf numFmtId="0" fontId="32" fillId="15" borderId="0" applyNumberFormat="0" applyBorder="0" applyAlignment="0" applyProtection="0"/>
    <xf numFmtId="9" fontId="153" fillId="0" borderId="0" applyFont="0" applyFill="0" applyBorder="0" applyAlignment="0" applyProtection="0"/>
    <xf numFmtId="9" fontId="31" fillId="0" borderId="0" applyFont="0" applyFill="0" applyBorder="0" applyAlignment="0" applyProtection="0"/>
    <xf numFmtId="0" fontId="32" fillId="15" borderId="0" applyNumberFormat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21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213" fontId="18" fillId="0" borderId="0" applyFont="0" applyFill="0" applyBorder="0" applyAlignment="0" applyProtection="0"/>
    <xf numFmtId="213" fontId="18" fillId="0" borderId="0" applyFont="0" applyFill="0" applyBorder="0" applyAlignment="0" applyProtection="0"/>
    <xf numFmtId="213" fontId="18" fillId="0" borderId="0" applyFont="0" applyFill="0" applyBorder="0" applyAlignment="0" applyProtection="0"/>
    <xf numFmtId="0" fontId="18" fillId="0" borderId="0"/>
    <xf numFmtId="9" fontId="18" fillId="0" borderId="0" applyFont="0" applyFill="0" applyBorder="0" applyAlignment="0" applyProtection="0"/>
    <xf numFmtId="0" fontId="26" fillId="0" borderId="0"/>
    <xf numFmtId="203" fontId="24" fillId="0" borderId="0" applyFill="0" applyProtection="0"/>
    <xf numFmtId="0" fontId="34" fillId="21" borderId="0" applyNumberFormat="0" applyBorder="0" applyAlignment="0" applyProtection="0"/>
    <xf numFmtId="0" fontId="34" fillId="21" borderId="0" applyNumberFormat="0" applyBorder="0" applyAlignment="0" applyProtection="0"/>
    <xf numFmtId="0" fontId="34" fillId="20" borderId="0" applyNumberFormat="0" applyBorder="0" applyAlignment="0" applyProtection="0"/>
    <xf numFmtId="0" fontId="34" fillId="20" borderId="0" applyNumberFormat="0" applyBorder="0" applyAlignment="0" applyProtection="0"/>
    <xf numFmtId="0" fontId="34" fillId="19" borderId="0" applyNumberFormat="0" applyBorder="0" applyAlignment="0" applyProtection="0"/>
    <xf numFmtId="0" fontId="34" fillId="19" borderId="0" applyNumberFormat="0" applyBorder="0" applyAlignment="0" applyProtection="0"/>
    <xf numFmtId="0" fontId="34" fillId="15" borderId="0" applyNumberFormat="0" applyBorder="0" applyAlignment="0" applyProtection="0"/>
    <xf numFmtId="0" fontId="34" fillId="15" borderId="0" applyNumberFormat="0" applyBorder="0" applyAlignment="0" applyProtection="0"/>
    <xf numFmtId="0" fontId="34" fillId="14" borderId="0" applyNumberFormat="0" applyBorder="0" applyAlignment="0" applyProtection="0"/>
    <xf numFmtId="0" fontId="34" fillId="14" borderId="0" applyNumberFormat="0" applyBorder="0" applyAlignment="0" applyProtection="0"/>
    <xf numFmtId="0" fontId="34" fillId="18" borderId="0" applyNumberFormat="0" applyBorder="0" applyAlignment="0" applyProtection="0"/>
    <xf numFmtId="0" fontId="34" fillId="18" borderId="0" applyNumberFormat="0" applyBorder="0" applyAlignment="0" applyProtection="0"/>
    <xf numFmtId="0" fontId="32" fillId="16" borderId="0" applyNumberFormat="0" applyBorder="0" applyAlignment="0" applyProtection="0"/>
    <xf numFmtId="0" fontId="32" fillId="16" borderId="0" applyNumberFormat="0" applyBorder="0" applyAlignment="0" applyProtection="0"/>
    <xf numFmtId="0" fontId="32" fillId="13" borderId="0" applyNumberFormat="0" applyBorder="0" applyAlignment="0" applyProtection="0"/>
    <xf numFmtId="0" fontId="32" fillId="10" borderId="0" applyNumberFormat="0" applyBorder="0" applyAlignment="0" applyProtection="0"/>
    <xf numFmtId="0" fontId="32" fillId="15" borderId="0" applyNumberFormat="0" applyBorder="0" applyAlignment="0" applyProtection="0"/>
    <xf numFmtId="0" fontId="32" fillId="14" borderId="0" applyNumberFormat="0" applyBorder="0" applyAlignment="0" applyProtection="0"/>
    <xf numFmtId="0" fontId="32" fillId="12" borderId="0" applyNumberFormat="0" applyBorder="0" applyAlignment="0" applyProtection="0"/>
    <xf numFmtId="0" fontId="32" fillId="12" borderId="0" applyNumberFormat="0" applyBorder="0" applyAlignment="0" applyProtection="0"/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32" fillId="9" borderId="0" applyNumberFormat="0" applyBorder="0" applyAlignment="0" applyProtection="0"/>
    <xf numFmtId="0" fontId="32" fillId="9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7" borderId="0" applyNumberFormat="0" applyBorder="0" applyAlignment="0" applyProtection="0"/>
    <xf numFmtId="0" fontId="32" fillId="7" borderId="0" applyNumberFormat="0" applyBorder="0" applyAlignment="0" applyProtection="0"/>
    <xf numFmtId="0" fontId="32" fillId="13" borderId="0" applyNumberFormat="0" applyBorder="0" applyAlignment="0" applyProtection="0"/>
    <xf numFmtId="0" fontId="18" fillId="0" borderId="0"/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179" fontId="28" fillId="0" borderId="0">
      <protection locked="0"/>
    </xf>
    <xf numFmtId="180" fontId="28" fillId="0" borderId="0">
      <protection locked="0"/>
    </xf>
    <xf numFmtId="214" fontId="28" fillId="0" borderId="0">
      <protection locked="0"/>
    </xf>
    <xf numFmtId="181" fontId="185" fillId="0" borderId="0">
      <protection locked="0"/>
    </xf>
    <xf numFmtId="181" fontId="185" fillId="0" borderId="0">
      <protection locked="0"/>
    </xf>
    <xf numFmtId="181" fontId="28" fillId="0" borderId="7">
      <protection locked="0"/>
    </xf>
    <xf numFmtId="0" fontId="32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2" fillId="7" borderId="0" applyNumberFormat="0" applyBorder="0" applyAlignment="0" applyProtection="0"/>
    <xf numFmtId="0" fontId="32" fillId="7" borderId="0" applyNumberFormat="0" applyBorder="0" applyAlignment="0" applyProtection="0"/>
    <xf numFmtId="0" fontId="32" fillId="7" borderId="0" applyNumberFormat="0" applyBorder="0" applyAlignment="0" applyProtection="0"/>
    <xf numFmtId="0" fontId="32" fillId="7" borderId="0" applyNumberFormat="0" applyBorder="0" applyAlignment="0" applyProtection="0"/>
    <xf numFmtId="0" fontId="32" fillId="7" borderId="0" applyNumberFormat="0" applyBorder="0" applyAlignment="0" applyProtection="0"/>
    <xf numFmtId="0" fontId="32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2" fillId="9" borderId="0" applyNumberFormat="0" applyBorder="0" applyAlignment="0" applyProtection="0"/>
    <xf numFmtId="0" fontId="32" fillId="9" borderId="0" applyNumberFormat="0" applyBorder="0" applyAlignment="0" applyProtection="0"/>
    <xf numFmtId="0" fontId="32" fillId="9" borderId="0" applyNumberFormat="0" applyBorder="0" applyAlignment="0" applyProtection="0"/>
    <xf numFmtId="0" fontId="32" fillId="9" borderId="0" applyNumberFormat="0" applyBorder="0" applyAlignment="0" applyProtection="0"/>
    <xf numFmtId="0" fontId="32" fillId="9" borderId="0" applyNumberFormat="0" applyBorder="0" applyAlignment="0" applyProtection="0"/>
    <xf numFmtId="0" fontId="32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32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32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2" fillId="12" borderId="0" applyNumberFormat="0" applyBorder="0" applyAlignment="0" applyProtection="0"/>
    <xf numFmtId="0" fontId="32" fillId="12" borderId="0" applyNumberFormat="0" applyBorder="0" applyAlignment="0" applyProtection="0"/>
    <xf numFmtId="0" fontId="32" fillId="12" borderId="0" applyNumberFormat="0" applyBorder="0" applyAlignment="0" applyProtection="0"/>
    <xf numFmtId="0" fontId="32" fillId="12" borderId="0" applyNumberFormat="0" applyBorder="0" applyAlignment="0" applyProtection="0"/>
    <xf numFmtId="0" fontId="32" fillId="12" borderId="0" applyNumberFormat="0" applyBorder="0" applyAlignment="0" applyProtection="0"/>
    <xf numFmtId="0" fontId="32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32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2" fillId="15" borderId="0" applyNumberFormat="0" applyBorder="0" applyAlignment="0" applyProtection="0"/>
    <xf numFmtId="0" fontId="32" fillId="15" borderId="0" applyNumberFormat="0" applyBorder="0" applyAlignment="0" applyProtection="0"/>
    <xf numFmtId="0" fontId="32" fillId="15" borderId="0" applyNumberFormat="0" applyBorder="0" applyAlignment="0" applyProtection="0"/>
    <xf numFmtId="0" fontId="32" fillId="15" borderId="0" applyNumberFormat="0" applyBorder="0" applyAlignment="0" applyProtection="0"/>
    <xf numFmtId="0" fontId="32" fillId="15" borderId="0" applyNumberFormat="0" applyBorder="0" applyAlignment="0" applyProtection="0"/>
    <xf numFmtId="0" fontId="32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32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2" fillId="16" borderId="0" applyNumberFormat="0" applyBorder="0" applyAlignment="0" applyProtection="0"/>
    <xf numFmtId="0" fontId="32" fillId="16" borderId="0" applyNumberFormat="0" applyBorder="0" applyAlignment="0" applyProtection="0"/>
    <xf numFmtId="0" fontId="32" fillId="16" borderId="0" applyNumberFormat="0" applyBorder="0" applyAlignment="0" applyProtection="0"/>
    <xf numFmtId="0" fontId="32" fillId="16" borderId="0" applyNumberFormat="0" applyBorder="0" applyAlignment="0" applyProtection="0"/>
    <xf numFmtId="0" fontId="32" fillId="16" borderId="0" applyNumberFormat="0" applyBorder="0" applyAlignment="0" applyProtection="0"/>
    <xf numFmtId="0" fontId="34" fillId="18" borderId="0" applyNumberFormat="0" applyBorder="0" applyAlignment="0" applyProtection="0"/>
    <xf numFmtId="0" fontId="33" fillId="18" borderId="0" applyNumberFormat="0" applyBorder="0" applyAlignment="0" applyProtection="0"/>
    <xf numFmtId="0" fontId="33" fillId="18" borderId="0" applyNumberFormat="0" applyBorder="0" applyAlignment="0" applyProtection="0"/>
    <xf numFmtId="0" fontId="34" fillId="18" borderId="0" applyNumberFormat="0" applyBorder="0" applyAlignment="0" applyProtection="0"/>
    <xf numFmtId="0" fontId="34" fillId="18" borderId="0" applyNumberFormat="0" applyBorder="0" applyAlignment="0" applyProtection="0"/>
    <xf numFmtId="0" fontId="34" fillId="18" borderId="0" applyNumberFormat="0" applyBorder="0" applyAlignment="0" applyProtection="0"/>
    <xf numFmtId="0" fontId="34" fillId="18" borderId="0" applyNumberFormat="0" applyBorder="0" applyAlignment="0" applyProtection="0"/>
    <xf numFmtId="0" fontId="34" fillId="18" borderId="0" applyNumberFormat="0" applyBorder="0" applyAlignment="0" applyProtection="0"/>
    <xf numFmtId="0" fontId="34" fillId="14" borderId="0" applyNumberFormat="0" applyBorder="0" applyAlignment="0" applyProtection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34" fillId="14" borderId="0" applyNumberFormat="0" applyBorder="0" applyAlignment="0" applyProtection="0"/>
    <xf numFmtId="0" fontId="34" fillId="14" borderId="0" applyNumberFormat="0" applyBorder="0" applyAlignment="0" applyProtection="0"/>
    <xf numFmtId="0" fontId="34" fillId="14" borderId="0" applyNumberFormat="0" applyBorder="0" applyAlignment="0" applyProtection="0"/>
    <xf numFmtId="0" fontId="34" fillId="14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4" fillId="15" borderId="0" applyNumberFormat="0" applyBorder="0" applyAlignment="0" applyProtection="0"/>
    <xf numFmtId="0" fontId="34" fillId="15" borderId="0" applyNumberFormat="0" applyBorder="0" applyAlignment="0" applyProtection="0"/>
    <xf numFmtId="0" fontId="34" fillId="15" borderId="0" applyNumberFormat="0" applyBorder="0" applyAlignment="0" applyProtection="0"/>
    <xf numFmtId="0" fontId="34" fillId="15" borderId="0" applyNumberFormat="0" applyBorder="0" applyAlignment="0" applyProtection="0"/>
    <xf numFmtId="0" fontId="34" fillId="15" borderId="0" applyNumberFormat="0" applyBorder="0" applyAlignment="0" applyProtection="0"/>
    <xf numFmtId="0" fontId="34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4" fillId="19" borderId="0" applyNumberFormat="0" applyBorder="0" applyAlignment="0" applyProtection="0"/>
    <xf numFmtId="0" fontId="34" fillId="19" borderId="0" applyNumberFormat="0" applyBorder="0" applyAlignment="0" applyProtection="0"/>
    <xf numFmtId="0" fontId="34" fillId="19" borderId="0" applyNumberFormat="0" applyBorder="0" applyAlignment="0" applyProtection="0"/>
    <xf numFmtId="0" fontId="34" fillId="19" borderId="0" applyNumberFormat="0" applyBorder="0" applyAlignment="0" applyProtection="0"/>
    <xf numFmtId="0" fontId="34" fillId="19" borderId="0" applyNumberFormat="0" applyBorder="0" applyAlignment="0" applyProtection="0"/>
    <xf numFmtId="0" fontId="34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4" fillId="20" borderId="0" applyNumberFormat="0" applyBorder="0" applyAlignment="0" applyProtection="0"/>
    <xf numFmtId="0" fontId="34" fillId="20" borderId="0" applyNumberFormat="0" applyBorder="0" applyAlignment="0" applyProtection="0"/>
    <xf numFmtId="0" fontId="34" fillId="20" borderId="0" applyNumberFormat="0" applyBorder="0" applyAlignment="0" applyProtection="0"/>
    <xf numFmtId="0" fontId="34" fillId="20" borderId="0" applyNumberFormat="0" applyBorder="0" applyAlignment="0" applyProtection="0"/>
    <xf numFmtId="0" fontId="34" fillId="20" borderId="0" applyNumberFormat="0" applyBorder="0" applyAlignment="0" applyProtection="0"/>
    <xf numFmtId="0" fontId="34" fillId="21" borderId="0" applyNumberFormat="0" applyBorder="0" applyAlignment="0" applyProtection="0"/>
    <xf numFmtId="0" fontId="33" fillId="21" borderId="0" applyNumberFormat="0" applyBorder="0" applyAlignment="0" applyProtection="0"/>
    <xf numFmtId="0" fontId="33" fillId="21" borderId="0" applyNumberFormat="0" applyBorder="0" applyAlignment="0" applyProtection="0"/>
    <xf numFmtId="0" fontId="34" fillId="21" borderId="0" applyNumberFormat="0" applyBorder="0" applyAlignment="0" applyProtection="0"/>
    <xf numFmtId="0" fontId="34" fillId="21" borderId="0" applyNumberFormat="0" applyBorder="0" applyAlignment="0" applyProtection="0"/>
    <xf numFmtId="0" fontId="34" fillId="21" borderId="0" applyNumberFormat="0" applyBorder="0" applyAlignment="0" applyProtection="0"/>
    <xf numFmtId="0" fontId="34" fillId="21" borderId="0" applyNumberFormat="0" applyBorder="0" applyAlignment="0" applyProtection="0"/>
    <xf numFmtId="0" fontId="34" fillId="21" borderId="0" applyNumberFormat="0" applyBorder="0" applyAlignment="0" applyProtection="0"/>
    <xf numFmtId="186" fontId="30" fillId="0" borderId="0" applyFont="0" applyFill="0" applyBorder="0" applyAlignment="0" applyProtection="0"/>
    <xf numFmtId="186" fontId="30" fillId="0" borderId="0" applyFont="0" applyFill="0" applyBorder="0" applyAlignment="0" applyProtection="0"/>
    <xf numFmtId="186" fontId="30" fillId="0" borderId="0" applyFont="0" applyFill="0" applyBorder="0" applyAlignment="0" applyProtection="0"/>
    <xf numFmtId="186" fontId="30" fillId="0" borderId="0" applyFont="0" applyFill="0" applyBorder="0" applyAlignment="0" applyProtection="0"/>
    <xf numFmtId="186" fontId="30" fillId="0" borderId="0" applyFont="0" applyFill="0" applyBorder="0" applyAlignment="0" applyProtection="0"/>
    <xf numFmtId="186" fontId="30" fillId="0" borderId="0" applyFont="0" applyFill="0" applyBorder="0" applyAlignment="0" applyProtection="0"/>
    <xf numFmtId="186" fontId="30" fillId="0" borderId="0" applyFont="0" applyFill="0" applyBorder="0" applyAlignment="0" applyProtection="0"/>
    <xf numFmtId="186" fontId="30" fillId="0" borderId="0" applyFont="0" applyFill="0" applyBorder="0" applyAlignment="0" applyProtection="0"/>
    <xf numFmtId="186" fontId="30" fillId="0" borderId="0" applyFont="0" applyFill="0" applyBorder="0" applyAlignment="0" applyProtection="0"/>
    <xf numFmtId="186" fontId="30" fillId="0" borderId="0" applyFont="0" applyFill="0" applyBorder="0" applyAlignment="0" applyProtection="0"/>
    <xf numFmtId="186" fontId="30" fillId="0" borderId="0" applyFont="0" applyFill="0" applyBorder="0" applyAlignment="0" applyProtection="0"/>
    <xf numFmtId="186" fontId="30" fillId="0" borderId="0" applyFont="0" applyFill="0" applyBorder="0" applyAlignment="0" applyProtection="0"/>
    <xf numFmtId="186" fontId="30" fillId="0" borderId="0" applyFont="0" applyFill="0" applyBorder="0" applyAlignment="0" applyProtection="0"/>
    <xf numFmtId="186" fontId="30" fillId="0" borderId="0" applyFont="0" applyFill="0" applyBorder="0" applyAlignment="0" applyProtection="0"/>
    <xf numFmtId="186" fontId="30" fillId="0" borderId="0" applyFont="0" applyFill="0" applyBorder="0" applyAlignment="0" applyProtection="0"/>
    <xf numFmtId="186" fontId="30" fillId="0" borderId="0" applyFont="0" applyFill="0" applyBorder="0" applyAlignment="0" applyProtection="0"/>
    <xf numFmtId="186" fontId="30" fillId="0" borderId="0" applyFont="0" applyFill="0" applyBorder="0" applyAlignment="0" applyProtection="0"/>
    <xf numFmtId="186" fontId="30" fillId="0" borderId="0" applyFont="0" applyFill="0" applyBorder="0" applyAlignment="0" applyProtection="0"/>
    <xf numFmtId="186" fontId="30" fillId="0" borderId="0" applyFont="0" applyFill="0" applyBorder="0" applyAlignment="0" applyProtection="0"/>
    <xf numFmtId="186" fontId="30" fillId="0" borderId="0" applyFont="0" applyFill="0" applyBorder="0" applyAlignment="0" applyProtection="0"/>
    <xf numFmtId="186" fontId="30" fillId="0" borderId="0" applyFont="0" applyFill="0" applyBorder="0" applyAlignment="0" applyProtection="0"/>
    <xf numFmtId="186" fontId="30" fillId="0" borderId="0" applyFont="0" applyFill="0" applyBorder="0" applyAlignment="0" applyProtection="0"/>
    <xf numFmtId="186" fontId="30" fillId="0" borderId="0" applyFont="0" applyFill="0" applyBorder="0" applyAlignment="0" applyProtection="0"/>
    <xf numFmtId="186" fontId="30" fillId="0" borderId="0" applyFont="0" applyFill="0" applyBorder="0" applyAlignment="0" applyProtection="0"/>
    <xf numFmtId="186" fontId="30" fillId="0" borderId="0" applyFont="0" applyFill="0" applyBorder="0" applyAlignment="0" applyProtection="0"/>
    <xf numFmtId="186" fontId="30" fillId="0" borderId="0" applyFont="0" applyFill="0" applyBorder="0" applyAlignment="0" applyProtection="0"/>
    <xf numFmtId="186" fontId="30" fillId="0" borderId="0" applyFont="0" applyFill="0" applyBorder="0" applyAlignment="0" applyProtection="0"/>
    <xf numFmtId="186" fontId="30" fillId="0" borderId="0" applyFont="0" applyFill="0" applyBorder="0" applyAlignment="0" applyProtection="0"/>
    <xf numFmtId="186" fontId="30" fillId="0" borderId="0" applyFont="0" applyFill="0" applyBorder="0" applyAlignment="0" applyProtection="0"/>
    <xf numFmtId="186" fontId="30" fillId="0" borderId="0" applyFont="0" applyFill="0" applyBorder="0" applyAlignment="0" applyProtection="0"/>
    <xf numFmtId="186" fontId="30" fillId="0" borderId="0" applyFont="0" applyFill="0" applyBorder="0" applyAlignment="0" applyProtection="0"/>
    <xf numFmtId="186" fontId="30" fillId="0" borderId="0" applyFont="0" applyFill="0" applyBorder="0" applyAlignment="0" applyProtection="0"/>
    <xf numFmtId="186" fontId="30" fillId="0" borderId="0" applyFont="0" applyFill="0" applyBorder="0" applyAlignment="0" applyProtection="0"/>
    <xf numFmtId="186" fontId="30" fillId="0" borderId="0" applyFont="0" applyFill="0" applyBorder="0" applyAlignment="0" applyProtection="0"/>
    <xf numFmtId="186" fontId="30" fillId="0" borderId="0" applyFont="0" applyFill="0" applyBorder="0" applyAlignment="0" applyProtection="0"/>
    <xf numFmtId="186" fontId="30" fillId="0" borderId="0" applyFont="0" applyFill="0" applyBorder="0" applyAlignment="0" applyProtection="0"/>
    <xf numFmtId="186" fontId="30" fillId="0" borderId="0" applyFont="0" applyFill="0" applyBorder="0" applyAlignment="0" applyProtection="0"/>
    <xf numFmtId="186" fontId="30" fillId="0" borderId="0" applyFont="0" applyFill="0" applyBorder="0" applyAlignment="0" applyProtection="0"/>
    <xf numFmtId="186" fontId="30" fillId="0" borderId="0" applyFont="0" applyFill="0" applyBorder="0" applyAlignment="0" applyProtection="0"/>
    <xf numFmtId="186" fontId="30" fillId="0" borderId="0" applyFont="0" applyFill="0" applyBorder="0" applyAlignment="0" applyProtection="0"/>
    <xf numFmtId="186" fontId="30" fillId="0" borderId="0" applyFont="0" applyFill="0" applyBorder="0" applyAlignment="0" applyProtection="0"/>
    <xf numFmtId="186" fontId="30" fillId="0" borderId="0" applyFont="0" applyFill="0" applyBorder="0" applyAlignment="0" applyProtection="0"/>
    <xf numFmtId="186" fontId="30" fillId="0" borderId="0" applyFont="0" applyFill="0" applyBorder="0" applyAlignment="0" applyProtection="0"/>
    <xf numFmtId="186" fontId="30" fillId="0" borderId="0" applyFont="0" applyFill="0" applyBorder="0" applyAlignment="0" applyProtection="0"/>
    <xf numFmtId="186" fontId="30" fillId="0" borderId="0" applyFont="0" applyFill="0" applyBorder="0" applyAlignment="0" applyProtection="0"/>
    <xf numFmtId="186" fontId="30" fillId="0" borderId="0" applyFont="0" applyFill="0" applyBorder="0" applyAlignment="0" applyProtection="0"/>
    <xf numFmtId="186" fontId="30" fillId="0" borderId="0" applyFont="0" applyFill="0" applyBorder="0" applyAlignment="0" applyProtection="0"/>
    <xf numFmtId="186" fontId="30" fillId="0" borderId="0" applyFont="0" applyFill="0" applyBorder="0" applyAlignment="0" applyProtection="0"/>
    <xf numFmtId="186" fontId="30" fillId="0" borderId="0" applyFont="0" applyFill="0" applyBorder="0" applyAlignment="0" applyProtection="0"/>
    <xf numFmtId="186" fontId="30" fillId="0" borderId="0" applyFont="0" applyFill="0" applyBorder="0" applyAlignment="0" applyProtection="0"/>
    <xf numFmtId="186" fontId="30" fillId="0" borderId="0" applyFont="0" applyFill="0" applyBorder="0" applyAlignment="0" applyProtection="0"/>
    <xf numFmtId="186" fontId="30" fillId="0" borderId="0" applyFont="0" applyFill="0" applyBorder="0" applyAlignment="0" applyProtection="0"/>
    <xf numFmtId="186" fontId="30" fillId="0" borderId="0" applyFont="0" applyFill="0" applyBorder="0" applyAlignment="0" applyProtection="0"/>
    <xf numFmtId="186" fontId="30" fillId="0" borderId="0" applyFont="0" applyFill="0" applyBorder="0" applyAlignment="0" applyProtection="0"/>
    <xf numFmtId="186" fontId="30" fillId="0" borderId="0" applyFont="0" applyFill="0" applyBorder="0" applyAlignment="0" applyProtection="0"/>
    <xf numFmtId="186" fontId="30" fillId="0" borderId="0" applyFont="0" applyFill="0" applyBorder="0" applyAlignment="0" applyProtection="0"/>
    <xf numFmtId="186" fontId="30" fillId="0" borderId="0" applyFont="0" applyFill="0" applyBorder="0" applyAlignment="0" applyProtection="0"/>
    <xf numFmtId="186" fontId="30" fillId="0" borderId="0" applyFont="0" applyFill="0" applyBorder="0" applyAlignment="0" applyProtection="0"/>
    <xf numFmtId="186" fontId="30" fillId="0" borderId="0" applyFont="0" applyFill="0" applyBorder="0" applyAlignment="0" applyProtection="0"/>
    <xf numFmtId="186" fontId="30" fillId="0" borderId="0" applyFont="0" applyFill="0" applyBorder="0" applyAlignment="0" applyProtection="0"/>
    <xf numFmtId="186" fontId="30" fillId="0" borderId="0" applyFont="0" applyFill="0" applyBorder="0" applyAlignment="0" applyProtection="0"/>
    <xf numFmtId="186" fontId="30" fillId="0" borderId="0" applyFont="0" applyFill="0" applyBorder="0" applyAlignment="0" applyProtection="0"/>
    <xf numFmtId="186" fontId="30" fillId="0" borderId="0" applyFont="0" applyFill="0" applyBorder="0" applyAlignment="0" applyProtection="0"/>
    <xf numFmtId="186" fontId="30" fillId="0" borderId="0" applyFont="0" applyFill="0" applyBorder="0" applyAlignment="0" applyProtection="0"/>
    <xf numFmtId="186" fontId="30" fillId="0" borderId="0" applyFont="0" applyFill="0" applyBorder="0" applyAlignment="0" applyProtection="0"/>
    <xf numFmtId="186" fontId="30" fillId="0" borderId="0" applyFont="0" applyFill="0" applyBorder="0" applyAlignment="0" applyProtection="0"/>
    <xf numFmtId="186" fontId="30" fillId="0" borderId="0" applyFont="0" applyFill="0" applyBorder="0" applyAlignment="0" applyProtection="0"/>
    <xf numFmtId="186" fontId="30" fillId="0" borderId="0" applyFont="0" applyFill="0" applyBorder="0" applyAlignment="0" applyProtection="0"/>
    <xf numFmtId="186" fontId="30" fillId="0" borderId="0" applyFont="0" applyFill="0" applyBorder="0" applyAlignment="0" applyProtection="0"/>
    <xf numFmtId="186" fontId="30" fillId="0" borderId="0" applyFont="0" applyFill="0" applyBorder="0" applyAlignment="0" applyProtection="0"/>
    <xf numFmtId="186" fontId="30" fillId="0" borderId="0" applyFont="0" applyFill="0" applyBorder="0" applyAlignment="0" applyProtection="0"/>
    <xf numFmtId="186" fontId="30" fillId="0" borderId="0" applyFont="0" applyFill="0" applyBorder="0" applyAlignment="0" applyProtection="0"/>
    <xf numFmtId="186" fontId="30" fillId="0" borderId="0" applyFont="0" applyFill="0" applyBorder="0" applyAlignment="0" applyProtection="0"/>
    <xf numFmtId="186" fontId="30" fillId="0" borderId="0" applyFont="0" applyFill="0" applyBorder="0" applyAlignment="0" applyProtection="0"/>
    <xf numFmtId="186" fontId="30" fillId="0" borderId="0" applyFont="0" applyFill="0" applyBorder="0" applyAlignment="0" applyProtection="0"/>
    <xf numFmtId="186" fontId="30" fillId="0" borderId="0" applyFont="0" applyFill="0" applyBorder="0" applyAlignment="0" applyProtection="0"/>
    <xf numFmtId="186" fontId="30" fillId="0" borderId="0" applyFont="0" applyFill="0" applyBorder="0" applyAlignment="0" applyProtection="0"/>
    <xf numFmtId="186" fontId="30" fillId="0" borderId="0" applyFont="0" applyFill="0" applyBorder="0" applyAlignment="0" applyProtection="0"/>
    <xf numFmtId="186" fontId="30" fillId="0" borderId="0" applyFont="0" applyFill="0" applyBorder="0" applyAlignment="0" applyProtection="0"/>
    <xf numFmtId="186" fontId="30" fillId="0" borderId="0" applyFont="0" applyFill="0" applyBorder="0" applyAlignment="0" applyProtection="0"/>
    <xf numFmtId="186" fontId="30" fillId="0" borderId="0" applyFont="0" applyFill="0" applyBorder="0" applyAlignment="0" applyProtection="0"/>
    <xf numFmtId="186" fontId="30" fillId="0" borderId="0" applyFont="0" applyFill="0" applyBorder="0" applyAlignment="0" applyProtection="0"/>
    <xf numFmtId="186" fontId="30" fillId="0" borderId="0" applyFont="0" applyFill="0" applyBorder="0" applyAlignment="0" applyProtection="0"/>
    <xf numFmtId="186" fontId="30" fillId="0" borderId="0" applyFont="0" applyFill="0" applyBorder="0" applyAlignment="0" applyProtection="0"/>
    <xf numFmtId="186" fontId="30" fillId="0" borderId="0" applyFont="0" applyFill="0" applyBorder="0" applyAlignment="0" applyProtection="0"/>
    <xf numFmtId="186" fontId="30" fillId="0" borderId="0" applyFont="0" applyFill="0" applyBorder="0" applyAlignment="0" applyProtection="0"/>
    <xf numFmtId="186" fontId="30" fillId="0" borderId="0" applyFont="0" applyFill="0" applyBorder="0" applyAlignment="0" applyProtection="0"/>
    <xf numFmtId="186" fontId="30" fillId="0" borderId="0" applyFont="0" applyFill="0" applyBorder="0" applyAlignment="0" applyProtection="0"/>
    <xf numFmtId="186" fontId="30" fillId="0" borderId="0" applyFont="0" applyFill="0" applyBorder="0" applyAlignment="0" applyProtection="0"/>
    <xf numFmtId="186" fontId="30" fillId="0" borderId="0" applyFont="0" applyFill="0" applyBorder="0" applyAlignment="0" applyProtection="0"/>
    <xf numFmtId="186" fontId="30" fillId="0" borderId="0" applyFont="0" applyFill="0" applyBorder="0" applyAlignment="0" applyProtection="0"/>
    <xf numFmtId="186" fontId="30" fillId="0" borderId="0" applyFont="0" applyFill="0" applyBorder="0" applyAlignment="0" applyProtection="0"/>
    <xf numFmtId="186" fontId="30" fillId="0" borderId="0" applyFont="0" applyFill="0" applyBorder="0" applyAlignment="0" applyProtection="0"/>
    <xf numFmtId="186" fontId="30" fillId="0" borderId="0" applyFont="0" applyFill="0" applyBorder="0" applyAlignment="0" applyProtection="0"/>
    <xf numFmtId="186" fontId="30" fillId="0" borderId="0" applyFont="0" applyFill="0" applyBorder="0" applyAlignment="0" applyProtection="0"/>
    <xf numFmtId="0" fontId="24" fillId="0" borderId="0"/>
    <xf numFmtId="0" fontId="135" fillId="0" borderId="27" applyNumberFormat="0" applyFill="0" applyAlignment="0" applyProtection="0"/>
    <xf numFmtId="0" fontId="137" fillId="0" borderId="28" applyNumberFormat="0" applyFill="0" applyAlignment="0" applyProtection="0"/>
    <xf numFmtId="38" fontId="20" fillId="0" borderId="0">
      <alignment vertical="top"/>
    </xf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26" fillId="0" borderId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144" fillId="0" borderId="30" applyNumberFormat="0" applyFill="0" applyAlignment="0" applyProtection="0"/>
    <xf numFmtId="0" fontId="33" fillId="22" borderId="0" applyNumberFormat="0" applyBorder="0" applyAlignment="0" applyProtection="0"/>
    <xf numFmtId="0" fontId="34" fillId="22" borderId="0" applyNumberFormat="0" applyBorder="0" applyAlignment="0" applyProtection="0"/>
    <xf numFmtId="0" fontId="34" fillId="22" borderId="0" applyNumberFormat="0" applyBorder="0" applyAlignment="0" applyProtection="0"/>
    <xf numFmtId="0" fontId="34" fillId="22" borderId="0" applyNumberFormat="0" applyBorder="0" applyAlignment="0" applyProtection="0"/>
    <xf numFmtId="0" fontId="34" fillId="22" borderId="0" applyNumberFormat="0" applyBorder="0" applyAlignment="0" applyProtection="0"/>
    <xf numFmtId="0" fontId="33" fillId="23" borderId="0" applyNumberFormat="0" applyBorder="0" applyAlignment="0" applyProtection="0"/>
    <xf numFmtId="0" fontId="34" fillId="23" borderId="0" applyNumberFormat="0" applyBorder="0" applyAlignment="0" applyProtection="0"/>
    <xf numFmtId="0" fontId="34" fillId="23" borderId="0" applyNumberFormat="0" applyBorder="0" applyAlignment="0" applyProtection="0"/>
    <xf numFmtId="0" fontId="34" fillId="23" borderId="0" applyNumberFormat="0" applyBorder="0" applyAlignment="0" applyProtection="0"/>
    <xf numFmtId="0" fontId="34" fillId="23" borderId="0" applyNumberFormat="0" applyBorder="0" applyAlignment="0" applyProtection="0"/>
    <xf numFmtId="0" fontId="33" fillId="24" borderId="0" applyNumberFormat="0" applyBorder="0" applyAlignment="0" applyProtection="0"/>
    <xf numFmtId="0" fontId="34" fillId="24" borderId="0" applyNumberFormat="0" applyBorder="0" applyAlignment="0" applyProtection="0"/>
    <xf numFmtId="0" fontId="34" fillId="24" borderId="0" applyNumberFormat="0" applyBorder="0" applyAlignment="0" applyProtection="0"/>
    <xf numFmtId="0" fontId="34" fillId="24" borderId="0" applyNumberFormat="0" applyBorder="0" applyAlignment="0" applyProtection="0"/>
    <xf numFmtId="0" fontId="34" fillId="24" borderId="0" applyNumberFormat="0" applyBorder="0" applyAlignment="0" applyProtection="0"/>
    <xf numFmtId="0" fontId="33" fillId="19" borderId="0" applyNumberFormat="0" applyBorder="0" applyAlignment="0" applyProtection="0"/>
    <xf numFmtId="0" fontId="34" fillId="19" borderId="0" applyNumberFormat="0" applyBorder="0" applyAlignment="0" applyProtection="0"/>
    <xf numFmtId="0" fontId="34" fillId="19" borderId="0" applyNumberFormat="0" applyBorder="0" applyAlignment="0" applyProtection="0"/>
    <xf numFmtId="0" fontId="34" fillId="19" borderId="0" applyNumberFormat="0" applyBorder="0" applyAlignment="0" applyProtection="0"/>
    <xf numFmtId="0" fontId="34" fillId="19" borderId="0" applyNumberFormat="0" applyBorder="0" applyAlignment="0" applyProtection="0"/>
    <xf numFmtId="0" fontId="33" fillId="20" borderId="0" applyNumberFormat="0" applyBorder="0" applyAlignment="0" applyProtection="0"/>
    <xf numFmtId="0" fontId="34" fillId="20" borderId="0" applyNumberFormat="0" applyBorder="0" applyAlignment="0" applyProtection="0"/>
    <xf numFmtId="0" fontId="34" fillId="20" borderId="0" applyNumberFormat="0" applyBorder="0" applyAlignment="0" applyProtection="0"/>
    <xf numFmtId="0" fontId="34" fillId="20" borderId="0" applyNumberFormat="0" applyBorder="0" applyAlignment="0" applyProtection="0"/>
    <xf numFmtId="0" fontId="34" fillId="20" borderId="0" applyNumberFormat="0" applyBorder="0" applyAlignment="0" applyProtection="0"/>
    <xf numFmtId="0" fontId="33" fillId="25" borderId="0" applyNumberFormat="0" applyBorder="0" applyAlignment="0" applyProtection="0"/>
    <xf numFmtId="0" fontId="34" fillId="25" borderId="0" applyNumberFormat="0" applyBorder="0" applyAlignment="0" applyProtection="0"/>
    <xf numFmtId="0" fontId="34" fillId="25" borderId="0" applyNumberFormat="0" applyBorder="0" applyAlignment="0" applyProtection="0"/>
    <xf numFmtId="0" fontId="34" fillId="25" borderId="0" applyNumberFormat="0" applyBorder="0" applyAlignment="0" applyProtection="0"/>
    <xf numFmtId="0" fontId="34" fillId="25" borderId="0" applyNumberFormat="0" applyBorder="0" applyAlignment="0" applyProtection="0"/>
    <xf numFmtId="0" fontId="78" fillId="12" borderId="6" applyNumberFormat="0" applyAlignment="0" applyProtection="0"/>
    <xf numFmtId="0" fontId="78" fillId="12" borderId="6" applyNumberFormat="0" applyAlignment="0" applyProtection="0"/>
    <xf numFmtId="0" fontId="87" fillId="17" borderId="16" applyNumberFormat="0" applyAlignment="0" applyProtection="0"/>
    <xf numFmtId="0" fontId="123" fillId="17" borderId="16" applyNumberFormat="0" applyAlignment="0" applyProtection="0"/>
    <xf numFmtId="0" fontId="123" fillId="17" borderId="16" applyNumberFormat="0" applyAlignment="0" applyProtection="0"/>
    <xf numFmtId="0" fontId="123" fillId="17" borderId="16" applyNumberFormat="0" applyAlignment="0" applyProtection="0"/>
    <xf numFmtId="0" fontId="123" fillId="17" borderId="16" applyNumberFormat="0" applyAlignment="0" applyProtection="0"/>
    <xf numFmtId="0" fontId="40" fillId="17" borderId="6" applyNumberFormat="0" applyAlignment="0" applyProtection="0"/>
    <xf numFmtId="0" fontId="124" fillId="17" borderId="6" applyNumberFormat="0" applyAlignment="0" applyProtection="0"/>
    <xf numFmtId="0" fontId="124" fillId="17" borderId="6" applyNumberFormat="0" applyAlignment="0" applyProtection="0"/>
    <xf numFmtId="0" fontId="124" fillId="17" borderId="6" applyNumberFormat="0" applyAlignment="0" applyProtection="0"/>
    <xf numFmtId="0" fontId="124" fillId="17" borderId="6" applyNumberFormat="0" applyAlignment="0" applyProtection="0"/>
    <xf numFmtId="0" fontId="186" fillId="0" borderId="0" applyNumberFormat="0" applyFill="0" applyBorder="0" applyAlignment="0" applyProtection="0">
      <alignment vertical="top"/>
      <protection locked="0"/>
    </xf>
    <xf numFmtId="0" fontId="187" fillId="0" borderId="0" applyNumberFormat="0" applyFill="0" applyBorder="0" applyAlignment="0" applyProtection="0">
      <alignment vertical="top"/>
      <protection locked="0"/>
    </xf>
    <xf numFmtId="0" fontId="184" fillId="0" borderId="0" applyNumberFormat="0" applyFill="0" applyBorder="0" applyAlignment="0" applyProtection="0">
      <alignment vertical="top"/>
      <protection locked="0"/>
    </xf>
    <xf numFmtId="166" fontId="26" fillId="0" borderId="0" applyFont="0" applyFill="0" applyBorder="0" applyAlignment="0" applyProtection="0"/>
    <xf numFmtId="206" fontId="18" fillId="0" borderId="0" applyFont="0" applyFill="0" applyBorder="0" applyAlignment="0" applyProtection="0"/>
    <xf numFmtId="166" fontId="31" fillId="0" borderId="0" applyFont="0" applyFill="0" applyBorder="0" applyAlignment="0" applyProtection="0"/>
    <xf numFmtId="206" fontId="18" fillId="0" borderId="0" applyFont="0" applyFill="0" applyBorder="0" applyAlignment="0" applyProtection="0"/>
    <xf numFmtId="0" fontId="135" fillId="0" borderId="27" applyNumberFormat="0" applyFill="0" applyAlignment="0" applyProtection="0"/>
    <xf numFmtId="0" fontId="136" fillId="0" borderId="27" applyNumberFormat="0" applyFill="0" applyAlignment="0" applyProtection="0"/>
    <xf numFmtId="0" fontId="136" fillId="0" borderId="27" applyNumberFormat="0" applyFill="0" applyAlignment="0" applyProtection="0"/>
    <xf numFmtId="0" fontId="136" fillId="0" borderId="27" applyNumberFormat="0" applyFill="0" applyAlignment="0" applyProtection="0"/>
    <xf numFmtId="0" fontId="136" fillId="0" borderId="27" applyNumberFormat="0" applyFill="0" applyAlignment="0" applyProtection="0"/>
    <xf numFmtId="0" fontId="137" fillId="0" borderId="28" applyNumberFormat="0" applyFill="0" applyAlignment="0" applyProtection="0"/>
    <xf numFmtId="0" fontId="138" fillId="0" borderId="28" applyNumberFormat="0" applyFill="0" applyAlignment="0" applyProtection="0"/>
    <xf numFmtId="0" fontId="138" fillId="0" borderId="28" applyNumberFormat="0" applyFill="0" applyAlignment="0" applyProtection="0"/>
    <xf numFmtId="0" fontId="138" fillId="0" borderId="28" applyNumberFormat="0" applyFill="0" applyAlignment="0" applyProtection="0"/>
    <xf numFmtId="0" fontId="138" fillId="0" borderId="28" applyNumberFormat="0" applyFill="0" applyAlignment="0" applyProtection="0"/>
    <xf numFmtId="0" fontId="70" fillId="0" borderId="12" applyNumberFormat="0" applyFill="0" applyAlignment="0" applyProtection="0"/>
    <xf numFmtId="0" fontId="139" fillId="0" borderId="12" applyNumberFormat="0" applyFill="0" applyAlignment="0" applyProtection="0"/>
    <xf numFmtId="0" fontId="139" fillId="0" borderId="12" applyNumberFormat="0" applyFill="0" applyAlignment="0" applyProtection="0"/>
    <xf numFmtId="0" fontId="139" fillId="0" borderId="12" applyNumberFormat="0" applyFill="0" applyAlignment="0" applyProtection="0"/>
    <xf numFmtId="0" fontId="139" fillId="0" borderId="12" applyNumberFormat="0" applyFill="0" applyAlignment="0" applyProtection="0"/>
    <xf numFmtId="0" fontId="70" fillId="0" borderId="0" applyNumberFormat="0" applyFill="0" applyBorder="0" applyAlignment="0" applyProtection="0"/>
    <xf numFmtId="0" fontId="139" fillId="0" borderId="0" applyNumberFormat="0" applyFill="0" applyBorder="0" applyAlignment="0" applyProtection="0"/>
    <xf numFmtId="0" fontId="139" fillId="0" borderId="0" applyNumberFormat="0" applyFill="0" applyBorder="0" applyAlignment="0" applyProtection="0"/>
    <xf numFmtId="0" fontId="139" fillId="0" borderId="0" applyNumberFormat="0" applyFill="0" applyBorder="0" applyAlignment="0" applyProtection="0"/>
    <xf numFmtId="0" fontId="139" fillId="0" borderId="0" applyNumberFormat="0" applyFill="0" applyBorder="0" applyAlignment="0" applyProtection="0"/>
    <xf numFmtId="0" fontId="134" fillId="0" borderId="0" applyBorder="0">
      <alignment horizontal="center" vertical="center" wrapText="1"/>
    </xf>
    <xf numFmtId="203" fontId="140" fillId="0" borderId="0" applyProtection="0">
      <alignment horizontal="center"/>
    </xf>
    <xf numFmtId="0" fontId="144" fillId="0" borderId="30" applyNumberFormat="0" applyFill="0" applyAlignment="0" applyProtection="0"/>
    <xf numFmtId="0" fontId="145" fillId="0" borderId="30" applyNumberFormat="0" applyFill="0" applyAlignment="0" applyProtection="0"/>
    <xf numFmtId="0" fontId="145" fillId="0" borderId="30" applyNumberFormat="0" applyFill="0" applyAlignment="0" applyProtection="0"/>
    <xf numFmtId="0" fontId="145" fillId="0" borderId="30" applyNumberFormat="0" applyFill="0" applyAlignment="0" applyProtection="0"/>
    <xf numFmtId="0" fontId="145" fillId="0" borderId="30" applyNumberFormat="0" applyFill="0" applyAlignment="0" applyProtection="0"/>
    <xf numFmtId="0" fontId="41" fillId="27" borderId="9" applyNumberFormat="0" applyAlignment="0" applyProtection="0"/>
    <xf numFmtId="0" fontId="146" fillId="27" borderId="9" applyNumberFormat="0" applyAlignment="0" applyProtection="0"/>
    <xf numFmtId="0" fontId="146" fillId="27" borderId="9" applyNumberFormat="0" applyAlignment="0" applyProtection="0"/>
    <xf numFmtId="0" fontId="146" fillId="27" borderId="9" applyNumberFormat="0" applyAlignment="0" applyProtection="0"/>
    <xf numFmtId="0" fontId="146" fillId="27" borderId="9" applyNumberFormat="0" applyAlignment="0" applyProtection="0"/>
    <xf numFmtId="0" fontId="83" fillId="3" borderId="0" applyFill="0">
      <alignment wrapText="1"/>
    </xf>
    <xf numFmtId="0" fontId="83" fillId="3" borderId="0" applyFill="0">
      <alignment wrapText="1"/>
    </xf>
    <xf numFmtId="0" fontId="83" fillId="3" borderId="0" applyFill="0">
      <alignment wrapText="1"/>
    </xf>
    <xf numFmtId="0" fontId="147" fillId="0" borderId="0">
      <alignment horizontal="centerContinuous" vertical="center" wrapText="1"/>
    </xf>
    <xf numFmtId="0" fontId="82" fillId="33" borderId="0" applyNumberFormat="0" applyBorder="0" applyAlignment="0" applyProtection="0"/>
    <xf numFmtId="0" fontId="150" fillId="33" borderId="0" applyNumberFormat="0" applyBorder="0" applyAlignment="0" applyProtection="0"/>
    <xf numFmtId="0" fontId="150" fillId="33" borderId="0" applyNumberFormat="0" applyBorder="0" applyAlignment="0" applyProtection="0"/>
    <xf numFmtId="0" fontId="150" fillId="33" borderId="0" applyNumberFormat="0" applyBorder="0" applyAlignment="0" applyProtection="0"/>
    <xf numFmtId="0" fontId="150" fillId="33" borderId="0" applyNumberFormat="0" applyBorder="0" applyAlignment="0" applyProtection="0"/>
    <xf numFmtId="0" fontId="6" fillId="0" borderId="0"/>
    <xf numFmtId="49" fontId="14" fillId="0" borderId="0" applyBorder="0">
      <alignment vertical="top"/>
    </xf>
    <xf numFmtId="0" fontId="6" fillId="0" borderId="0"/>
    <xf numFmtId="0" fontId="18" fillId="0" borderId="0"/>
    <xf numFmtId="0" fontId="31" fillId="0" borderId="0"/>
    <xf numFmtId="49" fontId="14" fillId="0" borderId="0" applyBorder="0">
      <alignment vertical="top"/>
    </xf>
    <xf numFmtId="0" fontId="31" fillId="0" borderId="0"/>
    <xf numFmtId="0" fontId="24" fillId="0" borderId="0"/>
    <xf numFmtId="0" fontId="152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1" fillId="0" borderId="0"/>
    <xf numFmtId="0" fontId="1" fillId="0" borderId="0"/>
    <xf numFmtId="0" fontId="31" fillId="0" borderId="0"/>
    <xf numFmtId="0" fontId="155" fillId="43" borderId="0" applyNumberFormat="0" applyBorder="0" applyAlignment="0">
      <alignment horizontal="left" vertical="center"/>
    </xf>
    <xf numFmtId="0" fontId="31" fillId="0" borderId="0"/>
    <xf numFmtId="0" fontId="26" fillId="0" borderId="0"/>
    <xf numFmtId="0" fontId="156" fillId="0" borderId="0"/>
    <xf numFmtId="0" fontId="31" fillId="0" borderId="0"/>
    <xf numFmtId="0" fontId="18" fillId="0" borderId="0"/>
    <xf numFmtId="0" fontId="1" fillId="0" borderId="0"/>
    <xf numFmtId="0" fontId="26" fillId="0" borderId="0"/>
    <xf numFmtId="0" fontId="156" fillId="0" borderId="0"/>
    <xf numFmtId="0" fontId="26" fillId="0" borderId="0"/>
    <xf numFmtId="0" fontId="26" fillId="0" borderId="0"/>
    <xf numFmtId="0" fontId="156" fillId="0" borderId="0"/>
    <xf numFmtId="0" fontId="31" fillId="0" borderId="0"/>
    <xf numFmtId="0" fontId="26" fillId="0" borderId="0"/>
    <xf numFmtId="0" fontId="26" fillId="0" borderId="0"/>
    <xf numFmtId="0" fontId="26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31" fillId="0" borderId="0"/>
    <xf numFmtId="0" fontId="31" fillId="0" borderId="0"/>
    <xf numFmtId="0" fontId="1" fillId="0" borderId="0"/>
    <xf numFmtId="0" fontId="26" fillId="0" borderId="0"/>
    <xf numFmtId="0" fontId="26" fillId="0" borderId="0"/>
    <xf numFmtId="0" fontId="188" fillId="0" borderId="0" applyFill="0" applyProtection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8" fillId="0" borderId="0"/>
    <xf numFmtId="0" fontId="18" fillId="0" borderId="0"/>
    <xf numFmtId="207" fontId="58" fillId="0" borderId="0"/>
    <xf numFmtId="0" fontId="26" fillId="0" borderId="0"/>
    <xf numFmtId="0" fontId="26" fillId="0" borderId="0"/>
    <xf numFmtId="0" fontId="26" fillId="0" borderId="0"/>
    <xf numFmtId="0" fontId="18" fillId="0" borderId="0"/>
    <xf numFmtId="0" fontId="153" fillId="0" borderId="0"/>
    <xf numFmtId="0" fontId="153" fillId="0" borderId="0"/>
    <xf numFmtId="0" fontId="31" fillId="0" borderId="0"/>
    <xf numFmtId="0" fontId="189" fillId="0" borderId="0"/>
    <xf numFmtId="0" fontId="153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8" fillId="0" borderId="0"/>
    <xf numFmtId="0" fontId="6" fillId="0" borderId="0"/>
    <xf numFmtId="0" fontId="6" fillId="0" borderId="0"/>
    <xf numFmtId="0" fontId="18" fillId="0" borderId="0"/>
    <xf numFmtId="0" fontId="6" fillId="0" borderId="0"/>
    <xf numFmtId="0" fontId="62" fillId="0" borderId="0"/>
    <xf numFmtId="0" fontId="37" fillId="8" borderId="0" applyNumberFormat="0" applyBorder="0" applyAlignment="0" applyProtection="0"/>
    <xf numFmtId="0" fontId="160" fillId="8" borderId="0" applyNumberFormat="0" applyBorder="0" applyAlignment="0" applyProtection="0"/>
    <xf numFmtId="0" fontId="160" fillId="8" borderId="0" applyNumberFormat="0" applyBorder="0" applyAlignment="0" applyProtection="0"/>
    <xf numFmtId="0" fontId="160" fillId="8" borderId="0" applyNumberFormat="0" applyBorder="0" applyAlignment="0" applyProtection="0"/>
    <xf numFmtId="0" fontId="160" fillId="8" borderId="0" applyNumberFormat="0" applyBorder="0" applyAlignment="0" applyProtection="0"/>
    <xf numFmtId="0" fontId="26" fillId="0" borderId="0" applyFont="0" applyFill="0" applyBorder="0" applyProtection="0">
      <alignment horizontal="center" vertical="center" wrapText="1"/>
    </xf>
    <xf numFmtId="0" fontId="26" fillId="0" borderId="0" applyFont="0" applyFill="0" applyBorder="0" applyProtection="0">
      <alignment horizontal="center" vertical="center" wrapText="1"/>
    </xf>
    <xf numFmtId="0" fontId="26" fillId="0" borderId="0" applyFont="0" applyFill="0" applyBorder="0" applyProtection="0">
      <alignment horizontal="center" vertical="center" wrapText="1"/>
    </xf>
    <xf numFmtId="0" fontId="26" fillId="0" borderId="0" applyNumberFormat="0" applyFont="0" applyFill="0" applyBorder="0" applyProtection="0">
      <alignment horizontal="justify" vertical="center" wrapText="1"/>
    </xf>
    <xf numFmtId="0" fontId="26" fillId="0" borderId="0" applyNumberFormat="0" applyFont="0" applyFill="0" applyBorder="0" applyProtection="0">
      <alignment horizontal="justify" vertical="center" wrapText="1"/>
    </xf>
    <xf numFmtId="0" fontId="26" fillId="0" borderId="0" applyNumberFormat="0" applyFont="0" applyFill="0" applyBorder="0" applyProtection="0">
      <alignment horizontal="justify" vertical="center" wrapText="1"/>
    </xf>
    <xf numFmtId="0" fontId="51" fillId="0" borderId="0" applyNumberFormat="0" applyFill="0" applyBorder="0" applyAlignment="0" applyProtection="0"/>
    <xf numFmtId="0" fontId="162" fillId="0" borderId="0" applyNumberFormat="0" applyFill="0" applyBorder="0" applyAlignment="0" applyProtection="0"/>
    <xf numFmtId="0" fontId="162" fillId="0" borderId="0" applyNumberFormat="0" applyFill="0" applyBorder="0" applyAlignment="0" applyProtection="0"/>
    <xf numFmtId="0" fontId="162" fillId="0" borderId="0" applyNumberFormat="0" applyFill="0" applyBorder="0" applyAlignment="0" applyProtection="0"/>
    <xf numFmtId="0" fontId="162" fillId="0" borderId="0" applyNumberFormat="0" applyFill="0" applyBorder="0" applyAlignment="0" applyProtection="0"/>
    <xf numFmtId="0" fontId="26" fillId="34" borderId="15" applyNumberFormat="0" applyFont="0" applyAlignment="0" applyProtection="0"/>
    <xf numFmtId="0" fontId="26" fillId="34" borderId="15" applyNumberFormat="0" applyFont="0" applyAlignment="0" applyProtection="0"/>
    <xf numFmtId="0" fontId="26" fillId="34" borderId="15" applyNumberFormat="0" applyFont="0" applyAlignment="0" applyProtection="0"/>
    <xf numFmtId="0" fontId="18" fillId="34" borderId="15" applyNumberFormat="0" applyFont="0" applyAlignment="0" applyProtection="0"/>
    <xf numFmtId="0" fontId="18" fillId="34" borderId="15" applyNumberFormat="0" applyFont="0" applyAlignment="0" applyProtection="0"/>
    <xf numFmtId="0" fontId="18" fillId="34" borderId="15" applyNumberFormat="0" applyFont="0" applyAlignment="0" applyProtection="0"/>
    <xf numFmtId="0" fontId="18" fillId="34" borderId="15" applyNumberFormat="0" applyFont="0" applyAlignment="0" applyProtection="0"/>
    <xf numFmtId="0" fontId="6" fillId="34" borderId="15" applyNumberFormat="0" applyFont="0" applyAlignment="0" applyProtection="0"/>
    <xf numFmtId="0" fontId="6" fillId="34" borderId="15" applyNumberFormat="0" applyFont="0" applyAlignment="0" applyProtection="0"/>
    <xf numFmtId="0" fontId="6" fillId="34" borderId="15" applyNumberFormat="0" applyFont="0" applyAlignment="0" applyProtection="0"/>
    <xf numFmtId="0" fontId="6" fillId="34" borderId="15" applyNumberFormat="0" applyFont="0" applyAlignment="0" applyProtection="0"/>
    <xf numFmtId="0" fontId="6" fillId="34" borderId="15" applyNumberFormat="0" applyFont="0" applyAlignment="0" applyProtection="0"/>
    <xf numFmtId="0" fontId="6" fillId="34" borderId="15" applyNumberFormat="0" applyFont="0" applyAlignment="0" applyProtection="0"/>
    <xf numFmtId="0" fontId="6" fillId="34" borderId="15" applyNumberFormat="0" applyFont="0" applyAlignment="0" applyProtection="0"/>
    <xf numFmtId="0" fontId="6" fillId="34" borderId="15" applyNumberFormat="0" applyFont="0" applyAlignment="0" applyProtection="0"/>
    <xf numFmtId="0" fontId="18" fillId="34" borderId="15" applyNumberFormat="0" applyFont="0" applyAlignment="0" applyProtection="0"/>
    <xf numFmtId="0" fontId="18" fillId="34" borderId="15" applyNumberFormat="0" applyFont="0" applyAlignment="0" applyProtection="0"/>
    <xf numFmtId="0" fontId="18" fillId="34" borderId="15" applyNumberFormat="0" applyFont="0" applyAlignment="0" applyProtection="0"/>
    <xf numFmtId="0" fontId="18" fillId="34" borderId="15" applyNumberFormat="0" applyFont="0" applyAlignment="0" applyProtection="0"/>
    <xf numFmtId="0" fontId="18" fillId="34" borderId="15" applyNumberFormat="0" applyFont="0" applyAlignment="0" applyProtection="0"/>
    <xf numFmtId="0" fontId="18" fillId="34" borderId="15" applyNumberFormat="0" applyFont="0" applyAlignment="0" applyProtection="0"/>
    <xf numFmtId="0" fontId="18" fillId="34" borderId="15" applyNumberFormat="0" applyFont="0" applyAlignment="0" applyProtection="0"/>
    <xf numFmtId="0" fontId="18" fillId="34" borderId="15" applyNumberFormat="0" applyFont="0" applyAlignment="0" applyProtection="0"/>
    <xf numFmtId="0" fontId="18" fillId="34" borderId="15" applyNumberFormat="0" applyFont="0" applyAlignment="0" applyProtection="0"/>
    <xf numFmtId="0" fontId="18" fillId="34" borderId="15" applyNumberFormat="0" applyFont="0" applyAlignment="0" applyProtection="0"/>
    <xf numFmtId="0" fontId="6" fillId="34" borderId="15" applyNumberFormat="0" applyFont="0" applyAlignment="0" applyProtection="0"/>
    <xf numFmtId="0" fontId="6" fillId="34" borderId="15" applyNumberFormat="0" applyFont="0" applyAlignment="0" applyProtection="0"/>
    <xf numFmtId="0" fontId="6" fillId="34" borderId="15" applyNumberFormat="0" applyFont="0" applyAlignment="0" applyProtection="0"/>
    <xf numFmtId="0" fontId="6" fillId="34" borderId="15" applyNumberFormat="0" applyFont="0" applyAlignment="0" applyProtection="0"/>
    <xf numFmtId="0" fontId="6" fillId="34" borderId="15" applyNumberFormat="0" applyFont="0" applyAlignment="0" applyProtection="0"/>
    <xf numFmtId="0" fontId="6" fillId="34" borderId="15" applyNumberFormat="0" applyFont="0" applyAlignment="0" applyProtection="0"/>
    <xf numFmtId="0" fontId="6" fillId="34" borderId="15" applyNumberFormat="0" applyFont="0" applyAlignment="0" applyProtection="0"/>
    <xf numFmtId="0" fontId="6" fillId="34" borderId="15" applyNumberFormat="0" applyFont="0" applyAlignment="0" applyProtection="0"/>
    <xf numFmtId="0" fontId="18" fillId="34" borderId="15" applyNumberFormat="0" applyFont="0" applyAlignment="0" applyProtection="0"/>
    <xf numFmtId="0" fontId="18" fillId="34" borderId="15" applyNumberFormat="0" applyFont="0" applyAlignment="0" applyProtection="0"/>
    <xf numFmtId="0" fontId="18" fillId="34" borderId="15" applyNumberFormat="0" applyFont="0" applyAlignment="0" applyProtection="0"/>
    <xf numFmtId="0" fontId="18" fillId="34" borderId="15" applyNumberFormat="0" applyFont="0" applyAlignment="0" applyProtection="0"/>
    <xf numFmtId="0" fontId="18" fillId="34" borderId="15" applyNumberFormat="0" applyFont="0" applyAlignment="0" applyProtection="0"/>
    <xf numFmtId="0" fontId="18" fillId="34" borderId="15" applyNumberFormat="0" applyFont="0" applyAlignment="0" applyProtection="0"/>
    <xf numFmtId="0" fontId="18" fillId="34" borderId="15" applyNumberFormat="0" applyFont="0" applyAlignment="0" applyProtection="0"/>
    <xf numFmtId="0" fontId="18" fillId="34" borderId="15" applyNumberFormat="0" applyFont="0" applyAlignment="0" applyProtection="0"/>
    <xf numFmtId="0" fontId="32" fillId="34" borderId="15" applyNumberFormat="0" applyFont="0" applyAlignment="0" applyProtection="0"/>
    <xf numFmtId="0" fontId="32" fillId="34" borderId="15" applyNumberFormat="0" applyFont="0" applyAlignment="0" applyProtection="0"/>
    <xf numFmtId="0" fontId="14" fillId="71" borderId="38" applyNumberFormat="0" applyFont="0" applyAlignment="0" applyProtection="0"/>
    <xf numFmtId="9" fontId="18" fillId="0" borderId="0" applyFont="0" applyFill="0" applyBorder="0" applyAlignment="0" applyProtection="0"/>
    <xf numFmtId="9" fontId="24" fillId="0" borderId="0" applyFill="0" applyBorder="0" applyAlignment="0" applyProtection="0"/>
    <xf numFmtId="9" fontId="158" fillId="0" borderId="0" applyFont="0" applyFill="0" applyBorder="0" applyAlignment="0" applyProtection="0"/>
    <xf numFmtId="9" fontId="156" fillId="0" borderId="0" applyFont="0" applyFill="0" applyBorder="0" applyAlignment="0" applyProtection="0"/>
    <xf numFmtId="9" fontId="156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15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1" fillId="0" borderId="0" applyFont="0" applyFill="0" applyBorder="0" applyAlignment="0" applyProtection="0"/>
    <xf numFmtId="0" fontId="80" fillId="0" borderId="13" applyNumberFormat="0" applyFill="0" applyAlignment="0" applyProtection="0"/>
    <xf numFmtId="0" fontId="165" fillId="0" borderId="13" applyNumberFormat="0" applyFill="0" applyAlignment="0" applyProtection="0"/>
    <xf numFmtId="0" fontId="165" fillId="0" borderId="13" applyNumberFormat="0" applyFill="0" applyAlignment="0" applyProtection="0"/>
    <xf numFmtId="0" fontId="16" fillId="0" borderId="0"/>
    <xf numFmtId="0" fontId="24" fillId="0" borderId="0"/>
    <xf numFmtId="0" fontId="16" fillId="0" borderId="0"/>
    <xf numFmtId="0" fontId="16" fillId="0" borderId="0"/>
    <xf numFmtId="49" fontId="190" fillId="96" borderId="43" applyBorder="0" applyProtection="0">
      <alignment horizontal="left" vertical="center"/>
    </xf>
    <xf numFmtId="203" fontId="24" fillId="0" borderId="0" applyFill="0" applyProtection="0"/>
    <xf numFmtId="203" fontId="24" fillId="0" borderId="0" applyFill="0" applyProtection="0"/>
    <xf numFmtId="0" fontId="119" fillId="0" borderId="0" applyNumberFormat="0" applyFill="0" applyBorder="0" applyAlignment="0" applyProtection="0"/>
    <xf numFmtId="49" fontId="83" fillId="0" borderId="0">
      <alignment horizontal="center"/>
    </xf>
    <xf numFmtId="49" fontId="83" fillId="0" borderId="0">
      <alignment horizontal="center"/>
    </xf>
    <xf numFmtId="49" fontId="83" fillId="0" borderId="0">
      <alignment horizontal="center"/>
    </xf>
    <xf numFmtId="49" fontId="83" fillId="0" borderId="0">
      <alignment horizontal="center"/>
    </xf>
    <xf numFmtId="49" fontId="83" fillId="0" borderId="0">
      <alignment horizontal="center"/>
    </xf>
    <xf numFmtId="49" fontId="83" fillId="0" borderId="0">
      <alignment horizontal="center"/>
    </xf>
    <xf numFmtId="41" fontId="18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5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7" fontId="3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31" fillId="0" borderId="0" applyFont="0" applyFill="0" applyBorder="0" applyAlignment="0" applyProtection="0"/>
    <xf numFmtId="211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8" fillId="0" borderId="0" applyFont="0" applyFill="0" applyBorder="0" applyAlignment="0" applyProtection="0"/>
    <xf numFmtId="167" fontId="26" fillId="0" borderId="0" applyFont="0" applyFill="0" applyBorder="0" applyAlignment="0" applyProtection="0"/>
    <xf numFmtId="186" fontId="18" fillId="0" borderId="0" applyFont="0" applyFill="0" applyBorder="0" applyAlignment="0" applyProtection="0"/>
    <xf numFmtId="167" fontId="26" fillId="0" borderId="0" applyFont="0" applyFill="0" applyBorder="0" applyAlignment="0" applyProtection="0"/>
    <xf numFmtId="186" fontId="18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8" fillId="0" borderId="0" applyFont="0" applyFill="0" applyBorder="0" applyAlignment="0" applyProtection="0"/>
    <xf numFmtId="167" fontId="26" fillId="0" borderId="0" applyFont="0" applyFill="0" applyBorder="0" applyAlignment="0" applyProtection="0"/>
    <xf numFmtId="4" fontId="14" fillId="3" borderId="0" applyFont="0" applyBorder="0">
      <alignment horizontal="right"/>
    </xf>
    <xf numFmtId="4" fontId="14" fillId="63" borderId="31" applyBorder="0">
      <alignment horizontal="right"/>
    </xf>
    <xf numFmtId="4" fontId="14" fillId="3" borderId="2" applyFont="0" applyBorder="0">
      <alignment horizontal="right"/>
    </xf>
    <xf numFmtId="0" fontId="61" fillId="9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53" fillId="0" borderId="0"/>
    <xf numFmtId="0" fontId="18" fillId="0" borderId="0"/>
    <xf numFmtId="0" fontId="187" fillId="0" borderId="0" applyNumberFormat="0" applyFill="0" applyBorder="0" applyAlignment="0" applyProtection="0">
      <alignment vertical="top"/>
      <protection locked="0"/>
    </xf>
    <xf numFmtId="0" fontId="183" fillId="0" borderId="0" applyNumberFormat="0" applyFill="0" applyBorder="0" applyAlignment="0" applyProtection="0"/>
    <xf numFmtId="0" fontId="14" fillId="71" borderId="38" applyNumberFormat="0" applyFont="0" applyAlignment="0" applyProtection="0"/>
    <xf numFmtId="0" fontId="14" fillId="71" borderId="38" applyNumberFormat="0" applyFont="0" applyAlignment="0" applyProtection="0"/>
    <xf numFmtId="0" fontId="1" fillId="0" borderId="0"/>
    <xf numFmtId="0" fontId="1" fillId="0" borderId="0"/>
    <xf numFmtId="49" fontId="14" fillId="0" borderId="0" applyBorder="0">
      <alignment vertical="top"/>
    </xf>
    <xf numFmtId="0" fontId="16" fillId="0" borderId="0"/>
    <xf numFmtId="0" fontId="18" fillId="0" borderId="0"/>
    <xf numFmtId="0" fontId="191" fillId="0" borderId="0" applyFont="0" applyFill="0" applyBorder="0" applyAlignment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6" fillId="0" borderId="0"/>
    <xf numFmtId="0" fontId="24" fillId="0" borderId="0"/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177" fontId="18" fillId="4" borderId="5">
      <alignment wrapText="1"/>
      <protection locked="0"/>
    </xf>
    <xf numFmtId="177" fontId="18" fillId="4" borderId="5">
      <alignment wrapText="1"/>
      <protection locked="0"/>
    </xf>
    <xf numFmtId="177" fontId="18" fillId="4" borderId="5">
      <alignment wrapText="1"/>
      <protection locked="0"/>
    </xf>
    <xf numFmtId="177" fontId="18" fillId="4" borderId="5">
      <alignment wrapText="1"/>
      <protection locked="0"/>
    </xf>
    <xf numFmtId="177" fontId="18" fillId="4" borderId="5">
      <alignment wrapText="1"/>
      <protection locked="0"/>
    </xf>
    <xf numFmtId="0" fontId="17" fillId="0" borderId="0"/>
    <xf numFmtId="0" fontId="16" fillId="0" borderId="0"/>
    <xf numFmtId="0" fontId="24" fillId="0" borderId="0"/>
    <xf numFmtId="0" fontId="18" fillId="0" borderId="0"/>
    <xf numFmtId="0" fontId="16" fillId="0" borderId="0"/>
    <xf numFmtId="0" fontId="24" fillId="0" borderId="0"/>
    <xf numFmtId="0" fontId="17" fillId="0" borderId="0"/>
    <xf numFmtId="0" fontId="18" fillId="0" borderId="0"/>
    <xf numFmtId="0" fontId="18" fillId="0" borderId="0"/>
    <xf numFmtId="0" fontId="18" fillId="0" borderId="0"/>
    <xf numFmtId="0" fontId="16" fillId="0" borderId="0"/>
    <xf numFmtId="0" fontId="24" fillId="0" borderId="0"/>
    <xf numFmtId="0" fontId="16" fillId="0" borderId="0"/>
    <xf numFmtId="0" fontId="18" fillId="0" borderId="0"/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0" fontId="18" fillId="0" borderId="0"/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0" fontId="17" fillId="0" borderId="0"/>
    <xf numFmtId="0" fontId="1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58" fillId="0" borderId="0">
      <alignment vertical="center"/>
    </xf>
    <xf numFmtId="0" fontId="192" fillId="6" borderId="0"/>
    <xf numFmtId="0" fontId="30" fillId="97" borderId="0"/>
    <xf numFmtId="0" fontId="193" fillId="52" borderId="40" applyNumberFormat="0" applyFill="0" applyBorder="0" applyAlignment="0">
      <alignment horizontal="left"/>
    </xf>
    <xf numFmtId="0" fontId="142" fillId="52" borderId="0" applyNumberFormat="0" applyFill="0" applyBorder="0" applyAlignment="0"/>
    <xf numFmtId="0" fontId="194" fillId="48" borderId="40" applyNumberFormat="0" applyFill="0" applyBorder="0" applyAlignment="0">
      <alignment horizontal="left"/>
    </xf>
    <xf numFmtId="0" fontId="195" fillId="46" borderId="0" applyNumberFormat="0" applyFill="0" applyBorder="0" applyAlignment="0"/>
    <xf numFmtId="0" fontId="196" fillId="0" borderId="0" applyNumberFormat="0" applyFill="0" applyBorder="0" applyAlignment="0"/>
    <xf numFmtId="0" fontId="197" fillId="0" borderId="14" applyNumberFormat="0" applyFill="0" applyBorder="0" applyAlignment="0">
      <alignment horizontal="left"/>
    </xf>
    <xf numFmtId="0" fontId="198" fillId="40" borderId="46" applyNumberFormat="0" applyFill="0" applyBorder="0" applyAlignment="0">
      <alignment horizontal="centerContinuous"/>
    </xf>
    <xf numFmtId="0" fontId="199" fillId="0" borderId="0" applyNumberFormat="0" applyFill="0" applyBorder="0" applyAlignment="0"/>
    <xf numFmtId="0" fontId="199" fillId="51" borderId="17" applyNumberFormat="0" applyFill="0" applyBorder="0" applyAlignment="0"/>
    <xf numFmtId="0" fontId="200" fillId="0" borderId="14" applyNumberFormat="0" applyFill="0" applyBorder="0" applyAlignment="0"/>
    <xf numFmtId="0" fontId="199" fillId="0" borderId="0" applyNumberFormat="0" applyFill="0" applyBorder="0" applyAlignment="0"/>
    <xf numFmtId="0" fontId="31" fillId="98" borderId="0" applyNumberFormat="0" applyBorder="0" applyAlignment="0" applyProtection="0"/>
    <xf numFmtId="0" fontId="31" fillId="98" borderId="0" applyNumberFormat="0" applyBorder="0" applyAlignment="0" applyProtection="0"/>
    <xf numFmtId="0" fontId="31" fillId="7" borderId="0" applyNumberFormat="0" applyBorder="0" applyAlignment="0" applyProtection="0"/>
    <xf numFmtId="0" fontId="31" fillId="98" borderId="0" applyNumberFormat="0" applyBorder="0" applyAlignment="0" applyProtection="0"/>
    <xf numFmtId="0" fontId="31" fillId="7" borderId="0" applyNumberFormat="0" applyBorder="0" applyAlignment="0" applyProtection="0"/>
    <xf numFmtId="0" fontId="31" fillId="98" borderId="0" applyNumberFormat="0" applyBorder="0" applyAlignment="0" applyProtection="0"/>
    <xf numFmtId="0" fontId="31" fillId="98" borderId="0" applyNumberFormat="0" applyBorder="0" applyAlignment="0" applyProtection="0"/>
    <xf numFmtId="0" fontId="31" fillId="7" borderId="0" applyNumberFormat="0" applyBorder="0" applyAlignment="0" applyProtection="0"/>
    <xf numFmtId="0" fontId="31" fillId="99" borderId="0" applyNumberFormat="0" applyBorder="0" applyAlignment="0" applyProtection="0"/>
    <xf numFmtId="0" fontId="31" fillId="99" borderId="0" applyNumberFormat="0" applyBorder="0" applyAlignment="0" applyProtection="0"/>
    <xf numFmtId="0" fontId="31" fillId="8" borderId="0" applyNumberFormat="0" applyBorder="0" applyAlignment="0" applyProtection="0"/>
    <xf numFmtId="0" fontId="31" fillId="99" borderId="0" applyNumberFormat="0" applyBorder="0" applyAlignment="0" applyProtection="0"/>
    <xf numFmtId="0" fontId="31" fillId="8" borderId="0" applyNumberFormat="0" applyBorder="0" applyAlignment="0" applyProtection="0"/>
    <xf numFmtId="0" fontId="31" fillId="99" borderId="0" applyNumberFormat="0" applyBorder="0" applyAlignment="0" applyProtection="0"/>
    <xf numFmtId="0" fontId="31" fillId="99" borderId="0" applyNumberFormat="0" applyBorder="0" applyAlignment="0" applyProtection="0"/>
    <xf numFmtId="0" fontId="31" fillId="8" borderId="0" applyNumberFormat="0" applyBorder="0" applyAlignment="0" applyProtection="0"/>
    <xf numFmtId="0" fontId="31" fillId="57" borderId="0" applyNumberFormat="0" applyBorder="0" applyAlignment="0" applyProtection="0"/>
    <xf numFmtId="0" fontId="31" fillId="57" borderId="0" applyNumberFormat="0" applyBorder="0" applyAlignment="0" applyProtection="0"/>
    <xf numFmtId="0" fontId="31" fillId="9" borderId="0" applyNumberFormat="0" applyBorder="0" applyAlignment="0" applyProtection="0"/>
    <xf numFmtId="0" fontId="31" fillId="57" borderId="0" applyNumberFormat="0" applyBorder="0" applyAlignment="0" applyProtection="0"/>
    <xf numFmtId="0" fontId="31" fillId="9" borderId="0" applyNumberFormat="0" applyBorder="0" applyAlignment="0" applyProtection="0"/>
    <xf numFmtId="0" fontId="31" fillId="57" borderId="0" applyNumberFormat="0" applyBorder="0" applyAlignment="0" applyProtection="0"/>
    <xf numFmtId="0" fontId="31" fillId="57" borderId="0" applyNumberFormat="0" applyBorder="0" applyAlignment="0" applyProtection="0"/>
    <xf numFmtId="0" fontId="31" fillId="9" borderId="0" applyNumberFormat="0" applyBorder="0" applyAlignment="0" applyProtection="0"/>
    <xf numFmtId="0" fontId="31" fillId="100" borderId="0" applyNumberFormat="0" applyBorder="0" applyAlignment="0" applyProtection="0"/>
    <xf numFmtId="0" fontId="31" fillId="100" borderId="0" applyNumberFormat="0" applyBorder="0" applyAlignment="0" applyProtection="0"/>
    <xf numFmtId="0" fontId="31" fillId="10" borderId="0" applyNumberFormat="0" applyBorder="0" applyAlignment="0" applyProtection="0"/>
    <xf numFmtId="0" fontId="31" fillId="100" borderId="0" applyNumberFormat="0" applyBorder="0" applyAlignment="0" applyProtection="0"/>
    <xf numFmtId="0" fontId="31" fillId="10" borderId="0" applyNumberFormat="0" applyBorder="0" applyAlignment="0" applyProtection="0"/>
    <xf numFmtId="0" fontId="31" fillId="100" borderId="0" applyNumberFormat="0" applyBorder="0" applyAlignment="0" applyProtection="0"/>
    <xf numFmtId="0" fontId="31" fillId="100" borderId="0" applyNumberFormat="0" applyBorder="0" applyAlignment="0" applyProtection="0"/>
    <xf numFmtId="0" fontId="31" fillId="10" borderId="0" applyNumberFormat="0" applyBorder="0" applyAlignment="0" applyProtection="0"/>
    <xf numFmtId="0" fontId="31" fillId="101" borderId="0" applyNumberFormat="0" applyBorder="0" applyAlignment="0" applyProtection="0"/>
    <xf numFmtId="0" fontId="31" fillId="101" borderId="0" applyNumberFormat="0" applyBorder="0" applyAlignment="0" applyProtection="0"/>
    <xf numFmtId="0" fontId="31" fillId="11" borderId="0" applyNumberFormat="0" applyBorder="0" applyAlignment="0" applyProtection="0"/>
    <xf numFmtId="0" fontId="31" fillId="101" borderId="0" applyNumberFormat="0" applyBorder="0" applyAlignment="0" applyProtection="0"/>
    <xf numFmtId="0" fontId="31" fillId="11" borderId="0" applyNumberFormat="0" applyBorder="0" applyAlignment="0" applyProtection="0"/>
    <xf numFmtId="0" fontId="31" fillId="101" borderId="0" applyNumberFormat="0" applyBorder="0" applyAlignment="0" applyProtection="0"/>
    <xf numFmtId="0" fontId="31" fillId="101" borderId="0" applyNumberFormat="0" applyBorder="0" applyAlignment="0" applyProtection="0"/>
    <xf numFmtId="0" fontId="31" fillId="11" borderId="0" applyNumberFormat="0" applyBorder="0" applyAlignment="0" applyProtection="0"/>
    <xf numFmtId="0" fontId="31" fillId="102" borderId="0" applyNumberFormat="0" applyBorder="0" applyAlignment="0" applyProtection="0"/>
    <xf numFmtId="0" fontId="31" fillId="102" borderId="0" applyNumberFormat="0" applyBorder="0" applyAlignment="0" applyProtection="0"/>
    <xf numFmtId="0" fontId="31" fillId="12" borderId="0" applyNumberFormat="0" applyBorder="0" applyAlignment="0" applyProtection="0"/>
    <xf numFmtId="0" fontId="31" fillId="102" borderId="0" applyNumberFormat="0" applyBorder="0" applyAlignment="0" applyProtection="0"/>
    <xf numFmtId="0" fontId="31" fillId="12" borderId="0" applyNumberFormat="0" applyBorder="0" applyAlignment="0" applyProtection="0"/>
    <xf numFmtId="0" fontId="31" fillId="102" borderId="0" applyNumberFormat="0" applyBorder="0" applyAlignment="0" applyProtection="0"/>
    <xf numFmtId="0" fontId="31" fillId="102" borderId="0" applyNumberFormat="0" applyBorder="0" applyAlignment="0" applyProtection="0"/>
    <xf numFmtId="0" fontId="31" fillId="12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2" fillId="98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157" fillId="73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98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2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98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2" fillId="98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2" fillId="98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2" fillId="98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2" fillId="98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2" fillId="98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2" fillId="99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157" fillId="77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99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2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99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2" fillId="99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2" fillId="99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2" fillId="99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2" fillId="99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2" fillId="99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2" fillId="57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157" fillId="81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57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2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57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2" fillId="57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2" fillId="57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2" fillId="57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2" fillId="57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2" fillId="57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2" fillId="10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157" fillId="85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2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2" fillId="10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2" fillId="10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2" fillId="10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2" fillId="10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2" fillId="10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2" fillId="10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157" fillId="89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0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2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0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2" fillId="10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2" fillId="10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2" fillId="10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2" fillId="10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2" fillId="10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2" fillId="10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157" fillId="93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0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2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0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2" fillId="10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2" fillId="10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2" fillId="10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2" fillId="10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2" fillId="10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03" borderId="0" applyNumberFormat="0" applyBorder="0" applyAlignment="0" applyProtection="0"/>
    <xf numFmtId="0" fontId="31" fillId="103" borderId="0" applyNumberFormat="0" applyBorder="0" applyAlignment="0" applyProtection="0"/>
    <xf numFmtId="0" fontId="31" fillId="13" borderId="0" applyNumberFormat="0" applyBorder="0" applyAlignment="0" applyProtection="0"/>
    <xf numFmtId="0" fontId="31" fillId="103" borderId="0" applyNumberFormat="0" applyBorder="0" applyAlignment="0" applyProtection="0"/>
    <xf numFmtId="0" fontId="31" fillId="13" borderId="0" applyNumberFormat="0" applyBorder="0" applyAlignment="0" applyProtection="0"/>
    <xf numFmtId="0" fontId="31" fillId="103" borderId="0" applyNumberFormat="0" applyBorder="0" applyAlignment="0" applyProtection="0"/>
    <xf numFmtId="0" fontId="31" fillId="103" borderId="0" applyNumberFormat="0" applyBorder="0" applyAlignment="0" applyProtection="0"/>
    <xf numFmtId="0" fontId="31" fillId="13" borderId="0" applyNumberFormat="0" applyBorder="0" applyAlignment="0" applyProtection="0"/>
    <xf numFmtId="0" fontId="31" fillId="104" borderId="0" applyNumberFormat="0" applyBorder="0" applyAlignment="0" applyProtection="0"/>
    <xf numFmtId="0" fontId="31" fillId="104" borderId="0" applyNumberFormat="0" applyBorder="0" applyAlignment="0" applyProtection="0"/>
    <xf numFmtId="0" fontId="31" fillId="14" borderId="0" applyNumberFormat="0" applyBorder="0" applyAlignment="0" applyProtection="0"/>
    <xf numFmtId="0" fontId="31" fillId="104" borderId="0" applyNumberFormat="0" applyBorder="0" applyAlignment="0" applyProtection="0"/>
    <xf numFmtId="0" fontId="31" fillId="14" borderId="0" applyNumberFormat="0" applyBorder="0" applyAlignment="0" applyProtection="0"/>
    <xf numFmtId="0" fontId="31" fillId="104" borderId="0" applyNumberFormat="0" applyBorder="0" applyAlignment="0" applyProtection="0"/>
    <xf numFmtId="0" fontId="31" fillId="104" borderId="0" applyNumberFormat="0" applyBorder="0" applyAlignment="0" applyProtection="0"/>
    <xf numFmtId="0" fontId="31" fillId="14" borderId="0" applyNumberFormat="0" applyBorder="0" applyAlignment="0" applyProtection="0"/>
    <xf numFmtId="0" fontId="31" fillId="105" borderId="0" applyNumberFormat="0" applyBorder="0" applyAlignment="0" applyProtection="0"/>
    <xf numFmtId="0" fontId="31" fillId="105" borderId="0" applyNumberFormat="0" applyBorder="0" applyAlignment="0" applyProtection="0"/>
    <xf numFmtId="0" fontId="31" fillId="15" borderId="0" applyNumberFormat="0" applyBorder="0" applyAlignment="0" applyProtection="0"/>
    <xf numFmtId="0" fontId="31" fillId="105" borderId="0" applyNumberFormat="0" applyBorder="0" applyAlignment="0" applyProtection="0"/>
    <xf numFmtId="0" fontId="31" fillId="15" borderId="0" applyNumberFormat="0" applyBorder="0" applyAlignment="0" applyProtection="0"/>
    <xf numFmtId="0" fontId="31" fillId="105" borderId="0" applyNumberFormat="0" applyBorder="0" applyAlignment="0" applyProtection="0"/>
    <xf numFmtId="0" fontId="31" fillId="105" borderId="0" applyNumberFormat="0" applyBorder="0" applyAlignment="0" applyProtection="0"/>
    <xf numFmtId="0" fontId="31" fillId="15" borderId="0" applyNumberFormat="0" applyBorder="0" applyAlignment="0" applyProtection="0"/>
    <xf numFmtId="0" fontId="31" fillId="100" borderId="0" applyNumberFormat="0" applyBorder="0" applyAlignment="0" applyProtection="0"/>
    <xf numFmtId="0" fontId="31" fillId="100" borderId="0" applyNumberFormat="0" applyBorder="0" applyAlignment="0" applyProtection="0"/>
    <xf numFmtId="0" fontId="31" fillId="10" borderId="0" applyNumberFormat="0" applyBorder="0" applyAlignment="0" applyProtection="0"/>
    <xf numFmtId="0" fontId="31" fillId="100" borderId="0" applyNumberFormat="0" applyBorder="0" applyAlignment="0" applyProtection="0"/>
    <xf numFmtId="0" fontId="31" fillId="10" borderId="0" applyNumberFormat="0" applyBorder="0" applyAlignment="0" applyProtection="0"/>
    <xf numFmtId="0" fontId="31" fillId="100" borderId="0" applyNumberFormat="0" applyBorder="0" applyAlignment="0" applyProtection="0"/>
    <xf numFmtId="0" fontId="31" fillId="100" borderId="0" applyNumberFormat="0" applyBorder="0" applyAlignment="0" applyProtection="0"/>
    <xf numFmtId="0" fontId="31" fillId="10" borderId="0" applyNumberFormat="0" applyBorder="0" applyAlignment="0" applyProtection="0"/>
    <xf numFmtId="0" fontId="31" fillId="103" borderId="0" applyNumberFormat="0" applyBorder="0" applyAlignment="0" applyProtection="0"/>
    <xf numFmtId="0" fontId="31" fillId="103" borderId="0" applyNumberFormat="0" applyBorder="0" applyAlignment="0" applyProtection="0"/>
    <xf numFmtId="0" fontId="31" fillId="13" borderId="0" applyNumberFormat="0" applyBorder="0" applyAlignment="0" applyProtection="0"/>
    <xf numFmtId="0" fontId="31" fillId="103" borderId="0" applyNumberFormat="0" applyBorder="0" applyAlignment="0" applyProtection="0"/>
    <xf numFmtId="0" fontId="31" fillId="13" borderId="0" applyNumberFormat="0" applyBorder="0" applyAlignment="0" applyProtection="0"/>
    <xf numFmtId="0" fontId="31" fillId="103" borderId="0" applyNumberFormat="0" applyBorder="0" applyAlignment="0" applyProtection="0"/>
    <xf numFmtId="0" fontId="31" fillId="103" borderId="0" applyNumberFormat="0" applyBorder="0" applyAlignment="0" applyProtection="0"/>
    <xf numFmtId="0" fontId="31" fillId="13" borderId="0" applyNumberFormat="0" applyBorder="0" applyAlignment="0" applyProtection="0"/>
    <xf numFmtId="0" fontId="31" fillId="106" borderId="0" applyNumberFormat="0" applyBorder="0" applyAlignment="0" applyProtection="0"/>
    <xf numFmtId="0" fontId="31" fillId="106" borderId="0" applyNumberFormat="0" applyBorder="0" applyAlignment="0" applyProtection="0"/>
    <xf numFmtId="0" fontId="31" fillId="16" borderId="0" applyNumberFormat="0" applyBorder="0" applyAlignment="0" applyProtection="0"/>
    <xf numFmtId="0" fontId="31" fillId="106" borderId="0" applyNumberFormat="0" applyBorder="0" applyAlignment="0" applyProtection="0"/>
    <xf numFmtId="0" fontId="31" fillId="16" borderId="0" applyNumberFormat="0" applyBorder="0" applyAlignment="0" applyProtection="0"/>
    <xf numFmtId="0" fontId="31" fillId="106" borderId="0" applyNumberFormat="0" applyBorder="0" applyAlignment="0" applyProtection="0"/>
    <xf numFmtId="0" fontId="31" fillId="106" borderId="0" applyNumberFormat="0" applyBorder="0" applyAlignment="0" applyProtection="0"/>
    <xf numFmtId="0" fontId="31" fillId="16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2" fillId="107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157" fillId="74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0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2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03" borderId="0" applyNumberFormat="0" applyBorder="0" applyAlignment="0" applyProtection="0"/>
    <xf numFmtId="0" fontId="31" fillId="17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2" fillId="103" borderId="0" applyNumberFormat="0" applyBorder="0" applyAlignment="0" applyProtection="0"/>
    <xf numFmtId="0" fontId="31" fillId="17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2" fillId="103" borderId="0" applyNumberFormat="0" applyBorder="0" applyAlignment="0" applyProtection="0"/>
    <xf numFmtId="0" fontId="31" fillId="17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2" fillId="103" borderId="0" applyNumberFormat="0" applyBorder="0" applyAlignment="0" applyProtection="0"/>
    <xf numFmtId="0" fontId="31" fillId="17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2" fillId="10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2" fillId="10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2" fillId="10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157" fillId="78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0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2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0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2" fillId="10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2" fillId="10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2" fillId="10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2" fillId="10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2" fillId="10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2" fillId="10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157" fillId="82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0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2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0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2" fillId="10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2" fillId="10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2" fillId="10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2" fillId="10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2" fillId="10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2" fillId="107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157" fillId="86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2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0" borderId="0" applyNumberFormat="0" applyBorder="0" applyAlignment="0" applyProtection="0"/>
    <xf numFmtId="0" fontId="31" fillId="17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2" fillId="100" borderId="0" applyNumberFormat="0" applyBorder="0" applyAlignment="0" applyProtection="0"/>
    <xf numFmtId="0" fontId="31" fillId="17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2" fillId="100" borderId="0" applyNumberFormat="0" applyBorder="0" applyAlignment="0" applyProtection="0"/>
    <xf numFmtId="0" fontId="31" fillId="17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2" fillId="100" borderId="0" applyNumberFormat="0" applyBorder="0" applyAlignment="0" applyProtection="0"/>
    <xf numFmtId="0" fontId="31" fillId="17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2" fillId="10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2" fillId="10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2" fillId="10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157" fillId="90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0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2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0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2" fillId="10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2" fillId="10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2" fillId="10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2" fillId="10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2" fillId="10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2" fillId="102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157" fillId="94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0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2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06" borderId="0" applyNumberFormat="0" applyBorder="0" applyAlignment="0" applyProtection="0"/>
    <xf numFmtId="0" fontId="31" fillId="12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2" fillId="106" borderId="0" applyNumberFormat="0" applyBorder="0" applyAlignment="0" applyProtection="0"/>
    <xf numFmtId="0" fontId="31" fillId="12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2" fillId="106" borderId="0" applyNumberFormat="0" applyBorder="0" applyAlignment="0" applyProtection="0"/>
    <xf numFmtId="0" fontId="31" fillId="12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2" fillId="106" borderId="0" applyNumberFormat="0" applyBorder="0" applyAlignment="0" applyProtection="0"/>
    <xf numFmtId="0" fontId="31" fillId="12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2" fillId="10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2" fillId="10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3" fillId="108" borderId="0" applyNumberFormat="0" applyBorder="0" applyAlignment="0" applyProtection="0"/>
    <xf numFmtId="0" fontId="33" fillId="108" borderId="0" applyNumberFormat="0" applyBorder="0" applyAlignment="0" applyProtection="0"/>
    <xf numFmtId="0" fontId="33" fillId="108" borderId="0" applyNumberFormat="0" applyBorder="0" applyAlignment="0" applyProtection="0"/>
    <xf numFmtId="0" fontId="33" fillId="108" borderId="0" applyNumberFormat="0" applyBorder="0" applyAlignment="0" applyProtection="0"/>
    <xf numFmtId="0" fontId="33" fillId="104" borderId="0" applyNumberFormat="0" applyBorder="0" applyAlignment="0" applyProtection="0"/>
    <xf numFmtId="0" fontId="33" fillId="104" borderId="0" applyNumberFormat="0" applyBorder="0" applyAlignment="0" applyProtection="0"/>
    <xf numFmtId="0" fontId="33" fillId="104" borderId="0" applyNumberFormat="0" applyBorder="0" applyAlignment="0" applyProtection="0"/>
    <xf numFmtId="0" fontId="33" fillId="104" borderId="0" applyNumberFormat="0" applyBorder="0" applyAlignment="0" applyProtection="0"/>
    <xf numFmtId="0" fontId="33" fillId="105" borderId="0" applyNumberFormat="0" applyBorder="0" applyAlignment="0" applyProtection="0"/>
    <xf numFmtId="0" fontId="33" fillId="105" borderId="0" applyNumberFormat="0" applyBorder="0" applyAlignment="0" applyProtection="0"/>
    <xf numFmtId="0" fontId="33" fillId="105" borderId="0" applyNumberFormat="0" applyBorder="0" applyAlignment="0" applyProtection="0"/>
    <xf numFmtId="0" fontId="33" fillId="105" borderId="0" applyNumberFormat="0" applyBorder="0" applyAlignment="0" applyProtection="0"/>
    <xf numFmtId="0" fontId="33" fillId="109" borderId="0" applyNumberFormat="0" applyBorder="0" applyAlignment="0" applyProtection="0"/>
    <xf numFmtId="0" fontId="33" fillId="109" borderId="0" applyNumberFormat="0" applyBorder="0" applyAlignment="0" applyProtection="0"/>
    <xf numFmtId="0" fontId="33" fillId="109" borderId="0" applyNumberFormat="0" applyBorder="0" applyAlignment="0" applyProtection="0"/>
    <xf numFmtId="0" fontId="33" fillId="109" borderId="0" applyNumberFormat="0" applyBorder="0" applyAlignment="0" applyProtection="0"/>
    <xf numFmtId="0" fontId="33" fillId="110" borderId="0" applyNumberFormat="0" applyBorder="0" applyAlignment="0" applyProtection="0"/>
    <xf numFmtId="0" fontId="33" fillId="110" borderId="0" applyNumberFormat="0" applyBorder="0" applyAlignment="0" applyProtection="0"/>
    <xf numFmtId="0" fontId="33" fillId="110" borderId="0" applyNumberFormat="0" applyBorder="0" applyAlignment="0" applyProtection="0"/>
    <xf numFmtId="0" fontId="33" fillId="110" borderId="0" applyNumberFormat="0" applyBorder="0" applyAlignment="0" applyProtection="0"/>
    <xf numFmtId="0" fontId="33" fillId="111" borderId="0" applyNumberFormat="0" applyBorder="0" applyAlignment="0" applyProtection="0"/>
    <xf numFmtId="0" fontId="33" fillId="111" borderId="0" applyNumberFormat="0" applyBorder="0" applyAlignment="0" applyProtection="0"/>
    <xf numFmtId="0" fontId="33" fillId="111" borderId="0" applyNumberFormat="0" applyBorder="0" applyAlignment="0" applyProtection="0"/>
    <xf numFmtId="0" fontId="33" fillId="111" borderId="0" applyNumberFormat="0" applyBorder="0" applyAlignment="0" applyProtection="0"/>
    <xf numFmtId="0" fontId="33" fillId="18" borderId="0" applyNumberFormat="0" applyBorder="0" applyAlignment="0" applyProtection="0"/>
    <xf numFmtId="0" fontId="33" fillId="18" borderId="0" applyNumberFormat="0" applyBorder="0" applyAlignment="0" applyProtection="0"/>
    <xf numFmtId="0" fontId="33" fillId="18" borderId="0" applyNumberFormat="0" applyBorder="0" applyAlignment="0" applyProtection="0"/>
    <xf numFmtId="0" fontId="33" fillId="18" borderId="0" applyNumberFormat="0" applyBorder="0" applyAlignment="0" applyProtection="0"/>
    <xf numFmtId="0" fontId="33" fillId="18" borderId="0" applyNumberFormat="0" applyBorder="0" applyAlignment="0" applyProtection="0"/>
    <xf numFmtId="0" fontId="34" fillId="110" borderId="0" applyNumberFormat="0" applyBorder="0" applyAlignment="0" applyProtection="0"/>
    <xf numFmtId="0" fontId="33" fillId="18" borderId="0" applyNumberFormat="0" applyBorder="0" applyAlignment="0" applyProtection="0"/>
    <xf numFmtId="0" fontId="33" fillId="18" borderId="0" applyNumberFormat="0" applyBorder="0" applyAlignment="0" applyProtection="0"/>
    <xf numFmtId="0" fontId="33" fillId="18" borderId="0" applyNumberFormat="0" applyBorder="0" applyAlignment="0" applyProtection="0"/>
    <xf numFmtId="0" fontId="201" fillId="75" borderId="0" applyNumberFormat="0" applyBorder="0" applyAlignment="0" applyProtection="0"/>
    <xf numFmtId="0" fontId="33" fillId="18" borderId="0" applyNumberFormat="0" applyBorder="0" applyAlignment="0" applyProtection="0"/>
    <xf numFmtId="0" fontId="33" fillId="18" borderId="0" applyNumberFormat="0" applyBorder="0" applyAlignment="0" applyProtection="0"/>
    <xf numFmtId="0" fontId="33" fillId="18" borderId="0" applyNumberFormat="0" applyBorder="0" applyAlignment="0" applyProtection="0"/>
    <xf numFmtId="0" fontId="33" fillId="18" borderId="0" applyNumberFormat="0" applyBorder="0" applyAlignment="0" applyProtection="0"/>
    <xf numFmtId="0" fontId="33" fillId="18" borderId="0" applyNumberFormat="0" applyBorder="0" applyAlignment="0" applyProtection="0"/>
    <xf numFmtId="0" fontId="33" fillId="18" borderId="0" applyNumberFormat="0" applyBorder="0" applyAlignment="0" applyProtection="0"/>
    <xf numFmtId="0" fontId="33" fillId="18" borderId="0" applyNumberFormat="0" applyBorder="0" applyAlignment="0" applyProtection="0"/>
    <xf numFmtId="0" fontId="33" fillId="18" borderId="0" applyNumberFormat="0" applyBorder="0" applyAlignment="0" applyProtection="0"/>
    <xf numFmtId="0" fontId="33" fillId="18" borderId="0" applyNumberFormat="0" applyBorder="0" applyAlignment="0" applyProtection="0"/>
    <xf numFmtId="0" fontId="33" fillId="18" borderId="0" applyNumberFormat="0" applyBorder="0" applyAlignment="0" applyProtection="0"/>
    <xf numFmtId="0" fontId="33" fillId="18" borderId="0" applyNumberFormat="0" applyBorder="0" applyAlignment="0" applyProtection="0"/>
    <xf numFmtId="0" fontId="33" fillId="18" borderId="0" applyNumberFormat="0" applyBorder="0" applyAlignment="0" applyProtection="0"/>
    <xf numFmtId="0" fontId="33" fillId="18" borderId="0" applyNumberFormat="0" applyBorder="0" applyAlignment="0" applyProtection="0"/>
    <xf numFmtId="0" fontId="33" fillId="18" borderId="0" applyNumberFormat="0" applyBorder="0" applyAlignment="0" applyProtection="0"/>
    <xf numFmtId="0" fontId="33" fillId="108" borderId="0" applyNumberFormat="0" applyBorder="0" applyAlignment="0" applyProtection="0"/>
    <xf numFmtId="0" fontId="33" fillId="18" borderId="0" applyNumberFormat="0" applyBorder="0" applyAlignment="0" applyProtection="0"/>
    <xf numFmtId="0" fontId="33" fillId="18" borderId="0" applyNumberFormat="0" applyBorder="0" applyAlignment="0" applyProtection="0"/>
    <xf numFmtId="0" fontId="33" fillId="18" borderId="0" applyNumberFormat="0" applyBorder="0" applyAlignment="0" applyProtection="0"/>
    <xf numFmtId="0" fontId="34" fillId="18" borderId="0" applyNumberFormat="0" applyBorder="0" applyAlignment="0" applyProtection="0"/>
    <xf numFmtId="0" fontId="33" fillId="18" borderId="0" applyNumberFormat="0" applyBorder="0" applyAlignment="0" applyProtection="0"/>
    <xf numFmtId="0" fontId="34" fillId="108" borderId="0" applyNumberFormat="0" applyBorder="0" applyAlignment="0" applyProtection="0"/>
    <xf numFmtId="0" fontId="33" fillId="108" borderId="0" applyNumberFormat="0" applyBorder="0" applyAlignment="0" applyProtection="0"/>
    <xf numFmtId="0" fontId="33" fillId="20" borderId="0" applyNumberFormat="0" applyBorder="0" applyAlignment="0" applyProtection="0"/>
    <xf numFmtId="0" fontId="33" fillId="18" borderId="0" applyNumberFormat="0" applyBorder="0" applyAlignment="0" applyProtection="0"/>
    <xf numFmtId="0" fontId="33" fillId="18" borderId="0" applyNumberFormat="0" applyBorder="0" applyAlignment="0" applyProtection="0"/>
    <xf numFmtId="0" fontId="33" fillId="18" borderId="0" applyNumberFormat="0" applyBorder="0" applyAlignment="0" applyProtection="0"/>
    <xf numFmtId="0" fontId="34" fillId="108" borderId="0" applyNumberFormat="0" applyBorder="0" applyAlignment="0" applyProtection="0"/>
    <xf numFmtId="0" fontId="33" fillId="20" borderId="0" applyNumberFormat="0" applyBorder="0" applyAlignment="0" applyProtection="0"/>
    <xf numFmtId="0" fontId="34" fillId="108" borderId="0" applyNumberFormat="0" applyBorder="0" applyAlignment="0" applyProtection="0"/>
    <xf numFmtId="0" fontId="34" fillId="18" borderId="0" applyNumberFormat="0" applyBorder="0" applyAlignment="0" applyProtection="0"/>
    <xf numFmtId="0" fontId="33" fillId="20" borderId="0" applyNumberFormat="0" applyBorder="0" applyAlignment="0" applyProtection="0"/>
    <xf numFmtId="0" fontId="34" fillId="108" borderId="0" applyNumberFormat="0" applyBorder="0" applyAlignment="0" applyProtection="0"/>
    <xf numFmtId="0" fontId="34" fillId="18" borderId="0" applyNumberFormat="0" applyBorder="0" applyAlignment="0" applyProtection="0"/>
    <xf numFmtId="0" fontId="33" fillId="20" borderId="0" applyNumberFormat="0" applyBorder="0" applyAlignment="0" applyProtection="0"/>
    <xf numFmtId="0" fontId="34" fillId="108" borderId="0" applyNumberFormat="0" applyBorder="0" applyAlignment="0" applyProtection="0"/>
    <xf numFmtId="0" fontId="34" fillId="18" borderId="0" applyNumberFormat="0" applyBorder="0" applyAlignment="0" applyProtection="0"/>
    <xf numFmtId="0" fontId="34" fillId="108" borderId="0" applyNumberFormat="0" applyBorder="0" applyAlignment="0" applyProtection="0"/>
    <xf numFmtId="0" fontId="34" fillId="18" borderId="0" applyNumberFormat="0" applyBorder="0" applyAlignment="0" applyProtection="0"/>
    <xf numFmtId="0" fontId="33" fillId="18" borderId="0" applyNumberFormat="0" applyBorder="0" applyAlignment="0" applyProtection="0"/>
    <xf numFmtId="0" fontId="202" fillId="18" borderId="0" applyNumberFormat="0" applyBorder="0" applyAlignment="0" applyProtection="0"/>
    <xf numFmtId="0" fontId="33" fillId="18" borderId="0" applyNumberFormat="0" applyBorder="0" applyAlignment="0" applyProtection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34" fillId="104" borderId="0" applyNumberFormat="0" applyBorder="0" applyAlignment="0" applyProtection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201" fillId="79" borderId="0" applyNumberFormat="0" applyBorder="0" applyAlignment="0" applyProtection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33" fillId="104" borderId="0" applyNumberFormat="0" applyBorder="0" applyAlignment="0" applyProtection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34" fillId="14" borderId="0" applyNumberFormat="0" applyBorder="0" applyAlignment="0" applyProtection="0"/>
    <xf numFmtId="0" fontId="33" fillId="14" borderId="0" applyNumberFormat="0" applyBorder="0" applyAlignment="0" applyProtection="0"/>
    <xf numFmtId="0" fontId="34" fillId="104" borderId="0" applyNumberFormat="0" applyBorder="0" applyAlignment="0" applyProtection="0"/>
    <xf numFmtId="0" fontId="33" fillId="104" borderId="0" applyNumberFormat="0" applyBorder="0" applyAlignment="0" applyProtection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34" fillId="104" borderId="0" applyNumberFormat="0" applyBorder="0" applyAlignment="0" applyProtection="0"/>
    <xf numFmtId="0" fontId="34" fillId="104" borderId="0" applyNumberFormat="0" applyBorder="0" applyAlignment="0" applyProtection="0"/>
    <xf numFmtId="0" fontId="34" fillId="14" borderId="0" applyNumberFormat="0" applyBorder="0" applyAlignment="0" applyProtection="0"/>
    <xf numFmtId="0" fontId="34" fillId="104" borderId="0" applyNumberFormat="0" applyBorder="0" applyAlignment="0" applyProtection="0"/>
    <xf numFmtId="0" fontId="34" fillId="14" borderId="0" applyNumberFormat="0" applyBorder="0" applyAlignment="0" applyProtection="0"/>
    <xf numFmtId="0" fontId="34" fillId="104" borderId="0" applyNumberFormat="0" applyBorder="0" applyAlignment="0" applyProtection="0"/>
    <xf numFmtId="0" fontId="34" fillId="14" borderId="0" applyNumberFormat="0" applyBorder="0" applyAlignment="0" applyProtection="0"/>
    <xf numFmtId="0" fontId="34" fillId="104" borderId="0" applyNumberFormat="0" applyBorder="0" applyAlignment="0" applyProtection="0"/>
    <xf numFmtId="0" fontId="34" fillId="14" borderId="0" applyNumberFormat="0" applyBorder="0" applyAlignment="0" applyProtection="0"/>
    <xf numFmtId="0" fontId="33" fillId="14" borderId="0" applyNumberFormat="0" applyBorder="0" applyAlignment="0" applyProtection="0"/>
    <xf numFmtId="0" fontId="202" fillId="14" borderId="0" applyNumberFormat="0" applyBorder="0" applyAlignment="0" applyProtection="0"/>
    <xf numFmtId="0" fontId="33" fillId="14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4" fillId="10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201" fillId="83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0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4" fillId="15" borderId="0" applyNumberFormat="0" applyBorder="0" applyAlignment="0" applyProtection="0"/>
    <xf numFmtId="0" fontId="33" fillId="15" borderId="0" applyNumberFormat="0" applyBorder="0" applyAlignment="0" applyProtection="0"/>
    <xf numFmtId="0" fontId="34" fillId="105" borderId="0" applyNumberFormat="0" applyBorder="0" applyAlignment="0" applyProtection="0"/>
    <xf numFmtId="0" fontId="33" fillId="10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4" fillId="105" borderId="0" applyNumberFormat="0" applyBorder="0" applyAlignment="0" applyProtection="0"/>
    <xf numFmtId="0" fontId="34" fillId="105" borderId="0" applyNumberFormat="0" applyBorder="0" applyAlignment="0" applyProtection="0"/>
    <xf numFmtId="0" fontId="34" fillId="15" borderId="0" applyNumberFormat="0" applyBorder="0" applyAlignment="0" applyProtection="0"/>
    <xf numFmtId="0" fontId="34" fillId="105" borderId="0" applyNumberFormat="0" applyBorder="0" applyAlignment="0" applyProtection="0"/>
    <xf numFmtId="0" fontId="34" fillId="15" borderId="0" applyNumberFormat="0" applyBorder="0" applyAlignment="0" applyProtection="0"/>
    <xf numFmtId="0" fontId="34" fillId="105" borderId="0" applyNumberFormat="0" applyBorder="0" applyAlignment="0" applyProtection="0"/>
    <xf numFmtId="0" fontId="34" fillId="15" borderId="0" applyNumberFormat="0" applyBorder="0" applyAlignment="0" applyProtection="0"/>
    <xf numFmtId="0" fontId="34" fillId="105" borderId="0" applyNumberFormat="0" applyBorder="0" applyAlignment="0" applyProtection="0"/>
    <xf numFmtId="0" fontId="34" fillId="15" borderId="0" applyNumberFormat="0" applyBorder="0" applyAlignment="0" applyProtection="0"/>
    <xf numFmtId="0" fontId="33" fillId="15" borderId="0" applyNumberFormat="0" applyBorder="0" applyAlignment="0" applyProtection="0"/>
    <xf numFmtId="0" fontId="202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4" fillId="10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201" fillId="87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0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4" fillId="19" borderId="0" applyNumberFormat="0" applyBorder="0" applyAlignment="0" applyProtection="0"/>
    <xf numFmtId="0" fontId="33" fillId="19" borderId="0" applyNumberFormat="0" applyBorder="0" applyAlignment="0" applyProtection="0"/>
    <xf numFmtId="0" fontId="34" fillId="109" borderId="0" applyNumberFormat="0" applyBorder="0" applyAlignment="0" applyProtection="0"/>
    <xf numFmtId="0" fontId="33" fillId="10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4" fillId="109" borderId="0" applyNumberFormat="0" applyBorder="0" applyAlignment="0" applyProtection="0"/>
    <xf numFmtId="0" fontId="34" fillId="109" borderId="0" applyNumberFormat="0" applyBorder="0" applyAlignment="0" applyProtection="0"/>
    <xf numFmtId="0" fontId="34" fillId="19" borderId="0" applyNumberFormat="0" applyBorder="0" applyAlignment="0" applyProtection="0"/>
    <xf numFmtId="0" fontId="34" fillId="109" borderId="0" applyNumberFormat="0" applyBorder="0" applyAlignment="0" applyProtection="0"/>
    <xf numFmtId="0" fontId="34" fillId="19" borderId="0" applyNumberFormat="0" applyBorder="0" applyAlignment="0" applyProtection="0"/>
    <xf numFmtId="0" fontId="34" fillId="109" borderId="0" applyNumberFormat="0" applyBorder="0" applyAlignment="0" applyProtection="0"/>
    <xf numFmtId="0" fontId="34" fillId="19" borderId="0" applyNumberFormat="0" applyBorder="0" applyAlignment="0" applyProtection="0"/>
    <xf numFmtId="0" fontId="34" fillId="109" borderId="0" applyNumberFormat="0" applyBorder="0" applyAlignment="0" applyProtection="0"/>
    <xf numFmtId="0" fontId="34" fillId="19" borderId="0" applyNumberFormat="0" applyBorder="0" applyAlignment="0" applyProtection="0"/>
    <xf numFmtId="0" fontId="33" fillId="19" borderId="0" applyNumberFormat="0" applyBorder="0" applyAlignment="0" applyProtection="0"/>
    <xf numFmtId="0" fontId="202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4" fillId="11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201" fillId="91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11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4" fillId="20" borderId="0" applyNumberFormat="0" applyBorder="0" applyAlignment="0" applyProtection="0"/>
    <xf numFmtId="0" fontId="33" fillId="20" borderId="0" applyNumberFormat="0" applyBorder="0" applyAlignment="0" applyProtection="0"/>
    <xf numFmtId="0" fontId="34" fillId="110" borderId="0" applyNumberFormat="0" applyBorder="0" applyAlignment="0" applyProtection="0"/>
    <xf numFmtId="0" fontId="33" fillId="11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4" fillId="110" borderId="0" applyNumberFormat="0" applyBorder="0" applyAlignment="0" applyProtection="0"/>
    <xf numFmtId="0" fontId="34" fillId="110" borderId="0" applyNumberFormat="0" applyBorder="0" applyAlignment="0" applyProtection="0"/>
    <xf numFmtId="0" fontId="34" fillId="20" borderId="0" applyNumberFormat="0" applyBorder="0" applyAlignment="0" applyProtection="0"/>
    <xf numFmtId="0" fontId="34" fillId="110" borderId="0" applyNumberFormat="0" applyBorder="0" applyAlignment="0" applyProtection="0"/>
    <xf numFmtId="0" fontId="34" fillId="20" borderId="0" applyNumberFormat="0" applyBorder="0" applyAlignment="0" applyProtection="0"/>
    <xf numFmtId="0" fontId="34" fillId="110" borderId="0" applyNumberFormat="0" applyBorder="0" applyAlignment="0" applyProtection="0"/>
    <xf numFmtId="0" fontId="34" fillId="20" borderId="0" applyNumberFormat="0" applyBorder="0" applyAlignment="0" applyProtection="0"/>
    <xf numFmtId="0" fontId="34" fillId="110" borderId="0" applyNumberFormat="0" applyBorder="0" applyAlignment="0" applyProtection="0"/>
    <xf numFmtId="0" fontId="34" fillId="20" borderId="0" applyNumberFormat="0" applyBorder="0" applyAlignment="0" applyProtection="0"/>
    <xf numFmtId="0" fontId="33" fillId="20" borderId="0" applyNumberFormat="0" applyBorder="0" applyAlignment="0" applyProtection="0"/>
    <xf numFmtId="0" fontId="202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1" borderId="0" applyNumberFormat="0" applyBorder="0" applyAlignment="0" applyProtection="0"/>
    <xf numFmtId="0" fontId="33" fillId="21" borderId="0" applyNumberFormat="0" applyBorder="0" applyAlignment="0" applyProtection="0"/>
    <xf numFmtId="0" fontId="33" fillId="21" borderId="0" applyNumberFormat="0" applyBorder="0" applyAlignment="0" applyProtection="0"/>
    <xf numFmtId="0" fontId="33" fillId="21" borderId="0" applyNumberFormat="0" applyBorder="0" applyAlignment="0" applyProtection="0"/>
    <xf numFmtId="0" fontId="33" fillId="21" borderId="0" applyNumberFormat="0" applyBorder="0" applyAlignment="0" applyProtection="0"/>
    <xf numFmtId="0" fontId="34" fillId="111" borderId="0" applyNumberFormat="0" applyBorder="0" applyAlignment="0" applyProtection="0"/>
    <xf numFmtId="0" fontId="33" fillId="21" borderId="0" applyNumberFormat="0" applyBorder="0" applyAlignment="0" applyProtection="0"/>
    <xf numFmtId="0" fontId="33" fillId="21" borderId="0" applyNumberFormat="0" applyBorder="0" applyAlignment="0" applyProtection="0"/>
    <xf numFmtId="0" fontId="33" fillId="21" borderId="0" applyNumberFormat="0" applyBorder="0" applyAlignment="0" applyProtection="0"/>
    <xf numFmtId="0" fontId="201" fillId="95" borderId="0" applyNumberFormat="0" applyBorder="0" applyAlignment="0" applyProtection="0"/>
    <xf numFmtId="0" fontId="33" fillId="21" borderId="0" applyNumberFormat="0" applyBorder="0" applyAlignment="0" applyProtection="0"/>
    <xf numFmtId="0" fontId="33" fillId="21" borderId="0" applyNumberFormat="0" applyBorder="0" applyAlignment="0" applyProtection="0"/>
    <xf numFmtId="0" fontId="33" fillId="21" borderId="0" applyNumberFormat="0" applyBorder="0" applyAlignment="0" applyProtection="0"/>
    <xf numFmtId="0" fontId="33" fillId="21" borderId="0" applyNumberFormat="0" applyBorder="0" applyAlignment="0" applyProtection="0"/>
    <xf numFmtId="0" fontId="33" fillId="21" borderId="0" applyNumberFormat="0" applyBorder="0" applyAlignment="0" applyProtection="0"/>
    <xf numFmtId="0" fontId="33" fillId="21" borderId="0" applyNumberFormat="0" applyBorder="0" applyAlignment="0" applyProtection="0"/>
    <xf numFmtId="0" fontId="33" fillId="21" borderId="0" applyNumberFormat="0" applyBorder="0" applyAlignment="0" applyProtection="0"/>
    <xf numFmtId="0" fontId="33" fillId="21" borderId="0" applyNumberFormat="0" applyBorder="0" applyAlignment="0" applyProtection="0"/>
    <xf numFmtId="0" fontId="33" fillId="21" borderId="0" applyNumberFormat="0" applyBorder="0" applyAlignment="0" applyProtection="0"/>
    <xf numFmtId="0" fontId="33" fillId="21" borderId="0" applyNumberFormat="0" applyBorder="0" applyAlignment="0" applyProtection="0"/>
    <xf numFmtId="0" fontId="33" fillId="21" borderId="0" applyNumberFormat="0" applyBorder="0" applyAlignment="0" applyProtection="0"/>
    <xf numFmtId="0" fontId="33" fillId="21" borderId="0" applyNumberFormat="0" applyBorder="0" applyAlignment="0" applyProtection="0"/>
    <xf numFmtId="0" fontId="33" fillId="21" borderId="0" applyNumberFormat="0" applyBorder="0" applyAlignment="0" applyProtection="0"/>
    <xf numFmtId="0" fontId="33" fillId="21" borderId="0" applyNumberFormat="0" applyBorder="0" applyAlignment="0" applyProtection="0"/>
    <xf numFmtId="0" fontId="33" fillId="111" borderId="0" applyNumberFormat="0" applyBorder="0" applyAlignment="0" applyProtection="0"/>
    <xf numFmtId="0" fontId="33" fillId="21" borderId="0" applyNumberFormat="0" applyBorder="0" applyAlignment="0" applyProtection="0"/>
    <xf numFmtId="0" fontId="33" fillId="21" borderId="0" applyNumberFormat="0" applyBorder="0" applyAlignment="0" applyProtection="0"/>
    <xf numFmtId="0" fontId="33" fillId="21" borderId="0" applyNumberFormat="0" applyBorder="0" applyAlignment="0" applyProtection="0"/>
    <xf numFmtId="0" fontId="34" fillId="21" borderId="0" applyNumberFormat="0" applyBorder="0" applyAlignment="0" applyProtection="0"/>
    <xf numFmtId="0" fontId="33" fillId="21" borderId="0" applyNumberFormat="0" applyBorder="0" applyAlignment="0" applyProtection="0"/>
    <xf numFmtId="0" fontId="34" fillId="111" borderId="0" applyNumberFormat="0" applyBorder="0" applyAlignment="0" applyProtection="0"/>
    <xf numFmtId="0" fontId="33" fillId="111" borderId="0" applyNumberFormat="0" applyBorder="0" applyAlignment="0" applyProtection="0"/>
    <xf numFmtId="0" fontId="33" fillId="21" borderId="0" applyNumberFormat="0" applyBorder="0" applyAlignment="0" applyProtection="0"/>
    <xf numFmtId="0" fontId="33" fillId="21" borderId="0" applyNumberFormat="0" applyBorder="0" applyAlignment="0" applyProtection="0"/>
    <xf numFmtId="0" fontId="33" fillId="21" borderId="0" applyNumberFormat="0" applyBorder="0" applyAlignment="0" applyProtection="0"/>
    <xf numFmtId="0" fontId="34" fillId="111" borderId="0" applyNumberFormat="0" applyBorder="0" applyAlignment="0" applyProtection="0"/>
    <xf numFmtId="0" fontId="34" fillId="111" borderId="0" applyNumberFormat="0" applyBorder="0" applyAlignment="0" applyProtection="0"/>
    <xf numFmtId="0" fontId="34" fillId="21" borderId="0" applyNumberFormat="0" applyBorder="0" applyAlignment="0" applyProtection="0"/>
    <xf numFmtId="0" fontId="34" fillId="111" borderId="0" applyNumberFormat="0" applyBorder="0" applyAlignment="0" applyProtection="0"/>
    <xf numFmtId="0" fontId="34" fillId="21" borderId="0" applyNumberFormat="0" applyBorder="0" applyAlignment="0" applyProtection="0"/>
    <xf numFmtId="0" fontId="34" fillId="111" borderId="0" applyNumberFormat="0" applyBorder="0" applyAlignment="0" applyProtection="0"/>
    <xf numFmtId="0" fontId="34" fillId="21" borderId="0" applyNumberFormat="0" applyBorder="0" applyAlignment="0" applyProtection="0"/>
    <xf numFmtId="0" fontId="34" fillId="111" borderId="0" applyNumberFormat="0" applyBorder="0" applyAlignment="0" applyProtection="0"/>
    <xf numFmtId="0" fontId="34" fillId="21" borderId="0" applyNumberFormat="0" applyBorder="0" applyAlignment="0" applyProtection="0"/>
    <xf numFmtId="0" fontId="33" fillId="21" borderId="0" applyNumberFormat="0" applyBorder="0" applyAlignment="0" applyProtection="0"/>
    <xf numFmtId="0" fontId="202" fillId="21" borderId="0" applyNumberFormat="0" applyBorder="0" applyAlignment="0" applyProtection="0"/>
    <xf numFmtId="0" fontId="33" fillId="21" borderId="0" applyNumberFormat="0" applyBorder="0" applyAlignment="0" applyProtection="0"/>
    <xf numFmtId="0" fontId="85" fillId="0" borderId="0">
      <alignment horizontal="right"/>
    </xf>
    <xf numFmtId="215" fontId="18" fillId="0" borderId="0" applyFont="0" applyFill="0" applyBorder="0" applyAlignment="0" applyProtection="0"/>
    <xf numFmtId="206" fontId="18" fillId="0" borderId="0" applyFont="0" applyFill="0" applyBorder="0" applyAlignment="0" applyProtection="0"/>
    <xf numFmtId="215" fontId="18" fillId="0" borderId="0" applyFont="0" applyFill="0" applyBorder="0" applyAlignment="0" applyProtection="0"/>
    <xf numFmtId="206" fontId="18" fillId="0" borderId="0" applyFont="0" applyFill="0" applyBorder="0" applyAlignment="0" applyProtection="0"/>
    <xf numFmtId="0" fontId="158" fillId="112" borderId="0" applyNumberFormat="0" applyBorder="0" applyAlignment="0" applyProtection="0"/>
    <xf numFmtId="0" fontId="158" fillId="113" borderId="0" applyNumberFormat="0" applyBorder="0" applyAlignment="0" applyProtection="0"/>
    <xf numFmtId="0" fontId="158" fillId="113" borderId="0" applyNumberFormat="0" applyBorder="0" applyAlignment="0" applyProtection="0"/>
    <xf numFmtId="0" fontId="158" fillId="113" borderId="0" applyNumberFormat="0" applyBorder="0" applyAlignment="0" applyProtection="0"/>
    <xf numFmtId="0" fontId="158" fillId="113" borderId="0" applyNumberFormat="0" applyBorder="0" applyAlignment="0" applyProtection="0"/>
    <xf numFmtId="0" fontId="158" fillId="113" borderId="0" applyNumberFormat="0" applyBorder="0" applyAlignment="0" applyProtection="0"/>
    <xf numFmtId="0" fontId="158" fillId="114" borderId="0" applyNumberFormat="0" applyBorder="0" applyAlignment="0" applyProtection="0"/>
    <xf numFmtId="0" fontId="158" fillId="115" borderId="0" applyNumberFormat="0" applyBorder="0" applyAlignment="0" applyProtection="0"/>
    <xf numFmtId="0" fontId="158" fillId="115" borderId="0" applyNumberFormat="0" applyBorder="0" applyAlignment="0" applyProtection="0"/>
    <xf numFmtId="0" fontId="158" fillId="115" borderId="0" applyNumberFormat="0" applyBorder="0" applyAlignment="0" applyProtection="0"/>
    <xf numFmtId="0" fontId="158" fillId="115" borderId="0" applyNumberFormat="0" applyBorder="0" applyAlignment="0" applyProtection="0"/>
    <xf numFmtId="0" fontId="158" fillId="115" borderId="0" applyNumberFormat="0" applyBorder="0" applyAlignment="0" applyProtection="0"/>
    <xf numFmtId="0" fontId="203" fillId="116" borderId="0" applyNumberFormat="0" applyBorder="0" applyAlignment="0" applyProtection="0"/>
    <xf numFmtId="0" fontId="203" fillId="117" borderId="0" applyNumberFormat="0" applyBorder="0" applyAlignment="0" applyProtection="0"/>
    <xf numFmtId="0" fontId="203" fillId="117" borderId="0" applyNumberFormat="0" applyBorder="0" applyAlignment="0" applyProtection="0"/>
    <xf numFmtId="0" fontId="203" fillId="117" borderId="0" applyNumberFormat="0" applyBorder="0" applyAlignment="0" applyProtection="0"/>
    <xf numFmtId="0" fontId="203" fillId="117" borderId="0" applyNumberFormat="0" applyBorder="0" applyAlignment="0" applyProtection="0"/>
    <xf numFmtId="0" fontId="203" fillId="117" borderId="0" applyNumberFormat="0" applyBorder="0" applyAlignment="0" applyProtection="0"/>
    <xf numFmtId="0" fontId="33" fillId="118" borderId="0" applyNumberFormat="0" applyBorder="0" applyAlignment="0" applyProtection="0"/>
    <xf numFmtId="0" fontId="33" fillId="118" borderId="0" applyNumberFormat="0" applyBorder="0" applyAlignment="0" applyProtection="0"/>
    <xf numFmtId="0" fontId="33" fillId="118" borderId="0" applyNumberFormat="0" applyBorder="0" applyAlignment="0" applyProtection="0"/>
    <xf numFmtId="0" fontId="33" fillId="118" borderId="0" applyNumberFormat="0" applyBorder="0" applyAlignment="0" applyProtection="0"/>
    <xf numFmtId="0" fontId="203" fillId="119" borderId="0" applyNumberFormat="0" applyBorder="0" applyAlignment="0" applyProtection="0"/>
    <xf numFmtId="0" fontId="158" fillId="120" borderId="0" applyNumberFormat="0" applyBorder="0" applyAlignment="0" applyProtection="0"/>
    <xf numFmtId="0" fontId="158" fillId="121" borderId="0" applyNumberFormat="0" applyBorder="0" applyAlignment="0" applyProtection="0"/>
    <xf numFmtId="0" fontId="158" fillId="121" borderId="0" applyNumberFormat="0" applyBorder="0" applyAlignment="0" applyProtection="0"/>
    <xf numFmtId="0" fontId="158" fillId="121" borderId="0" applyNumberFormat="0" applyBorder="0" applyAlignment="0" applyProtection="0"/>
    <xf numFmtId="0" fontId="158" fillId="121" borderId="0" applyNumberFormat="0" applyBorder="0" applyAlignment="0" applyProtection="0"/>
    <xf numFmtId="0" fontId="158" fillId="121" borderId="0" applyNumberFormat="0" applyBorder="0" applyAlignment="0" applyProtection="0"/>
    <xf numFmtId="0" fontId="158" fillId="122" borderId="0" applyNumberFormat="0" applyBorder="0" applyAlignment="0" applyProtection="0"/>
    <xf numFmtId="0" fontId="158" fillId="123" borderId="0" applyNumberFormat="0" applyBorder="0" applyAlignment="0" applyProtection="0"/>
    <xf numFmtId="0" fontId="158" fillId="123" borderId="0" applyNumberFormat="0" applyBorder="0" applyAlignment="0" applyProtection="0"/>
    <xf numFmtId="0" fontId="158" fillId="123" borderId="0" applyNumberFormat="0" applyBorder="0" applyAlignment="0" applyProtection="0"/>
    <xf numFmtId="0" fontId="158" fillId="123" borderId="0" applyNumberFormat="0" applyBorder="0" applyAlignment="0" applyProtection="0"/>
    <xf numFmtId="0" fontId="158" fillId="123" borderId="0" applyNumberFormat="0" applyBorder="0" applyAlignment="0" applyProtection="0"/>
    <xf numFmtId="0" fontId="203" fillId="124" borderId="0" applyNumberFormat="0" applyBorder="0" applyAlignment="0" applyProtection="0"/>
    <xf numFmtId="0" fontId="203" fillId="122" borderId="0" applyNumberFormat="0" applyBorder="0" applyAlignment="0" applyProtection="0"/>
    <xf numFmtId="0" fontId="203" fillId="122" borderId="0" applyNumberFormat="0" applyBorder="0" applyAlignment="0" applyProtection="0"/>
    <xf numFmtId="0" fontId="203" fillId="122" borderId="0" applyNumberFormat="0" applyBorder="0" applyAlignment="0" applyProtection="0"/>
    <xf numFmtId="0" fontId="203" fillId="122" borderId="0" applyNumberFormat="0" applyBorder="0" applyAlignment="0" applyProtection="0"/>
    <xf numFmtId="0" fontId="203" fillId="122" borderId="0" applyNumberFormat="0" applyBorder="0" applyAlignment="0" applyProtection="0"/>
    <xf numFmtId="0" fontId="33" fillId="125" borderId="0" applyNumberFormat="0" applyBorder="0" applyAlignment="0" applyProtection="0"/>
    <xf numFmtId="0" fontId="33" fillId="125" borderId="0" applyNumberFormat="0" applyBorder="0" applyAlignment="0" applyProtection="0"/>
    <xf numFmtId="0" fontId="33" fillId="126" borderId="0" applyNumberFormat="0" applyBorder="0" applyAlignment="0" applyProtection="0"/>
    <xf numFmtId="0" fontId="33" fillId="125" borderId="0" applyNumberFormat="0" applyBorder="0" applyAlignment="0" applyProtection="0"/>
    <xf numFmtId="0" fontId="33" fillId="125" borderId="0" applyNumberFormat="0" applyBorder="0" applyAlignment="0" applyProtection="0"/>
    <xf numFmtId="0" fontId="203" fillId="127" borderId="0" applyNumberFormat="0" applyBorder="0" applyAlignment="0" applyProtection="0"/>
    <xf numFmtId="0" fontId="158" fillId="128" borderId="0" applyNumberFormat="0" applyBorder="0" applyAlignment="0" applyProtection="0"/>
    <xf numFmtId="0" fontId="158" fillId="129" borderId="0" applyNumberFormat="0" applyBorder="0" applyAlignment="0" applyProtection="0"/>
    <xf numFmtId="0" fontId="158" fillId="129" borderId="0" applyNumberFormat="0" applyBorder="0" applyAlignment="0" applyProtection="0"/>
    <xf numFmtId="0" fontId="158" fillId="129" borderId="0" applyNumberFormat="0" applyBorder="0" applyAlignment="0" applyProtection="0"/>
    <xf numFmtId="0" fontId="158" fillId="129" borderId="0" applyNumberFormat="0" applyBorder="0" applyAlignment="0" applyProtection="0"/>
    <xf numFmtId="0" fontId="158" fillId="129" borderId="0" applyNumberFormat="0" applyBorder="0" applyAlignment="0" applyProtection="0"/>
    <xf numFmtId="0" fontId="158" fillId="123" borderId="0" applyNumberFormat="0" applyBorder="0" applyAlignment="0" applyProtection="0"/>
    <xf numFmtId="0" fontId="158" fillId="130" borderId="0" applyNumberFormat="0" applyBorder="0" applyAlignment="0" applyProtection="0"/>
    <xf numFmtId="0" fontId="158" fillId="130" borderId="0" applyNumberFormat="0" applyBorder="0" applyAlignment="0" applyProtection="0"/>
    <xf numFmtId="0" fontId="158" fillId="130" borderId="0" applyNumberFormat="0" applyBorder="0" applyAlignment="0" applyProtection="0"/>
    <xf numFmtId="0" fontId="158" fillId="130" borderId="0" applyNumberFormat="0" applyBorder="0" applyAlignment="0" applyProtection="0"/>
    <xf numFmtId="0" fontId="158" fillId="130" borderId="0" applyNumberFormat="0" applyBorder="0" applyAlignment="0" applyProtection="0"/>
    <xf numFmtId="0" fontId="203" fillId="115" borderId="0" applyNumberFormat="0" applyBorder="0" applyAlignment="0" applyProtection="0"/>
    <xf numFmtId="0" fontId="203" fillId="131" borderId="0" applyNumberFormat="0" applyBorder="0" applyAlignment="0" applyProtection="0"/>
    <xf numFmtId="0" fontId="203" fillId="131" borderId="0" applyNumberFormat="0" applyBorder="0" applyAlignment="0" applyProtection="0"/>
    <xf numFmtId="0" fontId="203" fillId="131" borderId="0" applyNumberFormat="0" applyBorder="0" applyAlignment="0" applyProtection="0"/>
    <xf numFmtId="0" fontId="203" fillId="131" borderId="0" applyNumberFormat="0" applyBorder="0" applyAlignment="0" applyProtection="0"/>
    <xf numFmtId="0" fontId="203" fillId="131" borderId="0" applyNumberFormat="0" applyBorder="0" applyAlignment="0" applyProtection="0"/>
    <xf numFmtId="0" fontId="33" fillId="132" borderId="0" applyNumberFormat="0" applyBorder="0" applyAlignment="0" applyProtection="0"/>
    <xf numFmtId="0" fontId="33" fillId="132" borderId="0" applyNumberFormat="0" applyBorder="0" applyAlignment="0" applyProtection="0"/>
    <xf numFmtId="0" fontId="33" fillId="132" borderId="0" applyNumberFormat="0" applyBorder="0" applyAlignment="0" applyProtection="0"/>
    <xf numFmtId="0" fontId="33" fillId="132" borderId="0" applyNumberFormat="0" applyBorder="0" applyAlignment="0" applyProtection="0"/>
    <xf numFmtId="0" fontId="203" fillId="133" borderId="0" applyNumberFormat="0" applyBorder="0" applyAlignment="0" applyProtection="0"/>
    <xf numFmtId="0" fontId="158" fillId="123" borderId="0" applyNumberFormat="0" applyBorder="0" applyAlignment="0" applyProtection="0"/>
    <xf numFmtId="0" fontId="158" fillId="121" borderId="0" applyNumberFormat="0" applyBorder="0" applyAlignment="0" applyProtection="0"/>
    <xf numFmtId="0" fontId="158" fillId="121" borderId="0" applyNumberFormat="0" applyBorder="0" applyAlignment="0" applyProtection="0"/>
    <xf numFmtId="0" fontId="158" fillId="121" borderId="0" applyNumberFormat="0" applyBorder="0" applyAlignment="0" applyProtection="0"/>
    <xf numFmtId="0" fontId="158" fillId="121" borderId="0" applyNumberFormat="0" applyBorder="0" applyAlignment="0" applyProtection="0"/>
    <xf numFmtId="0" fontId="158" fillId="121" borderId="0" applyNumberFormat="0" applyBorder="0" applyAlignment="0" applyProtection="0"/>
    <xf numFmtId="0" fontId="158" fillId="115" borderId="0" applyNumberFormat="0" applyBorder="0" applyAlignment="0" applyProtection="0"/>
    <xf numFmtId="0" fontId="158" fillId="124" borderId="0" applyNumberFormat="0" applyBorder="0" applyAlignment="0" applyProtection="0"/>
    <xf numFmtId="0" fontId="158" fillId="124" borderId="0" applyNumberFormat="0" applyBorder="0" applyAlignment="0" applyProtection="0"/>
    <xf numFmtId="0" fontId="158" fillId="124" borderId="0" applyNumberFormat="0" applyBorder="0" applyAlignment="0" applyProtection="0"/>
    <xf numFmtId="0" fontId="158" fillId="124" borderId="0" applyNumberFormat="0" applyBorder="0" applyAlignment="0" applyProtection="0"/>
    <xf numFmtId="0" fontId="158" fillId="124" borderId="0" applyNumberFormat="0" applyBorder="0" applyAlignment="0" applyProtection="0"/>
    <xf numFmtId="0" fontId="203" fillId="115" borderId="0" applyNumberFormat="0" applyBorder="0" applyAlignment="0" applyProtection="0"/>
    <xf numFmtId="0" fontId="203" fillId="123" borderId="0" applyNumberFormat="0" applyBorder="0" applyAlignment="0" applyProtection="0"/>
    <xf numFmtId="0" fontId="203" fillId="123" borderId="0" applyNumberFormat="0" applyBorder="0" applyAlignment="0" applyProtection="0"/>
    <xf numFmtId="0" fontId="203" fillId="123" borderId="0" applyNumberFormat="0" applyBorder="0" applyAlignment="0" applyProtection="0"/>
    <xf numFmtId="0" fontId="203" fillId="123" borderId="0" applyNumberFormat="0" applyBorder="0" applyAlignment="0" applyProtection="0"/>
    <xf numFmtId="0" fontId="203" fillId="123" borderId="0" applyNumberFormat="0" applyBorder="0" applyAlignment="0" applyProtection="0"/>
    <xf numFmtId="0" fontId="33" fillId="109" borderId="0" applyNumberFormat="0" applyBorder="0" applyAlignment="0" applyProtection="0"/>
    <xf numFmtId="0" fontId="33" fillId="109" borderId="0" applyNumberFormat="0" applyBorder="0" applyAlignment="0" applyProtection="0"/>
    <xf numFmtId="0" fontId="33" fillId="109" borderId="0" applyNumberFormat="0" applyBorder="0" applyAlignment="0" applyProtection="0"/>
    <xf numFmtId="0" fontId="33" fillId="109" borderId="0" applyNumberFormat="0" applyBorder="0" applyAlignment="0" applyProtection="0"/>
    <xf numFmtId="0" fontId="203" fillId="134" borderId="0" applyNumberFormat="0" applyBorder="0" applyAlignment="0" applyProtection="0"/>
    <xf numFmtId="0" fontId="158" fillId="112" borderId="0" applyNumberFormat="0" applyBorder="0" applyAlignment="0" applyProtection="0"/>
    <xf numFmtId="0" fontId="158" fillId="128" borderId="0" applyNumberFormat="0" applyBorder="0" applyAlignment="0" applyProtection="0"/>
    <xf numFmtId="0" fontId="158" fillId="128" borderId="0" applyNumberFormat="0" applyBorder="0" applyAlignment="0" applyProtection="0"/>
    <xf numFmtId="0" fontId="158" fillId="128" borderId="0" applyNumberFormat="0" applyBorder="0" applyAlignment="0" applyProtection="0"/>
    <xf numFmtId="0" fontId="158" fillId="128" borderId="0" applyNumberFormat="0" applyBorder="0" applyAlignment="0" applyProtection="0"/>
    <xf numFmtId="0" fontId="158" fillId="128" borderId="0" applyNumberFormat="0" applyBorder="0" applyAlignment="0" applyProtection="0"/>
    <xf numFmtId="0" fontId="158" fillId="114" borderId="0" applyNumberFormat="0" applyBorder="0" applyAlignment="0" applyProtection="0"/>
    <xf numFmtId="0" fontId="203" fillId="114" borderId="0" applyNumberFormat="0" applyBorder="0" applyAlignment="0" applyProtection="0"/>
    <xf numFmtId="0" fontId="203" fillId="117" borderId="0" applyNumberFormat="0" applyBorder="0" applyAlignment="0" applyProtection="0"/>
    <xf numFmtId="0" fontId="203" fillId="117" borderId="0" applyNumberFormat="0" applyBorder="0" applyAlignment="0" applyProtection="0"/>
    <xf numFmtId="0" fontId="203" fillId="117" borderId="0" applyNumberFormat="0" applyBorder="0" applyAlignment="0" applyProtection="0"/>
    <xf numFmtId="0" fontId="203" fillId="117" borderId="0" applyNumberFormat="0" applyBorder="0" applyAlignment="0" applyProtection="0"/>
    <xf numFmtId="0" fontId="203" fillId="117" borderId="0" applyNumberFormat="0" applyBorder="0" applyAlignment="0" applyProtection="0"/>
    <xf numFmtId="0" fontId="33" fillId="110" borderId="0" applyNumberFormat="0" applyBorder="0" applyAlignment="0" applyProtection="0"/>
    <xf numFmtId="0" fontId="33" fillId="110" borderId="0" applyNumberFormat="0" applyBorder="0" applyAlignment="0" applyProtection="0"/>
    <xf numFmtId="0" fontId="33" fillId="110" borderId="0" applyNumberFormat="0" applyBorder="0" applyAlignment="0" applyProtection="0"/>
    <xf numFmtId="0" fontId="33" fillId="110" borderId="0" applyNumberFormat="0" applyBorder="0" applyAlignment="0" applyProtection="0"/>
    <xf numFmtId="0" fontId="203" fillId="117" borderId="0" applyNumberFormat="0" applyBorder="0" applyAlignment="0" applyProtection="0"/>
    <xf numFmtId="0" fontId="158" fillId="135" borderId="0" applyNumberFormat="0" applyBorder="0" applyAlignment="0" applyProtection="0"/>
    <xf numFmtId="0" fontId="158" fillId="122" borderId="0" applyNumberFormat="0" applyBorder="0" applyAlignment="0" applyProtection="0"/>
    <xf numFmtId="0" fontId="158" fillId="136" borderId="0" applyNumberFormat="0" applyBorder="0" applyAlignment="0" applyProtection="0"/>
    <xf numFmtId="0" fontId="158" fillId="136" borderId="0" applyNumberFormat="0" applyBorder="0" applyAlignment="0" applyProtection="0"/>
    <xf numFmtId="0" fontId="158" fillId="136" borderId="0" applyNumberFormat="0" applyBorder="0" applyAlignment="0" applyProtection="0"/>
    <xf numFmtId="0" fontId="158" fillId="136" borderId="0" applyNumberFormat="0" applyBorder="0" applyAlignment="0" applyProtection="0"/>
    <xf numFmtId="0" fontId="158" fillId="136" borderId="0" applyNumberFormat="0" applyBorder="0" applyAlignment="0" applyProtection="0"/>
    <xf numFmtId="0" fontId="203" fillId="136" borderId="0" applyNumberFormat="0" applyBorder="0" applyAlignment="0" applyProtection="0"/>
    <xf numFmtId="0" fontId="203" fillId="137" borderId="0" applyNumberFormat="0" applyBorder="0" applyAlignment="0" applyProtection="0"/>
    <xf numFmtId="0" fontId="203" fillId="137" borderId="0" applyNumberFormat="0" applyBorder="0" applyAlignment="0" applyProtection="0"/>
    <xf numFmtId="0" fontId="203" fillId="137" borderId="0" applyNumberFormat="0" applyBorder="0" applyAlignment="0" applyProtection="0"/>
    <xf numFmtId="0" fontId="203" fillId="137" borderId="0" applyNumberFormat="0" applyBorder="0" applyAlignment="0" applyProtection="0"/>
    <xf numFmtId="0" fontId="203" fillId="137" borderId="0" applyNumberFormat="0" applyBorder="0" applyAlignment="0" applyProtection="0"/>
    <xf numFmtId="0" fontId="33" fillId="138" borderId="0" applyNumberFormat="0" applyBorder="0" applyAlignment="0" applyProtection="0"/>
    <xf numFmtId="0" fontId="33" fillId="138" borderId="0" applyNumberFormat="0" applyBorder="0" applyAlignment="0" applyProtection="0"/>
    <xf numFmtId="0" fontId="33" fillId="138" borderId="0" applyNumberFormat="0" applyBorder="0" applyAlignment="0" applyProtection="0"/>
    <xf numFmtId="0" fontId="33" fillId="138" borderId="0" applyNumberFormat="0" applyBorder="0" applyAlignment="0" applyProtection="0"/>
    <xf numFmtId="0" fontId="203" fillId="139" borderId="0" applyNumberFormat="0" applyBorder="0" applyAlignment="0" applyProtection="0"/>
    <xf numFmtId="216" fontId="18" fillId="0" borderId="0" applyFont="0" applyFill="0" applyBorder="0" applyProtection="0"/>
    <xf numFmtId="217" fontId="177" fillId="0" borderId="0" applyFont="0" applyFill="0" applyBorder="0" applyAlignment="0" applyProtection="0"/>
    <xf numFmtId="218" fontId="177" fillId="0" borderId="0" applyFont="0" applyFill="0" applyBorder="0" applyAlignment="0" applyProtection="0"/>
    <xf numFmtId="0" fontId="26" fillId="0" borderId="0"/>
    <xf numFmtId="0" fontId="62" fillId="0" borderId="0" applyNumberFormat="0" applyFill="0" applyBorder="0" applyAlignment="0" applyProtection="0"/>
    <xf numFmtId="0" fontId="204" fillId="0" borderId="0" applyNumberFormat="0" applyFill="0" applyBorder="0" applyAlignment="0" applyProtection="0"/>
    <xf numFmtId="49" fontId="192" fillId="9" borderId="2">
      <alignment horizontal="left" vertical="top"/>
      <protection locked="0"/>
    </xf>
    <xf numFmtId="49" fontId="192" fillId="9" borderId="2">
      <alignment horizontal="left" vertical="top"/>
      <protection locked="0"/>
    </xf>
    <xf numFmtId="49" fontId="192" fillId="0" borderId="2">
      <alignment horizontal="left" vertical="top"/>
      <protection locked="0"/>
    </xf>
    <xf numFmtId="49" fontId="192" fillId="0" borderId="2">
      <alignment horizontal="left" vertical="top"/>
      <protection locked="0"/>
    </xf>
    <xf numFmtId="49" fontId="192" fillId="140" borderId="2">
      <alignment horizontal="left" vertical="top"/>
      <protection locked="0"/>
    </xf>
    <xf numFmtId="49" fontId="192" fillId="140" borderId="2">
      <alignment horizontal="left" vertical="top"/>
      <protection locked="0"/>
    </xf>
    <xf numFmtId="0" fontId="192" fillId="0" borderId="0">
      <alignment horizontal="left" vertical="top" wrapText="1"/>
    </xf>
    <xf numFmtId="0" fontId="205" fillId="0" borderId="41">
      <alignment horizontal="left" vertical="top" wrapText="1"/>
    </xf>
    <xf numFmtId="49" fontId="26" fillId="0" borderId="0">
      <alignment horizontal="left" vertical="top" wrapText="1"/>
      <protection locked="0"/>
    </xf>
    <xf numFmtId="0" fontId="206" fillId="0" borderId="0">
      <alignment horizontal="left" vertical="top" wrapText="1"/>
    </xf>
    <xf numFmtId="49" fontId="26" fillId="0" borderId="2">
      <alignment horizontal="center" vertical="top" wrapText="1"/>
      <protection locked="0"/>
    </xf>
    <xf numFmtId="49" fontId="26" fillId="0" borderId="2">
      <alignment horizontal="center" vertical="top" wrapText="1"/>
      <protection locked="0"/>
    </xf>
    <xf numFmtId="49" fontId="192" fillId="0" borderId="0">
      <alignment horizontal="right" vertical="top"/>
      <protection locked="0"/>
    </xf>
    <xf numFmtId="49" fontId="192" fillId="9" borderId="2">
      <alignment horizontal="right" vertical="top"/>
      <protection locked="0"/>
    </xf>
    <xf numFmtId="49" fontId="192" fillId="9" borderId="2">
      <alignment horizontal="right" vertical="top"/>
      <protection locked="0"/>
    </xf>
    <xf numFmtId="0" fontId="192" fillId="9" borderId="2">
      <alignment horizontal="right" vertical="top"/>
      <protection locked="0"/>
    </xf>
    <xf numFmtId="0" fontId="192" fillId="9" borderId="2">
      <alignment horizontal="right" vertical="top"/>
      <protection locked="0"/>
    </xf>
    <xf numFmtId="49" fontId="192" fillId="0" borderId="2">
      <alignment horizontal="right" vertical="top"/>
      <protection locked="0"/>
    </xf>
    <xf numFmtId="49" fontId="192" fillId="0" borderId="2">
      <alignment horizontal="right" vertical="top"/>
      <protection locked="0"/>
    </xf>
    <xf numFmtId="0" fontId="192" fillId="0" borderId="2">
      <alignment horizontal="right" vertical="top"/>
      <protection locked="0"/>
    </xf>
    <xf numFmtId="0" fontId="192" fillId="0" borderId="2">
      <alignment horizontal="right" vertical="top"/>
      <protection locked="0"/>
    </xf>
    <xf numFmtId="49" fontId="192" fillId="140" borderId="2">
      <alignment horizontal="right" vertical="top"/>
      <protection locked="0"/>
    </xf>
    <xf numFmtId="49" fontId="192" fillId="140" borderId="2">
      <alignment horizontal="right" vertical="top"/>
      <protection locked="0"/>
    </xf>
    <xf numFmtId="0" fontId="192" fillId="140" borderId="2">
      <alignment horizontal="right" vertical="top"/>
      <protection locked="0"/>
    </xf>
    <xf numFmtId="0" fontId="192" fillId="140" borderId="2">
      <alignment horizontal="right" vertical="top"/>
      <protection locked="0"/>
    </xf>
    <xf numFmtId="49" fontId="26" fillId="0" borderId="0">
      <alignment horizontal="right" vertical="top" wrapText="1"/>
      <protection locked="0"/>
    </xf>
    <xf numFmtId="0" fontId="206" fillId="0" borderId="0">
      <alignment horizontal="right" vertical="top" wrapText="1"/>
    </xf>
    <xf numFmtId="49" fontId="26" fillId="0" borderId="0">
      <alignment horizontal="center" vertical="top" wrapText="1"/>
      <protection locked="0"/>
    </xf>
    <xf numFmtId="0" fontId="205" fillId="0" borderId="41">
      <alignment horizontal="center" vertical="top" wrapText="1"/>
    </xf>
    <xf numFmtId="49" fontId="192" fillId="0" borderId="2">
      <alignment horizontal="center" vertical="top" wrapText="1"/>
      <protection locked="0"/>
    </xf>
    <xf numFmtId="49" fontId="192" fillId="0" borderId="2">
      <alignment horizontal="center" vertical="top" wrapText="1"/>
      <protection locked="0"/>
    </xf>
    <xf numFmtId="0" fontId="192" fillId="0" borderId="2">
      <alignment horizontal="center" vertical="top" wrapText="1"/>
      <protection locked="0"/>
    </xf>
    <xf numFmtId="0" fontId="192" fillId="0" borderId="2">
      <alignment horizontal="center" vertical="top" wrapText="1"/>
      <protection locked="0"/>
    </xf>
    <xf numFmtId="0" fontId="37" fillId="99" borderId="0" applyNumberFormat="0" applyBorder="0" applyAlignment="0" applyProtection="0"/>
    <xf numFmtId="0" fontId="37" fillId="99" borderId="0" applyNumberFormat="0" applyBorder="0" applyAlignment="0" applyProtection="0"/>
    <xf numFmtId="0" fontId="37" fillId="99" borderId="0" applyNumberFormat="0" applyBorder="0" applyAlignment="0" applyProtection="0"/>
    <xf numFmtId="0" fontId="37" fillId="99" borderId="0" applyNumberFormat="0" applyBorder="0" applyAlignment="0" applyProtection="0"/>
    <xf numFmtId="0" fontId="207" fillId="0" borderId="0" applyNumberFormat="0" applyFill="0" applyBorder="0" applyAlignment="0" applyProtection="0"/>
    <xf numFmtId="0" fontId="208" fillId="0" borderId="0" applyNumberFormat="0" applyFill="0" applyBorder="0" applyAlignment="0" applyProtection="0"/>
    <xf numFmtId="219" fontId="209" fillId="0" borderId="0" applyFont="0" applyFill="0" applyBorder="0" applyAlignment="0" applyProtection="0"/>
    <xf numFmtId="0" fontId="210" fillId="0" borderId="0"/>
    <xf numFmtId="220" fontId="95" fillId="0" borderId="0" applyFill="0" applyBorder="0" applyAlignment="0"/>
    <xf numFmtId="221" fontId="95" fillId="0" borderId="0" applyFill="0" applyBorder="0" applyAlignment="0"/>
    <xf numFmtId="222" fontId="95" fillId="0" borderId="0" applyFill="0" applyBorder="0" applyAlignment="0"/>
    <xf numFmtId="223" fontId="95" fillId="0" borderId="0" applyFill="0" applyBorder="0" applyAlignment="0"/>
    <xf numFmtId="224" fontId="95" fillId="0" borderId="0" applyFill="0" applyBorder="0" applyAlignment="0"/>
    <xf numFmtId="220" fontId="95" fillId="0" borderId="0" applyFill="0" applyBorder="0" applyAlignment="0"/>
    <xf numFmtId="225" fontId="95" fillId="0" borderId="0" applyFill="0" applyBorder="0" applyAlignment="0"/>
    <xf numFmtId="221" fontId="95" fillId="0" borderId="0" applyFill="0" applyBorder="0" applyAlignment="0"/>
    <xf numFmtId="0" fontId="40" fillId="107" borderId="6" applyNumberFormat="0" applyAlignment="0" applyProtection="0"/>
    <xf numFmtId="0" fontId="40" fillId="107" borderId="6" applyNumberFormat="0" applyAlignment="0" applyProtection="0"/>
    <xf numFmtId="0" fontId="40" fillId="107" borderId="6" applyNumberFormat="0" applyAlignment="0" applyProtection="0"/>
    <xf numFmtId="0" fontId="40" fillId="107" borderId="6" applyNumberFormat="0" applyAlignment="0" applyProtection="0"/>
    <xf numFmtId="0" fontId="18" fillId="141" borderId="0" applyNumberFormat="0" applyFont="0" applyBorder="0" applyAlignment="0"/>
    <xf numFmtId="0" fontId="211" fillId="0" borderId="17" applyNumberFormat="0" applyFont="0" applyFill="0" applyProtection="0">
      <alignment horizontal="centerContinuous" vertical="center"/>
    </xf>
    <xf numFmtId="0" fontId="2" fillId="4" borderId="0" applyNumberFormat="0" applyFont="0" applyBorder="0" applyAlignment="0" applyProtection="0"/>
    <xf numFmtId="0" fontId="41" fillId="142" borderId="9" applyNumberFormat="0" applyAlignment="0" applyProtection="0"/>
    <xf numFmtId="0" fontId="41" fillId="142" borderId="9" applyNumberFormat="0" applyAlignment="0" applyProtection="0"/>
    <xf numFmtId="0" fontId="41" fillId="142" borderId="9" applyNumberFormat="0" applyAlignment="0" applyProtection="0"/>
    <xf numFmtId="0" fontId="41" fillId="142" borderId="9" applyNumberFormat="0" applyAlignment="0" applyProtection="0"/>
    <xf numFmtId="0" fontId="211" fillId="0" borderId="0" applyNumberFormat="0" applyFill="0" applyBorder="0" applyProtection="0">
      <alignment horizontal="center" vertical="center"/>
    </xf>
    <xf numFmtId="220" fontId="62" fillId="0" borderId="0" applyFont="0" applyFill="0" applyBorder="0" applyAlignment="0" applyProtection="0"/>
    <xf numFmtId="0" fontId="212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26" fillId="0" borderId="0" applyFont="0" applyFill="0" applyBorder="0" applyAlignment="0" applyProtection="0"/>
    <xf numFmtId="226" fontId="24" fillId="0" borderId="0" applyFill="0" applyBorder="0" applyAlignment="0" applyProtection="0"/>
    <xf numFmtId="221" fontId="62" fillId="0" borderId="0" applyFont="0" applyFill="0" applyBorder="0" applyAlignment="0" applyProtection="0"/>
    <xf numFmtId="227" fontId="191" fillId="0" borderId="0" applyFont="0" applyFill="0" applyBorder="0" applyAlignment="0" applyProtection="0"/>
    <xf numFmtId="0" fontId="26" fillId="0" borderId="0"/>
    <xf numFmtId="0" fontId="26" fillId="0" borderId="0"/>
    <xf numFmtId="0" fontId="44" fillId="0" borderId="0" applyFont="0" applyFill="0" applyBorder="0" applyAlignment="0" applyProtection="0"/>
    <xf numFmtId="0" fontId="44" fillId="0" borderId="0" applyFont="0" applyFill="0" applyBorder="0" applyAlignment="0" applyProtection="0"/>
    <xf numFmtId="0" fontId="44" fillId="0" borderId="0" applyFont="0" applyFill="0" applyBorder="0" applyAlignment="0" applyProtection="0"/>
    <xf numFmtId="0" fontId="44" fillId="0" borderId="0" applyFont="0" applyFill="0" applyBorder="0" applyAlignment="0" applyProtection="0"/>
    <xf numFmtId="0" fontId="44" fillId="0" borderId="0" applyFont="0" applyFill="0" applyBorder="0" applyAlignment="0" applyProtection="0"/>
    <xf numFmtId="0" fontId="44" fillId="0" borderId="0" applyFont="0" applyFill="0" applyBorder="0" applyAlignment="0" applyProtection="0"/>
    <xf numFmtId="0" fontId="44" fillId="0" borderId="0" applyFont="0" applyFill="0" applyBorder="0" applyAlignment="0" applyProtection="0"/>
    <xf numFmtId="0" fontId="44" fillId="0" borderId="0" applyFont="0" applyFill="0" applyBorder="0" applyAlignment="0" applyProtection="0"/>
    <xf numFmtId="0" fontId="44" fillId="0" borderId="0" applyFont="0" applyFill="0" applyBorder="0" applyAlignment="0" applyProtection="0"/>
    <xf numFmtId="14" fontId="95" fillId="0" borderId="0" applyFill="0" applyBorder="0" applyAlignment="0"/>
    <xf numFmtId="0" fontId="167" fillId="0" borderId="0" applyFont="0" applyFill="0" applyBorder="0" applyAlignment="0" applyProtection="0"/>
    <xf numFmtId="38" fontId="2" fillId="0" borderId="0" applyFont="0" applyFill="0" applyBorder="0" applyAlignment="0" applyProtection="0"/>
    <xf numFmtId="0" fontId="213" fillId="0" borderId="0" applyNumberFormat="0" applyFill="0" applyBorder="0" applyAlignment="0" applyProtection="0"/>
    <xf numFmtId="228" fontId="191" fillId="0" borderId="0" applyFont="0" applyFill="0" applyBorder="0" applyAlignment="0" applyProtection="0"/>
    <xf numFmtId="0" fontId="214" fillId="0" borderId="0" applyFill="0" applyBorder="0" applyAlignment="0" applyProtection="0"/>
    <xf numFmtId="38" fontId="48" fillId="0" borderId="0">
      <alignment vertical="top"/>
    </xf>
    <xf numFmtId="38" fontId="48" fillId="0" borderId="0">
      <alignment vertical="top"/>
    </xf>
    <xf numFmtId="38" fontId="48" fillId="0" borderId="0">
      <alignment vertical="top"/>
    </xf>
    <xf numFmtId="38" fontId="48" fillId="0" borderId="0">
      <alignment vertical="top"/>
    </xf>
    <xf numFmtId="0" fontId="215" fillId="143" borderId="0" applyNumberFormat="0" applyBorder="0" applyAlignment="0" applyProtection="0"/>
    <xf numFmtId="0" fontId="215" fillId="144" borderId="0" applyNumberFormat="0" applyBorder="0" applyAlignment="0" applyProtection="0"/>
    <xf numFmtId="0" fontId="215" fillId="144" borderId="0" applyNumberFormat="0" applyBorder="0" applyAlignment="0" applyProtection="0"/>
    <xf numFmtId="0" fontId="215" fillId="144" borderId="0" applyNumberFormat="0" applyBorder="0" applyAlignment="0" applyProtection="0"/>
    <xf numFmtId="0" fontId="215" fillId="144" borderId="0" applyNumberFormat="0" applyBorder="0" applyAlignment="0" applyProtection="0"/>
    <xf numFmtId="0" fontId="215" fillId="144" borderId="0" applyNumberFormat="0" applyBorder="0" applyAlignment="0" applyProtection="0"/>
    <xf numFmtId="0" fontId="215" fillId="145" borderId="0" applyNumberFormat="0" applyBorder="0" applyAlignment="0" applyProtection="0"/>
    <xf numFmtId="0" fontId="215" fillId="146" borderId="0" applyNumberFormat="0" applyBorder="0" applyAlignment="0" applyProtection="0"/>
    <xf numFmtId="0" fontId="215" fillId="146" borderId="0" applyNumberFormat="0" applyBorder="0" applyAlignment="0" applyProtection="0"/>
    <xf numFmtId="0" fontId="215" fillId="146" borderId="0" applyNumberFormat="0" applyBorder="0" applyAlignment="0" applyProtection="0"/>
    <xf numFmtId="0" fontId="215" fillId="146" borderId="0" applyNumberFormat="0" applyBorder="0" applyAlignment="0" applyProtection="0"/>
    <xf numFmtId="0" fontId="215" fillId="146" borderId="0" applyNumberFormat="0" applyBorder="0" applyAlignment="0" applyProtection="0"/>
    <xf numFmtId="0" fontId="215" fillId="147" borderId="0" applyNumberFormat="0" applyBorder="0" applyAlignment="0" applyProtection="0"/>
    <xf numFmtId="220" fontId="216" fillId="0" borderId="0" applyFill="0" applyBorder="0" applyAlignment="0"/>
    <xf numFmtId="221" fontId="216" fillId="0" borderId="0" applyFill="0" applyBorder="0" applyAlignment="0"/>
    <xf numFmtId="220" fontId="216" fillId="0" borderId="0" applyFill="0" applyBorder="0" applyAlignment="0"/>
    <xf numFmtId="225" fontId="216" fillId="0" borderId="0" applyFill="0" applyBorder="0" applyAlignment="0"/>
    <xf numFmtId="221" fontId="216" fillId="0" borderId="0" applyFill="0" applyBorder="0" applyAlignment="0"/>
    <xf numFmtId="173" fontId="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81" fillId="0" borderId="0" applyFont="0" applyFill="0" applyBorder="0" applyAlignment="0" applyProtection="0"/>
    <xf numFmtId="37" fontId="18" fillId="0" borderId="0"/>
    <xf numFmtId="0" fontId="24" fillId="0" borderId="0"/>
    <xf numFmtId="0" fontId="31" fillId="0" borderId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229" fontId="18" fillId="0" borderId="0" applyFont="0" applyFill="0" applyBorder="0" applyAlignment="0" applyProtection="0"/>
    <xf numFmtId="230" fontId="18" fillId="0" borderId="0" applyFont="0" applyFill="0" applyBorder="0" applyAlignment="0" applyProtection="0"/>
    <xf numFmtId="15" fontId="18" fillId="0" borderId="0">
      <alignment vertical="center"/>
    </xf>
    <xf numFmtId="0" fontId="61" fillId="57" borderId="0" applyNumberFormat="0" applyBorder="0" applyAlignment="0" applyProtection="0"/>
    <xf numFmtId="0" fontId="61" fillId="57" borderId="0" applyNumberFormat="0" applyBorder="0" applyAlignment="0" applyProtection="0"/>
    <xf numFmtId="0" fontId="61" fillId="57" borderId="0" applyNumberFormat="0" applyBorder="0" applyAlignment="0" applyProtection="0"/>
    <xf numFmtId="0" fontId="61" fillId="57" borderId="0" applyNumberFormat="0" applyBorder="0" applyAlignment="0" applyProtection="0"/>
    <xf numFmtId="0" fontId="61" fillId="57" borderId="0" applyNumberFormat="0" applyBorder="0" applyAlignment="0" applyProtection="0"/>
    <xf numFmtId="0" fontId="61" fillId="57" borderId="0" applyNumberFormat="0" applyBorder="0" applyAlignment="0" applyProtection="0"/>
    <xf numFmtId="0" fontId="61" fillId="57" borderId="0" applyNumberFormat="0" applyBorder="0" applyAlignment="0" applyProtection="0"/>
    <xf numFmtId="0" fontId="158" fillId="130" borderId="0" applyNumberFormat="0" applyBorder="0" applyAlignment="0" applyProtection="0"/>
    <xf numFmtId="43" fontId="217" fillId="0" borderId="0" applyNumberFormat="0" applyFill="0" applyBorder="0" applyAlignment="0" applyProtection="0">
      <alignment horizontal="center"/>
    </xf>
    <xf numFmtId="43" fontId="217" fillId="0" borderId="0" applyNumberFormat="0" applyFill="0" applyBorder="0" applyAlignment="0" applyProtection="0">
      <alignment horizontal="center"/>
    </xf>
    <xf numFmtId="0" fontId="218" fillId="0" borderId="45" applyNumberFormat="0" applyAlignment="0" applyProtection="0">
      <alignment horizontal="left" vertical="center"/>
    </xf>
    <xf numFmtId="0" fontId="218" fillId="0" borderId="40">
      <alignment horizontal="left" vertical="center"/>
    </xf>
    <xf numFmtId="0" fontId="135" fillId="0" borderId="27" applyNumberFormat="0" applyFill="0" applyAlignment="0" applyProtection="0"/>
    <xf numFmtId="0" fontId="68" fillId="0" borderId="0" applyNumberFormat="0" applyFill="0" applyBorder="0" applyAlignment="0" applyProtection="0"/>
    <xf numFmtId="0" fontId="135" fillId="0" borderId="27" applyNumberFormat="0" applyFill="0" applyAlignment="0" applyProtection="0"/>
    <xf numFmtId="0" fontId="137" fillId="0" borderId="28" applyNumberFormat="0" applyFill="0" applyAlignment="0" applyProtection="0"/>
    <xf numFmtId="0" fontId="69" fillId="0" borderId="0" applyNumberFormat="0" applyFill="0" applyBorder="0" applyAlignment="0" applyProtection="0"/>
    <xf numFmtId="0" fontId="137" fillId="0" borderId="28" applyNumberFormat="0" applyFill="0" applyAlignment="0" applyProtection="0"/>
    <xf numFmtId="0" fontId="70" fillId="0" borderId="12" applyNumberFormat="0" applyFill="0" applyAlignment="0" applyProtection="0"/>
    <xf numFmtId="0" fontId="70" fillId="0" borderId="12" applyNumberFormat="0" applyFill="0" applyAlignment="0" applyProtection="0"/>
    <xf numFmtId="0" fontId="70" fillId="0" borderId="12" applyNumberFormat="0" applyFill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117" fillId="0" borderId="0">
      <alignment horizontal="center"/>
    </xf>
    <xf numFmtId="38" fontId="71" fillId="0" borderId="0">
      <alignment vertical="top"/>
    </xf>
    <xf numFmtId="38" fontId="71" fillId="0" borderId="0">
      <alignment vertical="top"/>
    </xf>
    <xf numFmtId="38" fontId="71" fillId="0" borderId="0">
      <alignment vertical="top"/>
    </xf>
    <xf numFmtId="38" fontId="71" fillId="0" borderId="0">
      <alignment vertical="top"/>
    </xf>
    <xf numFmtId="0" fontId="219" fillId="0" borderId="47" applyNumberFormat="0" applyFill="0" applyBorder="0" applyAlignment="0" applyProtection="0">
      <alignment horizontal="left"/>
    </xf>
    <xf numFmtId="231" fontId="220" fillId="58" borderId="0" applyNumberFormat="0" applyBorder="0" applyAlignment="0" applyProtection="0">
      <protection locked="0"/>
    </xf>
    <xf numFmtId="0" fontId="221" fillId="0" borderId="0">
      <alignment horizontal="left" vertical="center" wrapText="1"/>
    </xf>
    <xf numFmtId="0" fontId="222" fillId="0" borderId="0">
      <alignment horizontal="left" vertical="center" wrapText="1" indent="1"/>
    </xf>
    <xf numFmtId="0" fontId="222" fillId="0" borderId="0">
      <alignment horizontal="left" vertical="center" wrapText="1" indent="3"/>
    </xf>
    <xf numFmtId="0" fontId="78" fillId="102" borderId="6" applyNumberFormat="0" applyAlignment="0" applyProtection="0"/>
    <xf numFmtId="0" fontId="78" fillId="102" borderId="6" applyNumberFormat="0" applyAlignment="0" applyProtection="0"/>
    <xf numFmtId="0" fontId="78" fillId="102" borderId="6" applyNumberFormat="0" applyAlignment="0" applyProtection="0"/>
    <xf numFmtId="0" fontId="78" fillId="102" borderId="6" applyNumberFormat="0" applyAlignment="0" applyProtection="0"/>
    <xf numFmtId="38" fontId="20" fillId="2" borderId="0">
      <alignment vertical="top"/>
    </xf>
    <xf numFmtId="38" fontId="20" fillId="2" borderId="0">
      <alignment vertical="top"/>
    </xf>
    <xf numFmtId="38" fontId="20" fillId="2" borderId="0">
      <alignment vertical="top"/>
    </xf>
    <xf numFmtId="38" fontId="20" fillId="2" borderId="0">
      <alignment vertical="top"/>
    </xf>
    <xf numFmtId="38" fontId="20" fillId="0" borderId="0">
      <alignment vertical="top"/>
    </xf>
    <xf numFmtId="38" fontId="20" fillId="0" borderId="0">
      <alignment vertical="top"/>
    </xf>
    <xf numFmtId="38" fontId="20" fillId="0" borderId="0">
      <alignment vertical="top"/>
    </xf>
    <xf numFmtId="38" fontId="20" fillId="0" borderId="0">
      <alignment vertical="top"/>
    </xf>
    <xf numFmtId="38" fontId="20" fillId="0" borderId="0">
      <alignment vertical="top"/>
    </xf>
    <xf numFmtId="38" fontId="20" fillId="0" borderId="0">
      <alignment vertical="top"/>
    </xf>
    <xf numFmtId="38" fontId="20" fillId="0" borderId="0">
      <alignment vertical="top"/>
    </xf>
    <xf numFmtId="38" fontId="20" fillId="0" borderId="0">
      <alignment vertical="top"/>
    </xf>
    <xf numFmtId="38" fontId="20" fillId="0" borderId="0">
      <alignment vertical="top"/>
    </xf>
    <xf numFmtId="38" fontId="20" fillId="0" borderId="0">
      <alignment vertical="top"/>
    </xf>
    <xf numFmtId="38" fontId="20" fillId="0" borderId="0">
      <alignment vertical="top"/>
    </xf>
    <xf numFmtId="38" fontId="20" fillId="0" borderId="0">
      <alignment vertical="top"/>
    </xf>
    <xf numFmtId="38" fontId="20" fillId="0" borderId="0">
      <alignment vertical="top"/>
    </xf>
    <xf numFmtId="38" fontId="20" fillId="0" borderId="0">
      <alignment vertical="top"/>
    </xf>
    <xf numFmtId="38" fontId="20" fillId="0" borderId="0">
      <alignment vertical="top"/>
    </xf>
    <xf numFmtId="38" fontId="20" fillId="0" borderId="0">
      <alignment vertical="top"/>
    </xf>
    <xf numFmtId="38" fontId="20" fillId="0" borderId="0">
      <alignment vertical="top"/>
    </xf>
    <xf numFmtId="232" fontId="18" fillId="0" borderId="0" applyFont="0" applyFill="0" applyBorder="0" applyAlignment="0" applyProtection="0"/>
    <xf numFmtId="233" fontId="18" fillId="0" borderId="0" applyFont="0" applyFill="0" applyBorder="0" applyAlignment="0" applyProtection="0"/>
    <xf numFmtId="220" fontId="223" fillId="0" borderId="0" applyFill="0" applyBorder="0" applyAlignment="0"/>
    <xf numFmtId="221" fontId="223" fillId="0" borderId="0" applyFill="0" applyBorder="0" applyAlignment="0"/>
    <xf numFmtId="220" fontId="223" fillId="0" borderId="0" applyFill="0" applyBorder="0" applyAlignment="0"/>
    <xf numFmtId="225" fontId="223" fillId="0" borderId="0" applyFill="0" applyBorder="0" applyAlignment="0"/>
    <xf numFmtId="221" fontId="223" fillId="0" borderId="0" applyFill="0" applyBorder="0" applyAlignment="0"/>
    <xf numFmtId="0" fontId="80" fillId="0" borderId="13" applyNumberFormat="0" applyFill="0" applyAlignment="0" applyProtection="0"/>
    <xf numFmtId="0" fontId="80" fillId="0" borderId="13" applyNumberFormat="0" applyFill="0" applyAlignment="0" applyProtection="0"/>
    <xf numFmtId="0" fontId="80" fillId="0" borderId="13" applyNumberFormat="0" applyFill="0" applyAlignment="0" applyProtection="0"/>
    <xf numFmtId="0" fontId="26" fillId="0" borderId="0"/>
    <xf numFmtId="234" fontId="24" fillId="0" borderId="0" applyFill="0" applyBorder="0" applyAlignment="0" applyProtection="0"/>
    <xf numFmtId="235" fontId="24" fillId="0" borderId="0" applyFill="0" applyBorder="0" applyAlignment="0" applyProtection="0"/>
    <xf numFmtId="212" fontId="18" fillId="0" borderId="0" applyFont="0" applyFill="0" applyBorder="0" applyAlignment="0" applyProtection="0"/>
    <xf numFmtId="178" fontId="18" fillId="0" borderId="0" applyFont="0" applyFill="0" applyBorder="0" applyAlignment="0" applyProtection="0"/>
    <xf numFmtId="236" fontId="24" fillId="0" borderId="0" applyFill="0" applyBorder="0" applyAlignment="0" applyProtection="0"/>
    <xf numFmtId="237" fontId="24" fillId="0" borderId="0" applyFill="0" applyBorder="0" applyAlignment="0" applyProtection="0"/>
    <xf numFmtId="238" fontId="18" fillId="0" borderId="0" applyFont="0" applyFill="0" applyBorder="0" applyAlignment="0" applyProtection="0"/>
    <xf numFmtId="239" fontId="18" fillId="0" borderId="0" applyFont="0" applyFill="0" applyBorder="0" applyAlignment="0" applyProtection="0"/>
    <xf numFmtId="240" fontId="191" fillId="0" borderId="0" applyFont="0" applyFill="0" applyBorder="0" applyAlignment="0" applyProtection="0"/>
    <xf numFmtId="241" fontId="191" fillId="0" borderId="0" applyFont="0" applyFill="0" applyBorder="0" applyAlignment="0" applyProtection="0"/>
    <xf numFmtId="228" fontId="224" fillId="0" borderId="0" applyFont="0" applyFill="0" applyBorder="0" applyAlignment="0" applyProtection="0"/>
    <xf numFmtId="0" fontId="82" fillId="148" borderId="0" applyNumberFormat="0" applyBorder="0" applyAlignment="0" applyProtection="0"/>
    <xf numFmtId="0" fontId="82" fillId="148" borderId="0" applyNumberFormat="0" applyBorder="0" applyAlignment="0" applyProtection="0"/>
    <xf numFmtId="0" fontId="82" fillId="148" borderId="0" applyNumberFormat="0" applyBorder="0" applyAlignment="0" applyProtection="0"/>
    <xf numFmtId="0" fontId="82" fillId="148" borderId="0" applyNumberFormat="0" applyBorder="0" applyAlignment="0" applyProtection="0"/>
    <xf numFmtId="0" fontId="82" fillId="148" borderId="0" applyNumberFormat="0" applyBorder="0" applyAlignment="0" applyProtection="0"/>
    <xf numFmtId="0" fontId="82" fillId="148" borderId="0" applyNumberFormat="0" applyBorder="0" applyAlignment="0" applyProtection="0"/>
    <xf numFmtId="0" fontId="82" fillId="148" borderId="0" applyNumberFormat="0" applyBorder="0" applyAlignment="0" applyProtection="0"/>
    <xf numFmtId="0" fontId="225" fillId="136" borderId="0" applyNumberFormat="0" applyBorder="0" applyAlignment="0" applyProtection="0"/>
    <xf numFmtId="37" fontId="226" fillId="0" borderId="0"/>
    <xf numFmtId="0" fontId="192" fillId="0" borderId="1"/>
    <xf numFmtId="0" fontId="30" fillId="0" borderId="48"/>
    <xf numFmtId="242" fontId="18" fillId="0" borderId="0" applyFont="0"/>
    <xf numFmtId="242" fontId="18" fillId="0" borderId="0" applyFont="0"/>
    <xf numFmtId="0" fontId="31" fillId="0" borderId="0"/>
    <xf numFmtId="0" fontId="31" fillId="0" borderId="0"/>
    <xf numFmtId="0" fontId="31" fillId="0" borderId="0"/>
    <xf numFmtId="0" fontId="19" fillId="149" borderId="0"/>
    <xf numFmtId="0" fontId="18" fillId="0" borderId="0"/>
    <xf numFmtId="0" fontId="19" fillId="149" borderId="0"/>
    <xf numFmtId="0" fontId="26" fillId="0" borderId="0"/>
    <xf numFmtId="0" fontId="227" fillId="0" borderId="0"/>
    <xf numFmtId="0" fontId="26" fillId="0" borderId="0"/>
    <xf numFmtId="0" fontId="228" fillId="150" borderId="15" applyNumberFormat="0" applyAlignment="0" applyProtection="0"/>
    <xf numFmtId="0" fontId="19" fillId="135" borderId="49" applyNumberFormat="0" applyFont="0" applyAlignment="0" applyProtection="0"/>
    <xf numFmtId="0" fontId="228" fillId="150" borderId="15" applyNumberFormat="0" applyAlignment="0" applyProtection="0"/>
    <xf numFmtId="0" fontId="26" fillId="34" borderId="15" applyNumberFormat="0" applyFont="0" applyAlignment="0" applyProtection="0"/>
    <xf numFmtId="0" fontId="26" fillId="34" borderId="15" applyNumberFormat="0" applyFont="0" applyAlignment="0" applyProtection="0"/>
    <xf numFmtId="0" fontId="19" fillId="135" borderId="49" applyNumberFormat="0" applyFont="0" applyAlignment="0" applyProtection="0"/>
    <xf numFmtId="0" fontId="228" fillId="150" borderId="15" applyNumberFormat="0" applyAlignment="0" applyProtection="0"/>
    <xf numFmtId="0" fontId="24" fillId="150" borderId="15" applyNumberFormat="0" applyAlignment="0" applyProtection="0"/>
    <xf numFmtId="0" fontId="228" fillId="150" borderId="15" applyNumberFormat="0" applyAlignment="0" applyProtection="0"/>
    <xf numFmtId="0" fontId="228" fillId="150" borderId="15" applyNumberFormat="0" applyAlignment="0" applyProtection="0"/>
    <xf numFmtId="0" fontId="14" fillId="34" borderId="15" applyNumberFormat="0" applyFont="0" applyAlignment="0" applyProtection="0"/>
    <xf numFmtId="0" fontId="19" fillId="135" borderId="49" applyNumberFormat="0" applyFont="0" applyAlignment="0" applyProtection="0"/>
    <xf numFmtId="0" fontId="87" fillId="107" borderId="16" applyNumberFormat="0" applyAlignment="0" applyProtection="0"/>
    <xf numFmtId="0" fontId="87" fillId="107" borderId="16" applyNumberFormat="0" applyAlignment="0" applyProtection="0"/>
    <xf numFmtId="0" fontId="87" fillId="107" borderId="16" applyNumberFormat="0" applyAlignment="0" applyProtection="0"/>
    <xf numFmtId="0" fontId="87" fillId="107" borderId="16" applyNumberFormat="0" applyAlignment="0" applyProtection="0"/>
    <xf numFmtId="40" fontId="95" fillId="151" borderId="0">
      <alignment horizontal="right"/>
    </xf>
    <xf numFmtId="0" fontId="229" fillId="152" borderId="0">
      <alignment horizontal="center"/>
    </xf>
    <xf numFmtId="0" fontId="230" fillId="153" borderId="0"/>
    <xf numFmtId="0" fontId="231" fillId="151" borderId="0" applyBorder="0">
      <alignment horizontal="centerContinuous"/>
    </xf>
    <xf numFmtId="0" fontId="232" fillId="153" borderId="0" applyBorder="0">
      <alignment horizontal="centerContinuous"/>
    </xf>
    <xf numFmtId="0" fontId="218" fillId="0" borderId="0" applyNumberFormat="0" applyFill="0" applyBorder="0" applyAlignment="0" applyProtection="0"/>
    <xf numFmtId="243" fontId="18" fillId="0" borderId="0" applyFont="0" applyFill="0" applyBorder="0" applyAlignment="0" applyProtection="0"/>
    <xf numFmtId="244" fontId="18" fillId="0" borderId="0" applyFont="0" applyFill="0" applyBorder="0" applyAlignment="0" applyProtection="0"/>
    <xf numFmtId="9" fontId="177" fillId="0" borderId="0" applyFont="0" applyFill="0" applyBorder="0" applyAlignment="0" applyProtection="0"/>
    <xf numFmtId="224" fontId="62" fillId="0" borderId="0" applyFont="0" applyFill="0" applyBorder="0" applyAlignment="0" applyProtection="0"/>
    <xf numFmtId="245" fontId="62" fillId="0" borderId="0" applyFont="0" applyFill="0" applyBorder="0" applyAlignment="0" applyProtection="0"/>
    <xf numFmtId="174" fontId="177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18" fillId="0" borderId="0" applyNumberFormat="0" applyFill="0" applyBorder="0" applyAlignment="0" applyProtection="0"/>
    <xf numFmtId="220" fontId="100" fillId="0" borderId="0" applyFill="0" applyBorder="0" applyAlignment="0"/>
    <xf numFmtId="221" fontId="100" fillId="0" borderId="0" applyFill="0" applyBorder="0" applyAlignment="0"/>
    <xf numFmtId="220" fontId="100" fillId="0" borderId="0" applyFill="0" applyBorder="0" applyAlignment="0"/>
    <xf numFmtId="225" fontId="100" fillId="0" borderId="0" applyFill="0" applyBorder="0" applyAlignment="0"/>
    <xf numFmtId="221" fontId="100" fillId="0" borderId="0" applyFill="0" applyBorder="0" applyAlignment="0"/>
    <xf numFmtId="0" fontId="233" fillId="0" borderId="0" applyNumberFormat="0" applyFill="0" applyBorder="0" applyAlignment="0" applyProtection="0">
      <alignment horizontal="left"/>
      <protection locked="0"/>
    </xf>
    <xf numFmtId="0" fontId="234" fillId="151" borderId="0">
      <alignment horizontal="center" vertical="top"/>
    </xf>
    <xf numFmtId="0" fontId="235" fillId="151" borderId="0">
      <alignment horizontal="left" vertical="top"/>
    </xf>
    <xf numFmtId="0" fontId="236" fillId="151" borderId="0">
      <alignment horizontal="left" vertical="top"/>
    </xf>
    <xf numFmtId="0" fontId="237" fillId="11" borderId="0">
      <alignment horizontal="center" vertical="center"/>
    </xf>
    <xf numFmtId="0" fontId="238" fillId="151" borderId="0">
      <alignment horizontal="center" vertical="top"/>
    </xf>
    <xf numFmtId="0" fontId="239" fillId="151" borderId="0">
      <alignment horizontal="left" vertical="top"/>
    </xf>
    <xf numFmtId="0" fontId="240" fillId="151" borderId="0">
      <alignment horizontal="left" vertical="center"/>
    </xf>
    <xf numFmtId="0" fontId="240" fillId="151" borderId="0">
      <alignment horizontal="right" vertical="center"/>
    </xf>
    <xf numFmtId="0" fontId="240" fillId="151" borderId="0">
      <alignment horizontal="center" vertical="center"/>
    </xf>
    <xf numFmtId="0" fontId="241" fillId="151" borderId="0">
      <alignment horizontal="right" vertical="top"/>
    </xf>
    <xf numFmtId="0" fontId="241" fillId="151" borderId="0">
      <alignment horizontal="right" vertical="top"/>
    </xf>
    <xf numFmtId="4" fontId="152" fillId="33" borderId="49" applyNumberFormat="0" applyProtection="0">
      <alignment vertical="center"/>
    </xf>
    <xf numFmtId="4" fontId="152" fillId="33" borderId="49" applyNumberFormat="0" applyProtection="0">
      <alignment vertical="center"/>
    </xf>
    <xf numFmtId="4" fontId="152" fillId="33" borderId="49" applyNumberFormat="0" applyProtection="0">
      <alignment vertical="center"/>
    </xf>
    <xf numFmtId="4" fontId="152" fillId="33" borderId="49" applyNumberFormat="0" applyProtection="0">
      <alignment vertical="center"/>
    </xf>
    <xf numFmtId="4" fontId="152" fillId="33" borderId="49" applyNumberFormat="0" applyProtection="0">
      <alignment vertical="center"/>
    </xf>
    <xf numFmtId="4" fontId="192" fillId="4" borderId="49" applyNumberFormat="0" applyProtection="0">
      <alignment vertical="center"/>
    </xf>
    <xf numFmtId="4" fontId="192" fillId="4" borderId="49" applyNumberFormat="0" applyProtection="0">
      <alignment vertical="center"/>
    </xf>
    <xf numFmtId="4" fontId="192" fillId="4" borderId="49" applyNumberFormat="0" applyProtection="0">
      <alignment vertical="center"/>
    </xf>
    <xf numFmtId="4" fontId="192" fillId="4" borderId="49" applyNumberFormat="0" applyProtection="0">
      <alignment vertical="center"/>
    </xf>
    <xf numFmtId="4" fontId="192" fillId="4" borderId="49" applyNumberFormat="0" applyProtection="0">
      <alignment vertical="center"/>
    </xf>
    <xf numFmtId="4" fontId="152" fillId="4" borderId="49" applyNumberFormat="0" applyProtection="0">
      <alignment horizontal="left" vertical="center" indent="1"/>
    </xf>
    <xf numFmtId="4" fontId="152" fillId="4" borderId="49" applyNumberFormat="0" applyProtection="0">
      <alignment horizontal="left" vertical="center" indent="1"/>
    </xf>
    <xf numFmtId="4" fontId="152" fillId="4" borderId="49" applyNumberFormat="0" applyProtection="0">
      <alignment horizontal="left" vertical="center" indent="1"/>
    </xf>
    <xf numFmtId="4" fontId="152" fillId="4" borderId="49" applyNumberFormat="0" applyProtection="0">
      <alignment horizontal="left" vertical="center" indent="1"/>
    </xf>
    <xf numFmtId="4" fontId="152" fillId="4" borderId="49" applyNumberFormat="0" applyProtection="0">
      <alignment horizontal="left" vertical="center" indent="1"/>
    </xf>
    <xf numFmtId="0" fontId="192" fillId="33" borderId="50" applyNumberFormat="0" applyProtection="0">
      <alignment horizontal="left" vertical="top" indent="1"/>
    </xf>
    <xf numFmtId="0" fontId="192" fillId="33" borderId="50" applyNumberFormat="0" applyProtection="0">
      <alignment horizontal="left" vertical="top" indent="1"/>
    </xf>
    <xf numFmtId="0" fontId="192" fillId="33" borderId="50" applyNumberFormat="0" applyProtection="0">
      <alignment horizontal="left" vertical="top" indent="1"/>
    </xf>
    <xf numFmtId="0" fontId="192" fillId="33" borderId="50" applyNumberFormat="0" applyProtection="0">
      <alignment horizontal="left" vertical="top" indent="1"/>
    </xf>
    <xf numFmtId="0" fontId="192" fillId="33" borderId="50" applyNumberFormat="0" applyProtection="0">
      <alignment horizontal="left" vertical="top" indent="1"/>
    </xf>
    <xf numFmtId="4" fontId="152" fillId="20" borderId="49" applyNumberFormat="0" applyProtection="0">
      <alignment horizontal="left" vertical="center" indent="1"/>
    </xf>
    <xf numFmtId="4" fontId="152" fillId="20" borderId="49" applyNumberFormat="0" applyProtection="0">
      <alignment horizontal="left" vertical="center" indent="1"/>
    </xf>
    <xf numFmtId="4" fontId="152" fillId="20" borderId="49" applyNumberFormat="0" applyProtection="0">
      <alignment horizontal="left" vertical="center" indent="1"/>
    </xf>
    <xf numFmtId="4" fontId="152" fillId="20" borderId="49" applyNumberFormat="0" applyProtection="0">
      <alignment horizontal="left" vertical="center" indent="1"/>
    </xf>
    <xf numFmtId="4" fontId="152" fillId="20" borderId="49" applyNumberFormat="0" applyProtection="0">
      <alignment horizontal="left" vertical="center" indent="1"/>
    </xf>
    <xf numFmtId="0" fontId="242" fillId="5" borderId="51" applyNumberFormat="0" applyProtection="0">
      <alignment horizontal="center" vertical="center" wrapText="1"/>
    </xf>
    <xf numFmtId="4" fontId="152" fillId="20" borderId="49" applyNumberFormat="0" applyProtection="0">
      <alignment horizontal="left" vertical="center" indent="1"/>
    </xf>
    <xf numFmtId="4" fontId="152" fillId="8" borderId="49" applyNumberFormat="0" applyProtection="0">
      <alignment horizontal="right" vertical="center"/>
    </xf>
    <xf numFmtId="4" fontId="152" fillId="8" borderId="49" applyNumberFormat="0" applyProtection="0">
      <alignment horizontal="right" vertical="center"/>
    </xf>
    <xf numFmtId="4" fontId="152" fillId="8" borderId="49" applyNumberFormat="0" applyProtection="0">
      <alignment horizontal="right" vertical="center"/>
    </xf>
    <xf numFmtId="4" fontId="152" fillId="8" borderId="49" applyNumberFormat="0" applyProtection="0">
      <alignment horizontal="right" vertical="center"/>
    </xf>
    <xf numFmtId="4" fontId="152" fillId="8" borderId="49" applyNumberFormat="0" applyProtection="0">
      <alignment horizontal="right" vertical="center"/>
    </xf>
    <xf numFmtId="4" fontId="152" fillId="154" borderId="49" applyNumberFormat="0" applyProtection="0">
      <alignment horizontal="right" vertical="center"/>
    </xf>
    <xf numFmtId="4" fontId="152" fillId="154" borderId="49" applyNumberFormat="0" applyProtection="0">
      <alignment horizontal="right" vertical="center"/>
    </xf>
    <xf numFmtId="4" fontId="152" fillId="154" borderId="49" applyNumberFormat="0" applyProtection="0">
      <alignment horizontal="right" vertical="center"/>
    </xf>
    <xf numFmtId="4" fontId="152" fillId="154" borderId="49" applyNumberFormat="0" applyProtection="0">
      <alignment horizontal="right" vertical="center"/>
    </xf>
    <xf numFmtId="4" fontId="152" fillId="154" borderId="49" applyNumberFormat="0" applyProtection="0">
      <alignment horizontal="right" vertical="center"/>
    </xf>
    <xf numFmtId="4" fontId="152" fillId="23" borderId="41" applyNumberFormat="0" applyProtection="0">
      <alignment horizontal="right" vertical="center"/>
    </xf>
    <xf numFmtId="4" fontId="152" fillId="23" borderId="41" applyNumberFormat="0" applyProtection="0">
      <alignment horizontal="right" vertical="center"/>
    </xf>
    <xf numFmtId="4" fontId="152" fillId="23" borderId="41" applyNumberFormat="0" applyProtection="0">
      <alignment horizontal="right" vertical="center"/>
    </xf>
    <xf numFmtId="4" fontId="152" fillId="23" borderId="41" applyNumberFormat="0" applyProtection="0">
      <alignment horizontal="right" vertical="center"/>
    </xf>
    <xf numFmtId="4" fontId="152" fillId="23" borderId="41" applyNumberFormat="0" applyProtection="0">
      <alignment horizontal="right" vertical="center"/>
    </xf>
    <xf numFmtId="4" fontId="152" fillId="16" borderId="49" applyNumberFormat="0" applyProtection="0">
      <alignment horizontal="right" vertical="center"/>
    </xf>
    <xf numFmtId="4" fontId="152" fillId="16" borderId="49" applyNumberFormat="0" applyProtection="0">
      <alignment horizontal="right" vertical="center"/>
    </xf>
    <xf numFmtId="4" fontId="152" fillId="16" borderId="49" applyNumberFormat="0" applyProtection="0">
      <alignment horizontal="right" vertical="center"/>
    </xf>
    <xf numFmtId="4" fontId="152" fillId="16" borderId="49" applyNumberFormat="0" applyProtection="0">
      <alignment horizontal="right" vertical="center"/>
    </xf>
    <xf numFmtId="4" fontId="152" fillId="16" borderId="49" applyNumberFormat="0" applyProtection="0">
      <alignment horizontal="right" vertical="center"/>
    </xf>
    <xf numFmtId="4" fontId="152" fillId="21" borderId="49" applyNumberFormat="0" applyProtection="0">
      <alignment horizontal="right" vertical="center"/>
    </xf>
    <xf numFmtId="4" fontId="152" fillId="21" borderId="49" applyNumberFormat="0" applyProtection="0">
      <alignment horizontal="right" vertical="center"/>
    </xf>
    <xf numFmtId="4" fontId="152" fillId="21" borderId="49" applyNumberFormat="0" applyProtection="0">
      <alignment horizontal="right" vertical="center"/>
    </xf>
    <xf numFmtId="4" fontId="152" fillId="21" borderId="49" applyNumberFormat="0" applyProtection="0">
      <alignment horizontal="right" vertical="center"/>
    </xf>
    <xf numFmtId="4" fontId="152" fillId="21" borderId="49" applyNumberFormat="0" applyProtection="0">
      <alignment horizontal="right" vertical="center"/>
    </xf>
    <xf numFmtId="4" fontId="152" fillId="25" borderId="49" applyNumberFormat="0" applyProtection="0">
      <alignment horizontal="right" vertical="center"/>
    </xf>
    <xf numFmtId="4" fontId="152" fillId="25" borderId="49" applyNumberFormat="0" applyProtection="0">
      <alignment horizontal="right" vertical="center"/>
    </xf>
    <xf numFmtId="4" fontId="152" fillId="25" borderId="49" applyNumberFormat="0" applyProtection="0">
      <alignment horizontal="right" vertical="center"/>
    </xf>
    <xf numFmtId="4" fontId="152" fillId="25" borderId="49" applyNumberFormat="0" applyProtection="0">
      <alignment horizontal="right" vertical="center"/>
    </xf>
    <xf numFmtId="4" fontId="152" fillId="25" borderId="49" applyNumberFormat="0" applyProtection="0">
      <alignment horizontal="right" vertical="center"/>
    </xf>
    <xf numFmtId="4" fontId="152" fillId="24" borderId="49" applyNumberFormat="0" applyProtection="0">
      <alignment horizontal="right" vertical="center"/>
    </xf>
    <xf numFmtId="4" fontId="152" fillId="24" borderId="49" applyNumberFormat="0" applyProtection="0">
      <alignment horizontal="right" vertical="center"/>
    </xf>
    <xf numFmtId="4" fontId="152" fillId="24" borderId="49" applyNumberFormat="0" applyProtection="0">
      <alignment horizontal="right" vertical="center"/>
    </xf>
    <xf numFmtId="4" fontId="152" fillId="24" borderId="49" applyNumberFormat="0" applyProtection="0">
      <alignment horizontal="right" vertical="center"/>
    </xf>
    <xf numFmtId="4" fontId="152" fillId="24" borderId="49" applyNumberFormat="0" applyProtection="0">
      <alignment horizontal="right" vertical="center"/>
    </xf>
    <xf numFmtId="4" fontId="152" fillId="155" borderId="49" applyNumberFormat="0" applyProtection="0">
      <alignment horizontal="right" vertical="center"/>
    </xf>
    <xf numFmtId="4" fontId="152" fillId="155" borderId="49" applyNumberFormat="0" applyProtection="0">
      <alignment horizontal="right" vertical="center"/>
    </xf>
    <xf numFmtId="4" fontId="152" fillId="155" borderId="49" applyNumberFormat="0" applyProtection="0">
      <alignment horizontal="right" vertical="center"/>
    </xf>
    <xf numFmtId="4" fontId="152" fillId="155" borderId="49" applyNumberFormat="0" applyProtection="0">
      <alignment horizontal="right" vertical="center"/>
    </xf>
    <xf numFmtId="4" fontId="152" fillId="155" borderId="49" applyNumberFormat="0" applyProtection="0">
      <alignment horizontal="right" vertical="center"/>
    </xf>
    <xf numFmtId="4" fontId="152" fillId="15" borderId="49" applyNumberFormat="0" applyProtection="0">
      <alignment horizontal="right" vertical="center"/>
    </xf>
    <xf numFmtId="4" fontId="152" fillId="15" borderId="49" applyNumberFormat="0" applyProtection="0">
      <alignment horizontal="right" vertical="center"/>
    </xf>
    <xf numFmtId="4" fontId="152" fillId="15" borderId="49" applyNumberFormat="0" applyProtection="0">
      <alignment horizontal="right" vertical="center"/>
    </xf>
    <xf numFmtId="4" fontId="152" fillId="15" borderId="49" applyNumberFormat="0" applyProtection="0">
      <alignment horizontal="right" vertical="center"/>
    </xf>
    <xf numFmtId="4" fontId="152" fillId="15" borderId="49" applyNumberFormat="0" applyProtection="0">
      <alignment horizontal="right" vertical="center"/>
    </xf>
    <xf numFmtId="4" fontId="152" fillId="156" borderId="41" applyNumberFormat="0" applyProtection="0">
      <alignment horizontal="left" vertical="center" indent="1"/>
    </xf>
    <xf numFmtId="4" fontId="152" fillId="156" borderId="41" applyNumberFormat="0" applyProtection="0">
      <alignment horizontal="left" vertical="center" indent="1"/>
    </xf>
    <xf numFmtId="4" fontId="152" fillId="156" borderId="41" applyNumberFormat="0" applyProtection="0">
      <alignment horizontal="left" vertical="center" indent="1"/>
    </xf>
    <xf numFmtId="4" fontId="152" fillId="156" borderId="41" applyNumberFormat="0" applyProtection="0">
      <alignment horizontal="left" vertical="center" indent="1"/>
    </xf>
    <xf numFmtId="4" fontId="152" fillId="156" borderId="41" applyNumberFormat="0" applyProtection="0">
      <alignment horizontal="left" vertical="center" indent="1"/>
    </xf>
    <xf numFmtId="4" fontId="62" fillId="157" borderId="41" applyNumberFormat="0" applyProtection="0">
      <alignment horizontal="left" vertical="center" indent="1"/>
    </xf>
    <xf numFmtId="4" fontId="62" fillId="157" borderId="41" applyNumberFormat="0" applyProtection="0">
      <alignment horizontal="left" vertical="center" indent="1"/>
    </xf>
    <xf numFmtId="4" fontId="62" fillId="157" borderId="41" applyNumberFormat="0" applyProtection="0">
      <alignment horizontal="left" vertical="center" indent="1"/>
    </xf>
    <xf numFmtId="4" fontId="62" fillId="157" borderId="41" applyNumberFormat="0" applyProtection="0">
      <alignment horizontal="left" vertical="center" indent="1"/>
    </xf>
    <xf numFmtId="4" fontId="62" fillId="157" borderId="41" applyNumberFormat="0" applyProtection="0">
      <alignment horizontal="left" vertical="center" indent="1"/>
    </xf>
    <xf numFmtId="4" fontId="62" fillId="157" borderId="41" applyNumberFormat="0" applyProtection="0">
      <alignment horizontal="left" vertical="center" indent="1"/>
    </xf>
    <xf numFmtId="4" fontId="62" fillId="157" borderId="41" applyNumberFormat="0" applyProtection="0">
      <alignment horizontal="left" vertical="center" indent="1"/>
    </xf>
    <xf numFmtId="4" fontId="62" fillId="157" borderId="41" applyNumberFormat="0" applyProtection="0">
      <alignment horizontal="left" vertical="center" indent="1"/>
    </xf>
    <xf numFmtId="4" fontId="62" fillId="157" borderId="41" applyNumberFormat="0" applyProtection="0">
      <alignment horizontal="left" vertical="center" indent="1"/>
    </xf>
    <xf numFmtId="4" fontId="62" fillId="157" borderId="41" applyNumberFormat="0" applyProtection="0">
      <alignment horizontal="left" vertical="center" indent="1"/>
    </xf>
    <xf numFmtId="4" fontId="152" fillId="158" borderId="49" applyNumberFormat="0" applyProtection="0">
      <alignment horizontal="right" vertical="center"/>
    </xf>
    <xf numFmtId="4" fontId="152" fillId="158" borderId="49" applyNumberFormat="0" applyProtection="0">
      <alignment horizontal="right" vertical="center"/>
    </xf>
    <xf numFmtId="4" fontId="152" fillId="158" borderId="49" applyNumberFormat="0" applyProtection="0">
      <alignment horizontal="right" vertical="center"/>
    </xf>
    <xf numFmtId="4" fontId="152" fillId="158" borderId="49" applyNumberFormat="0" applyProtection="0">
      <alignment horizontal="right" vertical="center"/>
    </xf>
    <xf numFmtId="4" fontId="152" fillId="158" borderId="49" applyNumberFormat="0" applyProtection="0">
      <alignment horizontal="right" vertical="center"/>
    </xf>
    <xf numFmtId="0" fontId="18" fillId="5" borderId="51" applyNumberFormat="0" applyProtection="0">
      <alignment horizontal="left" vertical="center" indent="1"/>
    </xf>
    <xf numFmtId="4" fontId="152" fillId="159" borderId="41" applyNumberFormat="0" applyProtection="0">
      <alignment horizontal="left" vertical="center" indent="1"/>
    </xf>
    <xf numFmtId="4" fontId="152" fillId="159" borderId="41" applyNumberFormat="0" applyProtection="0">
      <alignment horizontal="left" vertical="center" indent="1"/>
    </xf>
    <xf numFmtId="4" fontId="152" fillId="159" borderId="41" applyNumberFormat="0" applyProtection="0">
      <alignment horizontal="left" vertical="center" indent="1"/>
    </xf>
    <xf numFmtId="4" fontId="152" fillId="159" borderId="41" applyNumberFormat="0" applyProtection="0">
      <alignment horizontal="left" vertical="center" indent="1"/>
    </xf>
    <xf numFmtId="4" fontId="152" fillId="159" borderId="41" applyNumberFormat="0" applyProtection="0">
      <alignment horizontal="left" vertical="center" indent="1"/>
    </xf>
    <xf numFmtId="4" fontId="243" fillId="45" borderId="51" applyNumberFormat="0" applyProtection="0">
      <alignment horizontal="left" vertical="center" wrapText="1" indent="1"/>
    </xf>
    <xf numFmtId="4" fontId="152" fillId="158" borderId="41" applyNumberFormat="0" applyProtection="0">
      <alignment horizontal="left" vertical="center" indent="1"/>
    </xf>
    <xf numFmtId="4" fontId="152" fillId="158" borderId="41" applyNumberFormat="0" applyProtection="0">
      <alignment horizontal="left" vertical="center" indent="1"/>
    </xf>
    <xf numFmtId="4" fontId="152" fillId="158" borderId="41" applyNumberFormat="0" applyProtection="0">
      <alignment horizontal="left" vertical="center" indent="1"/>
    </xf>
    <xf numFmtId="4" fontId="152" fillId="158" borderId="41" applyNumberFormat="0" applyProtection="0">
      <alignment horizontal="left" vertical="center" indent="1"/>
    </xf>
    <xf numFmtId="4" fontId="152" fillId="158" borderId="41" applyNumberFormat="0" applyProtection="0">
      <alignment horizontal="left" vertical="center" indent="1"/>
    </xf>
    <xf numFmtId="4" fontId="243" fillId="47" borderId="51" applyNumberFormat="0" applyProtection="0">
      <alignment horizontal="left" vertical="center" wrapText="1" indent="1"/>
    </xf>
    <xf numFmtId="0" fontId="152" fillId="17" borderId="49" applyNumberFormat="0" applyProtection="0">
      <alignment horizontal="left" vertical="center" indent="1"/>
    </xf>
    <xf numFmtId="0" fontId="152" fillId="17" borderId="49" applyNumberFormat="0" applyProtection="0">
      <alignment horizontal="left" vertical="center" indent="1"/>
    </xf>
    <xf numFmtId="0" fontId="152" fillId="17" borderId="49" applyNumberFormat="0" applyProtection="0">
      <alignment horizontal="left" vertical="center" indent="1"/>
    </xf>
    <xf numFmtId="0" fontId="152" fillId="17" borderId="49" applyNumberFormat="0" applyProtection="0">
      <alignment horizontal="left" vertical="center" indent="1"/>
    </xf>
    <xf numFmtId="0" fontId="152" fillId="17" borderId="49" applyNumberFormat="0" applyProtection="0">
      <alignment horizontal="left" vertical="center" indent="1"/>
    </xf>
    <xf numFmtId="0" fontId="152" fillId="17" borderId="49" applyNumberFormat="0" applyProtection="0">
      <alignment horizontal="left" vertical="center" indent="1"/>
    </xf>
    <xf numFmtId="0" fontId="18" fillId="160" borderId="51" applyNumberFormat="0" applyProtection="0">
      <alignment horizontal="left" vertical="center" wrapText="1" indent="2"/>
    </xf>
    <xf numFmtId="0" fontId="18" fillId="157" borderId="50" applyNumberFormat="0" applyProtection="0">
      <alignment horizontal="left" vertical="center" indent="1"/>
    </xf>
    <xf numFmtId="0" fontId="244" fillId="47" borderId="51" applyNumberFormat="0" applyProtection="0">
      <alignment horizontal="center" vertical="center" wrapText="1"/>
    </xf>
    <xf numFmtId="0" fontId="19" fillId="157" borderId="50" applyNumberFormat="0" applyProtection="0">
      <alignment horizontal="left" vertical="top" indent="1"/>
    </xf>
    <xf numFmtId="0" fontId="19" fillId="157" borderId="50" applyNumberFormat="0" applyProtection="0">
      <alignment horizontal="left" vertical="top" indent="1"/>
    </xf>
    <xf numFmtId="0" fontId="19" fillId="157" borderId="50" applyNumberFormat="0" applyProtection="0">
      <alignment horizontal="left" vertical="top" indent="1"/>
    </xf>
    <xf numFmtId="0" fontId="19" fillId="157" borderId="50" applyNumberFormat="0" applyProtection="0">
      <alignment horizontal="left" vertical="top" indent="1"/>
    </xf>
    <xf numFmtId="0" fontId="19" fillId="157" borderId="50" applyNumberFormat="0" applyProtection="0">
      <alignment horizontal="left" vertical="top" indent="1"/>
    </xf>
    <xf numFmtId="0" fontId="19" fillId="157" borderId="50" applyNumberFormat="0" applyProtection="0">
      <alignment horizontal="left" vertical="top" indent="1"/>
    </xf>
    <xf numFmtId="0" fontId="19" fillId="157" borderId="50" applyNumberFormat="0" applyProtection="0">
      <alignment horizontal="left" vertical="top" indent="1"/>
    </xf>
    <xf numFmtId="0" fontId="19" fillId="157" borderId="50" applyNumberFormat="0" applyProtection="0">
      <alignment horizontal="left" vertical="top" indent="1"/>
    </xf>
    <xf numFmtId="0" fontId="18" fillId="157" borderId="50" applyNumberFormat="0" applyProtection="0">
      <alignment horizontal="left" vertical="top" indent="1"/>
    </xf>
    <xf numFmtId="0" fontId="152" fillId="161" borderId="49" applyNumberFormat="0" applyProtection="0">
      <alignment horizontal="left" vertical="center" indent="1"/>
    </xf>
    <xf numFmtId="0" fontId="152" fillId="161" borderId="49" applyNumberFormat="0" applyProtection="0">
      <alignment horizontal="left" vertical="center" indent="1"/>
    </xf>
    <xf numFmtId="0" fontId="152" fillId="161" borderId="49" applyNumberFormat="0" applyProtection="0">
      <alignment horizontal="left" vertical="center" indent="1"/>
    </xf>
    <xf numFmtId="0" fontId="152" fillId="161" borderId="49" applyNumberFormat="0" applyProtection="0">
      <alignment horizontal="left" vertical="center" indent="1"/>
    </xf>
    <xf numFmtId="0" fontId="152" fillId="161" borderId="49" applyNumberFormat="0" applyProtection="0">
      <alignment horizontal="left" vertical="center" indent="1"/>
    </xf>
    <xf numFmtId="0" fontId="152" fillId="161" borderId="49" applyNumberFormat="0" applyProtection="0">
      <alignment horizontal="left" vertical="center" indent="1"/>
    </xf>
    <xf numFmtId="0" fontId="18" fillId="162" borderId="51" applyNumberFormat="0" applyProtection="0">
      <alignment horizontal="left" vertical="center" wrapText="1" indent="4"/>
    </xf>
    <xf numFmtId="0" fontId="18" fillId="158" borderId="50" applyNumberFormat="0" applyProtection="0">
      <alignment horizontal="left" vertical="center" indent="1"/>
    </xf>
    <xf numFmtId="0" fontId="244" fillId="48" borderId="51" applyNumberFormat="0" applyProtection="0">
      <alignment horizontal="center" vertical="center" wrapText="1"/>
    </xf>
    <xf numFmtId="0" fontId="19" fillId="158" borderId="50" applyNumberFormat="0" applyProtection="0">
      <alignment horizontal="left" vertical="top" indent="1"/>
    </xf>
    <xf numFmtId="0" fontId="19" fillId="158" borderId="50" applyNumberFormat="0" applyProtection="0">
      <alignment horizontal="left" vertical="top" indent="1"/>
    </xf>
    <xf numFmtId="0" fontId="19" fillId="158" borderId="50" applyNumberFormat="0" applyProtection="0">
      <alignment horizontal="left" vertical="top" indent="1"/>
    </xf>
    <xf numFmtId="0" fontId="19" fillId="158" borderId="50" applyNumberFormat="0" applyProtection="0">
      <alignment horizontal="left" vertical="top" indent="1"/>
    </xf>
    <xf numFmtId="0" fontId="19" fillId="158" borderId="50" applyNumberFormat="0" applyProtection="0">
      <alignment horizontal="left" vertical="top" indent="1"/>
    </xf>
    <xf numFmtId="0" fontId="19" fillId="158" borderId="50" applyNumberFormat="0" applyProtection="0">
      <alignment horizontal="left" vertical="top" indent="1"/>
    </xf>
    <xf numFmtId="0" fontId="19" fillId="158" borderId="50" applyNumberFormat="0" applyProtection="0">
      <alignment horizontal="left" vertical="top" indent="1"/>
    </xf>
    <xf numFmtId="0" fontId="19" fillId="158" borderId="50" applyNumberFormat="0" applyProtection="0">
      <alignment horizontal="left" vertical="top" indent="1"/>
    </xf>
    <xf numFmtId="0" fontId="18" fillId="158" borderId="50" applyNumberFormat="0" applyProtection="0">
      <alignment horizontal="left" vertical="top" indent="1"/>
    </xf>
    <xf numFmtId="0" fontId="152" fillId="13" borderId="49" applyNumberFormat="0" applyProtection="0">
      <alignment horizontal="left" vertical="center" indent="1"/>
    </xf>
    <xf numFmtId="0" fontId="152" fillId="13" borderId="49" applyNumberFormat="0" applyProtection="0">
      <alignment horizontal="left" vertical="center" indent="1"/>
    </xf>
    <xf numFmtId="0" fontId="152" fillId="13" borderId="49" applyNumberFormat="0" applyProtection="0">
      <alignment horizontal="left" vertical="center" indent="1"/>
    </xf>
    <xf numFmtId="0" fontId="152" fillId="13" borderId="49" applyNumberFormat="0" applyProtection="0">
      <alignment horizontal="left" vertical="center" indent="1"/>
    </xf>
    <xf numFmtId="0" fontId="152" fillId="13" borderId="49" applyNumberFormat="0" applyProtection="0">
      <alignment horizontal="left" vertical="center" indent="1"/>
    </xf>
    <xf numFmtId="0" fontId="18" fillId="163" borderId="51" applyNumberFormat="0" applyProtection="0">
      <alignment horizontal="left" vertical="center" wrapText="1" indent="6"/>
    </xf>
    <xf numFmtId="0" fontId="152" fillId="13" borderId="49" applyNumberFormat="0" applyProtection="0">
      <alignment horizontal="left" vertical="center" indent="1"/>
    </xf>
    <xf numFmtId="0" fontId="19" fillId="13" borderId="50" applyNumberFormat="0" applyProtection="0">
      <alignment horizontal="left" vertical="top" indent="1"/>
    </xf>
    <xf numFmtId="0" fontId="19" fillId="13" borderId="50" applyNumberFormat="0" applyProtection="0">
      <alignment horizontal="left" vertical="top" indent="1"/>
    </xf>
    <xf numFmtId="0" fontId="19" fillId="13" borderId="50" applyNumberFormat="0" applyProtection="0">
      <alignment horizontal="left" vertical="top" indent="1"/>
    </xf>
    <xf numFmtId="0" fontId="19" fillId="13" borderId="50" applyNumberFormat="0" applyProtection="0">
      <alignment horizontal="left" vertical="top" indent="1"/>
    </xf>
    <xf numFmtId="0" fontId="19" fillId="13" borderId="50" applyNumberFormat="0" applyProtection="0">
      <alignment horizontal="left" vertical="top" indent="1"/>
    </xf>
    <xf numFmtId="0" fontId="19" fillId="13" borderId="50" applyNumberFormat="0" applyProtection="0">
      <alignment horizontal="left" vertical="top" indent="1"/>
    </xf>
    <xf numFmtId="0" fontId="19" fillId="13" borderId="50" applyNumberFormat="0" applyProtection="0">
      <alignment horizontal="left" vertical="top" indent="1"/>
    </xf>
    <xf numFmtId="0" fontId="19" fillId="13" borderId="50" applyNumberFormat="0" applyProtection="0">
      <alignment horizontal="left" vertical="top" indent="1"/>
    </xf>
    <xf numFmtId="0" fontId="18" fillId="13" borderId="50" applyNumberFormat="0" applyProtection="0">
      <alignment horizontal="left" vertical="top" indent="1"/>
    </xf>
    <xf numFmtId="0" fontId="152" fillId="159" borderId="49" applyNumberFormat="0" applyProtection="0">
      <alignment horizontal="left" vertical="center" indent="1"/>
    </xf>
    <xf numFmtId="0" fontId="152" fillId="159" borderId="49" applyNumberFormat="0" applyProtection="0">
      <alignment horizontal="left" vertical="center" indent="1"/>
    </xf>
    <xf numFmtId="0" fontId="152" fillId="159" borderId="49" applyNumberFormat="0" applyProtection="0">
      <alignment horizontal="left" vertical="center" indent="1"/>
    </xf>
    <xf numFmtId="0" fontId="152" fillId="159" borderId="49" applyNumberFormat="0" applyProtection="0">
      <alignment horizontal="left" vertical="center" indent="1"/>
    </xf>
    <xf numFmtId="0" fontId="152" fillId="159" borderId="49" applyNumberFormat="0" applyProtection="0">
      <alignment horizontal="left" vertical="center" indent="1"/>
    </xf>
    <xf numFmtId="0" fontId="18" fillId="0" borderId="51" applyNumberFormat="0" applyProtection="0">
      <alignment horizontal="left" vertical="center" indent="1"/>
    </xf>
    <xf numFmtId="0" fontId="152" fillId="159" borderId="49" applyNumberFormat="0" applyProtection="0">
      <alignment horizontal="left" vertical="center" indent="1"/>
    </xf>
    <xf numFmtId="0" fontId="19" fillId="159" borderId="50" applyNumberFormat="0" applyProtection="0">
      <alignment horizontal="left" vertical="top" indent="1"/>
    </xf>
    <xf numFmtId="0" fontId="19" fillId="159" borderId="50" applyNumberFormat="0" applyProtection="0">
      <alignment horizontal="left" vertical="top" indent="1"/>
    </xf>
    <xf numFmtId="0" fontId="19" fillId="159" borderId="50" applyNumberFormat="0" applyProtection="0">
      <alignment horizontal="left" vertical="top" indent="1"/>
    </xf>
    <xf numFmtId="0" fontId="19" fillId="159" borderId="50" applyNumberFormat="0" applyProtection="0">
      <alignment horizontal="left" vertical="top" indent="1"/>
    </xf>
    <xf numFmtId="0" fontId="19" fillId="159" borderId="50" applyNumberFormat="0" applyProtection="0">
      <alignment horizontal="left" vertical="top" indent="1"/>
    </xf>
    <xf numFmtId="0" fontId="19" fillId="159" borderId="50" applyNumberFormat="0" applyProtection="0">
      <alignment horizontal="left" vertical="top" indent="1"/>
    </xf>
    <xf numFmtId="0" fontId="19" fillId="159" borderId="50" applyNumberFormat="0" applyProtection="0">
      <alignment horizontal="left" vertical="top" indent="1"/>
    </xf>
    <xf numFmtId="0" fontId="19" fillId="159" borderId="50" applyNumberFormat="0" applyProtection="0">
      <alignment horizontal="left" vertical="top" indent="1"/>
    </xf>
    <xf numFmtId="0" fontId="18" fillId="159" borderId="50" applyNumberFormat="0" applyProtection="0">
      <alignment horizontal="left" vertical="top" indent="1"/>
    </xf>
    <xf numFmtId="0" fontId="18" fillId="151" borderId="2" applyNumberFormat="0">
      <protection locked="0"/>
    </xf>
    <xf numFmtId="0" fontId="18" fillId="151" borderId="2" applyNumberFormat="0">
      <protection locked="0"/>
    </xf>
    <xf numFmtId="0" fontId="19" fillId="151" borderId="52" applyNumberFormat="0">
      <protection locked="0"/>
    </xf>
    <xf numFmtId="0" fontId="19" fillId="151" borderId="52" applyNumberFormat="0">
      <protection locked="0"/>
    </xf>
    <xf numFmtId="0" fontId="19" fillId="151" borderId="52" applyNumberFormat="0">
      <protection locked="0"/>
    </xf>
    <xf numFmtId="0" fontId="19" fillId="151" borderId="52" applyNumberFormat="0">
      <protection locked="0"/>
    </xf>
    <xf numFmtId="0" fontId="19" fillId="151" borderId="52" applyNumberFormat="0">
      <protection locked="0"/>
    </xf>
    <xf numFmtId="0" fontId="19" fillId="151" borderId="52" applyNumberFormat="0">
      <protection locked="0"/>
    </xf>
    <xf numFmtId="0" fontId="19" fillId="151" borderId="52" applyNumberFormat="0">
      <protection locked="0"/>
    </xf>
    <xf numFmtId="0" fontId="19" fillId="151" borderId="52" applyNumberFormat="0">
      <protection locked="0"/>
    </xf>
    <xf numFmtId="0" fontId="18" fillId="151" borderId="2" applyNumberFormat="0">
      <protection locked="0"/>
    </xf>
    <xf numFmtId="0" fontId="245" fillId="157" borderId="53" applyBorder="0"/>
    <xf numFmtId="4" fontId="246" fillId="34" borderId="50" applyNumberFormat="0" applyProtection="0">
      <alignment vertical="center"/>
    </xf>
    <xf numFmtId="4" fontId="246" fillId="34" borderId="50" applyNumberFormat="0" applyProtection="0">
      <alignment vertical="center"/>
    </xf>
    <xf numFmtId="4" fontId="246" fillId="34" borderId="50" applyNumberFormat="0" applyProtection="0">
      <alignment vertical="center"/>
    </xf>
    <xf numFmtId="4" fontId="246" fillId="34" borderId="50" applyNumberFormat="0" applyProtection="0">
      <alignment vertical="center"/>
    </xf>
    <xf numFmtId="4" fontId="246" fillId="34" borderId="50" applyNumberFormat="0" applyProtection="0">
      <alignment vertical="center"/>
    </xf>
    <xf numFmtId="4" fontId="192" fillId="49" borderId="2" applyNumberFormat="0" applyProtection="0">
      <alignment vertical="center"/>
    </xf>
    <xf numFmtId="4" fontId="192" fillId="49" borderId="2" applyNumberFormat="0" applyProtection="0">
      <alignment vertical="center"/>
    </xf>
    <xf numFmtId="4" fontId="192" fillId="49" borderId="2" applyNumberFormat="0" applyProtection="0">
      <alignment vertical="center"/>
    </xf>
    <xf numFmtId="4" fontId="192" fillId="49" borderId="2" applyNumberFormat="0" applyProtection="0">
      <alignment vertical="center"/>
    </xf>
    <xf numFmtId="4" fontId="192" fillId="49" borderId="2" applyNumberFormat="0" applyProtection="0">
      <alignment vertical="center"/>
    </xf>
    <xf numFmtId="4" fontId="192" fillId="49" borderId="2" applyNumberFormat="0" applyProtection="0">
      <alignment vertical="center"/>
    </xf>
    <xf numFmtId="4" fontId="192" fillId="49" borderId="2" applyNumberFormat="0" applyProtection="0">
      <alignment vertical="center"/>
    </xf>
    <xf numFmtId="4" fontId="192" fillId="49" borderId="2" applyNumberFormat="0" applyProtection="0">
      <alignment vertical="center"/>
    </xf>
    <xf numFmtId="4" fontId="192" fillId="49" borderId="2" applyNumberFormat="0" applyProtection="0">
      <alignment vertical="center"/>
    </xf>
    <xf numFmtId="4" fontId="192" fillId="49" borderId="2" applyNumberFormat="0" applyProtection="0">
      <alignment vertical="center"/>
    </xf>
    <xf numFmtId="4" fontId="246" fillId="17" borderId="50" applyNumberFormat="0" applyProtection="0">
      <alignment horizontal="left" vertical="center" indent="1"/>
    </xf>
    <xf numFmtId="4" fontId="246" fillId="17" borderId="50" applyNumberFormat="0" applyProtection="0">
      <alignment horizontal="left" vertical="center" indent="1"/>
    </xf>
    <xf numFmtId="4" fontId="246" fillId="17" borderId="50" applyNumberFormat="0" applyProtection="0">
      <alignment horizontal="left" vertical="center" indent="1"/>
    </xf>
    <xf numFmtId="4" fontId="246" fillId="17" borderId="50" applyNumberFormat="0" applyProtection="0">
      <alignment horizontal="left" vertical="center" indent="1"/>
    </xf>
    <xf numFmtId="4" fontId="246" fillId="17" borderId="50" applyNumberFormat="0" applyProtection="0">
      <alignment horizontal="left" vertical="center" indent="1"/>
    </xf>
    <xf numFmtId="0" fontId="246" fillId="34" borderId="50" applyNumberFormat="0" applyProtection="0">
      <alignment horizontal="left" vertical="top" indent="1"/>
    </xf>
    <xf numFmtId="0" fontId="246" fillId="34" borderId="50" applyNumberFormat="0" applyProtection="0">
      <alignment horizontal="left" vertical="top" indent="1"/>
    </xf>
    <xf numFmtId="0" fontId="246" fillId="34" borderId="50" applyNumberFormat="0" applyProtection="0">
      <alignment horizontal="left" vertical="top" indent="1"/>
    </xf>
    <xf numFmtId="0" fontId="246" fillId="34" borderId="50" applyNumberFormat="0" applyProtection="0">
      <alignment horizontal="left" vertical="top" indent="1"/>
    </xf>
    <xf numFmtId="0" fontId="246" fillId="34" borderId="50" applyNumberFormat="0" applyProtection="0">
      <alignment horizontal="left" vertical="top" indent="1"/>
    </xf>
    <xf numFmtId="4" fontId="152" fillId="0" borderId="49" applyNumberFormat="0" applyProtection="0">
      <alignment horizontal="right" vertical="center"/>
    </xf>
    <xf numFmtId="4" fontId="152" fillId="0" borderId="49" applyNumberFormat="0" applyProtection="0">
      <alignment horizontal="right" vertical="center"/>
    </xf>
    <xf numFmtId="4" fontId="152" fillId="0" borderId="49" applyNumberFormat="0" applyProtection="0">
      <alignment horizontal="right" vertical="center"/>
    </xf>
    <xf numFmtId="4" fontId="152" fillId="0" borderId="49" applyNumberFormat="0" applyProtection="0">
      <alignment horizontal="right" vertical="center"/>
    </xf>
    <xf numFmtId="4" fontId="152" fillId="0" borderId="49" applyNumberFormat="0" applyProtection="0">
      <alignment horizontal="right" vertical="center"/>
    </xf>
    <xf numFmtId="4" fontId="152" fillId="0" borderId="49" applyNumberFormat="0" applyProtection="0">
      <alignment horizontal="right" vertical="center"/>
    </xf>
    <xf numFmtId="4" fontId="192" fillId="58" borderId="49" applyNumberFormat="0" applyProtection="0">
      <alignment horizontal="right" vertical="center"/>
    </xf>
    <xf numFmtId="4" fontId="192" fillId="58" borderId="49" applyNumberFormat="0" applyProtection="0">
      <alignment horizontal="right" vertical="center"/>
    </xf>
    <xf numFmtId="4" fontId="192" fillId="58" borderId="49" applyNumberFormat="0" applyProtection="0">
      <alignment horizontal="right" vertical="center"/>
    </xf>
    <xf numFmtId="4" fontId="192" fillId="58" borderId="49" applyNumberFormat="0" applyProtection="0">
      <alignment horizontal="right" vertical="center"/>
    </xf>
    <xf numFmtId="4" fontId="192" fillId="58" borderId="49" applyNumberFormat="0" applyProtection="0">
      <alignment horizontal="right" vertical="center"/>
    </xf>
    <xf numFmtId="4" fontId="152" fillId="20" borderId="49" applyNumberFormat="0" applyProtection="0">
      <alignment horizontal="left" vertical="center" indent="1"/>
    </xf>
    <xf numFmtId="4" fontId="152" fillId="20" borderId="49" applyNumberFormat="0" applyProtection="0">
      <alignment horizontal="left" vertical="center" indent="1"/>
    </xf>
    <xf numFmtId="4" fontId="152" fillId="20" borderId="49" applyNumberFormat="0" applyProtection="0">
      <alignment horizontal="left" vertical="center" indent="1"/>
    </xf>
    <xf numFmtId="4" fontId="152" fillId="20" borderId="49" applyNumberFormat="0" applyProtection="0">
      <alignment horizontal="left" vertical="center" indent="1"/>
    </xf>
    <xf numFmtId="4" fontId="152" fillId="20" borderId="49" applyNumberFormat="0" applyProtection="0">
      <alignment horizontal="left" vertical="center" indent="1"/>
    </xf>
    <xf numFmtId="4" fontId="152" fillId="20" borderId="49" applyNumberFormat="0" applyProtection="0">
      <alignment horizontal="left" vertical="center" indent="1"/>
    </xf>
    <xf numFmtId="0" fontId="18" fillId="5" borderId="54" applyNumberFormat="0" applyProtection="0">
      <alignment horizontal="left" vertical="center" wrapText="1"/>
    </xf>
    <xf numFmtId="4" fontId="152" fillId="20" borderId="49" applyNumberFormat="0" applyProtection="0">
      <alignment horizontal="left" vertical="center" indent="1"/>
    </xf>
    <xf numFmtId="0" fontId="246" fillId="158" borderId="50" applyNumberFormat="0" applyProtection="0">
      <alignment horizontal="left" vertical="top" indent="1"/>
    </xf>
    <xf numFmtId="0" fontId="246" fillId="158" borderId="50" applyNumberFormat="0" applyProtection="0">
      <alignment horizontal="left" vertical="top" indent="1"/>
    </xf>
    <xf numFmtId="0" fontId="246" fillId="158" borderId="50" applyNumberFormat="0" applyProtection="0">
      <alignment horizontal="left" vertical="top" indent="1"/>
    </xf>
    <xf numFmtId="0" fontId="246" fillId="158" borderId="50" applyNumberFormat="0" applyProtection="0">
      <alignment horizontal="left" vertical="top" indent="1"/>
    </xf>
    <xf numFmtId="0" fontId="246" fillId="158" borderId="50" applyNumberFormat="0" applyProtection="0">
      <alignment horizontal="left" vertical="top" indent="1"/>
    </xf>
    <xf numFmtId="0" fontId="244" fillId="12" borderId="51" applyNumberFormat="0" applyProtection="0">
      <alignment horizontal="center" vertical="center"/>
    </xf>
    <xf numFmtId="4" fontId="192" fillId="164" borderId="41" applyNumberFormat="0" applyProtection="0">
      <alignment horizontal="left" vertical="center" indent="1"/>
    </xf>
    <xf numFmtId="4" fontId="192" fillId="164" borderId="41" applyNumberFormat="0" applyProtection="0">
      <alignment horizontal="left" vertical="center" indent="1"/>
    </xf>
    <xf numFmtId="4" fontId="192" fillId="164" borderId="41" applyNumberFormat="0" applyProtection="0">
      <alignment horizontal="left" vertical="center" indent="1"/>
    </xf>
    <xf numFmtId="4" fontId="192" fillId="164" borderId="41" applyNumberFormat="0" applyProtection="0">
      <alignment horizontal="left" vertical="center" indent="1"/>
    </xf>
    <xf numFmtId="4" fontId="192" fillId="164" borderId="41" applyNumberFormat="0" applyProtection="0">
      <alignment horizontal="left" vertical="center" indent="1"/>
    </xf>
    <xf numFmtId="0" fontId="247" fillId="0" borderId="0" applyNumberFormat="0" applyProtection="0"/>
    <xf numFmtId="0" fontId="152" fillId="165" borderId="2"/>
    <xf numFmtId="0" fontId="152" fillId="165" borderId="2"/>
    <xf numFmtId="4" fontId="192" fillId="151" borderId="49" applyNumberFormat="0" applyProtection="0">
      <alignment horizontal="right" vertical="center"/>
    </xf>
    <xf numFmtId="4" fontId="192" fillId="151" borderId="49" applyNumberFormat="0" applyProtection="0">
      <alignment horizontal="right" vertical="center"/>
    </xf>
    <xf numFmtId="4" fontId="192" fillId="151" borderId="49" applyNumberFormat="0" applyProtection="0">
      <alignment horizontal="right" vertical="center"/>
    </xf>
    <xf numFmtId="4" fontId="192" fillId="151" borderId="49" applyNumberFormat="0" applyProtection="0">
      <alignment horizontal="right" vertical="center"/>
    </xf>
    <xf numFmtId="4" fontId="192" fillId="151" borderId="49" applyNumberFormat="0" applyProtection="0">
      <alignment horizontal="right" vertical="center"/>
    </xf>
    <xf numFmtId="0" fontId="248" fillId="0" borderId="44"/>
    <xf numFmtId="0" fontId="192" fillId="0" borderId="0" applyNumberFormat="0" applyFill="0" applyBorder="0" applyAlignment="0" applyProtection="0"/>
    <xf numFmtId="0" fontId="209" fillId="0" borderId="0" applyFill="0" applyBorder="0" applyAlignment="0" applyProtection="0"/>
    <xf numFmtId="0" fontId="85" fillId="0" borderId="0" applyNumberFormat="0" applyFill="0" applyBorder="0" applyAlignment="0" applyProtection="0">
      <alignment horizontal="center"/>
    </xf>
    <xf numFmtId="0" fontId="18" fillId="0" borderId="0"/>
    <xf numFmtId="0" fontId="72" fillId="0" borderId="0"/>
    <xf numFmtId="38" fontId="108" fillId="56" borderId="0">
      <alignment horizontal="right" vertical="top"/>
    </xf>
    <xf numFmtId="38" fontId="108" fillId="56" borderId="0">
      <alignment horizontal="right" vertical="top"/>
    </xf>
    <xf numFmtId="38" fontId="108" fillId="56" borderId="0">
      <alignment horizontal="right" vertical="top"/>
    </xf>
    <xf numFmtId="38" fontId="108" fillId="56" borderId="0">
      <alignment horizontal="right" vertical="top"/>
    </xf>
    <xf numFmtId="246" fontId="31" fillId="0" borderId="0"/>
    <xf numFmtId="49" fontId="95" fillId="0" borderId="0" applyFill="0" applyBorder="0" applyAlignment="0"/>
    <xf numFmtId="247" fontId="95" fillId="0" borderId="0" applyFill="0" applyBorder="0" applyAlignment="0"/>
    <xf numFmtId="248" fontId="95" fillId="0" borderId="0" applyFill="0" applyBorder="0" applyAlignment="0"/>
    <xf numFmtId="0" fontId="39" fillId="0" borderId="0" applyNumberFormat="0" applyFill="0" applyBorder="0" applyAlignment="0" applyProtection="0"/>
    <xf numFmtId="0" fontId="224" fillId="0" borderId="0" applyNumberFormat="0" applyFill="0" applyBorder="0" applyAlignment="0" applyProtection="0"/>
    <xf numFmtId="0" fontId="192" fillId="0" borderId="41">
      <alignment horizontal="left" vertical="top" wrapText="1"/>
    </xf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5" fillId="58" borderId="24" applyNumberFormat="0">
      <alignment horizontal="center" vertical="center"/>
    </xf>
    <xf numFmtId="0" fontId="114" fillId="0" borderId="0" applyNumberFormat="0" applyFill="0" applyBorder="0" applyAlignment="0" applyProtection="0"/>
    <xf numFmtId="0" fontId="144" fillId="0" borderId="30" applyNumberFormat="0" applyFill="0" applyAlignment="0" applyProtection="0"/>
    <xf numFmtId="0" fontId="44" fillId="0" borderId="26" applyNumberFormat="0" applyFont="0" applyFill="0" applyAlignment="0" applyProtection="0"/>
    <xf numFmtId="0" fontId="144" fillId="0" borderId="30" applyNumberFormat="0" applyFill="0" applyAlignment="0" applyProtection="0"/>
    <xf numFmtId="249" fontId="18" fillId="0" borderId="0" applyFont="0" applyFill="0" applyBorder="0" applyAlignment="0" applyProtection="0"/>
    <xf numFmtId="250" fontId="18" fillId="0" borderId="0" applyFont="0" applyFill="0" applyBorder="0" applyAlignment="0" applyProtection="0"/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251" fontId="209" fillId="0" borderId="0" applyFont="0" applyFill="0" applyBorder="0" applyAlignment="0" applyProtection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34" fillId="110" borderId="0" applyNumberFormat="0" applyBorder="0" applyAlignment="0" applyProtection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201" fillId="72" borderId="0" applyNumberFormat="0" applyBorder="0" applyAlignment="0" applyProtection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33" fillId="118" borderId="0" applyNumberFormat="0" applyBorder="0" applyAlignment="0" applyProtection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34" fillId="118" borderId="0" applyNumberFormat="0" applyBorder="0" applyAlignment="0" applyProtection="0"/>
    <xf numFmtId="0" fontId="33" fillId="118" borderId="0" applyNumberFormat="0" applyBorder="0" applyAlignment="0" applyProtection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34" fillId="118" borderId="0" applyNumberFormat="0" applyBorder="0" applyAlignment="0" applyProtection="0"/>
    <xf numFmtId="0" fontId="34" fillId="118" borderId="0" applyNumberFormat="0" applyBorder="0" applyAlignment="0" applyProtection="0"/>
    <xf numFmtId="0" fontId="34" fillId="22" borderId="0" applyNumberFormat="0" applyBorder="0" applyAlignment="0" applyProtection="0"/>
    <xf numFmtId="0" fontId="34" fillId="118" borderId="0" applyNumberFormat="0" applyBorder="0" applyAlignment="0" applyProtection="0"/>
    <xf numFmtId="0" fontId="34" fillId="22" borderId="0" applyNumberFormat="0" applyBorder="0" applyAlignment="0" applyProtection="0"/>
    <xf numFmtId="0" fontId="34" fillId="118" borderId="0" applyNumberFormat="0" applyBorder="0" applyAlignment="0" applyProtection="0"/>
    <xf numFmtId="0" fontId="34" fillId="22" borderId="0" applyNumberFormat="0" applyBorder="0" applyAlignment="0" applyProtection="0"/>
    <xf numFmtId="0" fontId="34" fillId="118" borderId="0" applyNumberFormat="0" applyBorder="0" applyAlignment="0" applyProtection="0"/>
    <xf numFmtId="0" fontId="34" fillId="22" borderId="0" applyNumberFormat="0" applyBorder="0" applyAlignment="0" applyProtection="0"/>
    <xf numFmtId="0" fontId="33" fillId="22" borderId="0" applyNumberFormat="0" applyBorder="0" applyAlignment="0" applyProtection="0"/>
    <xf numFmtId="0" fontId="202" fillId="22" borderId="0" applyNumberFormat="0" applyBorder="0" applyAlignment="0" applyProtection="0"/>
    <xf numFmtId="0" fontId="33" fillId="22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4" fillId="126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201" fillId="76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125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4" fillId="126" borderId="0" applyNumberFormat="0" applyBorder="0" applyAlignment="0" applyProtection="0"/>
    <xf numFmtId="0" fontId="33" fillId="125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4" fillId="126" borderId="0" applyNumberFormat="0" applyBorder="0" applyAlignment="0" applyProtection="0"/>
    <xf numFmtId="0" fontId="34" fillId="126" borderId="0" applyNumberFormat="0" applyBorder="0" applyAlignment="0" applyProtection="0"/>
    <xf numFmtId="0" fontId="34" fillId="23" borderId="0" applyNumberFormat="0" applyBorder="0" applyAlignment="0" applyProtection="0"/>
    <xf numFmtId="0" fontId="34" fillId="126" borderId="0" applyNumberFormat="0" applyBorder="0" applyAlignment="0" applyProtection="0"/>
    <xf numFmtId="0" fontId="34" fillId="23" borderId="0" applyNumberFormat="0" applyBorder="0" applyAlignment="0" applyProtection="0"/>
    <xf numFmtId="0" fontId="34" fillId="126" borderId="0" applyNumberFormat="0" applyBorder="0" applyAlignment="0" applyProtection="0"/>
    <xf numFmtId="0" fontId="34" fillId="23" borderId="0" applyNumberFormat="0" applyBorder="0" applyAlignment="0" applyProtection="0"/>
    <xf numFmtId="0" fontId="34" fillId="126" borderId="0" applyNumberFormat="0" applyBorder="0" applyAlignment="0" applyProtection="0"/>
    <xf numFmtId="0" fontId="34" fillId="23" borderId="0" applyNumberFormat="0" applyBorder="0" applyAlignment="0" applyProtection="0"/>
    <xf numFmtId="0" fontId="33" fillId="23" borderId="0" applyNumberFormat="0" applyBorder="0" applyAlignment="0" applyProtection="0"/>
    <xf numFmtId="0" fontId="202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4" fillId="132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201" fillId="80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132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4" fillId="132" borderId="0" applyNumberFormat="0" applyBorder="0" applyAlignment="0" applyProtection="0"/>
    <xf numFmtId="0" fontId="33" fillId="132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4" fillId="132" borderId="0" applyNumberFormat="0" applyBorder="0" applyAlignment="0" applyProtection="0"/>
    <xf numFmtId="0" fontId="34" fillId="132" borderId="0" applyNumberFormat="0" applyBorder="0" applyAlignment="0" applyProtection="0"/>
    <xf numFmtId="0" fontId="34" fillId="24" borderId="0" applyNumberFormat="0" applyBorder="0" applyAlignment="0" applyProtection="0"/>
    <xf numFmtId="0" fontId="34" fillId="132" borderId="0" applyNumberFormat="0" applyBorder="0" applyAlignment="0" applyProtection="0"/>
    <xf numFmtId="0" fontId="34" fillId="24" borderId="0" applyNumberFormat="0" applyBorder="0" applyAlignment="0" applyProtection="0"/>
    <xf numFmtId="0" fontId="34" fillId="132" borderId="0" applyNumberFormat="0" applyBorder="0" applyAlignment="0" applyProtection="0"/>
    <xf numFmtId="0" fontId="34" fillId="24" borderId="0" applyNumberFormat="0" applyBorder="0" applyAlignment="0" applyProtection="0"/>
    <xf numFmtId="0" fontId="34" fillId="132" borderId="0" applyNumberFormat="0" applyBorder="0" applyAlignment="0" applyProtection="0"/>
    <xf numFmtId="0" fontId="34" fillId="24" borderId="0" applyNumberFormat="0" applyBorder="0" applyAlignment="0" applyProtection="0"/>
    <xf numFmtId="0" fontId="33" fillId="24" borderId="0" applyNumberFormat="0" applyBorder="0" applyAlignment="0" applyProtection="0"/>
    <xf numFmtId="0" fontId="202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4" fillId="166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201" fillId="84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0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4" fillId="109" borderId="0" applyNumberFormat="0" applyBorder="0" applyAlignment="0" applyProtection="0"/>
    <xf numFmtId="0" fontId="33" fillId="10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4" fillId="109" borderId="0" applyNumberFormat="0" applyBorder="0" applyAlignment="0" applyProtection="0"/>
    <xf numFmtId="0" fontId="34" fillId="109" borderId="0" applyNumberFormat="0" applyBorder="0" applyAlignment="0" applyProtection="0"/>
    <xf numFmtId="0" fontId="34" fillId="19" borderId="0" applyNumberFormat="0" applyBorder="0" applyAlignment="0" applyProtection="0"/>
    <xf numFmtId="0" fontId="34" fillId="109" borderId="0" applyNumberFormat="0" applyBorder="0" applyAlignment="0" applyProtection="0"/>
    <xf numFmtId="0" fontId="34" fillId="19" borderId="0" applyNumberFormat="0" applyBorder="0" applyAlignment="0" applyProtection="0"/>
    <xf numFmtId="0" fontId="34" fillId="109" borderId="0" applyNumberFormat="0" applyBorder="0" applyAlignment="0" applyProtection="0"/>
    <xf numFmtId="0" fontId="34" fillId="19" borderId="0" applyNumberFormat="0" applyBorder="0" applyAlignment="0" applyProtection="0"/>
    <xf numFmtId="0" fontId="34" fillId="109" borderId="0" applyNumberFormat="0" applyBorder="0" applyAlignment="0" applyProtection="0"/>
    <xf numFmtId="0" fontId="34" fillId="19" borderId="0" applyNumberFormat="0" applyBorder="0" applyAlignment="0" applyProtection="0"/>
    <xf numFmtId="0" fontId="33" fillId="19" borderId="0" applyNumberFormat="0" applyBorder="0" applyAlignment="0" applyProtection="0"/>
    <xf numFmtId="0" fontId="202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4" fillId="11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201" fillId="88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11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4" fillId="110" borderId="0" applyNumberFormat="0" applyBorder="0" applyAlignment="0" applyProtection="0"/>
    <xf numFmtId="0" fontId="33" fillId="11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4" fillId="110" borderId="0" applyNumberFormat="0" applyBorder="0" applyAlignment="0" applyProtection="0"/>
    <xf numFmtId="0" fontId="34" fillId="110" borderId="0" applyNumberFormat="0" applyBorder="0" applyAlignment="0" applyProtection="0"/>
    <xf numFmtId="0" fontId="34" fillId="20" borderId="0" applyNumberFormat="0" applyBorder="0" applyAlignment="0" applyProtection="0"/>
    <xf numFmtId="0" fontId="34" fillId="110" borderId="0" applyNumberFormat="0" applyBorder="0" applyAlignment="0" applyProtection="0"/>
    <xf numFmtId="0" fontId="34" fillId="20" borderId="0" applyNumberFormat="0" applyBorder="0" applyAlignment="0" applyProtection="0"/>
    <xf numFmtId="0" fontId="34" fillId="110" borderId="0" applyNumberFormat="0" applyBorder="0" applyAlignment="0" applyProtection="0"/>
    <xf numFmtId="0" fontId="34" fillId="20" borderId="0" applyNumberFormat="0" applyBorder="0" applyAlignment="0" applyProtection="0"/>
    <xf numFmtId="0" fontId="34" fillId="110" borderId="0" applyNumberFormat="0" applyBorder="0" applyAlignment="0" applyProtection="0"/>
    <xf numFmtId="0" fontId="34" fillId="20" borderId="0" applyNumberFormat="0" applyBorder="0" applyAlignment="0" applyProtection="0"/>
    <xf numFmtId="0" fontId="33" fillId="20" borderId="0" applyNumberFormat="0" applyBorder="0" applyAlignment="0" applyProtection="0"/>
    <xf numFmtId="0" fontId="202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5" borderId="0" applyNumberFormat="0" applyBorder="0" applyAlignment="0" applyProtection="0"/>
    <xf numFmtId="0" fontId="33" fillId="25" borderId="0" applyNumberFormat="0" applyBorder="0" applyAlignment="0" applyProtection="0"/>
    <xf numFmtId="0" fontId="33" fillId="25" borderId="0" applyNumberFormat="0" applyBorder="0" applyAlignment="0" applyProtection="0"/>
    <xf numFmtId="0" fontId="33" fillId="25" borderId="0" applyNumberFormat="0" applyBorder="0" applyAlignment="0" applyProtection="0"/>
    <xf numFmtId="0" fontId="33" fillId="25" borderId="0" applyNumberFormat="0" applyBorder="0" applyAlignment="0" applyProtection="0"/>
    <xf numFmtId="0" fontId="34" fillId="138" borderId="0" applyNumberFormat="0" applyBorder="0" applyAlignment="0" applyProtection="0"/>
    <xf numFmtId="0" fontId="33" fillId="25" borderId="0" applyNumberFormat="0" applyBorder="0" applyAlignment="0" applyProtection="0"/>
    <xf numFmtId="0" fontId="33" fillId="25" borderId="0" applyNumberFormat="0" applyBorder="0" applyAlignment="0" applyProtection="0"/>
    <xf numFmtId="0" fontId="33" fillId="25" borderId="0" applyNumberFormat="0" applyBorder="0" applyAlignment="0" applyProtection="0"/>
    <xf numFmtId="0" fontId="201" fillId="92" borderId="0" applyNumberFormat="0" applyBorder="0" applyAlignment="0" applyProtection="0"/>
    <xf numFmtId="0" fontId="33" fillId="25" borderId="0" applyNumberFormat="0" applyBorder="0" applyAlignment="0" applyProtection="0"/>
    <xf numFmtId="0" fontId="33" fillId="25" borderId="0" applyNumberFormat="0" applyBorder="0" applyAlignment="0" applyProtection="0"/>
    <xf numFmtId="0" fontId="33" fillId="25" borderId="0" applyNumberFormat="0" applyBorder="0" applyAlignment="0" applyProtection="0"/>
    <xf numFmtId="0" fontId="33" fillId="25" borderId="0" applyNumberFormat="0" applyBorder="0" applyAlignment="0" applyProtection="0"/>
    <xf numFmtId="0" fontId="33" fillId="25" borderId="0" applyNumberFormat="0" applyBorder="0" applyAlignment="0" applyProtection="0"/>
    <xf numFmtId="0" fontId="33" fillId="25" borderId="0" applyNumberFormat="0" applyBorder="0" applyAlignment="0" applyProtection="0"/>
    <xf numFmtId="0" fontId="33" fillId="25" borderId="0" applyNumberFormat="0" applyBorder="0" applyAlignment="0" applyProtection="0"/>
    <xf numFmtId="0" fontId="33" fillId="25" borderId="0" applyNumberFormat="0" applyBorder="0" applyAlignment="0" applyProtection="0"/>
    <xf numFmtId="0" fontId="33" fillId="25" borderId="0" applyNumberFormat="0" applyBorder="0" applyAlignment="0" applyProtection="0"/>
    <xf numFmtId="0" fontId="33" fillId="25" borderId="0" applyNumberFormat="0" applyBorder="0" applyAlignment="0" applyProtection="0"/>
    <xf numFmtId="0" fontId="33" fillId="25" borderId="0" applyNumberFormat="0" applyBorder="0" applyAlignment="0" applyProtection="0"/>
    <xf numFmtId="0" fontId="33" fillId="25" borderId="0" applyNumberFormat="0" applyBorder="0" applyAlignment="0" applyProtection="0"/>
    <xf numFmtId="0" fontId="33" fillId="25" borderId="0" applyNumberFormat="0" applyBorder="0" applyAlignment="0" applyProtection="0"/>
    <xf numFmtId="0" fontId="33" fillId="25" borderId="0" applyNumberFormat="0" applyBorder="0" applyAlignment="0" applyProtection="0"/>
    <xf numFmtId="0" fontId="33" fillId="138" borderId="0" applyNumberFormat="0" applyBorder="0" applyAlignment="0" applyProtection="0"/>
    <xf numFmtId="0" fontId="33" fillId="25" borderId="0" applyNumberFormat="0" applyBorder="0" applyAlignment="0" applyProtection="0"/>
    <xf numFmtId="0" fontId="33" fillId="25" borderId="0" applyNumberFormat="0" applyBorder="0" applyAlignment="0" applyProtection="0"/>
    <xf numFmtId="0" fontId="34" fillId="138" borderId="0" applyNumberFormat="0" applyBorder="0" applyAlignment="0" applyProtection="0"/>
    <xf numFmtId="0" fontId="33" fillId="138" borderId="0" applyNumberFormat="0" applyBorder="0" applyAlignment="0" applyProtection="0"/>
    <xf numFmtId="0" fontId="33" fillId="25" borderId="0" applyNumberFormat="0" applyBorder="0" applyAlignment="0" applyProtection="0"/>
    <xf numFmtId="0" fontId="33" fillId="25" borderId="0" applyNumberFormat="0" applyBorder="0" applyAlignment="0" applyProtection="0"/>
    <xf numFmtId="0" fontId="33" fillId="25" borderId="0" applyNumberFormat="0" applyBorder="0" applyAlignment="0" applyProtection="0"/>
    <xf numFmtId="0" fontId="34" fillId="138" borderId="0" applyNumberFormat="0" applyBorder="0" applyAlignment="0" applyProtection="0"/>
    <xf numFmtId="0" fontId="34" fillId="138" borderId="0" applyNumberFormat="0" applyBorder="0" applyAlignment="0" applyProtection="0"/>
    <xf numFmtId="0" fontId="34" fillId="25" borderId="0" applyNumberFormat="0" applyBorder="0" applyAlignment="0" applyProtection="0"/>
    <xf numFmtId="0" fontId="34" fillId="138" borderId="0" applyNumberFormat="0" applyBorder="0" applyAlignment="0" applyProtection="0"/>
    <xf numFmtId="0" fontId="34" fillId="25" borderId="0" applyNumberFormat="0" applyBorder="0" applyAlignment="0" applyProtection="0"/>
    <xf numFmtId="0" fontId="34" fillId="138" borderId="0" applyNumberFormat="0" applyBorder="0" applyAlignment="0" applyProtection="0"/>
    <xf numFmtId="0" fontId="34" fillId="25" borderId="0" applyNumberFormat="0" applyBorder="0" applyAlignment="0" applyProtection="0"/>
    <xf numFmtId="0" fontId="34" fillId="138" borderId="0" applyNumberFormat="0" applyBorder="0" applyAlignment="0" applyProtection="0"/>
    <xf numFmtId="0" fontId="34" fillId="25" borderId="0" applyNumberFormat="0" applyBorder="0" applyAlignment="0" applyProtection="0"/>
    <xf numFmtId="0" fontId="33" fillId="25" borderId="0" applyNumberFormat="0" applyBorder="0" applyAlignment="0" applyProtection="0"/>
    <xf numFmtId="0" fontId="202" fillId="25" borderId="0" applyNumberFormat="0" applyBorder="0" applyAlignment="0" applyProtection="0"/>
    <xf numFmtId="0" fontId="33" fillId="25" borderId="0" applyNumberFormat="0" applyBorder="0" applyAlignment="0" applyProtection="0"/>
    <xf numFmtId="0" fontId="78" fillId="12" borderId="6" applyNumberFormat="0" applyAlignment="0" applyProtection="0"/>
    <xf numFmtId="0" fontId="78" fillId="12" borderId="6" applyNumberFormat="0" applyAlignment="0" applyProtection="0"/>
    <xf numFmtId="0" fontId="78" fillId="12" borderId="6" applyNumberFormat="0" applyAlignment="0" applyProtection="0"/>
    <xf numFmtId="0" fontId="78" fillId="12" borderId="6" applyNumberFormat="0" applyAlignment="0" applyProtection="0"/>
    <xf numFmtId="0" fontId="78" fillId="12" borderId="6" applyNumberFormat="0" applyAlignment="0" applyProtection="0"/>
    <xf numFmtId="0" fontId="78" fillId="12" borderId="6" applyNumberFormat="0" applyAlignment="0" applyProtection="0"/>
    <xf numFmtId="0" fontId="78" fillId="12" borderId="6" applyNumberFormat="0" applyAlignment="0" applyProtection="0"/>
    <xf numFmtId="0" fontId="78" fillId="12" borderId="6" applyNumberFormat="0" applyAlignment="0" applyProtection="0"/>
    <xf numFmtId="0" fontId="78" fillId="12" borderId="6" applyNumberFormat="0" applyAlignment="0" applyProtection="0"/>
    <xf numFmtId="0" fontId="78" fillId="12" borderId="6" applyNumberFormat="0" applyAlignment="0" applyProtection="0"/>
    <xf numFmtId="0" fontId="78" fillId="12" borderId="6" applyNumberFormat="0" applyAlignment="0" applyProtection="0"/>
    <xf numFmtId="0" fontId="78" fillId="12" borderId="6" applyNumberFormat="0" applyAlignment="0" applyProtection="0"/>
    <xf numFmtId="0" fontId="78" fillId="12" borderId="6" applyNumberFormat="0" applyAlignment="0" applyProtection="0"/>
    <xf numFmtId="0" fontId="78" fillId="12" borderId="6" applyNumberFormat="0" applyAlignment="0" applyProtection="0"/>
    <xf numFmtId="0" fontId="121" fillId="102" borderId="6" applyNumberFormat="0" applyAlignment="0" applyProtection="0"/>
    <xf numFmtId="0" fontId="78" fillId="102" borderId="6" applyNumberFormat="0" applyAlignment="0" applyProtection="0"/>
    <xf numFmtId="0" fontId="78" fillId="12" borderId="6" applyNumberFormat="0" applyAlignment="0" applyProtection="0"/>
    <xf numFmtId="0" fontId="78" fillId="12" borderId="6" applyNumberFormat="0" applyAlignment="0" applyProtection="0"/>
    <xf numFmtId="0" fontId="121" fillId="102" borderId="6" applyNumberFormat="0" applyAlignment="0" applyProtection="0"/>
    <xf numFmtId="0" fontId="78" fillId="102" borderId="6" applyNumberFormat="0" applyAlignment="0" applyProtection="0"/>
    <xf numFmtId="0" fontId="78" fillId="12" borderId="6" applyNumberFormat="0" applyAlignment="0" applyProtection="0"/>
    <xf numFmtId="0" fontId="78" fillId="12" borderId="6" applyNumberFormat="0" applyAlignment="0" applyProtection="0"/>
    <xf numFmtId="0" fontId="78" fillId="12" borderId="6" applyNumberFormat="0" applyAlignment="0" applyProtection="0"/>
    <xf numFmtId="0" fontId="78" fillId="12" borderId="6" applyNumberFormat="0" applyAlignment="0" applyProtection="0"/>
    <xf numFmtId="0" fontId="121" fillId="102" borderId="6" applyNumberFormat="0" applyAlignment="0" applyProtection="0"/>
    <xf numFmtId="0" fontId="121" fillId="102" borderId="6" applyNumberFormat="0" applyAlignment="0" applyProtection="0"/>
    <xf numFmtId="0" fontId="121" fillId="102" borderId="6" applyNumberFormat="0" applyAlignment="0" applyProtection="0"/>
    <xf numFmtId="0" fontId="121" fillId="102" borderId="6" applyNumberFormat="0" applyAlignment="0" applyProtection="0"/>
    <xf numFmtId="0" fontId="121" fillId="102" borderId="6" applyNumberFormat="0" applyAlignment="0" applyProtection="0"/>
    <xf numFmtId="0" fontId="78" fillId="12" borderId="6" applyNumberFormat="0" applyAlignment="0" applyProtection="0"/>
    <xf numFmtId="0" fontId="249" fillId="12" borderId="6" applyNumberFormat="0" applyAlignment="0" applyProtection="0"/>
    <xf numFmtId="0" fontId="18" fillId="3" borderId="0" applyNumberFormat="0" applyFont="0" applyBorder="0" applyAlignment="0">
      <protection locked="0"/>
    </xf>
    <xf numFmtId="0" fontId="87" fillId="17" borderId="16" applyNumberFormat="0" applyAlignment="0" applyProtection="0"/>
    <xf numFmtId="0" fontId="87" fillId="17" borderId="16" applyNumberFormat="0" applyAlignment="0" applyProtection="0"/>
    <xf numFmtId="0" fontId="87" fillId="17" borderId="16" applyNumberFormat="0" applyAlignment="0" applyProtection="0"/>
    <xf numFmtId="0" fontId="87" fillId="17" borderId="16" applyNumberFormat="0" applyAlignment="0" applyProtection="0"/>
    <xf numFmtId="0" fontId="87" fillId="17" borderId="16" applyNumberFormat="0" applyAlignment="0" applyProtection="0"/>
    <xf numFmtId="0" fontId="123" fillId="167" borderId="16" applyNumberFormat="0" applyAlignment="0" applyProtection="0"/>
    <xf numFmtId="0" fontId="87" fillId="17" borderId="16" applyNumberFormat="0" applyAlignment="0" applyProtection="0"/>
    <xf numFmtId="0" fontId="87" fillId="17" borderId="16" applyNumberFormat="0" applyAlignment="0" applyProtection="0"/>
    <xf numFmtId="0" fontId="87" fillId="17" borderId="16" applyNumberFormat="0" applyAlignment="0" applyProtection="0"/>
    <xf numFmtId="0" fontId="250" fillId="69" borderId="35" applyNumberFormat="0" applyAlignment="0" applyProtection="0"/>
    <xf numFmtId="0" fontId="87" fillId="17" borderId="16" applyNumberFormat="0" applyAlignment="0" applyProtection="0"/>
    <xf numFmtId="0" fontId="87" fillId="17" borderId="16" applyNumberFormat="0" applyAlignment="0" applyProtection="0"/>
    <xf numFmtId="0" fontId="87" fillId="17" borderId="16" applyNumberFormat="0" applyAlignment="0" applyProtection="0"/>
    <xf numFmtId="0" fontId="87" fillId="17" borderId="16" applyNumberFormat="0" applyAlignment="0" applyProtection="0"/>
    <xf numFmtId="0" fontId="87" fillId="17" borderId="16" applyNumberFormat="0" applyAlignment="0" applyProtection="0"/>
    <xf numFmtId="0" fontId="87" fillId="17" borderId="16" applyNumberFormat="0" applyAlignment="0" applyProtection="0"/>
    <xf numFmtId="0" fontId="87" fillId="17" borderId="16" applyNumberFormat="0" applyAlignment="0" applyProtection="0"/>
    <xf numFmtId="0" fontId="87" fillId="17" borderId="16" applyNumberFormat="0" applyAlignment="0" applyProtection="0"/>
    <xf numFmtId="0" fontId="87" fillId="17" borderId="16" applyNumberFormat="0" applyAlignment="0" applyProtection="0"/>
    <xf numFmtId="0" fontId="87" fillId="17" borderId="16" applyNumberFormat="0" applyAlignment="0" applyProtection="0"/>
    <xf numFmtId="0" fontId="87" fillId="17" borderId="16" applyNumberFormat="0" applyAlignment="0" applyProtection="0"/>
    <xf numFmtId="0" fontId="87" fillId="17" borderId="16" applyNumberFormat="0" applyAlignment="0" applyProtection="0"/>
    <xf numFmtId="0" fontId="87" fillId="17" borderId="16" applyNumberFormat="0" applyAlignment="0" applyProtection="0"/>
    <xf numFmtId="0" fontId="87" fillId="17" borderId="16" applyNumberFormat="0" applyAlignment="0" applyProtection="0"/>
    <xf numFmtId="0" fontId="87" fillId="107" borderId="16" applyNumberFormat="0" applyAlignment="0" applyProtection="0"/>
    <xf numFmtId="0" fontId="87" fillId="17" borderId="16" applyNumberFormat="0" applyAlignment="0" applyProtection="0"/>
    <xf numFmtId="0" fontId="87" fillId="17" borderId="16" applyNumberFormat="0" applyAlignment="0" applyProtection="0"/>
    <xf numFmtId="0" fontId="123" fillId="107" borderId="16" applyNumberFormat="0" applyAlignment="0" applyProtection="0"/>
    <xf numFmtId="0" fontId="87" fillId="107" borderId="16" applyNumberFormat="0" applyAlignment="0" applyProtection="0"/>
    <xf numFmtId="0" fontId="87" fillId="17" borderId="16" applyNumberFormat="0" applyAlignment="0" applyProtection="0"/>
    <xf numFmtId="0" fontId="87" fillId="17" borderId="16" applyNumberFormat="0" applyAlignment="0" applyProtection="0"/>
    <xf numFmtId="0" fontId="87" fillId="17" borderId="16" applyNumberFormat="0" applyAlignment="0" applyProtection="0"/>
    <xf numFmtId="0" fontId="123" fillId="107" borderId="16" applyNumberFormat="0" applyAlignment="0" applyProtection="0"/>
    <xf numFmtId="0" fontId="123" fillId="107" borderId="16" applyNumberFormat="0" applyAlignment="0" applyProtection="0"/>
    <xf numFmtId="0" fontId="123" fillId="17" borderId="16" applyNumberFormat="0" applyAlignment="0" applyProtection="0"/>
    <xf numFmtId="0" fontId="123" fillId="107" borderId="16" applyNumberFormat="0" applyAlignment="0" applyProtection="0"/>
    <xf numFmtId="0" fontId="123" fillId="17" borderId="16" applyNumberFormat="0" applyAlignment="0" applyProtection="0"/>
    <xf numFmtId="0" fontId="123" fillId="107" borderId="16" applyNumberFormat="0" applyAlignment="0" applyProtection="0"/>
    <xf numFmtId="0" fontId="123" fillId="17" borderId="16" applyNumberFormat="0" applyAlignment="0" applyProtection="0"/>
    <xf numFmtId="0" fontId="123" fillId="107" borderId="16" applyNumberFormat="0" applyAlignment="0" applyProtection="0"/>
    <xf numFmtId="0" fontId="123" fillId="17" borderId="16" applyNumberFormat="0" applyAlignment="0" applyProtection="0"/>
    <xf numFmtId="0" fontId="87" fillId="17" borderId="16" applyNumberFormat="0" applyAlignment="0" applyProtection="0"/>
    <xf numFmtId="0" fontId="251" fillId="17" borderId="16" applyNumberFormat="0" applyAlignment="0" applyProtection="0"/>
    <xf numFmtId="0" fontId="87" fillId="17" borderId="16" applyNumberFormat="0" applyAlignment="0" applyProtection="0"/>
    <xf numFmtId="0" fontId="40" fillId="17" borderId="6" applyNumberFormat="0" applyAlignment="0" applyProtection="0"/>
    <xf numFmtId="0" fontId="40" fillId="17" borderId="6" applyNumberFormat="0" applyAlignment="0" applyProtection="0"/>
    <xf numFmtId="0" fontId="40" fillId="17" borderId="6" applyNumberFormat="0" applyAlignment="0" applyProtection="0"/>
    <xf numFmtId="0" fontId="40" fillId="17" borderId="6" applyNumberFormat="0" applyAlignment="0" applyProtection="0"/>
    <xf numFmtId="0" fontId="40" fillId="17" borderId="6" applyNumberFormat="0" applyAlignment="0" applyProtection="0"/>
    <xf numFmtId="0" fontId="124" fillId="167" borderId="6" applyNumberFormat="0" applyAlignment="0" applyProtection="0"/>
    <xf numFmtId="0" fontId="40" fillId="17" borderId="6" applyNumberFormat="0" applyAlignment="0" applyProtection="0"/>
    <xf numFmtId="0" fontId="40" fillId="17" borderId="6" applyNumberFormat="0" applyAlignment="0" applyProtection="0"/>
    <xf numFmtId="0" fontId="40" fillId="17" borderId="6" applyNumberFormat="0" applyAlignment="0" applyProtection="0"/>
    <xf numFmtId="0" fontId="252" fillId="69" borderId="34" applyNumberFormat="0" applyAlignment="0" applyProtection="0"/>
    <xf numFmtId="0" fontId="40" fillId="17" borderId="6" applyNumberFormat="0" applyAlignment="0" applyProtection="0"/>
    <xf numFmtId="0" fontId="40" fillId="17" borderId="6" applyNumberFormat="0" applyAlignment="0" applyProtection="0"/>
    <xf numFmtId="0" fontId="40" fillId="17" borderId="6" applyNumberFormat="0" applyAlignment="0" applyProtection="0"/>
    <xf numFmtId="0" fontId="40" fillId="17" borderId="6" applyNumberFormat="0" applyAlignment="0" applyProtection="0"/>
    <xf numFmtId="0" fontId="40" fillId="17" borderId="6" applyNumberFormat="0" applyAlignment="0" applyProtection="0"/>
    <xf numFmtId="0" fontId="40" fillId="17" borderId="6" applyNumberFormat="0" applyAlignment="0" applyProtection="0"/>
    <xf numFmtId="0" fontId="40" fillId="17" borderId="6" applyNumberFormat="0" applyAlignment="0" applyProtection="0"/>
    <xf numFmtId="0" fontId="40" fillId="17" borderId="6" applyNumberFormat="0" applyAlignment="0" applyProtection="0"/>
    <xf numFmtId="0" fontId="40" fillId="17" borderId="6" applyNumberFormat="0" applyAlignment="0" applyProtection="0"/>
    <xf numFmtId="0" fontId="40" fillId="17" borderId="6" applyNumberFormat="0" applyAlignment="0" applyProtection="0"/>
    <xf numFmtId="0" fontId="40" fillId="17" borderId="6" applyNumberFormat="0" applyAlignment="0" applyProtection="0"/>
    <xf numFmtId="0" fontId="40" fillId="17" borderId="6" applyNumberFormat="0" applyAlignment="0" applyProtection="0"/>
    <xf numFmtId="0" fontId="40" fillId="17" borderId="6" applyNumberFormat="0" applyAlignment="0" applyProtection="0"/>
    <xf numFmtId="0" fontId="40" fillId="17" borderId="6" applyNumberFormat="0" applyAlignment="0" applyProtection="0"/>
    <xf numFmtId="0" fontId="40" fillId="107" borderId="6" applyNumberFormat="0" applyAlignment="0" applyProtection="0"/>
    <xf numFmtId="0" fontId="40" fillId="17" borderId="6" applyNumberFormat="0" applyAlignment="0" applyProtection="0"/>
    <xf numFmtId="0" fontId="40" fillId="17" borderId="6" applyNumberFormat="0" applyAlignment="0" applyProtection="0"/>
    <xf numFmtId="0" fontId="124" fillId="107" borderId="6" applyNumberFormat="0" applyAlignment="0" applyProtection="0"/>
    <xf numFmtId="0" fontId="40" fillId="107" borderId="6" applyNumberFormat="0" applyAlignment="0" applyProtection="0"/>
    <xf numFmtId="0" fontId="40" fillId="17" borderId="6" applyNumberFormat="0" applyAlignment="0" applyProtection="0"/>
    <xf numFmtId="0" fontId="40" fillId="17" borderId="6" applyNumberFormat="0" applyAlignment="0" applyProtection="0"/>
    <xf numFmtId="0" fontId="40" fillId="17" borderId="6" applyNumberFormat="0" applyAlignment="0" applyProtection="0"/>
    <xf numFmtId="0" fontId="124" fillId="107" borderId="6" applyNumberFormat="0" applyAlignment="0" applyProtection="0"/>
    <xf numFmtId="0" fontId="124" fillId="107" borderId="6" applyNumberFormat="0" applyAlignment="0" applyProtection="0"/>
    <xf numFmtId="0" fontId="124" fillId="17" borderId="6" applyNumberFormat="0" applyAlignment="0" applyProtection="0"/>
    <xf numFmtId="0" fontId="124" fillId="107" borderId="6" applyNumberFormat="0" applyAlignment="0" applyProtection="0"/>
    <xf numFmtId="0" fontId="124" fillId="17" borderId="6" applyNumberFormat="0" applyAlignment="0" applyProtection="0"/>
    <xf numFmtId="0" fontId="124" fillId="107" borderId="6" applyNumberFormat="0" applyAlignment="0" applyProtection="0"/>
    <xf numFmtId="0" fontId="124" fillId="17" borderId="6" applyNumberFormat="0" applyAlignment="0" applyProtection="0"/>
    <xf numFmtId="0" fontId="124" fillId="107" borderId="6" applyNumberFormat="0" applyAlignment="0" applyProtection="0"/>
    <xf numFmtId="0" fontId="124" fillId="17" borderId="6" applyNumberFormat="0" applyAlignment="0" applyProtection="0"/>
    <xf numFmtId="0" fontId="40" fillId="17" borderId="6" applyNumberFormat="0" applyAlignment="0" applyProtection="0"/>
    <xf numFmtId="0" fontId="253" fillId="17" borderId="6" applyNumberFormat="0" applyAlignment="0" applyProtection="0"/>
    <xf numFmtId="0" fontId="40" fillId="17" borderId="6" applyNumberFormat="0" applyAlignment="0" applyProtection="0"/>
    <xf numFmtId="0" fontId="127" fillId="0" borderId="0" applyNumberFormat="0" applyFill="0" applyBorder="0" applyAlignment="0" applyProtection="0">
      <alignment vertical="top"/>
      <protection locked="0"/>
    </xf>
    <xf numFmtId="0" fontId="125" fillId="0" borderId="0" applyNumberFormat="0" applyFill="0" applyBorder="0" applyAlignment="0" applyProtection="0">
      <alignment vertical="top"/>
      <protection locked="0"/>
    </xf>
    <xf numFmtId="0" fontId="187" fillId="0" borderId="0" applyNumberFormat="0" applyFill="0" applyBorder="0" applyAlignment="0" applyProtection="0">
      <alignment vertical="top"/>
      <protection locked="0"/>
    </xf>
    <xf numFmtId="0" fontId="184" fillId="0" borderId="0" applyNumberFormat="0" applyFill="0" applyBorder="0" applyAlignment="0" applyProtection="0">
      <alignment vertical="top"/>
      <protection locked="0"/>
    </xf>
    <xf numFmtId="166" fontId="26" fillId="0" borderId="0" applyFont="0" applyFill="0" applyBorder="0" applyAlignment="0" applyProtection="0"/>
    <xf numFmtId="252" fontId="24" fillId="0" borderId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206" fontId="18" fillId="0" borderId="0" applyFont="0" applyFill="0" applyBorder="0" applyAlignment="0" applyProtection="0"/>
    <xf numFmtId="166" fontId="26" fillId="0" borderId="0" applyFont="0" applyFill="0" applyBorder="0" applyAlignment="0" applyProtection="0"/>
    <xf numFmtId="253" fontId="24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252" fontId="24" fillId="0" borderId="0" applyFill="0" applyBorder="0" applyAlignment="0" applyProtection="0"/>
    <xf numFmtId="166" fontId="31" fillId="0" borderId="0" applyFont="0" applyFill="0" applyBorder="0" applyAlignment="0" applyProtection="0"/>
    <xf numFmtId="166" fontId="254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0" fontId="18" fillId="0" borderId="0"/>
    <xf numFmtId="0" fontId="18" fillId="0" borderId="0"/>
    <xf numFmtId="0" fontId="135" fillId="0" borderId="27" applyNumberFormat="0" applyFill="0" applyAlignment="0" applyProtection="0"/>
    <xf numFmtId="0" fontId="135" fillId="0" borderId="27" applyNumberFormat="0" applyFill="0" applyAlignment="0" applyProtection="0"/>
    <xf numFmtId="0" fontId="135" fillId="0" borderId="27" applyNumberFormat="0" applyFill="0" applyAlignment="0" applyProtection="0"/>
    <xf numFmtId="0" fontId="135" fillId="0" borderId="27" applyNumberFormat="0" applyFill="0" applyAlignment="0" applyProtection="0"/>
    <xf numFmtId="0" fontId="135" fillId="0" borderId="27" applyNumberFormat="0" applyFill="0" applyAlignment="0" applyProtection="0"/>
    <xf numFmtId="0" fontId="255" fillId="0" borderId="55" applyNumberFormat="0" applyFill="0" applyAlignment="0" applyProtection="0"/>
    <xf numFmtId="0" fontId="135" fillId="0" borderId="27" applyNumberFormat="0" applyFill="0" applyAlignment="0" applyProtection="0"/>
    <xf numFmtId="0" fontId="135" fillId="0" borderId="27" applyNumberFormat="0" applyFill="0" applyAlignment="0" applyProtection="0"/>
    <xf numFmtId="0" fontId="135" fillId="0" borderId="27" applyNumberFormat="0" applyFill="0" applyAlignment="0" applyProtection="0"/>
    <xf numFmtId="0" fontId="256" fillId="0" borderId="33" applyNumberFormat="0" applyFill="0" applyAlignment="0" applyProtection="0"/>
    <xf numFmtId="0" fontId="135" fillId="0" borderId="27" applyNumberFormat="0" applyFill="0" applyAlignment="0" applyProtection="0"/>
    <xf numFmtId="0" fontId="135" fillId="0" borderId="27" applyNumberFormat="0" applyFill="0" applyAlignment="0" applyProtection="0"/>
    <xf numFmtId="0" fontId="135" fillId="0" borderId="27" applyNumberFormat="0" applyFill="0" applyAlignment="0" applyProtection="0"/>
    <xf numFmtId="0" fontId="135" fillId="0" borderId="27" applyNumberFormat="0" applyFill="0" applyAlignment="0" applyProtection="0"/>
    <xf numFmtId="0" fontId="135" fillId="0" borderId="27" applyNumberFormat="0" applyFill="0" applyAlignment="0" applyProtection="0"/>
    <xf numFmtId="0" fontId="135" fillId="0" borderId="27" applyNumberFormat="0" applyFill="0" applyAlignment="0" applyProtection="0"/>
    <xf numFmtId="0" fontId="135" fillId="0" borderId="27" applyNumberFormat="0" applyFill="0" applyAlignment="0" applyProtection="0"/>
    <xf numFmtId="0" fontId="135" fillId="0" borderId="27" applyNumberFormat="0" applyFill="0" applyAlignment="0" applyProtection="0"/>
    <xf numFmtId="0" fontId="135" fillId="0" borderId="27" applyNumberFormat="0" applyFill="0" applyAlignment="0" applyProtection="0"/>
    <xf numFmtId="0" fontId="135" fillId="0" borderId="27" applyNumberFormat="0" applyFill="0" applyAlignment="0" applyProtection="0"/>
    <xf numFmtId="0" fontId="135" fillId="0" borderId="27" applyNumberFormat="0" applyFill="0" applyAlignment="0" applyProtection="0"/>
    <xf numFmtId="0" fontId="135" fillId="0" borderId="27" applyNumberFormat="0" applyFill="0" applyAlignment="0" applyProtection="0"/>
    <xf numFmtId="0" fontId="135" fillId="0" borderId="27" applyNumberFormat="0" applyFill="0" applyAlignment="0" applyProtection="0"/>
    <xf numFmtId="0" fontId="135" fillId="0" borderId="27" applyNumberFormat="0" applyFill="0" applyAlignment="0" applyProtection="0"/>
    <xf numFmtId="0" fontId="135" fillId="0" borderId="27" applyNumberFormat="0" applyFill="0" applyAlignment="0" applyProtection="0"/>
    <xf numFmtId="0" fontId="135" fillId="0" borderId="27" applyNumberFormat="0" applyFill="0" applyAlignment="0" applyProtection="0"/>
    <xf numFmtId="0" fontId="135" fillId="0" borderId="27" applyNumberFormat="0" applyFill="0" applyAlignment="0" applyProtection="0"/>
    <xf numFmtId="0" fontId="135" fillId="0" borderId="27" applyNumberFormat="0" applyFill="0" applyAlignment="0" applyProtection="0"/>
    <xf numFmtId="0" fontId="135" fillId="0" borderId="27" applyNumberFormat="0" applyFill="0" applyAlignment="0" applyProtection="0"/>
    <xf numFmtId="0" fontId="135" fillId="0" borderId="27" applyNumberFormat="0" applyFill="0" applyAlignment="0" applyProtection="0"/>
    <xf numFmtId="0" fontId="135" fillId="0" borderId="27" applyNumberFormat="0" applyFill="0" applyAlignment="0" applyProtection="0"/>
    <xf numFmtId="0" fontId="136" fillId="0" borderId="27" applyNumberFormat="0" applyFill="0" applyAlignment="0" applyProtection="0"/>
    <xf numFmtId="0" fontId="136" fillId="0" borderId="27" applyNumberFormat="0" applyFill="0" applyAlignment="0" applyProtection="0"/>
    <xf numFmtId="0" fontId="136" fillId="0" borderId="27" applyNumberFormat="0" applyFill="0" applyAlignment="0" applyProtection="0"/>
    <xf numFmtId="0" fontId="136" fillId="0" borderId="27" applyNumberFormat="0" applyFill="0" applyAlignment="0" applyProtection="0"/>
    <xf numFmtId="0" fontId="135" fillId="0" borderId="27" applyNumberFormat="0" applyFill="0" applyAlignment="0" applyProtection="0"/>
    <xf numFmtId="0" fontId="135" fillId="0" borderId="27" applyNumberFormat="0" applyFill="0" applyAlignment="0" applyProtection="0"/>
    <xf numFmtId="203" fontId="140" fillId="0" borderId="0" applyProtection="0">
      <alignment horizontal="center"/>
    </xf>
    <xf numFmtId="0" fontId="137" fillId="0" borderId="28" applyNumberFormat="0" applyFill="0" applyAlignment="0" applyProtection="0"/>
    <xf numFmtId="0" fontId="137" fillId="0" borderId="28" applyNumberFormat="0" applyFill="0" applyAlignment="0" applyProtection="0"/>
    <xf numFmtId="0" fontId="137" fillId="0" borderId="28" applyNumberFormat="0" applyFill="0" applyAlignment="0" applyProtection="0"/>
    <xf numFmtId="0" fontId="137" fillId="0" borderId="28" applyNumberFormat="0" applyFill="0" applyAlignment="0" applyProtection="0"/>
    <xf numFmtId="0" fontId="137" fillId="0" borderId="28" applyNumberFormat="0" applyFill="0" applyAlignment="0" applyProtection="0"/>
    <xf numFmtId="0" fontId="137" fillId="0" borderId="28" applyNumberFormat="0" applyFill="0" applyAlignment="0" applyProtection="0"/>
    <xf numFmtId="0" fontId="137" fillId="0" borderId="28" applyNumberFormat="0" applyFill="0" applyAlignment="0" applyProtection="0"/>
    <xf numFmtId="0" fontId="257" fillId="0" borderId="28" applyNumberFormat="0" applyFill="0" applyAlignment="0" applyProtection="0"/>
    <xf numFmtId="0" fontId="137" fillId="0" borderId="28" applyNumberFormat="0" applyFill="0" applyAlignment="0" applyProtection="0"/>
    <xf numFmtId="0" fontId="137" fillId="0" borderId="28" applyNumberFormat="0" applyFill="0" applyAlignment="0" applyProtection="0"/>
    <xf numFmtId="0" fontId="137" fillId="0" borderId="28" applyNumberFormat="0" applyFill="0" applyAlignment="0" applyProtection="0"/>
    <xf numFmtId="0" fontId="258" fillId="0" borderId="3" applyNumberFormat="0" applyFill="0" applyAlignment="0" applyProtection="0"/>
    <xf numFmtId="0" fontId="137" fillId="0" borderId="28" applyNumberFormat="0" applyFill="0" applyAlignment="0" applyProtection="0"/>
    <xf numFmtId="0" fontId="137" fillId="0" borderId="28" applyNumberFormat="0" applyFill="0" applyAlignment="0" applyProtection="0"/>
    <xf numFmtId="0" fontId="137" fillId="0" borderId="28" applyNumberFormat="0" applyFill="0" applyAlignment="0" applyProtection="0"/>
    <xf numFmtId="0" fontId="137" fillId="0" borderId="28" applyNumberFormat="0" applyFill="0" applyAlignment="0" applyProtection="0"/>
    <xf numFmtId="0" fontId="137" fillId="0" borderId="28" applyNumberFormat="0" applyFill="0" applyAlignment="0" applyProtection="0"/>
    <xf numFmtId="0" fontId="137" fillId="0" borderId="28" applyNumberFormat="0" applyFill="0" applyAlignment="0" applyProtection="0"/>
    <xf numFmtId="0" fontId="137" fillId="0" borderId="28" applyNumberFormat="0" applyFill="0" applyAlignment="0" applyProtection="0"/>
    <xf numFmtId="0" fontId="137" fillId="0" borderId="28" applyNumberFormat="0" applyFill="0" applyAlignment="0" applyProtection="0"/>
    <xf numFmtId="0" fontId="137" fillId="0" borderId="28" applyNumberFormat="0" applyFill="0" applyAlignment="0" applyProtection="0"/>
    <xf numFmtId="0" fontId="137" fillId="0" borderId="28" applyNumberFormat="0" applyFill="0" applyAlignment="0" applyProtection="0"/>
    <xf numFmtId="0" fontId="137" fillId="0" borderId="28" applyNumberFormat="0" applyFill="0" applyAlignment="0" applyProtection="0"/>
    <xf numFmtId="0" fontId="137" fillId="0" borderId="28" applyNumberFormat="0" applyFill="0" applyAlignment="0" applyProtection="0"/>
    <xf numFmtId="0" fontId="137" fillId="0" borderId="28" applyNumberFormat="0" applyFill="0" applyAlignment="0" applyProtection="0"/>
    <xf numFmtId="0" fontId="137" fillId="0" borderId="28" applyNumberFormat="0" applyFill="0" applyAlignment="0" applyProtection="0"/>
    <xf numFmtId="0" fontId="137" fillId="0" borderId="28" applyNumberFormat="0" applyFill="0" applyAlignment="0" applyProtection="0"/>
    <xf numFmtId="0" fontId="137" fillId="0" borderId="28" applyNumberFormat="0" applyFill="0" applyAlignment="0" applyProtection="0"/>
    <xf numFmtId="0" fontId="137" fillId="0" borderId="28" applyNumberFormat="0" applyFill="0" applyAlignment="0" applyProtection="0"/>
    <xf numFmtId="0" fontId="137" fillId="0" borderId="28" applyNumberFormat="0" applyFill="0" applyAlignment="0" applyProtection="0"/>
    <xf numFmtId="0" fontId="138" fillId="0" borderId="28" applyNumberFormat="0" applyFill="0" applyAlignment="0" applyProtection="0"/>
    <xf numFmtId="0" fontId="138" fillId="0" borderId="28" applyNumberFormat="0" applyFill="0" applyAlignment="0" applyProtection="0"/>
    <xf numFmtId="0" fontId="138" fillId="0" borderId="28" applyNumberFormat="0" applyFill="0" applyAlignment="0" applyProtection="0"/>
    <xf numFmtId="0" fontId="138" fillId="0" borderId="28" applyNumberFormat="0" applyFill="0" applyAlignment="0" applyProtection="0"/>
    <xf numFmtId="0" fontId="137" fillId="0" borderId="28" applyNumberFormat="0" applyFill="0" applyAlignment="0" applyProtection="0"/>
    <xf numFmtId="0" fontId="137" fillId="0" borderId="28" applyNumberFormat="0" applyFill="0" applyAlignment="0" applyProtection="0"/>
    <xf numFmtId="0" fontId="70" fillId="0" borderId="12" applyNumberFormat="0" applyFill="0" applyAlignment="0" applyProtection="0"/>
    <xf numFmtId="0" fontId="70" fillId="0" borderId="12" applyNumberFormat="0" applyFill="0" applyAlignment="0" applyProtection="0"/>
    <xf numFmtId="0" fontId="70" fillId="0" borderId="12" applyNumberFormat="0" applyFill="0" applyAlignment="0" applyProtection="0"/>
    <xf numFmtId="0" fontId="70" fillId="0" borderId="12" applyNumberFormat="0" applyFill="0" applyAlignment="0" applyProtection="0"/>
    <xf numFmtId="0" fontId="70" fillId="0" borderId="12" applyNumberFormat="0" applyFill="0" applyAlignment="0" applyProtection="0"/>
    <xf numFmtId="0" fontId="70" fillId="0" borderId="12" applyNumberFormat="0" applyFill="0" applyAlignment="0" applyProtection="0"/>
    <xf numFmtId="0" fontId="70" fillId="0" borderId="12" applyNumberFormat="0" applyFill="0" applyAlignment="0" applyProtection="0"/>
    <xf numFmtId="0" fontId="259" fillId="0" borderId="56" applyNumberFormat="0" applyFill="0" applyAlignment="0" applyProtection="0"/>
    <xf numFmtId="0" fontId="70" fillId="0" borderId="12" applyNumberFormat="0" applyFill="0" applyAlignment="0" applyProtection="0"/>
    <xf numFmtId="0" fontId="70" fillId="0" borderId="12" applyNumberFormat="0" applyFill="0" applyAlignment="0" applyProtection="0"/>
    <xf numFmtId="0" fontId="70" fillId="0" borderId="12" applyNumberFormat="0" applyFill="0" applyAlignment="0" applyProtection="0"/>
    <xf numFmtId="0" fontId="260" fillId="0" borderId="4" applyNumberFormat="0" applyFill="0" applyAlignment="0" applyProtection="0"/>
    <xf numFmtId="0" fontId="70" fillId="0" borderId="12" applyNumberFormat="0" applyFill="0" applyAlignment="0" applyProtection="0"/>
    <xf numFmtId="0" fontId="70" fillId="0" borderId="12" applyNumberFormat="0" applyFill="0" applyAlignment="0" applyProtection="0"/>
    <xf numFmtId="0" fontId="70" fillId="0" borderId="12" applyNumberFormat="0" applyFill="0" applyAlignment="0" applyProtection="0"/>
    <xf numFmtId="0" fontId="70" fillId="0" borderId="12" applyNumberFormat="0" applyFill="0" applyAlignment="0" applyProtection="0"/>
    <xf numFmtId="0" fontId="70" fillId="0" borderId="12" applyNumberFormat="0" applyFill="0" applyAlignment="0" applyProtection="0"/>
    <xf numFmtId="0" fontId="70" fillId="0" borderId="12" applyNumberFormat="0" applyFill="0" applyAlignment="0" applyProtection="0"/>
    <xf numFmtId="0" fontId="70" fillId="0" borderId="12" applyNumberFormat="0" applyFill="0" applyAlignment="0" applyProtection="0"/>
    <xf numFmtId="0" fontId="70" fillId="0" borderId="12" applyNumberFormat="0" applyFill="0" applyAlignment="0" applyProtection="0"/>
    <xf numFmtId="0" fontId="70" fillId="0" borderId="12" applyNumberFormat="0" applyFill="0" applyAlignment="0" applyProtection="0"/>
    <xf numFmtId="0" fontId="70" fillId="0" borderId="12" applyNumberFormat="0" applyFill="0" applyAlignment="0" applyProtection="0"/>
    <xf numFmtId="0" fontId="70" fillId="0" borderId="12" applyNumberFormat="0" applyFill="0" applyAlignment="0" applyProtection="0"/>
    <xf numFmtId="0" fontId="70" fillId="0" borderId="12" applyNumberFormat="0" applyFill="0" applyAlignment="0" applyProtection="0"/>
    <xf numFmtId="0" fontId="70" fillId="0" borderId="12" applyNumberFormat="0" applyFill="0" applyAlignment="0" applyProtection="0"/>
    <xf numFmtId="0" fontId="70" fillId="0" borderId="12" applyNumberFormat="0" applyFill="0" applyAlignment="0" applyProtection="0"/>
    <xf numFmtId="0" fontId="70" fillId="0" borderId="12" applyNumberFormat="0" applyFill="0" applyAlignment="0" applyProtection="0"/>
    <xf numFmtId="0" fontId="70" fillId="0" borderId="12" applyNumberFormat="0" applyFill="0" applyAlignment="0" applyProtection="0"/>
    <xf numFmtId="0" fontId="70" fillId="0" borderId="12" applyNumberFormat="0" applyFill="0" applyAlignment="0" applyProtection="0"/>
    <xf numFmtId="0" fontId="70" fillId="0" borderId="12" applyNumberFormat="0" applyFill="0" applyAlignment="0" applyProtection="0"/>
    <xf numFmtId="0" fontId="139" fillId="0" borderId="12" applyNumberFormat="0" applyFill="0" applyAlignment="0" applyProtection="0"/>
    <xf numFmtId="0" fontId="139" fillId="0" borderId="12" applyNumberFormat="0" applyFill="0" applyAlignment="0" applyProtection="0"/>
    <xf numFmtId="0" fontId="139" fillId="0" borderId="12" applyNumberFormat="0" applyFill="0" applyAlignment="0" applyProtection="0"/>
    <xf numFmtId="0" fontId="139" fillId="0" borderId="12" applyNumberFormat="0" applyFill="0" applyAlignment="0" applyProtection="0"/>
    <xf numFmtId="0" fontId="70" fillId="0" borderId="12" applyNumberFormat="0" applyFill="0" applyAlignment="0" applyProtection="0"/>
    <xf numFmtId="0" fontId="70" fillId="0" borderId="12" applyNumberFormat="0" applyFill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259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26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139" fillId="0" borderId="0" applyNumberFormat="0" applyFill="0" applyBorder="0" applyAlignment="0" applyProtection="0"/>
    <xf numFmtId="0" fontId="139" fillId="0" borderId="0" applyNumberFormat="0" applyFill="0" applyBorder="0" applyAlignment="0" applyProtection="0"/>
    <xf numFmtId="0" fontId="139" fillId="0" borderId="0" applyNumberFormat="0" applyFill="0" applyBorder="0" applyAlignment="0" applyProtection="0"/>
    <xf numFmtId="0" fontId="139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203" fontId="140" fillId="0" borderId="0" applyProtection="0">
      <alignment horizontal="center"/>
    </xf>
    <xf numFmtId="203" fontId="140" fillId="0" borderId="0" applyProtection="0">
      <alignment horizontal="center"/>
    </xf>
    <xf numFmtId="203" fontId="140" fillId="0" borderId="0" applyProtection="0">
      <alignment horizontal="center"/>
    </xf>
    <xf numFmtId="0" fontId="144" fillId="0" borderId="30" applyNumberFormat="0" applyFill="0" applyAlignment="0" applyProtection="0"/>
    <xf numFmtId="0" fontId="144" fillId="0" borderId="30" applyNumberFormat="0" applyFill="0" applyAlignment="0" applyProtection="0"/>
    <xf numFmtId="0" fontId="144" fillId="0" borderId="30" applyNumberFormat="0" applyFill="0" applyAlignment="0" applyProtection="0"/>
    <xf numFmtId="0" fontId="144" fillId="0" borderId="30" applyNumberFormat="0" applyFill="0" applyAlignment="0" applyProtection="0"/>
    <xf numFmtId="0" fontId="144" fillId="0" borderId="30" applyNumberFormat="0" applyFill="0" applyAlignment="0" applyProtection="0"/>
    <xf numFmtId="0" fontId="145" fillId="0" borderId="57" applyNumberFormat="0" applyFill="0" applyAlignment="0" applyProtection="0"/>
    <xf numFmtId="0" fontId="144" fillId="0" borderId="30" applyNumberFormat="0" applyFill="0" applyAlignment="0" applyProtection="0"/>
    <xf numFmtId="0" fontId="144" fillId="0" borderId="30" applyNumberFormat="0" applyFill="0" applyAlignment="0" applyProtection="0"/>
    <xf numFmtId="0" fontId="144" fillId="0" borderId="30" applyNumberFormat="0" applyFill="0" applyAlignment="0" applyProtection="0"/>
    <xf numFmtId="0" fontId="261" fillId="0" borderId="39" applyNumberFormat="0" applyFill="0" applyAlignment="0" applyProtection="0"/>
    <xf numFmtId="0" fontId="144" fillId="0" borderId="30" applyNumberFormat="0" applyFill="0" applyAlignment="0" applyProtection="0"/>
    <xf numFmtId="0" fontId="144" fillId="0" borderId="30" applyNumberFormat="0" applyFill="0" applyAlignment="0" applyProtection="0"/>
    <xf numFmtId="0" fontId="144" fillId="0" borderId="30" applyNumberFormat="0" applyFill="0" applyAlignment="0" applyProtection="0"/>
    <xf numFmtId="0" fontId="144" fillId="0" borderId="30" applyNumberFormat="0" applyFill="0" applyAlignment="0" applyProtection="0"/>
    <xf numFmtId="0" fontId="144" fillId="0" borderId="30" applyNumberFormat="0" applyFill="0" applyAlignment="0" applyProtection="0"/>
    <xf numFmtId="0" fontId="144" fillId="0" borderId="30" applyNumberFormat="0" applyFill="0" applyAlignment="0" applyProtection="0"/>
    <xf numFmtId="0" fontId="144" fillId="0" borderId="30" applyNumberFormat="0" applyFill="0" applyAlignment="0" applyProtection="0"/>
    <xf numFmtId="0" fontId="144" fillId="0" borderId="30" applyNumberFormat="0" applyFill="0" applyAlignment="0" applyProtection="0"/>
    <xf numFmtId="0" fontId="144" fillId="0" borderId="30" applyNumberFormat="0" applyFill="0" applyAlignment="0" applyProtection="0"/>
    <xf numFmtId="0" fontId="144" fillId="0" borderId="30" applyNumberFormat="0" applyFill="0" applyAlignment="0" applyProtection="0"/>
    <xf numFmtId="0" fontId="144" fillId="0" borderId="30" applyNumberFormat="0" applyFill="0" applyAlignment="0" applyProtection="0"/>
    <xf numFmtId="0" fontId="144" fillId="0" borderId="30" applyNumberFormat="0" applyFill="0" applyAlignment="0" applyProtection="0"/>
    <xf numFmtId="0" fontId="144" fillId="0" borderId="30" applyNumberFormat="0" applyFill="0" applyAlignment="0" applyProtection="0"/>
    <xf numFmtId="0" fontId="144" fillId="0" borderId="30" applyNumberFormat="0" applyFill="0" applyAlignment="0" applyProtection="0"/>
    <xf numFmtId="0" fontId="144" fillId="0" borderId="30" applyNumberFormat="0" applyFill="0" applyAlignment="0" applyProtection="0"/>
    <xf numFmtId="0" fontId="144" fillId="0" borderId="30" applyNumberFormat="0" applyFill="0" applyAlignment="0" applyProtection="0"/>
    <xf numFmtId="0" fontId="144" fillId="0" borderId="30" applyNumberFormat="0" applyFill="0" applyAlignment="0" applyProtection="0"/>
    <xf numFmtId="0" fontId="144" fillId="0" borderId="30" applyNumberFormat="0" applyFill="0" applyAlignment="0" applyProtection="0"/>
    <xf numFmtId="0" fontId="144" fillId="0" borderId="30" applyNumberFormat="0" applyFill="0" applyAlignment="0" applyProtection="0"/>
    <xf numFmtId="0" fontId="144" fillId="0" borderId="30" applyNumberFormat="0" applyFill="0" applyAlignment="0" applyProtection="0"/>
    <xf numFmtId="0" fontId="144" fillId="0" borderId="30" applyNumberFormat="0" applyFill="0" applyAlignment="0" applyProtection="0"/>
    <xf numFmtId="0" fontId="31" fillId="0" borderId="0"/>
    <xf numFmtId="0" fontId="144" fillId="0" borderId="30" applyNumberFormat="0" applyFill="0" applyAlignment="0" applyProtection="0"/>
    <xf numFmtId="0" fontId="145" fillId="0" borderId="30" applyNumberFormat="0" applyFill="0" applyAlignment="0" applyProtection="0"/>
    <xf numFmtId="0" fontId="144" fillId="0" borderId="30" applyNumberFormat="0" applyFill="0" applyAlignment="0" applyProtection="0"/>
    <xf numFmtId="0" fontId="144" fillId="0" borderId="30" applyNumberFormat="0" applyFill="0" applyAlignment="0" applyProtection="0"/>
    <xf numFmtId="0" fontId="31" fillId="0" borderId="0"/>
    <xf numFmtId="0" fontId="31" fillId="0" borderId="0"/>
    <xf numFmtId="0" fontId="144" fillId="0" borderId="30" applyNumberFormat="0" applyFill="0" applyAlignment="0" applyProtection="0"/>
    <xf numFmtId="0" fontId="144" fillId="0" borderId="30" applyNumberFormat="0" applyFill="0" applyAlignment="0" applyProtection="0"/>
    <xf numFmtId="0" fontId="144" fillId="0" borderId="30" applyNumberFormat="0" applyFill="0" applyAlignment="0" applyProtection="0"/>
    <xf numFmtId="0" fontId="144" fillId="0" borderId="30" applyNumberFormat="0" applyFill="0" applyAlignment="0" applyProtection="0"/>
    <xf numFmtId="0" fontId="144" fillId="0" borderId="30" applyNumberFormat="0" applyFill="0" applyAlignment="0" applyProtection="0"/>
    <xf numFmtId="0" fontId="144" fillId="0" borderId="30" applyNumberFormat="0" applyFill="0" applyAlignment="0" applyProtection="0"/>
    <xf numFmtId="0" fontId="144" fillId="0" borderId="30" applyNumberFormat="0" applyFill="0" applyAlignment="0" applyProtection="0"/>
    <xf numFmtId="0" fontId="144" fillId="0" borderId="30" applyNumberFormat="0" applyFill="0" applyAlignment="0" applyProtection="0"/>
    <xf numFmtId="0" fontId="145" fillId="0" borderId="30" applyNumberFormat="0" applyFill="0" applyAlignment="0" applyProtection="0"/>
    <xf numFmtId="0" fontId="145" fillId="0" borderId="30" applyNumberFormat="0" applyFill="0" applyAlignment="0" applyProtection="0"/>
    <xf numFmtId="0" fontId="144" fillId="0" borderId="30" applyNumberFormat="0" applyFill="0" applyAlignment="0" applyProtection="0"/>
    <xf numFmtId="0" fontId="145" fillId="0" borderId="30" applyNumberFormat="0" applyFill="0" applyAlignment="0" applyProtection="0"/>
    <xf numFmtId="0" fontId="145" fillId="0" borderId="30" applyNumberFormat="0" applyFill="0" applyAlignment="0" applyProtection="0"/>
    <xf numFmtId="0" fontId="144" fillId="0" borderId="30" applyNumberFormat="0" applyFill="0" applyAlignment="0" applyProtection="0"/>
    <xf numFmtId="0" fontId="145" fillId="0" borderId="30" applyNumberFormat="0" applyFill="0" applyAlignment="0" applyProtection="0"/>
    <xf numFmtId="0" fontId="145" fillId="0" borderId="30" applyNumberFormat="0" applyFill="0" applyAlignment="0" applyProtection="0"/>
    <xf numFmtId="0" fontId="144" fillId="0" borderId="30" applyNumberFormat="0" applyFill="0" applyAlignment="0" applyProtection="0"/>
    <xf numFmtId="0" fontId="145" fillId="0" borderId="30" applyNumberFormat="0" applyFill="0" applyAlignment="0" applyProtection="0"/>
    <xf numFmtId="0" fontId="145" fillId="0" borderId="30" applyNumberFormat="0" applyFill="0" applyAlignment="0" applyProtection="0"/>
    <xf numFmtId="0" fontId="144" fillId="0" borderId="30" applyNumberFormat="0" applyFill="0" applyAlignment="0" applyProtection="0"/>
    <xf numFmtId="0" fontId="31" fillId="0" borderId="0"/>
    <xf numFmtId="0" fontId="31" fillId="0" borderId="0"/>
    <xf numFmtId="0" fontId="144" fillId="0" borderId="30" applyNumberFormat="0" applyFill="0" applyAlignment="0" applyProtection="0"/>
    <xf numFmtId="0" fontId="144" fillId="0" borderId="30" applyNumberFormat="0" applyFill="0" applyAlignment="0" applyProtection="0"/>
    <xf numFmtId="0" fontId="31" fillId="0" borderId="0"/>
    <xf numFmtId="0" fontId="31" fillId="0" borderId="0"/>
    <xf numFmtId="0" fontId="144" fillId="0" borderId="30" applyNumberFormat="0" applyFill="0" applyAlignment="0" applyProtection="0"/>
    <xf numFmtId="3" fontId="45" fillId="0" borderId="2" applyBorder="0">
      <alignment vertical="center"/>
    </xf>
    <xf numFmtId="0" fontId="83" fillId="0" borderId="7" applyNumberFormat="0" applyFill="0" applyAlignment="0" applyProtection="0"/>
    <xf numFmtId="0" fontId="83" fillId="0" borderId="7" applyNumberFormat="0" applyFill="0" applyAlignment="0" applyProtection="0"/>
    <xf numFmtId="0" fontId="83" fillId="0" borderId="7" applyNumberFormat="0" applyFill="0" applyAlignment="0" applyProtection="0"/>
    <xf numFmtId="0" fontId="83" fillId="0" borderId="7" applyNumberFormat="0" applyFill="0" applyAlignment="0" applyProtection="0"/>
    <xf numFmtId="0" fontId="83" fillId="0" borderId="7" applyNumberFormat="0" applyFill="0" applyAlignment="0" applyProtection="0"/>
    <xf numFmtId="0" fontId="83" fillId="0" borderId="7" applyNumberFormat="0" applyFill="0" applyAlignment="0" applyProtection="0"/>
    <xf numFmtId="0" fontId="83" fillId="0" borderId="7" applyNumberFormat="0" applyFill="0" applyAlignment="0" applyProtection="0"/>
    <xf numFmtId="0" fontId="83" fillId="0" borderId="7" applyNumberFormat="0" applyFill="0" applyAlignment="0" applyProtection="0"/>
    <xf numFmtId="0" fontId="83" fillId="0" borderId="7" applyNumberFormat="0" applyFill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41" fillId="27" borderId="9" applyNumberFormat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6" fillId="142" borderId="9" applyNumberFormat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62" fillId="70" borderId="37" applyNumberFormat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1" fillId="142" borderId="9" applyNumberFormat="0" applyAlignment="0" applyProtection="0"/>
    <xf numFmtId="0" fontId="41" fillId="27" borderId="9" applyNumberFormat="0" applyAlignment="0" applyProtection="0"/>
    <xf numFmtId="0" fontId="41" fillId="27" borderId="9" applyNumberFormat="0" applyAlignment="0" applyProtection="0"/>
    <xf numFmtId="0" fontId="146" fillId="27" borderId="9" applyNumberFormat="0" applyAlignment="0" applyProtection="0"/>
    <xf numFmtId="0" fontId="31" fillId="0" borderId="0"/>
    <xf numFmtId="0" fontId="31" fillId="0" borderId="0"/>
    <xf numFmtId="0" fontId="41" fillId="27" borderId="9" applyNumberFormat="0" applyAlignment="0" applyProtection="0"/>
    <xf numFmtId="0" fontId="146" fillId="27" borderId="9" applyNumberFormat="0" applyAlignment="0" applyProtection="0"/>
    <xf numFmtId="0" fontId="146" fillId="142" borderId="9" applyNumberFormat="0" applyAlignment="0" applyProtection="0"/>
    <xf numFmtId="0" fontId="41" fillId="27" borderId="9" applyNumberFormat="0" applyAlignment="0" applyProtection="0"/>
    <xf numFmtId="0" fontId="41" fillId="142" borderId="9" applyNumberFormat="0" applyAlignment="0" applyProtection="0"/>
    <xf numFmtId="0" fontId="41" fillId="27" borderId="9" applyNumberFormat="0" applyAlignment="0" applyProtection="0"/>
    <xf numFmtId="0" fontId="41" fillId="27" borderId="9" applyNumberFormat="0" applyAlignment="0" applyProtection="0"/>
    <xf numFmtId="0" fontId="41" fillId="27" borderId="9" applyNumberFormat="0" applyAlignment="0" applyProtection="0"/>
    <xf numFmtId="0" fontId="41" fillId="27" borderId="9" applyNumberFormat="0" applyAlignment="0" applyProtection="0"/>
    <xf numFmtId="0" fontId="41" fillId="27" borderId="9" applyNumberFormat="0" applyAlignment="0" applyProtection="0"/>
    <xf numFmtId="0" fontId="41" fillId="27" borderId="9" applyNumberFormat="0" applyAlignment="0" applyProtection="0"/>
    <xf numFmtId="0" fontId="41" fillId="27" borderId="9" applyNumberFormat="0" applyAlignment="0" applyProtection="0"/>
    <xf numFmtId="0" fontId="31" fillId="0" borderId="0"/>
    <xf numFmtId="0" fontId="41" fillId="27" borderId="9" applyNumberFormat="0" applyAlignment="0" applyProtection="0"/>
    <xf numFmtId="0" fontId="146" fillId="27" borderId="9" applyNumberFormat="0" applyAlignment="0" applyProtection="0"/>
    <xf numFmtId="0" fontId="41" fillId="27" borderId="9" applyNumberFormat="0" applyAlignment="0" applyProtection="0"/>
    <xf numFmtId="0" fontId="41" fillId="27" borderId="9" applyNumberFormat="0" applyAlignment="0" applyProtection="0"/>
    <xf numFmtId="0" fontId="31" fillId="0" borderId="0"/>
    <xf numFmtId="0" fontId="146" fillId="142" borderId="9" applyNumberFormat="0" applyAlignment="0" applyProtection="0"/>
    <xf numFmtId="0" fontId="41" fillId="27" borderId="9" applyNumberFormat="0" applyAlignment="0" applyProtection="0"/>
    <xf numFmtId="0" fontId="41" fillId="27" borderId="9" applyNumberFormat="0" applyAlignment="0" applyProtection="0"/>
    <xf numFmtId="0" fontId="41" fillId="27" borderId="9" applyNumberFormat="0" applyAlignment="0" applyProtection="0"/>
    <xf numFmtId="0" fontId="41" fillId="27" borderId="9" applyNumberFormat="0" applyAlignment="0" applyProtection="0"/>
    <xf numFmtId="0" fontId="41" fillId="27" borderId="9" applyNumberFormat="0" applyAlignment="0" applyProtection="0"/>
    <xf numFmtId="0" fontId="41" fillId="27" borderId="9" applyNumberFormat="0" applyAlignment="0" applyProtection="0"/>
    <xf numFmtId="0" fontId="41" fillId="27" borderId="9" applyNumberFormat="0" applyAlignment="0" applyProtection="0"/>
    <xf numFmtId="0" fontId="41" fillId="27" borderId="9" applyNumberFormat="0" applyAlignment="0" applyProtection="0"/>
    <xf numFmtId="0" fontId="146" fillId="142" borderId="9" applyNumberFormat="0" applyAlignment="0" applyProtection="0"/>
    <xf numFmtId="0" fontId="146" fillId="27" borderId="9" applyNumberFormat="0" applyAlignment="0" applyProtection="0"/>
    <xf numFmtId="0" fontId="146" fillId="27" borderId="9" applyNumberFormat="0" applyAlignment="0" applyProtection="0"/>
    <xf numFmtId="0" fontId="41" fillId="27" borderId="9" applyNumberFormat="0" applyAlignment="0" applyProtection="0"/>
    <xf numFmtId="0" fontId="146" fillId="142" borderId="9" applyNumberFormat="0" applyAlignment="0" applyProtection="0"/>
    <xf numFmtId="0" fontId="146" fillId="27" borderId="9" applyNumberFormat="0" applyAlignment="0" applyProtection="0"/>
    <xf numFmtId="0" fontId="146" fillId="27" borderId="9" applyNumberFormat="0" applyAlignment="0" applyProtection="0"/>
    <xf numFmtId="0" fontId="41" fillId="27" borderId="9" applyNumberFormat="0" applyAlignment="0" applyProtection="0"/>
    <xf numFmtId="0" fontId="146" fillId="142" borderId="9" applyNumberFormat="0" applyAlignment="0" applyProtection="0"/>
    <xf numFmtId="0" fontId="146" fillId="27" borderId="9" applyNumberFormat="0" applyAlignment="0" applyProtection="0"/>
    <xf numFmtId="0" fontId="146" fillId="27" borderId="9" applyNumberFormat="0" applyAlignment="0" applyProtection="0"/>
    <xf numFmtId="0" fontId="41" fillId="27" borderId="9" applyNumberFormat="0" applyAlignment="0" applyProtection="0"/>
    <xf numFmtId="0" fontId="146" fillId="142" borderId="9" applyNumberFormat="0" applyAlignment="0" applyProtection="0"/>
    <xf numFmtId="0" fontId="146" fillId="27" borderId="9" applyNumberFormat="0" applyAlignment="0" applyProtection="0"/>
    <xf numFmtId="0" fontId="146" fillId="27" borderId="9" applyNumberFormat="0" applyAlignment="0" applyProtection="0"/>
    <xf numFmtId="0" fontId="41" fillId="27" borderId="9" applyNumberFormat="0" applyAlignment="0" applyProtection="0"/>
    <xf numFmtId="0" fontId="31" fillId="0" borderId="0"/>
    <xf numFmtId="0" fontId="31" fillId="0" borderId="0"/>
    <xf numFmtId="0" fontId="41" fillId="27" borderId="9" applyNumberFormat="0" applyAlignment="0" applyProtection="0"/>
    <xf numFmtId="0" fontId="41" fillId="27" borderId="9" applyNumberFormat="0" applyAlignment="0" applyProtection="0"/>
    <xf numFmtId="0" fontId="31" fillId="0" borderId="0"/>
    <xf numFmtId="0" fontId="31" fillId="0" borderId="0"/>
    <xf numFmtId="0" fontId="41" fillId="27" borderId="9" applyNumberFormat="0" applyAlignment="0" applyProtection="0"/>
    <xf numFmtId="0" fontId="26" fillId="0" borderId="0">
      <alignment wrapText="1"/>
    </xf>
    <xf numFmtId="0" fontId="142" fillId="0" borderId="0">
      <alignment horizontal="center" vertical="top" wrapText="1"/>
    </xf>
    <xf numFmtId="0" fontId="147" fillId="0" borderId="0">
      <alignment horizontal="centerContinuous" vertical="center" wrapText="1"/>
    </xf>
    <xf numFmtId="0" fontId="147" fillId="0" borderId="0">
      <alignment horizontal="center" vertical="center" wrapText="1"/>
    </xf>
    <xf numFmtId="0" fontId="83" fillId="3" borderId="0" applyFill="0">
      <alignment wrapText="1"/>
    </xf>
    <xf numFmtId="0" fontId="83" fillId="3" borderId="0" applyFill="0">
      <alignment wrapText="1"/>
    </xf>
    <xf numFmtId="0" fontId="83" fillId="3" borderId="0" applyFill="0">
      <alignment wrapText="1"/>
    </xf>
    <xf numFmtId="0" fontId="83" fillId="3" borderId="0" applyFill="0">
      <alignment wrapText="1"/>
    </xf>
    <xf numFmtId="0" fontId="83" fillId="3" borderId="0" applyFill="0">
      <alignment wrapText="1"/>
    </xf>
    <xf numFmtId="0" fontId="83" fillId="3" borderId="0" applyFill="0">
      <alignment wrapText="1"/>
    </xf>
    <xf numFmtId="0" fontId="83" fillId="3" borderId="0" applyFill="0">
      <alignment wrapText="1"/>
    </xf>
    <xf numFmtId="0" fontId="83" fillId="3" borderId="0" applyFill="0">
      <alignment wrapText="1"/>
    </xf>
    <xf numFmtId="0" fontId="83" fillId="3" borderId="0" applyFill="0">
      <alignment wrapText="1"/>
    </xf>
    <xf numFmtId="0" fontId="83" fillId="3" borderId="0" applyFill="0">
      <alignment wrapText="1"/>
    </xf>
    <xf numFmtId="0" fontId="83" fillId="3" borderId="0" applyFill="0">
      <alignment wrapText="1"/>
    </xf>
    <xf numFmtId="0" fontId="83" fillId="3" borderId="0" applyFill="0">
      <alignment wrapText="1"/>
    </xf>
    <xf numFmtId="0" fontId="83" fillId="3" borderId="0" applyFill="0">
      <alignment wrapText="1"/>
    </xf>
    <xf numFmtId="0" fontId="83" fillId="3" borderId="0" applyFill="0">
      <alignment wrapText="1"/>
    </xf>
    <xf numFmtId="0" fontId="83" fillId="3" borderId="0" applyFill="0">
      <alignment wrapText="1"/>
    </xf>
    <xf numFmtId="0" fontId="83" fillId="3" borderId="0" applyFill="0">
      <alignment wrapText="1"/>
    </xf>
    <xf numFmtId="0" fontId="83" fillId="3" borderId="0" applyFill="0">
      <alignment wrapText="1"/>
    </xf>
    <xf numFmtId="0" fontId="83" fillId="3" borderId="0" applyFill="0">
      <alignment wrapText="1"/>
    </xf>
    <xf numFmtId="0" fontId="83" fillId="3" borderId="0" applyFill="0">
      <alignment wrapText="1"/>
    </xf>
    <xf numFmtId="0" fontId="83" fillId="3" borderId="0" applyFill="0">
      <alignment wrapText="1"/>
    </xf>
    <xf numFmtId="0" fontId="83" fillId="3" borderId="0" applyFill="0">
      <alignment wrapText="1"/>
    </xf>
    <xf numFmtId="0" fontId="83" fillId="3" borderId="0" applyFill="0">
      <alignment wrapText="1"/>
    </xf>
    <xf numFmtId="0" fontId="83" fillId="3" borderId="0" applyFill="0">
      <alignment wrapText="1"/>
    </xf>
    <xf numFmtId="0" fontId="83" fillId="3" borderId="0" applyFill="0">
      <alignment wrapText="1"/>
    </xf>
    <xf numFmtId="0" fontId="83" fillId="3" borderId="0" applyFill="0">
      <alignment wrapText="1"/>
    </xf>
    <xf numFmtId="0" fontId="83" fillId="3" borderId="0" applyFill="0">
      <alignment wrapText="1"/>
    </xf>
    <xf numFmtId="0" fontId="83" fillId="3" borderId="0" applyFill="0">
      <alignment wrapText="1"/>
    </xf>
    <xf numFmtId="0" fontId="83" fillId="3" borderId="0" applyFill="0">
      <alignment wrapText="1"/>
    </xf>
    <xf numFmtId="0" fontId="83" fillId="3" borderId="0" applyFill="0">
      <alignment wrapText="1"/>
    </xf>
    <xf numFmtId="0" fontId="83" fillId="3" borderId="0" applyFill="0">
      <alignment wrapText="1"/>
    </xf>
    <xf numFmtId="0" fontId="83" fillId="3" borderId="0" applyFill="0">
      <alignment wrapText="1"/>
    </xf>
    <xf numFmtId="0" fontId="83" fillId="3" borderId="0" applyFill="0">
      <alignment wrapText="1"/>
    </xf>
    <xf numFmtId="0" fontId="83" fillId="3" borderId="0" applyFill="0">
      <alignment wrapText="1"/>
    </xf>
    <xf numFmtId="0" fontId="83" fillId="3" borderId="0" applyFill="0">
      <alignment wrapText="1"/>
    </xf>
    <xf numFmtId="0" fontId="83" fillId="3" borderId="0" applyFill="0">
      <alignment wrapText="1"/>
    </xf>
    <xf numFmtId="0" fontId="83" fillId="3" borderId="0" applyFill="0">
      <alignment wrapText="1"/>
    </xf>
    <xf numFmtId="0" fontId="83" fillId="3" borderId="0" applyFill="0">
      <alignment wrapText="1"/>
    </xf>
    <xf numFmtId="0" fontId="83" fillId="3" borderId="0" applyFill="0">
      <alignment wrapText="1"/>
    </xf>
    <xf numFmtId="0" fontId="83" fillId="3" borderId="0" applyFill="0">
      <alignment wrapText="1"/>
    </xf>
    <xf numFmtId="0" fontId="83" fillId="3" borderId="0" applyFill="0">
      <alignment wrapText="1"/>
    </xf>
    <xf numFmtId="0" fontId="83" fillId="3" borderId="0" applyFill="0">
      <alignment wrapText="1"/>
    </xf>
    <xf numFmtId="0" fontId="83" fillId="3" borderId="0" applyFill="0">
      <alignment wrapText="1"/>
    </xf>
    <xf numFmtId="0" fontId="83" fillId="3" borderId="0" applyFill="0">
      <alignment wrapText="1"/>
    </xf>
    <xf numFmtId="0" fontId="83" fillId="3" borderId="0" applyFill="0">
      <alignment wrapText="1"/>
    </xf>
    <xf numFmtId="0" fontId="83" fillId="3" borderId="0" applyFill="0">
      <alignment wrapText="1"/>
    </xf>
    <xf numFmtId="0" fontId="83" fillId="3" borderId="0" applyFill="0">
      <alignment wrapText="1"/>
    </xf>
    <xf numFmtId="0" fontId="83" fillId="3" borderId="0" applyFill="0">
      <alignment wrapText="1"/>
    </xf>
    <xf numFmtId="0" fontId="83" fillId="3" borderId="0" applyFill="0">
      <alignment wrapText="1"/>
    </xf>
    <xf numFmtId="0" fontId="83" fillId="3" borderId="0" applyFill="0">
      <alignment wrapText="1"/>
    </xf>
    <xf numFmtId="168" fontId="148" fillId="3" borderId="2">
      <alignment wrapText="1"/>
    </xf>
    <xf numFmtId="0" fontId="31" fillId="0" borderId="0"/>
    <xf numFmtId="0" fontId="31" fillId="0" borderId="0"/>
    <xf numFmtId="0" fontId="31" fillId="0" borderId="0"/>
    <xf numFmtId="0" fontId="31" fillId="0" borderId="0"/>
    <xf numFmtId="0" fontId="114" fillId="0" borderId="0" applyNumberForma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63" fillId="0" borderId="0" applyNumberForma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83" fillId="0" borderId="0" applyNumberForma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31" fillId="0" borderId="0"/>
    <xf numFmtId="0" fontId="31" fillId="0" borderId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31" fillId="0" borderId="0"/>
    <xf numFmtId="0" fontId="31" fillId="0" borderId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31" fillId="0" borderId="0"/>
    <xf numFmtId="0" fontId="31" fillId="0" borderId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31" fillId="0" borderId="0"/>
    <xf numFmtId="0" fontId="31" fillId="0" borderId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31" fillId="0" borderId="0"/>
    <xf numFmtId="0" fontId="31" fillId="0" borderId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31" fillId="0" borderId="0"/>
    <xf numFmtId="0" fontId="31" fillId="0" borderId="0"/>
    <xf numFmtId="0" fontId="114" fillId="0" borderId="0" applyNumberFormat="0" applyFill="0" applyBorder="0" applyAlignment="0" applyProtection="0"/>
    <xf numFmtId="164" fontId="14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82" fillId="33" borderId="0" applyNumberFormat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50" fillId="148" borderId="0" applyNumberFormat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64" fillId="68" borderId="0" applyNumberFormat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82" fillId="148" borderId="0" applyNumberFormat="0" applyBorder="0" applyAlignment="0" applyProtection="0"/>
    <xf numFmtId="0" fontId="82" fillId="33" borderId="0" applyNumberFormat="0" applyBorder="0" applyAlignment="0" applyProtection="0"/>
    <xf numFmtId="0" fontId="82" fillId="33" borderId="0" applyNumberFormat="0" applyBorder="0" applyAlignment="0" applyProtection="0"/>
    <xf numFmtId="0" fontId="150" fillId="33" borderId="0" applyNumberFormat="0" applyBorder="0" applyAlignment="0" applyProtection="0"/>
    <xf numFmtId="0" fontId="31" fillId="0" borderId="0"/>
    <xf numFmtId="0" fontId="31" fillId="0" borderId="0"/>
    <xf numFmtId="0" fontId="82" fillId="33" borderId="0" applyNumberFormat="0" applyBorder="0" applyAlignment="0" applyProtection="0"/>
    <xf numFmtId="0" fontId="150" fillId="33" borderId="0" applyNumberFormat="0" applyBorder="0" applyAlignment="0" applyProtection="0"/>
    <xf numFmtId="0" fontId="150" fillId="148" borderId="0" applyNumberFormat="0" applyBorder="0" applyAlignment="0" applyProtection="0"/>
    <xf numFmtId="0" fontId="82" fillId="33" borderId="0" applyNumberFormat="0" applyBorder="0" applyAlignment="0" applyProtection="0"/>
    <xf numFmtId="0" fontId="82" fillId="148" borderId="0" applyNumberFormat="0" applyBorder="0" applyAlignment="0" applyProtection="0"/>
    <xf numFmtId="0" fontId="82" fillId="33" borderId="0" applyNumberFormat="0" applyBorder="0" applyAlignment="0" applyProtection="0"/>
    <xf numFmtId="0" fontId="82" fillId="33" borderId="0" applyNumberFormat="0" applyBorder="0" applyAlignment="0" applyProtection="0"/>
    <xf numFmtId="0" fontId="82" fillId="33" borderId="0" applyNumberFormat="0" applyBorder="0" applyAlignment="0" applyProtection="0"/>
    <xf numFmtId="0" fontId="82" fillId="33" borderId="0" applyNumberFormat="0" applyBorder="0" applyAlignment="0" applyProtection="0"/>
    <xf numFmtId="0" fontId="82" fillId="33" borderId="0" applyNumberFormat="0" applyBorder="0" applyAlignment="0" applyProtection="0"/>
    <xf numFmtId="0" fontId="82" fillId="33" borderId="0" applyNumberFormat="0" applyBorder="0" applyAlignment="0" applyProtection="0"/>
    <xf numFmtId="0" fontId="82" fillId="33" borderId="0" applyNumberFormat="0" applyBorder="0" applyAlignment="0" applyProtection="0"/>
    <xf numFmtId="0" fontId="31" fillId="0" borderId="0"/>
    <xf numFmtId="0" fontId="82" fillId="33" borderId="0" applyNumberFormat="0" applyBorder="0" applyAlignment="0" applyProtection="0"/>
    <xf numFmtId="0" fontId="150" fillId="33" borderId="0" applyNumberFormat="0" applyBorder="0" applyAlignment="0" applyProtection="0"/>
    <xf numFmtId="0" fontId="82" fillId="33" borderId="0" applyNumberFormat="0" applyBorder="0" applyAlignment="0" applyProtection="0"/>
    <xf numFmtId="0" fontId="82" fillId="33" borderId="0" applyNumberFormat="0" applyBorder="0" applyAlignment="0" applyProtection="0"/>
    <xf numFmtId="0" fontId="31" fillId="0" borderId="0"/>
    <xf numFmtId="0" fontId="150" fillId="148" borderId="0" applyNumberFormat="0" applyBorder="0" applyAlignment="0" applyProtection="0"/>
    <xf numFmtId="0" fontId="82" fillId="33" borderId="0" applyNumberFormat="0" applyBorder="0" applyAlignment="0" applyProtection="0"/>
    <xf numFmtId="0" fontId="82" fillId="33" borderId="0" applyNumberFormat="0" applyBorder="0" applyAlignment="0" applyProtection="0"/>
    <xf numFmtId="0" fontId="82" fillId="33" borderId="0" applyNumberFormat="0" applyBorder="0" applyAlignment="0" applyProtection="0"/>
    <xf numFmtId="0" fontId="82" fillId="33" borderId="0" applyNumberFormat="0" applyBorder="0" applyAlignment="0" applyProtection="0"/>
    <xf numFmtId="0" fontId="82" fillId="33" borderId="0" applyNumberFormat="0" applyBorder="0" applyAlignment="0" applyProtection="0"/>
    <xf numFmtId="0" fontId="82" fillId="33" borderId="0" applyNumberFormat="0" applyBorder="0" applyAlignment="0" applyProtection="0"/>
    <xf numFmtId="0" fontId="82" fillId="33" borderId="0" applyNumberFormat="0" applyBorder="0" applyAlignment="0" applyProtection="0"/>
    <xf numFmtId="0" fontId="82" fillId="33" borderId="0" applyNumberFormat="0" applyBorder="0" applyAlignment="0" applyProtection="0"/>
    <xf numFmtId="0" fontId="150" fillId="148" borderId="0" applyNumberFormat="0" applyBorder="0" applyAlignment="0" applyProtection="0"/>
    <xf numFmtId="0" fontId="150" fillId="33" borderId="0" applyNumberFormat="0" applyBorder="0" applyAlignment="0" applyProtection="0"/>
    <xf numFmtId="0" fontId="150" fillId="33" borderId="0" applyNumberFormat="0" applyBorder="0" applyAlignment="0" applyProtection="0"/>
    <xf numFmtId="0" fontId="82" fillId="33" borderId="0" applyNumberFormat="0" applyBorder="0" applyAlignment="0" applyProtection="0"/>
    <xf numFmtId="0" fontId="150" fillId="148" borderId="0" applyNumberFormat="0" applyBorder="0" applyAlignment="0" applyProtection="0"/>
    <xf numFmtId="0" fontId="150" fillId="33" borderId="0" applyNumberFormat="0" applyBorder="0" applyAlignment="0" applyProtection="0"/>
    <xf numFmtId="0" fontId="150" fillId="33" borderId="0" applyNumberFormat="0" applyBorder="0" applyAlignment="0" applyProtection="0"/>
    <xf numFmtId="0" fontId="82" fillId="33" borderId="0" applyNumberFormat="0" applyBorder="0" applyAlignment="0" applyProtection="0"/>
    <xf numFmtId="0" fontId="150" fillId="148" borderId="0" applyNumberFormat="0" applyBorder="0" applyAlignment="0" applyProtection="0"/>
    <xf numFmtId="0" fontId="150" fillId="33" borderId="0" applyNumberFormat="0" applyBorder="0" applyAlignment="0" applyProtection="0"/>
    <xf numFmtId="0" fontId="150" fillId="33" borderId="0" applyNumberFormat="0" applyBorder="0" applyAlignment="0" applyProtection="0"/>
    <xf numFmtId="0" fontId="82" fillId="33" borderId="0" applyNumberFormat="0" applyBorder="0" applyAlignment="0" applyProtection="0"/>
    <xf numFmtId="0" fontId="150" fillId="148" borderId="0" applyNumberFormat="0" applyBorder="0" applyAlignment="0" applyProtection="0"/>
    <xf numFmtId="0" fontId="150" fillId="33" borderId="0" applyNumberFormat="0" applyBorder="0" applyAlignment="0" applyProtection="0"/>
    <xf numFmtId="0" fontId="150" fillId="33" borderId="0" applyNumberFormat="0" applyBorder="0" applyAlignment="0" applyProtection="0"/>
    <xf numFmtId="0" fontId="82" fillId="33" borderId="0" applyNumberFormat="0" applyBorder="0" applyAlignment="0" applyProtection="0"/>
    <xf numFmtId="0" fontId="31" fillId="0" borderId="0"/>
    <xf numFmtId="0" fontId="31" fillId="0" borderId="0"/>
    <xf numFmtId="0" fontId="82" fillId="33" borderId="0" applyNumberFormat="0" applyBorder="0" applyAlignment="0" applyProtection="0"/>
    <xf numFmtId="0" fontId="82" fillId="33" borderId="0" applyNumberFormat="0" applyBorder="0" applyAlignment="0" applyProtection="0"/>
    <xf numFmtId="0" fontId="31" fillId="0" borderId="0"/>
    <xf numFmtId="0" fontId="31" fillId="0" borderId="0"/>
    <xf numFmtId="0" fontId="82" fillId="33" borderId="0" applyNumberFormat="0" applyBorder="0" applyAlignment="0" applyProtection="0"/>
    <xf numFmtId="49" fontId="122" fillId="0" borderId="2">
      <alignment horizontal="right" vertical="top" wrapText="1"/>
    </xf>
    <xf numFmtId="170" fontId="151" fillId="0" borderId="0">
      <alignment horizontal="right" vertical="top" wrapText="1"/>
    </xf>
    <xf numFmtId="0" fontId="6" fillId="0" borderId="0"/>
    <xf numFmtId="0" fontId="1" fillId="0" borderId="0"/>
    <xf numFmtId="49" fontId="14" fillId="0" borderId="0" applyBorder="0">
      <alignment vertical="top"/>
    </xf>
    <xf numFmtId="49" fontId="14" fillId="0" borderId="0" applyBorder="0">
      <alignment vertical="top"/>
    </xf>
    <xf numFmtId="0" fontId="50" fillId="0" borderId="0"/>
    <xf numFmtId="49" fontId="14" fillId="0" borderId="0" applyBorder="0">
      <alignment vertical="top"/>
    </xf>
    <xf numFmtId="0" fontId="1" fillId="0" borderId="0"/>
    <xf numFmtId="0" fontId="6" fillId="0" borderId="0"/>
    <xf numFmtId="0" fontId="18" fillId="0" borderId="0"/>
    <xf numFmtId="0" fontId="1" fillId="0" borderId="0"/>
    <xf numFmtId="0" fontId="265" fillId="0" borderId="0"/>
    <xf numFmtId="49" fontId="14" fillId="0" borderId="0" applyBorder="0">
      <alignment vertical="top"/>
    </xf>
    <xf numFmtId="0" fontId="18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31" fillId="0" borderId="0"/>
    <xf numFmtId="0" fontId="31" fillId="0" borderId="0"/>
    <xf numFmtId="49" fontId="14" fillId="0" borderId="0" applyBorder="0">
      <alignment vertical="top"/>
    </xf>
    <xf numFmtId="0" fontId="1" fillId="0" borderId="0"/>
    <xf numFmtId="49" fontId="14" fillId="0" borderId="0" applyBorder="0">
      <alignment vertical="top"/>
    </xf>
    <xf numFmtId="0" fontId="26" fillId="0" borderId="0"/>
    <xf numFmtId="0" fontId="1" fillId="0" borderId="0"/>
    <xf numFmtId="0" fontId="153" fillId="0" borderId="0"/>
    <xf numFmtId="0" fontId="153" fillId="0" borderId="0"/>
    <xf numFmtId="0" fontId="1" fillId="0" borderId="0"/>
    <xf numFmtId="0" fontId="1" fillId="0" borderId="0"/>
    <xf numFmtId="0" fontId="31" fillId="0" borderId="0"/>
    <xf numFmtId="0" fontId="18" fillId="0" borderId="0"/>
    <xf numFmtId="0" fontId="26" fillId="0" borderId="0"/>
    <xf numFmtId="0" fontId="31" fillId="0" borderId="0"/>
    <xf numFmtId="0" fontId="19" fillId="0" borderId="0">
      <alignment horizontal="left"/>
    </xf>
    <xf numFmtId="0" fontId="26" fillId="0" borderId="0"/>
    <xf numFmtId="0" fontId="19" fillId="0" borderId="0">
      <alignment horizontal="left"/>
    </xf>
    <xf numFmtId="0" fontId="1" fillId="0" borderId="0"/>
    <xf numFmtId="0" fontId="18" fillId="0" borderId="0"/>
    <xf numFmtId="0" fontId="31" fillId="0" borderId="0"/>
    <xf numFmtId="49" fontId="14" fillId="0" borderId="0" applyBorder="0">
      <alignment vertical="top"/>
    </xf>
    <xf numFmtId="0" fontId="1" fillId="0" borderId="0"/>
    <xf numFmtId="0" fontId="26" fillId="0" borderId="0"/>
    <xf numFmtId="0" fontId="31" fillId="0" borderId="0"/>
    <xf numFmtId="0" fontId="18" fillId="0" borderId="0"/>
    <xf numFmtId="0" fontId="182" fillId="0" borderId="0"/>
    <xf numFmtId="0" fontId="266" fillId="0" borderId="0"/>
    <xf numFmtId="0" fontId="182" fillId="0" borderId="0"/>
    <xf numFmtId="0" fontId="26" fillId="0" borderId="0"/>
    <xf numFmtId="0" fontId="31" fillId="0" borderId="0"/>
    <xf numFmtId="0" fontId="18" fillId="0" borderId="0"/>
    <xf numFmtId="0" fontId="24" fillId="0" borderId="0"/>
    <xf numFmtId="0" fontId="26" fillId="0" borderId="0"/>
    <xf numFmtId="0" fontId="31" fillId="0" borderId="0"/>
    <xf numFmtId="0" fontId="152" fillId="0" borderId="0"/>
    <xf numFmtId="0" fontId="26" fillId="0" borderId="0"/>
    <xf numFmtId="0" fontId="1" fillId="0" borderId="0"/>
    <xf numFmtId="0" fontId="31" fillId="0" borderId="0"/>
    <xf numFmtId="0" fontId="26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26" fillId="0" borderId="0"/>
    <xf numFmtId="0" fontId="1" fillId="0" borderId="0"/>
    <xf numFmtId="0" fontId="18" fillId="0" borderId="0"/>
    <xf numFmtId="0" fontId="155" fillId="43" borderId="0" applyNumberFormat="0" applyBorder="0" applyAlignment="0">
      <alignment horizontal="left" vertical="center"/>
    </xf>
    <xf numFmtId="0" fontId="1" fillId="0" borderId="0"/>
    <xf numFmtId="0" fontId="31" fillId="0" borderId="0"/>
    <xf numFmtId="0" fontId="26" fillId="0" borderId="0"/>
    <xf numFmtId="0" fontId="1" fillId="0" borderId="0"/>
    <xf numFmtId="0" fontId="31" fillId="0" borderId="0"/>
    <xf numFmtId="0" fontId="156" fillId="0" borderId="0"/>
    <xf numFmtId="0" fontId="31" fillId="0" borderId="0"/>
    <xf numFmtId="0" fontId="31" fillId="0" borderId="0"/>
    <xf numFmtId="0" fontId="18" fillId="0" borderId="0"/>
    <xf numFmtId="0" fontId="31" fillId="0" borderId="0"/>
    <xf numFmtId="0" fontId="26" fillId="0" borderId="0"/>
    <xf numFmtId="0" fontId="1" fillId="0" borderId="0"/>
    <xf numFmtId="0" fontId="18" fillId="0" borderId="0"/>
    <xf numFmtId="0" fontId="31" fillId="0" borderId="0"/>
    <xf numFmtId="0" fontId="1" fillId="0" borderId="0"/>
    <xf numFmtId="0" fontId="31" fillId="0" borderId="0"/>
    <xf numFmtId="0" fontId="26" fillId="0" borderId="0"/>
    <xf numFmtId="0" fontId="1" fillId="0" borderId="0"/>
    <xf numFmtId="0" fontId="153" fillId="0" borderId="0"/>
    <xf numFmtId="0" fontId="1" fillId="0" borderId="0"/>
    <xf numFmtId="0" fontId="267" fillId="0" borderId="0"/>
    <xf numFmtId="0" fontId="1" fillId="0" borderId="0"/>
    <xf numFmtId="0" fontId="153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24" fillId="0" borderId="0"/>
    <xf numFmtId="0" fontId="24" fillId="0" borderId="0"/>
    <xf numFmtId="0" fontId="18" fillId="0" borderId="0"/>
    <xf numFmtId="0" fontId="156" fillId="0" borderId="0"/>
    <xf numFmtId="0" fontId="26" fillId="0" borderId="0"/>
    <xf numFmtId="0" fontId="156" fillId="0" borderId="0"/>
    <xf numFmtId="0" fontId="156" fillId="0" borderId="0"/>
    <xf numFmtId="0" fontId="1" fillId="0" borderId="0"/>
    <xf numFmtId="0" fontId="18" fillId="0" borderId="0"/>
    <xf numFmtId="0" fontId="1" fillId="0" borderId="0"/>
    <xf numFmtId="0" fontId="31" fillId="0" borderId="0"/>
    <xf numFmtId="0" fontId="31" fillId="0" borderId="0"/>
    <xf numFmtId="0" fontId="1" fillId="0" borderId="0"/>
    <xf numFmtId="0" fontId="50" fillId="0" borderId="0"/>
    <xf numFmtId="0" fontId="31" fillId="0" borderId="0"/>
    <xf numFmtId="0" fontId="155" fillId="43" borderId="0" applyNumberFormat="0" applyBorder="0" applyAlignment="0">
      <alignment horizontal="left" vertical="center"/>
    </xf>
    <xf numFmtId="0" fontId="1" fillId="0" borderId="0"/>
    <xf numFmtId="0" fontId="18" fillId="0" borderId="0"/>
    <xf numFmtId="0" fontId="26" fillId="0" borderId="0"/>
    <xf numFmtId="0" fontId="1" fillId="0" borderId="0"/>
    <xf numFmtId="0" fontId="50" fillId="0" borderId="0"/>
    <xf numFmtId="0" fontId="26" fillId="0" borderId="0"/>
    <xf numFmtId="0" fontId="31" fillId="0" borderId="0"/>
    <xf numFmtId="0" fontId="26" fillId="0" borderId="0"/>
    <xf numFmtId="0" fontId="31" fillId="0" borderId="0"/>
    <xf numFmtId="0" fontId="26" fillId="0" borderId="0"/>
    <xf numFmtId="0" fontId="155" fillId="43" borderId="0" applyNumberFormat="0" applyBorder="0" applyAlignment="0">
      <alignment horizontal="left" vertical="center"/>
    </xf>
    <xf numFmtId="0" fontId="155" fillId="43" borderId="0" applyNumberFormat="0" applyBorder="0" applyAlignment="0">
      <alignment horizontal="left" vertical="center"/>
    </xf>
    <xf numFmtId="0" fontId="6" fillId="0" borderId="0"/>
    <xf numFmtId="0" fontId="24" fillId="0" borderId="0"/>
    <xf numFmtId="0" fontId="18" fillId="0" borderId="0"/>
    <xf numFmtId="0" fontId="1" fillId="0" borderId="0"/>
    <xf numFmtId="0" fontId="1" fillId="0" borderId="0"/>
    <xf numFmtId="0" fontId="156" fillId="0" borderId="0"/>
    <xf numFmtId="0" fontId="1" fillId="0" borderId="0"/>
    <xf numFmtId="0" fontId="24" fillId="0" borderId="0"/>
    <xf numFmtId="0" fontId="26" fillId="0" borderId="0"/>
    <xf numFmtId="0" fontId="156" fillId="0" borderId="0"/>
    <xf numFmtId="0" fontId="31" fillId="0" borderId="0"/>
    <xf numFmtId="0" fontId="26" fillId="0" borderId="0"/>
    <xf numFmtId="0" fontId="18" fillId="0" borderId="0"/>
    <xf numFmtId="0" fontId="31" fillId="0" borderId="0"/>
    <xf numFmtId="0" fontId="1" fillId="0" borderId="0"/>
    <xf numFmtId="0" fontId="1" fillId="0" borderId="0"/>
    <xf numFmtId="0" fontId="156" fillId="0" borderId="0"/>
    <xf numFmtId="0" fontId="31" fillId="0" borderId="0"/>
    <xf numFmtId="0" fontId="18" fillId="0" borderId="0"/>
    <xf numFmtId="0" fontId="18" fillId="0" borderId="0"/>
    <xf numFmtId="0" fontId="31" fillId="0" borderId="0"/>
    <xf numFmtId="0" fontId="1" fillId="0" borderId="0"/>
    <xf numFmtId="0" fontId="24" fillId="0" borderId="0"/>
    <xf numFmtId="0" fontId="26" fillId="0" borderId="0"/>
    <xf numFmtId="0" fontId="1" fillId="0" borderId="0"/>
    <xf numFmtId="0" fontId="18" fillId="0" borderId="0"/>
    <xf numFmtId="0" fontId="31" fillId="0" borderId="0"/>
    <xf numFmtId="0" fontId="31" fillId="0" borderId="0"/>
    <xf numFmtId="0" fontId="156" fillId="0" borderId="0"/>
    <xf numFmtId="0" fontId="1" fillId="0" borderId="0"/>
    <xf numFmtId="0" fontId="156" fillId="0" borderId="0"/>
    <xf numFmtId="0" fontId="18" fillId="0" borderId="0"/>
    <xf numFmtId="0" fontId="26" fillId="0" borderId="0"/>
    <xf numFmtId="0" fontId="156" fillId="0" borderId="0"/>
    <xf numFmtId="0" fontId="31" fillId="0" borderId="0"/>
    <xf numFmtId="0" fontId="26" fillId="0" borderId="0"/>
    <xf numFmtId="0" fontId="26" fillId="0" borderId="0"/>
    <xf numFmtId="0" fontId="31" fillId="0" borderId="0"/>
    <xf numFmtId="0" fontId="18" fillId="0" borderId="0"/>
    <xf numFmtId="0" fontId="24" fillId="0" borderId="0"/>
    <xf numFmtId="0" fontId="26" fillId="0" borderId="0"/>
    <xf numFmtId="0" fontId="26" fillId="0" borderId="0"/>
    <xf numFmtId="0" fontId="18" fillId="0" borderId="0"/>
    <xf numFmtId="0" fontId="1" fillId="0" borderId="0"/>
    <xf numFmtId="0" fontId="26" fillId="0" borderId="0"/>
    <xf numFmtId="0" fontId="1" fillId="0" borderId="0"/>
    <xf numFmtId="0" fontId="156" fillId="0" borderId="0"/>
    <xf numFmtId="0" fontId="31" fillId="0" borderId="0"/>
    <xf numFmtId="0" fontId="1" fillId="0" borderId="0"/>
    <xf numFmtId="0" fontId="26" fillId="0" borderId="0"/>
    <xf numFmtId="0" fontId="1" fillId="0" borderId="0"/>
    <xf numFmtId="0" fontId="18" fillId="0" borderId="0"/>
    <xf numFmtId="0" fontId="1" fillId="0" borderId="0"/>
    <xf numFmtId="0" fontId="26" fillId="0" borderId="0"/>
    <xf numFmtId="0" fontId="1" fillId="0" borderId="0"/>
    <xf numFmtId="0" fontId="18" fillId="0" borderId="0"/>
    <xf numFmtId="0" fontId="1" fillId="0" borderId="0"/>
    <xf numFmtId="0" fontId="26" fillId="0" borderId="0"/>
    <xf numFmtId="0" fontId="31" fillId="0" borderId="0"/>
    <xf numFmtId="0" fontId="31" fillId="0" borderId="0"/>
    <xf numFmtId="0" fontId="6" fillId="0" borderId="0">
      <alignment wrapText="1"/>
    </xf>
    <xf numFmtId="0" fontId="26" fillId="0" borderId="0"/>
    <xf numFmtId="0" fontId="31" fillId="0" borderId="0"/>
    <xf numFmtId="0" fontId="31" fillId="0" borderId="0"/>
    <xf numFmtId="0" fontId="6" fillId="0" borderId="0">
      <alignment wrapText="1"/>
    </xf>
    <xf numFmtId="0" fontId="26" fillId="0" borderId="0"/>
    <xf numFmtId="0" fontId="31" fillId="0" borderId="0"/>
    <xf numFmtId="0" fontId="31" fillId="0" borderId="0"/>
    <xf numFmtId="0" fontId="6" fillId="0" borderId="0">
      <alignment wrapText="1"/>
    </xf>
    <xf numFmtId="0" fontId="26" fillId="0" borderId="0"/>
    <xf numFmtId="0" fontId="26" fillId="0" borderId="0"/>
    <xf numFmtId="0" fontId="6" fillId="0" borderId="0">
      <alignment wrapText="1"/>
    </xf>
    <xf numFmtId="0" fontId="31" fillId="0" borderId="0"/>
    <xf numFmtId="0" fontId="153" fillId="0" borderId="0"/>
    <xf numFmtId="207" fontId="58" fillId="0" borderId="0"/>
    <xf numFmtId="0" fontId="153" fillId="0" borderId="0"/>
    <xf numFmtId="0" fontId="62" fillId="0" borderId="0"/>
    <xf numFmtId="0" fontId="153" fillId="0" borderId="0"/>
    <xf numFmtId="0" fontId="26" fillId="0" borderId="0"/>
    <xf numFmtId="207" fontId="58" fillId="0" borderId="0"/>
    <xf numFmtId="0" fontId="153" fillId="0" borderId="0"/>
    <xf numFmtId="0" fontId="153" fillId="0" borderId="0"/>
    <xf numFmtId="49" fontId="14" fillId="0" borderId="0" applyBorder="0">
      <alignment vertical="top"/>
    </xf>
    <xf numFmtId="0" fontId="18" fillId="0" borderId="0"/>
    <xf numFmtId="0" fontId="18" fillId="0" borderId="0"/>
    <xf numFmtId="0" fontId="31" fillId="0" borderId="0"/>
    <xf numFmtId="0" fontId="26" fillId="0" borderId="0"/>
    <xf numFmtId="0" fontId="31" fillId="0" borderId="0"/>
    <xf numFmtId="0" fontId="18" fillId="0" borderId="0"/>
    <xf numFmtId="0" fontId="26" fillId="0" borderId="0"/>
    <xf numFmtId="0" fontId="26" fillId="0" borderId="0"/>
    <xf numFmtId="0" fontId="18" fillId="0" borderId="0"/>
    <xf numFmtId="0" fontId="18" fillId="0" borderId="0"/>
    <xf numFmtId="49" fontId="14" fillId="43" borderId="0" applyBorder="0">
      <alignment vertical="top"/>
    </xf>
    <xf numFmtId="0" fontId="18" fillId="0" borderId="0"/>
    <xf numFmtId="0" fontId="26" fillId="0" borderId="0"/>
    <xf numFmtId="0" fontId="31" fillId="0" borderId="0"/>
    <xf numFmtId="49" fontId="14" fillId="43" borderId="0" applyBorder="0">
      <alignment vertical="top"/>
    </xf>
    <xf numFmtId="0" fontId="31" fillId="0" borderId="0"/>
    <xf numFmtId="0" fontId="26" fillId="0" borderId="0"/>
    <xf numFmtId="0" fontId="1" fillId="0" borderId="0"/>
    <xf numFmtId="0" fontId="26" fillId="0" borderId="0"/>
    <xf numFmtId="0" fontId="31" fillId="0" borderId="0"/>
    <xf numFmtId="0" fontId="1" fillId="0" borderId="0"/>
    <xf numFmtId="0" fontId="31" fillId="0" borderId="0"/>
    <xf numFmtId="0" fontId="26" fillId="0" borderId="0"/>
    <xf numFmtId="49" fontId="14" fillId="0" borderId="0" applyBorder="0">
      <alignment vertical="top"/>
    </xf>
    <xf numFmtId="0" fontId="18" fillId="0" borderId="0"/>
    <xf numFmtId="0" fontId="1" fillId="0" borderId="0"/>
    <xf numFmtId="0" fontId="26" fillId="0" borderId="0"/>
    <xf numFmtId="0" fontId="188" fillId="0" borderId="0" applyFill="0" applyProtection="0"/>
    <xf numFmtId="0" fontId="26" fillId="0" borderId="0"/>
    <xf numFmtId="0" fontId="153" fillId="0" borderId="0"/>
    <xf numFmtId="0" fontId="153" fillId="0" borderId="0"/>
    <xf numFmtId="0" fontId="1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" fillId="0" borderId="0"/>
    <xf numFmtId="0" fontId="6" fillId="0" borderId="0"/>
    <xf numFmtId="0" fontId="18" fillId="0" borderId="0"/>
    <xf numFmtId="0" fontId="18" fillId="0" borderId="0" applyNumberFormat="0" applyFont="0" applyFill="0" applyBorder="0" applyAlignment="0" applyProtection="0">
      <alignment vertical="top"/>
    </xf>
    <xf numFmtId="0" fontId="18" fillId="0" borderId="0"/>
    <xf numFmtId="0" fontId="26" fillId="0" borderId="0"/>
    <xf numFmtId="0" fontId="18" fillId="0" borderId="0"/>
    <xf numFmtId="0" fontId="31" fillId="0" borderId="0"/>
    <xf numFmtId="0" fontId="31" fillId="0" borderId="0"/>
    <xf numFmtId="207" fontId="58" fillId="0" borderId="0"/>
    <xf numFmtId="207" fontId="58" fillId="0" borderId="0"/>
    <xf numFmtId="0" fontId="31" fillId="0" borderId="0"/>
    <xf numFmtId="207" fontId="58" fillId="0" borderId="0"/>
    <xf numFmtId="0" fontId="1" fillId="0" borderId="0"/>
    <xf numFmtId="0" fontId="1" fillId="0" borderId="0"/>
    <xf numFmtId="0" fontId="26" fillId="0" borderId="0"/>
    <xf numFmtId="0" fontId="18" fillId="0" borderId="0"/>
    <xf numFmtId="0" fontId="18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8" fillId="0" borderId="0"/>
    <xf numFmtId="0" fontId="1" fillId="0" borderId="0"/>
    <xf numFmtId="0" fontId="26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26" fillId="0" borderId="0"/>
    <xf numFmtId="0" fontId="1" fillId="0" borderId="0"/>
    <xf numFmtId="0" fontId="18" fillId="0" borderId="0"/>
    <xf numFmtId="0" fontId="6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26" fillId="0" borderId="0"/>
    <xf numFmtId="0" fontId="153" fillId="0" borderId="0"/>
    <xf numFmtId="0" fontId="153" fillId="0" borderId="0"/>
    <xf numFmtId="0" fontId="31" fillId="0" borderId="0"/>
    <xf numFmtId="0" fontId="189" fillId="0" borderId="0"/>
    <xf numFmtId="0" fontId="153" fillId="0" borderId="0"/>
    <xf numFmtId="0" fontId="153" fillId="0" borderId="0"/>
    <xf numFmtId="0" fontId="153" fillId="0" borderId="0"/>
    <xf numFmtId="0" fontId="1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266" fillId="0" borderId="0"/>
    <xf numFmtId="0" fontId="153" fillId="0" borderId="0"/>
    <xf numFmtId="0" fontId="18" fillId="0" borderId="0"/>
    <xf numFmtId="0" fontId="26" fillId="0" borderId="0"/>
    <xf numFmtId="0" fontId="26" fillId="0" borderId="0"/>
    <xf numFmtId="0" fontId="31" fillId="0" borderId="0"/>
    <xf numFmtId="0" fontId="26" fillId="0" borderId="0"/>
    <xf numFmtId="0" fontId="1" fillId="0" borderId="0"/>
    <xf numFmtId="0" fontId="1" fillId="0" borderId="0"/>
    <xf numFmtId="0" fontId="31" fillId="0" borderId="0"/>
    <xf numFmtId="0" fontId="6" fillId="0" borderId="0"/>
    <xf numFmtId="0" fontId="31" fillId="0" borderId="0"/>
    <xf numFmtId="0" fontId="26" fillId="0" borderId="0"/>
    <xf numFmtId="0" fontId="18" fillId="0" borderId="0"/>
    <xf numFmtId="0" fontId="6" fillId="0" borderId="0"/>
    <xf numFmtId="0" fontId="6" fillId="0" borderId="0"/>
    <xf numFmtId="0" fontId="153" fillId="0" borderId="0"/>
    <xf numFmtId="0" fontId="1" fillId="0" borderId="0"/>
    <xf numFmtId="0" fontId="24" fillId="0" borderId="0"/>
    <xf numFmtId="0" fontId="153" fillId="0" borderId="0"/>
    <xf numFmtId="0" fontId="25" fillId="0" borderId="0"/>
    <xf numFmtId="49" fontId="14" fillId="0" borderId="0" applyBorder="0">
      <alignment vertical="top"/>
    </xf>
    <xf numFmtId="0" fontId="268" fillId="0" borderId="0"/>
    <xf numFmtId="49" fontId="14" fillId="0" borderId="0" applyBorder="0">
      <alignment vertical="top"/>
    </xf>
    <xf numFmtId="0" fontId="26" fillId="0" borderId="0"/>
    <xf numFmtId="0" fontId="31" fillId="0" borderId="0"/>
    <xf numFmtId="0" fontId="1" fillId="0" borderId="0"/>
    <xf numFmtId="0" fontId="26" fillId="0" borderId="0"/>
    <xf numFmtId="0" fontId="31" fillId="0" borderId="0"/>
    <xf numFmtId="0" fontId="31" fillId="0" borderId="0"/>
    <xf numFmtId="0" fontId="31" fillId="0" borderId="0"/>
    <xf numFmtId="0" fontId="26" fillId="0" borderId="0"/>
    <xf numFmtId="0" fontId="18" fillId="0" borderId="0"/>
    <xf numFmtId="0" fontId="1" fillId="0" borderId="0"/>
    <xf numFmtId="0" fontId="31" fillId="0" borderId="0"/>
    <xf numFmtId="0" fontId="26" fillId="0" borderId="0"/>
    <xf numFmtId="0" fontId="26" fillId="0" borderId="0"/>
    <xf numFmtId="0" fontId="3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26" fillId="0" borderId="0"/>
    <xf numFmtId="49" fontId="14" fillId="0" borderId="0" applyBorder="0">
      <alignment vertical="top"/>
    </xf>
    <xf numFmtId="0" fontId="31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31" fillId="0" borderId="0"/>
    <xf numFmtId="0" fontId="26" fillId="0" borderId="0"/>
    <xf numFmtId="0" fontId="6" fillId="0" borderId="0"/>
    <xf numFmtId="0" fontId="1" fillId="0" borderId="0"/>
    <xf numFmtId="0" fontId="18" fillId="0" borderId="0"/>
    <xf numFmtId="49" fontId="14" fillId="0" borderId="0" applyBorder="0">
      <alignment vertical="top"/>
    </xf>
    <xf numFmtId="0" fontId="26" fillId="0" borderId="0"/>
    <xf numFmtId="0" fontId="1" fillId="0" borderId="0"/>
    <xf numFmtId="0" fontId="6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6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4" fillId="0" borderId="0"/>
    <xf numFmtId="0" fontId="18" fillId="0" borderId="0"/>
    <xf numFmtId="0" fontId="31" fillId="0" borderId="0"/>
    <xf numFmtId="0" fontId="6" fillId="0" borderId="0"/>
    <xf numFmtId="0" fontId="1" fillId="0" borderId="0"/>
    <xf numFmtId="49" fontId="14" fillId="0" borderId="0" applyBorder="0">
      <alignment vertical="top"/>
    </xf>
    <xf numFmtId="0" fontId="18" fillId="0" borderId="0"/>
    <xf numFmtId="0" fontId="1" fillId="0" borderId="0"/>
    <xf numFmtId="0" fontId="6" fillId="0" borderId="0"/>
    <xf numFmtId="0" fontId="1" fillId="0" borderId="0"/>
    <xf numFmtId="0" fontId="18" fillId="0" borderId="0"/>
    <xf numFmtId="0" fontId="1" fillId="0" borderId="0"/>
    <xf numFmtId="49" fontId="14" fillId="0" borderId="0" applyBorder="0">
      <alignment vertical="top"/>
    </xf>
    <xf numFmtId="49" fontId="14" fillId="0" borderId="0" applyBorder="0">
      <alignment vertical="top"/>
    </xf>
    <xf numFmtId="0" fontId="31" fillId="0" borderId="0"/>
    <xf numFmtId="0" fontId="24" fillId="0" borderId="0"/>
    <xf numFmtId="0" fontId="62" fillId="0" borderId="0"/>
    <xf numFmtId="0" fontId="18" fillId="0" borderId="0"/>
    <xf numFmtId="0" fontId="26" fillId="0" borderId="0"/>
    <xf numFmtId="0" fontId="18" fillId="0" borderId="0"/>
    <xf numFmtId="0" fontId="31" fillId="0" borderId="0"/>
    <xf numFmtId="0" fontId="1" fillId="0" borderId="0"/>
    <xf numFmtId="1" fontId="159" fillId="0" borderId="2">
      <alignment horizontal="left" vertical="center"/>
    </xf>
    <xf numFmtId="0" fontId="1" fillId="0" borderId="0"/>
    <xf numFmtId="0" fontId="1" fillId="0" borderId="0"/>
    <xf numFmtId="0" fontId="37" fillId="8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60" fillId="99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269" fillId="67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99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160" fillId="8" borderId="0" applyNumberFormat="0" applyBorder="0" applyAlignment="0" applyProtection="0"/>
    <xf numFmtId="0" fontId="1" fillId="0" borderId="0"/>
    <xf numFmtId="0" fontId="37" fillId="8" borderId="0" applyNumberFormat="0" applyBorder="0" applyAlignment="0" applyProtection="0"/>
    <xf numFmtId="0" fontId="160" fillId="8" borderId="0" applyNumberFormat="0" applyBorder="0" applyAlignment="0" applyProtection="0"/>
    <xf numFmtId="0" fontId="160" fillId="99" borderId="0" applyNumberFormat="0" applyBorder="0" applyAlignment="0" applyProtection="0"/>
    <xf numFmtId="0" fontId="37" fillId="8" borderId="0" applyNumberFormat="0" applyBorder="0" applyAlignment="0" applyProtection="0"/>
    <xf numFmtId="0" fontId="37" fillId="99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1" fillId="0" borderId="0"/>
    <xf numFmtId="0" fontId="37" fillId="8" borderId="0" applyNumberFormat="0" applyBorder="0" applyAlignment="0" applyProtection="0"/>
    <xf numFmtId="0" fontId="160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1" fillId="0" borderId="0"/>
    <xf numFmtId="0" fontId="160" fillId="99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160" fillId="99" borderId="0" applyNumberFormat="0" applyBorder="0" applyAlignment="0" applyProtection="0"/>
    <xf numFmtId="0" fontId="160" fillId="8" borderId="0" applyNumberFormat="0" applyBorder="0" applyAlignment="0" applyProtection="0"/>
    <xf numFmtId="0" fontId="160" fillId="8" borderId="0" applyNumberFormat="0" applyBorder="0" applyAlignment="0" applyProtection="0"/>
    <xf numFmtId="0" fontId="37" fillId="8" borderId="0" applyNumberFormat="0" applyBorder="0" applyAlignment="0" applyProtection="0"/>
    <xf numFmtId="0" fontId="160" fillId="99" borderId="0" applyNumberFormat="0" applyBorder="0" applyAlignment="0" applyProtection="0"/>
    <xf numFmtId="0" fontId="160" fillId="8" borderId="0" applyNumberFormat="0" applyBorder="0" applyAlignment="0" applyProtection="0"/>
    <xf numFmtId="0" fontId="160" fillId="8" borderId="0" applyNumberFormat="0" applyBorder="0" applyAlignment="0" applyProtection="0"/>
    <xf numFmtId="0" fontId="37" fillId="8" borderId="0" applyNumberFormat="0" applyBorder="0" applyAlignment="0" applyProtection="0"/>
    <xf numFmtId="0" fontId="160" fillId="99" borderId="0" applyNumberFormat="0" applyBorder="0" applyAlignment="0" applyProtection="0"/>
    <xf numFmtId="0" fontId="160" fillId="8" borderId="0" applyNumberFormat="0" applyBorder="0" applyAlignment="0" applyProtection="0"/>
    <xf numFmtId="0" fontId="160" fillId="8" borderId="0" applyNumberFormat="0" applyBorder="0" applyAlignment="0" applyProtection="0"/>
    <xf numFmtId="0" fontId="37" fillId="8" borderId="0" applyNumberFormat="0" applyBorder="0" applyAlignment="0" applyProtection="0"/>
    <xf numFmtId="0" fontId="160" fillId="99" borderId="0" applyNumberFormat="0" applyBorder="0" applyAlignment="0" applyProtection="0"/>
    <xf numFmtId="0" fontId="160" fillId="8" borderId="0" applyNumberFormat="0" applyBorder="0" applyAlignment="0" applyProtection="0"/>
    <xf numFmtId="0" fontId="160" fillId="8" borderId="0" applyNumberFormat="0" applyBorder="0" applyAlignment="0" applyProtection="0"/>
    <xf numFmtId="0" fontId="37" fillId="8" borderId="0" applyNumberFormat="0" applyBorder="0" applyAlignment="0" applyProtection="0"/>
    <xf numFmtId="0" fontId="1" fillId="0" borderId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1" fillId="0" borderId="0"/>
    <xf numFmtId="0" fontId="37" fillId="8" borderId="0" applyNumberFormat="0" applyBorder="0" applyAlignment="0" applyProtection="0"/>
    <xf numFmtId="0" fontId="26" fillId="0" borderId="0" applyFont="0" applyFill="0" applyBorder="0" applyProtection="0">
      <alignment horizontal="center" vertical="center" wrapText="1"/>
    </xf>
    <xf numFmtId="0" fontId="26" fillId="0" borderId="0" applyFont="0" applyFill="0" applyBorder="0" applyProtection="0">
      <alignment horizontal="center" vertical="center" wrapText="1"/>
    </xf>
    <xf numFmtId="0" fontId="26" fillId="0" borderId="0" applyFont="0" applyFill="0" applyBorder="0" applyProtection="0">
      <alignment horizontal="center" vertical="center" wrapText="1"/>
    </xf>
    <xf numFmtId="0" fontId="26" fillId="0" borderId="0" applyFont="0" applyFill="0" applyBorder="0" applyProtection="0">
      <alignment horizontal="center" vertical="center" wrapText="1"/>
    </xf>
    <xf numFmtId="0" fontId="26" fillId="0" borderId="0" applyNumberFormat="0" applyFont="0" applyFill="0" applyBorder="0" applyProtection="0">
      <alignment horizontal="justify" vertical="center" wrapText="1"/>
    </xf>
    <xf numFmtId="0" fontId="26" fillId="0" borderId="0" applyNumberFormat="0" applyFont="0" applyFill="0" applyBorder="0" applyProtection="0">
      <alignment horizontal="justify" vertical="center" wrapText="1"/>
    </xf>
    <xf numFmtId="0" fontId="26" fillId="0" borderId="0" applyNumberFormat="0" applyFont="0" applyFill="0" applyBorder="0" applyProtection="0">
      <alignment horizontal="justify" vertical="center" wrapText="1"/>
    </xf>
    <xf numFmtId="0" fontId="26" fillId="0" borderId="0" applyNumberFormat="0" applyFont="0" applyFill="0" applyBorder="0" applyProtection="0">
      <alignment horizontal="justify" vertical="center" wrapText="1"/>
    </xf>
    <xf numFmtId="205" fontId="140" fillId="0" borderId="2">
      <alignment vertical="top"/>
    </xf>
    <xf numFmtId="170" fontId="161" fillId="4" borderId="18" applyNumberFormat="0" applyBorder="0" applyAlignment="0">
      <alignment vertical="center"/>
      <protection locked="0"/>
    </xf>
    <xf numFmtId="0" fontId="1" fillId="0" borderId="0"/>
    <xf numFmtId="0" fontId="1" fillId="0" borderId="0"/>
    <xf numFmtId="0" fontId="5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270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162" fillId="0" borderId="0" applyNumberFormat="0" applyFill="0" applyBorder="0" applyAlignment="0" applyProtection="0"/>
    <xf numFmtId="0" fontId="1" fillId="0" borderId="0"/>
    <xf numFmtId="0" fontId="51" fillId="0" borderId="0" applyNumberFormat="0" applyFill="0" applyBorder="0" applyAlignment="0" applyProtection="0"/>
    <xf numFmtId="0" fontId="162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1" fillId="0" borderId="0"/>
    <xf numFmtId="0" fontId="51" fillId="0" borderId="0" applyNumberFormat="0" applyFill="0" applyBorder="0" applyAlignment="0" applyProtection="0"/>
    <xf numFmtId="0" fontId="162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1" fillId="0" borderId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162" fillId="0" borderId="0" applyNumberFormat="0" applyFill="0" applyBorder="0" applyAlignment="0" applyProtection="0"/>
    <xf numFmtId="0" fontId="162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162" fillId="0" borderId="0" applyNumberFormat="0" applyFill="0" applyBorder="0" applyAlignment="0" applyProtection="0"/>
    <xf numFmtId="0" fontId="162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162" fillId="0" borderId="0" applyNumberFormat="0" applyFill="0" applyBorder="0" applyAlignment="0" applyProtection="0"/>
    <xf numFmtId="0" fontId="162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162" fillId="0" borderId="0" applyNumberFormat="0" applyFill="0" applyBorder="0" applyAlignment="0" applyProtection="0"/>
    <xf numFmtId="0" fontId="162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1" fillId="0" borderId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1" fillId="0" borderId="0"/>
    <xf numFmtId="0" fontId="51" fillId="0" borderId="0" applyNumberFormat="0" applyFill="0" applyBorder="0" applyAlignment="0" applyProtection="0"/>
    <xf numFmtId="0" fontId="26" fillId="34" borderId="15" applyNumberFormat="0" applyFont="0" applyAlignment="0" applyProtection="0"/>
    <xf numFmtId="0" fontId="26" fillId="34" borderId="15" applyNumberFormat="0" applyFont="0" applyAlignment="0" applyProtection="0"/>
    <xf numFmtId="0" fontId="26" fillId="34" borderId="15" applyNumberFormat="0" applyFont="0" applyAlignment="0" applyProtection="0"/>
    <xf numFmtId="0" fontId="26" fillId="34" borderId="15" applyNumberFormat="0" applyFont="0" applyAlignment="0" applyProtection="0"/>
    <xf numFmtId="0" fontId="26" fillId="34" borderId="15" applyNumberFormat="0" applyFont="0" applyAlignment="0" applyProtection="0"/>
    <xf numFmtId="0" fontId="26" fillId="34" borderId="15" applyNumberFormat="0" applyFont="0" applyAlignment="0" applyProtection="0"/>
    <xf numFmtId="0" fontId="26" fillId="34" borderId="15" applyNumberFormat="0" applyFont="0" applyAlignment="0" applyProtection="0"/>
    <xf numFmtId="0" fontId="26" fillId="34" borderId="15" applyNumberFormat="0" applyFont="0" applyAlignment="0" applyProtection="0"/>
    <xf numFmtId="0" fontId="26" fillId="34" borderId="15" applyNumberFormat="0" applyFont="0" applyAlignment="0" applyProtection="0"/>
    <xf numFmtId="0" fontId="26" fillId="34" borderId="15" applyNumberFormat="0" applyFont="0" applyAlignment="0" applyProtection="0"/>
    <xf numFmtId="0" fontId="26" fillId="34" borderId="15" applyNumberFormat="0" applyFont="0" applyAlignment="0" applyProtection="0"/>
    <xf numFmtId="0" fontId="26" fillId="34" borderId="15" applyNumberFormat="0" applyFont="0" applyAlignment="0" applyProtection="0"/>
    <xf numFmtId="0" fontId="1" fillId="0" borderId="0"/>
    <xf numFmtId="0" fontId="26" fillId="34" borderId="15" applyNumberFormat="0" applyFont="0" applyAlignment="0" applyProtection="0"/>
    <xf numFmtId="0" fontId="1" fillId="0" borderId="0"/>
    <xf numFmtId="0" fontId="26" fillId="34" borderId="15" applyNumberFormat="0" applyFont="0" applyAlignment="0" applyProtection="0"/>
    <xf numFmtId="0" fontId="1" fillId="0" borderId="0"/>
    <xf numFmtId="0" fontId="31" fillId="34" borderId="15" applyNumberFormat="0" applyFont="0" applyAlignment="0" applyProtection="0"/>
    <xf numFmtId="0" fontId="1" fillId="0" borderId="0"/>
    <xf numFmtId="0" fontId="31" fillId="34" borderId="15" applyNumberFormat="0" applyFont="0" applyAlignment="0" applyProtection="0"/>
    <xf numFmtId="0" fontId="1" fillId="0" borderId="0"/>
    <xf numFmtId="0" fontId="31" fillId="34" borderId="15" applyNumberFormat="0" applyFont="0" applyAlignment="0" applyProtection="0"/>
    <xf numFmtId="0" fontId="1" fillId="0" borderId="0"/>
    <xf numFmtId="0" fontId="31" fillId="34" borderId="15" applyNumberFormat="0" applyFont="0" applyAlignment="0" applyProtection="0"/>
    <xf numFmtId="0" fontId="1" fillId="0" borderId="0"/>
    <xf numFmtId="0" fontId="58" fillId="34" borderId="15" applyNumberFormat="0" applyFont="0" applyAlignment="0" applyProtection="0"/>
    <xf numFmtId="0" fontId="1" fillId="0" borderId="0"/>
    <xf numFmtId="0" fontId="18" fillId="34" borderId="15" applyNumberFormat="0" applyFont="0" applyAlignment="0" applyProtection="0"/>
    <xf numFmtId="0" fontId="24" fillId="150" borderId="15" applyNumberFormat="0" applyAlignment="0" applyProtection="0"/>
    <xf numFmtId="0" fontId="18" fillId="34" borderId="15" applyNumberFormat="0" applyFont="0" applyAlignment="0" applyProtection="0"/>
    <xf numFmtId="0" fontId="24" fillId="150" borderId="15" applyNumberFormat="0" applyAlignment="0" applyProtection="0"/>
    <xf numFmtId="0" fontId="18" fillId="34" borderId="15" applyNumberFormat="0" applyFont="0" applyAlignment="0" applyProtection="0"/>
    <xf numFmtId="0" fontId="18" fillId="34" borderId="15" applyNumberFormat="0" applyFont="0" applyAlignment="0" applyProtection="0"/>
    <xf numFmtId="0" fontId="1" fillId="0" borderId="0"/>
    <xf numFmtId="0" fontId="228" fillId="150" borderId="15" applyNumberFormat="0" applyAlignment="0" applyProtection="0"/>
    <xf numFmtId="0" fontId="24" fillId="150" borderId="15" applyNumberFormat="0" applyAlignment="0" applyProtection="0"/>
    <xf numFmtId="0" fontId="1" fillId="0" borderId="0"/>
    <xf numFmtId="0" fontId="228" fillId="150" borderId="15" applyNumberFormat="0" applyAlignment="0" applyProtection="0"/>
    <xf numFmtId="0" fontId="6" fillId="34" borderId="15" applyNumberFormat="0" applyFont="0" applyAlignment="0" applyProtection="0"/>
    <xf numFmtId="0" fontId="1" fillId="0" borderId="0"/>
    <xf numFmtId="0" fontId="32" fillId="34" borderId="15" applyNumberFormat="0" applyFont="0" applyAlignment="0" applyProtection="0"/>
    <xf numFmtId="0" fontId="1" fillId="0" borderId="0"/>
    <xf numFmtId="0" fontId="18" fillId="34" borderId="15" applyNumberFormat="0" applyFont="0" applyAlignment="0" applyProtection="0"/>
    <xf numFmtId="0" fontId="6" fillId="34" borderId="15" applyNumberFormat="0" applyFont="0" applyAlignment="0" applyProtection="0"/>
    <xf numFmtId="0" fontId="1" fillId="0" borderId="0"/>
    <xf numFmtId="0" fontId="6" fillId="34" borderId="15" applyNumberFormat="0" applyFont="0" applyAlignment="0" applyProtection="0"/>
    <xf numFmtId="0" fontId="18" fillId="34" borderId="15" applyNumberFormat="0" applyFont="0" applyAlignment="0" applyProtection="0"/>
    <xf numFmtId="0" fontId="1" fillId="0" borderId="0"/>
    <xf numFmtId="0" fontId="6" fillId="34" borderId="15" applyNumberFormat="0" applyFont="0" applyAlignment="0" applyProtection="0"/>
    <xf numFmtId="0" fontId="1" fillId="0" borderId="0"/>
    <xf numFmtId="0" fontId="26" fillId="34" borderId="15" applyNumberFormat="0" applyFont="0" applyAlignment="0" applyProtection="0"/>
    <xf numFmtId="0" fontId="18" fillId="34" borderId="15" applyNumberFormat="0" applyFont="0" applyAlignment="0" applyProtection="0"/>
    <xf numFmtId="0" fontId="1" fillId="0" borderId="0"/>
    <xf numFmtId="0" fontId="6" fillId="34" borderId="15" applyNumberFormat="0" applyFont="0" applyAlignment="0" applyProtection="0"/>
    <xf numFmtId="0" fontId="1" fillId="0" borderId="0"/>
    <xf numFmtId="0" fontId="18" fillId="34" borderId="15" applyNumberFormat="0" applyFont="0" applyAlignment="0" applyProtection="0"/>
    <xf numFmtId="0" fontId="1" fillId="0" borderId="0"/>
    <xf numFmtId="0" fontId="6" fillId="34" borderId="15" applyNumberFormat="0" applyFont="0" applyAlignment="0" applyProtection="0"/>
    <xf numFmtId="0" fontId="1" fillId="0" borderId="0"/>
    <xf numFmtId="0" fontId="18" fillId="34" borderId="15" applyNumberFormat="0" applyFont="0" applyAlignment="0" applyProtection="0"/>
    <xf numFmtId="0" fontId="1" fillId="0" borderId="0"/>
    <xf numFmtId="0" fontId="6" fillId="34" borderId="15" applyNumberFormat="0" applyFont="0" applyAlignment="0" applyProtection="0"/>
    <xf numFmtId="0" fontId="1" fillId="0" borderId="0"/>
    <xf numFmtId="0" fontId="18" fillId="34" borderId="15" applyNumberFormat="0" applyFont="0" applyAlignment="0" applyProtection="0"/>
    <xf numFmtId="0" fontId="1" fillId="0" borderId="0"/>
    <xf numFmtId="0" fontId="6" fillId="34" borderId="15" applyNumberFormat="0" applyFont="0" applyAlignment="0" applyProtection="0"/>
    <xf numFmtId="0" fontId="1" fillId="0" borderId="0"/>
    <xf numFmtId="0" fontId="18" fillId="34" borderId="15" applyNumberFormat="0" applyFont="0" applyAlignment="0" applyProtection="0"/>
    <xf numFmtId="0" fontId="1" fillId="0" borderId="0"/>
    <xf numFmtId="0" fontId="6" fillId="34" borderId="15" applyNumberFormat="0" applyFont="0" applyAlignment="0" applyProtection="0"/>
    <xf numFmtId="0" fontId="1" fillId="0" borderId="0"/>
    <xf numFmtId="0" fontId="18" fillId="34" borderId="15" applyNumberFormat="0" applyFont="0" applyAlignment="0" applyProtection="0"/>
    <xf numFmtId="0" fontId="1" fillId="0" borderId="0"/>
    <xf numFmtId="0" fontId="6" fillId="34" borderId="15" applyNumberFormat="0" applyFont="0" applyAlignment="0" applyProtection="0"/>
    <xf numFmtId="0" fontId="1" fillId="0" borderId="0"/>
    <xf numFmtId="0" fontId="18" fillId="34" borderId="15" applyNumberFormat="0" applyFont="0" applyAlignment="0" applyProtection="0"/>
    <xf numFmtId="0" fontId="18" fillId="34" borderId="15" applyNumberFormat="0" applyFont="0" applyAlignment="0" applyProtection="0"/>
    <xf numFmtId="0" fontId="18" fillId="34" borderId="15" applyNumberFormat="0" applyFont="0" applyAlignment="0" applyProtection="0"/>
    <xf numFmtId="0" fontId="18" fillId="34" borderId="15" applyNumberFormat="0" applyFont="0" applyAlignment="0" applyProtection="0"/>
    <xf numFmtId="0" fontId="18" fillId="34" borderId="15" applyNumberFormat="0" applyFont="0" applyAlignment="0" applyProtection="0"/>
    <xf numFmtId="0" fontId="18" fillId="34" borderId="15" applyNumberFormat="0" applyFont="0" applyAlignment="0" applyProtection="0"/>
    <xf numFmtId="0" fontId="18" fillId="34" borderId="15" applyNumberFormat="0" applyFont="0" applyAlignment="0" applyProtection="0"/>
    <xf numFmtId="0" fontId="18" fillId="34" borderId="15" applyNumberFormat="0" applyFont="0" applyAlignment="0" applyProtection="0"/>
    <xf numFmtId="0" fontId="18" fillId="34" borderId="15" applyNumberFormat="0" applyFont="0" applyAlignment="0" applyProtection="0"/>
    <xf numFmtId="0" fontId="18" fillId="34" borderId="15" applyNumberFormat="0" applyFont="0" applyAlignment="0" applyProtection="0"/>
    <xf numFmtId="0" fontId="18" fillId="34" borderId="15" applyNumberFormat="0" applyFont="0" applyAlignment="0" applyProtection="0"/>
    <xf numFmtId="0" fontId="1" fillId="0" borderId="0"/>
    <xf numFmtId="0" fontId="24" fillId="150" borderId="15" applyNumberFormat="0" applyAlignment="0" applyProtection="0"/>
    <xf numFmtId="0" fontId="1" fillId="0" borderId="0"/>
    <xf numFmtId="0" fontId="6" fillId="34" borderId="15" applyNumberFormat="0" applyFont="0" applyAlignment="0" applyProtection="0"/>
    <xf numFmtId="0" fontId="1" fillId="0" borderId="0"/>
    <xf numFmtId="0" fontId="32" fillId="34" borderId="15" applyNumberFormat="0" applyFont="0" applyAlignment="0" applyProtection="0"/>
    <xf numFmtId="0" fontId="18" fillId="34" borderId="15" applyNumberFormat="0" applyFont="0" applyAlignment="0" applyProtection="0"/>
    <xf numFmtId="0" fontId="1" fillId="0" borderId="0"/>
    <xf numFmtId="0" fontId="6" fillId="34" borderId="15" applyNumberFormat="0" applyFont="0" applyAlignment="0" applyProtection="0"/>
    <xf numFmtId="0" fontId="1" fillId="0" borderId="0"/>
    <xf numFmtId="0" fontId="18" fillId="34" borderId="15" applyNumberFormat="0" applyFont="0" applyAlignment="0" applyProtection="0"/>
    <xf numFmtId="0" fontId="1" fillId="0" borderId="0"/>
    <xf numFmtId="0" fontId="6" fillId="34" borderId="15" applyNumberFormat="0" applyFont="0" applyAlignment="0" applyProtection="0"/>
    <xf numFmtId="0" fontId="1" fillId="0" borderId="0"/>
    <xf numFmtId="0" fontId="18" fillId="34" borderId="15" applyNumberFormat="0" applyFont="0" applyAlignment="0" applyProtection="0"/>
    <xf numFmtId="0" fontId="1" fillId="0" borderId="0"/>
    <xf numFmtId="0" fontId="6" fillId="34" borderId="15" applyNumberFormat="0" applyFont="0" applyAlignment="0" applyProtection="0"/>
    <xf numFmtId="0" fontId="1" fillId="0" borderId="0"/>
    <xf numFmtId="0" fontId="18" fillId="34" borderId="15" applyNumberFormat="0" applyFont="0" applyAlignment="0" applyProtection="0"/>
    <xf numFmtId="0" fontId="1" fillId="0" borderId="0"/>
    <xf numFmtId="0" fontId="6" fillId="34" borderId="15" applyNumberFormat="0" applyFont="0" applyAlignment="0" applyProtection="0"/>
    <xf numFmtId="0" fontId="1" fillId="0" borderId="0"/>
    <xf numFmtId="0" fontId="18" fillId="34" borderId="15" applyNumberFormat="0" applyFont="0" applyAlignment="0" applyProtection="0"/>
    <xf numFmtId="0" fontId="1" fillId="0" borderId="0"/>
    <xf numFmtId="0" fontId="6" fillId="34" borderId="15" applyNumberFormat="0" applyFont="0" applyAlignment="0" applyProtection="0"/>
    <xf numFmtId="0" fontId="1" fillId="0" borderId="0"/>
    <xf numFmtId="0" fontId="18" fillId="34" borderId="15" applyNumberFormat="0" applyFont="0" applyAlignment="0" applyProtection="0"/>
    <xf numFmtId="0" fontId="1" fillId="0" borderId="0"/>
    <xf numFmtId="0" fontId="6" fillId="34" borderId="15" applyNumberFormat="0" applyFont="0" applyAlignment="0" applyProtection="0"/>
    <xf numFmtId="0" fontId="1" fillId="0" borderId="0"/>
    <xf numFmtId="0" fontId="18" fillId="34" borderId="15" applyNumberFormat="0" applyFont="0" applyAlignment="0" applyProtection="0"/>
    <xf numFmtId="0" fontId="1" fillId="0" borderId="0"/>
    <xf numFmtId="0" fontId="6" fillId="34" borderId="15" applyNumberFormat="0" applyFont="0" applyAlignment="0" applyProtection="0"/>
    <xf numFmtId="0" fontId="1" fillId="0" borderId="0"/>
    <xf numFmtId="0" fontId="18" fillId="34" borderId="15" applyNumberFormat="0" applyFont="0" applyAlignment="0" applyProtection="0"/>
    <xf numFmtId="0" fontId="1" fillId="0" borderId="0"/>
    <xf numFmtId="0" fontId="6" fillId="34" borderId="15" applyNumberFormat="0" applyFont="0" applyAlignment="0" applyProtection="0"/>
    <xf numFmtId="0" fontId="1" fillId="0" borderId="0"/>
    <xf numFmtId="0" fontId="18" fillId="34" borderId="15" applyNumberFormat="0" applyFont="0" applyAlignment="0" applyProtection="0"/>
    <xf numFmtId="0" fontId="18" fillId="34" borderId="15" applyNumberFormat="0" applyFont="0" applyAlignment="0" applyProtection="0"/>
    <xf numFmtId="0" fontId="18" fillId="34" borderId="15" applyNumberFormat="0" applyFont="0" applyAlignment="0" applyProtection="0"/>
    <xf numFmtId="0" fontId="18" fillId="34" borderId="15" applyNumberFormat="0" applyFont="0" applyAlignment="0" applyProtection="0"/>
    <xf numFmtId="0" fontId="18" fillId="34" borderId="15" applyNumberFormat="0" applyFont="0" applyAlignment="0" applyProtection="0"/>
    <xf numFmtId="0" fontId="18" fillId="34" borderId="15" applyNumberFormat="0" applyFont="0" applyAlignment="0" applyProtection="0"/>
    <xf numFmtId="0" fontId="18" fillId="34" borderId="15" applyNumberFormat="0" applyFont="0" applyAlignment="0" applyProtection="0"/>
    <xf numFmtId="0" fontId="18" fillId="34" borderId="15" applyNumberFormat="0" applyFont="0" applyAlignment="0" applyProtection="0"/>
    <xf numFmtId="0" fontId="18" fillId="34" borderId="15" applyNumberFormat="0" applyFont="0" applyAlignment="0" applyProtection="0"/>
    <xf numFmtId="0" fontId="14" fillId="71" borderId="38" applyNumberFormat="0" applyFont="0" applyAlignment="0" applyProtection="0"/>
    <xf numFmtId="0" fontId="14" fillId="71" borderId="38" applyNumberFormat="0" applyFont="0" applyAlignment="0" applyProtection="0"/>
    <xf numFmtId="0" fontId="24" fillId="150" borderId="15" applyNumberFormat="0" applyAlignment="0" applyProtection="0"/>
    <xf numFmtId="0" fontId="32" fillId="34" borderId="15" applyNumberFormat="0" applyFont="0" applyAlignment="0" applyProtection="0"/>
    <xf numFmtId="0" fontId="18" fillId="34" borderId="15" applyNumberFormat="0" applyFont="0" applyAlignment="0" applyProtection="0"/>
    <xf numFmtId="0" fontId="18" fillId="34" borderId="15" applyNumberFormat="0" applyFont="0" applyAlignment="0" applyProtection="0"/>
    <xf numFmtId="0" fontId="18" fillId="34" borderId="15" applyNumberFormat="0" applyFont="0" applyAlignment="0" applyProtection="0"/>
    <xf numFmtId="0" fontId="18" fillId="34" borderId="15" applyNumberFormat="0" applyFont="0" applyAlignment="0" applyProtection="0"/>
    <xf numFmtId="0" fontId="18" fillId="34" borderId="15" applyNumberFormat="0" applyFont="0" applyAlignment="0" applyProtection="0"/>
    <xf numFmtId="0" fontId="18" fillId="34" borderId="15" applyNumberFormat="0" applyFont="0" applyAlignment="0" applyProtection="0"/>
    <xf numFmtId="0" fontId="18" fillId="34" borderId="15" applyNumberFormat="0" applyFont="0" applyAlignment="0" applyProtection="0"/>
    <xf numFmtId="0" fontId="18" fillId="34" borderId="15" applyNumberFormat="0" applyFont="0" applyAlignment="0" applyProtection="0"/>
    <xf numFmtId="0" fontId="18" fillId="34" borderId="15" applyNumberFormat="0" applyFont="0" applyAlignment="0" applyProtection="0"/>
    <xf numFmtId="0" fontId="14" fillId="71" borderId="38" applyNumberFormat="0" applyFont="0" applyAlignment="0" applyProtection="0"/>
    <xf numFmtId="0" fontId="14" fillId="71" borderId="38" applyNumberFormat="0" applyFont="0" applyAlignment="0" applyProtection="0"/>
    <xf numFmtId="0" fontId="14" fillId="71" borderId="38" applyNumberFormat="0" applyFont="0" applyAlignment="0" applyProtection="0"/>
    <xf numFmtId="0" fontId="14" fillId="71" borderId="38" applyNumberFormat="0" applyFont="0" applyAlignment="0" applyProtection="0"/>
    <xf numFmtId="0" fontId="14" fillId="71" borderId="38" applyNumberFormat="0" applyFont="0" applyAlignment="0" applyProtection="0"/>
    <xf numFmtId="0" fontId="14" fillId="71" borderId="38" applyNumberFormat="0" applyFont="0" applyAlignment="0" applyProtection="0"/>
    <xf numFmtId="0" fontId="14" fillId="71" borderId="38" applyNumberFormat="0" applyFont="0" applyAlignment="0" applyProtection="0"/>
    <xf numFmtId="0" fontId="14" fillId="71" borderId="38" applyNumberFormat="0" applyFont="0" applyAlignment="0" applyProtection="0"/>
    <xf numFmtId="0" fontId="14" fillId="71" borderId="38" applyNumberFormat="0" applyFont="0" applyAlignment="0" applyProtection="0"/>
    <xf numFmtId="0" fontId="24" fillId="150" borderId="15" applyNumberFormat="0" applyAlignment="0" applyProtection="0"/>
    <xf numFmtId="0" fontId="32" fillId="34" borderId="15" applyNumberFormat="0" applyFont="0" applyAlignment="0" applyProtection="0"/>
    <xf numFmtId="0" fontId="18" fillId="34" borderId="15" applyNumberFormat="0" applyFont="0" applyAlignment="0" applyProtection="0"/>
    <xf numFmtId="0" fontId="18" fillId="34" borderId="15" applyNumberFormat="0" applyFont="0" applyAlignment="0" applyProtection="0"/>
    <xf numFmtId="0" fontId="18" fillId="34" borderId="15" applyNumberFormat="0" applyFont="0" applyAlignment="0" applyProtection="0"/>
    <xf numFmtId="0" fontId="18" fillId="34" borderId="15" applyNumberFormat="0" applyFont="0" applyAlignment="0" applyProtection="0"/>
    <xf numFmtId="0" fontId="18" fillId="34" borderId="15" applyNumberFormat="0" applyFont="0" applyAlignment="0" applyProtection="0"/>
    <xf numFmtId="0" fontId="18" fillId="34" borderId="15" applyNumberFormat="0" applyFont="0" applyAlignment="0" applyProtection="0"/>
    <xf numFmtId="0" fontId="18" fillId="34" borderId="15" applyNumberFormat="0" applyFont="0" applyAlignment="0" applyProtection="0"/>
    <xf numFmtId="0" fontId="18" fillId="34" borderId="15" applyNumberFormat="0" applyFont="0" applyAlignment="0" applyProtection="0"/>
    <xf numFmtId="0" fontId="18" fillId="34" borderId="15" applyNumberFormat="0" applyFont="0" applyAlignment="0" applyProtection="0"/>
    <xf numFmtId="0" fontId="18" fillId="34" borderId="15" applyNumberFormat="0" applyFont="0" applyAlignment="0" applyProtection="0"/>
    <xf numFmtId="0" fontId="24" fillId="150" borderId="15" applyNumberFormat="0" applyAlignment="0" applyProtection="0"/>
    <xf numFmtId="0" fontId="32" fillId="34" borderId="15" applyNumberFormat="0" applyFont="0" applyAlignment="0" applyProtection="0"/>
    <xf numFmtId="0" fontId="26" fillId="34" borderId="15" applyNumberFormat="0" applyFont="0" applyAlignment="0" applyProtection="0"/>
    <xf numFmtId="0" fontId="32" fillId="34" borderId="15" applyNumberFormat="0" applyFont="0" applyAlignment="0" applyProtection="0"/>
    <xf numFmtId="0" fontId="18" fillId="34" borderId="15" applyNumberFormat="0" applyFont="0" applyAlignment="0" applyProtection="0"/>
    <xf numFmtId="0" fontId="24" fillId="150" borderId="15" applyNumberFormat="0" applyAlignment="0" applyProtection="0"/>
    <xf numFmtId="0" fontId="32" fillId="34" borderId="15" applyNumberFormat="0" applyFont="0" applyAlignment="0" applyProtection="0"/>
    <xf numFmtId="0" fontId="32" fillId="34" borderId="15" applyNumberFormat="0" applyFont="0" applyAlignment="0" applyProtection="0"/>
    <xf numFmtId="0" fontId="18" fillId="34" borderId="15" applyNumberFormat="0" applyFont="0" applyAlignment="0" applyProtection="0"/>
    <xf numFmtId="0" fontId="1" fillId="0" borderId="0"/>
    <xf numFmtId="0" fontId="14" fillId="71" borderId="38" applyNumberFormat="0" applyFont="0" applyAlignment="0" applyProtection="0"/>
    <xf numFmtId="0" fontId="18" fillId="34" borderId="15" applyNumberFormat="0" applyFont="0" applyAlignment="0" applyProtection="0"/>
    <xf numFmtId="0" fontId="18" fillId="34" borderId="15" applyNumberFormat="0" applyFont="0" applyAlignment="0" applyProtection="0"/>
    <xf numFmtId="0" fontId="1" fillId="0" borderId="0"/>
    <xf numFmtId="0" fontId="18" fillId="34" borderId="15" applyNumberFormat="0" applyFont="0" applyAlignment="0" applyProtection="0"/>
    <xf numFmtId="49" fontId="131" fillId="0" borderId="5">
      <alignment horizontal="left" vertical="center"/>
    </xf>
    <xf numFmtId="0" fontId="1" fillId="0" borderId="0"/>
    <xf numFmtId="9" fontId="18" fillId="0" borderId="0" applyFont="0" applyFill="0" applyBorder="0" applyAlignment="0" applyProtection="0"/>
    <xf numFmtId="9" fontId="24" fillId="0" borderId="0" applyFill="0" applyBorder="0" applyAlignment="0" applyProtection="0"/>
    <xf numFmtId="0" fontId="1" fillId="0" borderId="0"/>
    <xf numFmtId="9" fontId="18" fillId="0" borderId="0" applyFont="0" applyFill="0" applyBorder="0" applyAlignment="0" applyProtection="0"/>
    <xf numFmtId="0" fontId="1" fillId="0" borderId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5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5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" fillId="0" borderId="0"/>
    <xf numFmtId="9" fontId="18" fillId="0" borderId="0" applyFont="0" applyFill="0" applyBorder="0" applyAlignment="0" applyProtection="0"/>
    <xf numFmtId="9" fontId="156" fillId="0" borderId="0" applyFont="0" applyFill="0" applyBorder="0" applyAlignment="0" applyProtection="0"/>
    <xf numFmtId="9" fontId="156" fillId="0" borderId="0" applyFont="0" applyFill="0" applyBorder="0" applyAlignment="0" applyProtection="0"/>
    <xf numFmtId="9" fontId="156" fillId="0" borderId="0" applyFont="0" applyFill="0" applyBorder="0" applyAlignment="0" applyProtection="0"/>
    <xf numFmtId="9" fontId="156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" fillId="0" borderId="0"/>
    <xf numFmtId="9" fontId="18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1" fillId="0" borderId="0"/>
    <xf numFmtId="9" fontId="6" fillId="0" borderId="0" applyFont="0" applyFill="0" applyBorder="0" applyAlignment="0" applyProtection="0"/>
    <xf numFmtId="9" fontId="24" fillId="0" borderId="0" applyFill="0" applyBorder="0" applyAlignment="0" applyProtection="0"/>
    <xf numFmtId="9" fontId="31" fillId="0" borderId="0" applyFont="0" applyFill="0" applyBorder="0" applyAlignment="0" applyProtection="0"/>
    <xf numFmtId="0" fontId="1" fillId="0" borderId="0"/>
    <xf numFmtId="9" fontId="15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15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156" fillId="0" borderId="0" applyFont="0" applyFill="0" applyBorder="0" applyAlignment="0" applyProtection="0"/>
    <xf numFmtId="0" fontId="1" fillId="0" borderId="0"/>
    <xf numFmtId="9" fontId="24" fillId="0" borderId="0" applyFill="0" applyBorder="0" applyAlignment="0" applyProtection="0"/>
    <xf numFmtId="9" fontId="18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1" fillId="0" borderId="0"/>
    <xf numFmtId="9" fontId="18" fillId="0" borderId="0" applyFont="0" applyFill="0" applyBorder="0" applyAlignment="0" applyProtection="0"/>
    <xf numFmtId="0" fontId="1" fillId="0" borderId="0"/>
    <xf numFmtId="9" fontId="156" fillId="0" borderId="0" applyFont="0" applyFill="0" applyBorder="0" applyAlignment="0" applyProtection="0"/>
    <xf numFmtId="0" fontId="1" fillId="0" borderId="0"/>
    <xf numFmtId="9" fontId="26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" fillId="0" borderId="0"/>
    <xf numFmtId="9" fontId="156" fillId="0" borderId="0" applyFont="0" applyFill="0" applyBorder="0" applyAlignment="0" applyProtection="0"/>
    <xf numFmtId="9" fontId="156" fillId="0" borderId="0" applyFont="0" applyFill="0" applyBorder="0" applyAlignment="0" applyProtection="0"/>
    <xf numFmtId="9" fontId="24" fillId="0" borderId="0" applyFill="0" applyBorder="0" applyAlignment="0" applyProtection="0"/>
    <xf numFmtId="9" fontId="15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1" fillId="0" borderId="0"/>
    <xf numFmtId="9" fontId="228" fillId="0" borderId="0" applyFill="0" applyBorder="0" applyAlignment="0" applyProtection="0"/>
    <xf numFmtId="0" fontId="1" fillId="0" borderId="0"/>
    <xf numFmtId="9" fontId="18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4" fillId="0" borderId="0" applyFill="0" applyBorder="0" applyAlignment="0" applyProtection="0"/>
    <xf numFmtId="9" fontId="18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28" fillId="0" borderId="0" applyFill="0" applyBorder="0" applyAlignment="0" applyProtection="0"/>
    <xf numFmtId="9" fontId="26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1" fillId="0" borderId="0"/>
    <xf numFmtId="9" fontId="18" fillId="0" borderId="0" applyFont="0" applyFill="0" applyBorder="0" applyAlignment="0" applyProtection="0"/>
    <xf numFmtId="9" fontId="15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1" fillId="0" borderId="0"/>
    <xf numFmtId="9" fontId="156" fillId="0" borderId="0" applyFont="0" applyFill="0" applyBorder="0" applyAlignment="0" applyProtection="0"/>
    <xf numFmtId="0" fontId="1" fillId="0" borderId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1" fillId="0" borderId="0"/>
    <xf numFmtId="9" fontId="31" fillId="0" borderId="0" applyFont="0" applyFill="0" applyBorder="0" applyAlignment="0" applyProtection="0"/>
    <xf numFmtId="0" fontId="1" fillId="0" borderId="0"/>
    <xf numFmtId="9" fontId="18" fillId="0" borderId="0" applyFont="0" applyFill="0" applyBorder="0" applyAlignment="0" applyProtection="0"/>
    <xf numFmtId="0" fontId="1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56" fillId="0" borderId="0" applyFont="0" applyFill="0" applyBorder="0" applyAlignment="0" applyProtection="0"/>
    <xf numFmtId="9" fontId="15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15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3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4" fillId="0" borderId="0" applyFill="0" applyBorder="0" applyAlignment="0" applyProtection="0"/>
    <xf numFmtId="9" fontId="26" fillId="0" borderId="0" applyFont="0" applyFill="0" applyBorder="0" applyAlignment="0" applyProtection="0"/>
    <xf numFmtId="0" fontId="1" fillId="0" borderId="0"/>
    <xf numFmtId="9" fontId="18" fillId="0" borderId="0" applyFont="0" applyFill="0" applyBorder="0" applyAlignment="0" applyProtection="0"/>
    <xf numFmtId="0" fontId="1" fillId="0" borderId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4" fillId="0" borderId="0" applyFill="0" applyBorder="0" applyAlignment="0" applyProtection="0"/>
    <xf numFmtId="9" fontId="18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" fillId="0" borderId="0"/>
    <xf numFmtId="9" fontId="26" fillId="0" borderId="0" applyFont="0" applyFill="0" applyBorder="0" applyAlignment="0" applyProtection="0"/>
    <xf numFmtId="9" fontId="24" fillId="0" borderId="0" applyFill="0" applyBorder="0" applyAlignment="0" applyProtection="0"/>
    <xf numFmtId="9" fontId="2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6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208" fontId="163" fillId="0" borderId="2"/>
    <xf numFmtId="0" fontId="26" fillId="0" borderId="2" applyNumberFormat="0" applyFont="0" applyFill="0" applyAlignment="0" applyProtection="0"/>
    <xf numFmtId="0" fontId="1" fillId="0" borderId="0"/>
    <xf numFmtId="0" fontId="271" fillId="0" borderId="42"/>
    <xf numFmtId="3" fontId="164" fillId="62" borderId="5">
      <alignment horizontal="justify" vertical="center"/>
    </xf>
    <xf numFmtId="0" fontId="1" fillId="0" borderId="0"/>
    <xf numFmtId="0" fontId="1" fillId="0" borderId="0"/>
    <xf numFmtId="0" fontId="80" fillId="0" borderId="13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272" fillId="0" borderId="36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0" fillId="0" borderId="13" applyNumberFormat="0" applyFill="0" applyAlignment="0" applyProtection="0"/>
    <xf numFmtId="0" fontId="80" fillId="0" borderId="13" applyNumberFormat="0" applyFill="0" applyAlignment="0" applyProtection="0"/>
    <xf numFmtId="0" fontId="80" fillId="0" borderId="13" applyNumberFormat="0" applyFill="0" applyAlignment="0" applyProtection="0"/>
    <xf numFmtId="0" fontId="165" fillId="0" borderId="13" applyNumberFormat="0" applyFill="0" applyAlignment="0" applyProtection="0"/>
    <xf numFmtId="0" fontId="1" fillId="0" borderId="0"/>
    <xf numFmtId="0" fontId="80" fillId="0" borderId="13" applyNumberFormat="0" applyFill="0" applyAlignment="0" applyProtection="0"/>
    <xf numFmtId="0" fontId="165" fillId="0" borderId="13" applyNumberFormat="0" applyFill="0" applyAlignment="0" applyProtection="0"/>
    <xf numFmtId="0" fontId="80" fillId="0" borderId="13" applyNumberFormat="0" applyFill="0" applyAlignment="0" applyProtection="0"/>
    <xf numFmtId="0" fontId="80" fillId="0" borderId="13" applyNumberFormat="0" applyFill="0" applyAlignment="0" applyProtection="0"/>
    <xf numFmtId="0" fontId="80" fillId="0" borderId="13" applyNumberFormat="0" applyFill="0" applyAlignment="0" applyProtection="0"/>
    <xf numFmtId="0" fontId="80" fillId="0" borderId="13" applyNumberFormat="0" applyFill="0" applyAlignment="0" applyProtection="0"/>
    <xf numFmtId="0" fontId="80" fillId="0" borderId="13" applyNumberFormat="0" applyFill="0" applyAlignment="0" applyProtection="0"/>
    <xf numFmtId="0" fontId="80" fillId="0" borderId="13" applyNumberFormat="0" applyFill="0" applyAlignment="0" applyProtection="0"/>
    <xf numFmtId="0" fontId="80" fillId="0" borderId="13" applyNumberFormat="0" applyFill="0" applyAlignment="0" applyProtection="0"/>
    <xf numFmtId="0" fontId="80" fillId="0" borderId="13" applyNumberFormat="0" applyFill="0" applyAlignment="0" applyProtection="0"/>
    <xf numFmtId="0" fontId="1" fillId="0" borderId="0"/>
    <xf numFmtId="0" fontId="80" fillId="0" borderId="13" applyNumberFormat="0" applyFill="0" applyAlignment="0" applyProtection="0"/>
    <xf numFmtId="0" fontId="165" fillId="0" borderId="13" applyNumberFormat="0" applyFill="0" applyAlignment="0" applyProtection="0"/>
    <xf numFmtId="0" fontId="80" fillId="0" borderId="13" applyNumberFormat="0" applyFill="0" applyAlignment="0" applyProtection="0"/>
    <xf numFmtId="0" fontId="80" fillId="0" borderId="13" applyNumberFormat="0" applyFill="0" applyAlignment="0" applyProtection="0"/>
    <xf numFmtId="0" fontId="1" fillId="0" borderId="0"/>
    <xf numFmtId="0" fontId="80" fillId="0" borderId="13" applyNumberFormat="0" applyFill="0" applyAlignment="0" applyProtection="0"/>
    <xf numFmtId="0" fontId="80" fillId="0" borderId="13" applyNumberFormat="0" applyFill="0" applyAlignment="0" applyProtection="0"/>
    <xf numFmtId="0" fontId="80" fillId="0" borderId="13" applyNumberFormat="0" applyFill="0" applyAlignment="0" applyProtection="0"/>
    <xf numFmtId="0" fontId="80" fillId="0" borderId="13" applyNumberFormat="0" applyFill="0" applyAlignment="0" applyProtection="0"/>
    <xf numFmtId="0" fontId="80" fillId="0" borderId="13" applyNumberFormat="0" applyFill="0" applyAlignment="0" applyProtection="0"/>
    <xf numFmtId="0" fontId="80" fillId="0" borderId="13" applyNumberFormat="0" applyFill="0" applyAlignment="0" applyProtection="0"/>
    <xf numFmtId="0" fontId="80" fillId="0" borderId="13" applyNumberFormat="0" applyFill="0" applyAlignment="0" applyProtection="0"/>
    <xf numFmtId="0" fontId="80" fillId="0" borderId="13" applyNumberFormat="0" applyFill="0" applyAlignment="0" applyProtection="0"/>
    <xf numFmtId="0" fontId="165" fillId="0" borderId="13" applyNumberFormat="0" applyFill="0" applyAlignment="0" applyProtection="0"/>
    <xf numFmtId="0" fontId="165" fillId="0" borderId="13" applyNumberFormat="0" applyFill="0" applyAlignment="0" applyProtection="0"/>
    <xf numFmtId="0" fontId="80" fillId="0" borderId="13" applyNumberFormat="0" applyFill="0" applyAlignment="0" applyProtection="0"/>
    <xf numFmtId="0" fontId="165" fillId="0" borderId="13" applyNumberFormat="0" applyFill="0" applyAlignment="0" applyProtection="0"/>
    <xf numFmtId="0" fontId="165" fillId="0" borderId="13" applyNumberFormat="0" applyFill="0" applyAlignment="0" applyProtection="0"/>
    <xf numFmtId="0" fontId="165" fillId="0" borderId="13" applyNumberFormat="0" applyFill="0" applyAlignment="0" applyProtection="0"/>
    <xf numFmtId="0" fontId="165" fillId="0" borderId="13" applyNumberFormat="0" applyFill="0" applyAlignment="0" applyProtection="0"/>
    <xf numFmtId="0" fontId="165" fillId="0" borderId="13" applyNumberFormat="0" applyFill="0" applyAlignment="0" applyProtection="0"/>
    <xf numFmtId="0" fontId="165" fillId="0" borderId="13" applyNumberFormat="0" applyFill="0" applyAlignment="0" applyProtection="0"/>
    <xf numFmtId="0" fontId="1" fillId="0" borderId="0"/>
    <xf numFmtId="0" fontId="80" fillId="0" borderId="13" applyNumberFormat="0" applyFill="0" applyAlignment="0" applyProtection="0"/>
    <xf numFmtId="0" fontId="1" fillId="0" borderId="0"/>
    <xf numFmtId="0" fontId="80" fillId="0" borderId="13" applyNumberFormat="0" applyFill="0" applyAlignment="0" applyProtection="0"/>
    <xf numFmtId="0" fontId="16" fillId="0" borderId="0"/>
    <xf numFmtId="0" fontId="1" fillId="0" borderId="0"/>
    <xf numFmtId="0" fontId="16" fillId="0" borderId="0"/>
    <xf numFmtId="0" fontId="17" fillId="0" borderId="0"/>
    <xf numFmtId="38" fontId="19" fillId="0" borderId="0">
      <alignment vertical="top"/>
    </xf>
    <xf numFmtId="0" fontId="16" fillId="0" borderId="0"/>
    <xf numFmtId="38" fontId="19" fillId="0" borderId="0">
      <alignment vertical="top"/>
    </xf>
    <xf numFmtId="0" fontId="24" fillId="0" borderId="0"/>
    <xf numFmtId="38" fontId="19" fillId="0" borderId="0">
      <alignment vertical="top"/>
    </xf>
    <xf numFmtId="0" fontId="24" fillId="0" borderId="0"/>
    <xf numFmtId="0" fontId="16" fillId="0" borderId="0"/>
    <xf numFmtId="0" fontId="16" fillId="0" borderId="0"/>
    <xf numFmtId="0" fontId="18" fillId="0" borderId="0"/>
    <xf numFmtId="0" fontId="16" fillId="0" borderId="0"/>
    <xf numFmtId="0" fontId="18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7" fillId="0" borderId="0"/>
    <xf numFmtId="49" fontId="190" fillId="96" borderId="43" applyBorder="0" applyProtection="0">
      <alignment horizontal="left" vertical="center"/>
    </xf>
    <xf numFmtId="0" fontId="24" fillId="0" borderId="5" applyBorder="0" applyAlignment="0">
      <alignment horizontal="left" wrapText="1"/>
    </xf>
    <xf numFmtId="3" fontId="167" fillId="0" borderId="0"/>
    <xf numFmtId="203" fontId="24" fillId="0" borderId="0" applyFill="0" applyProtection="0"/>
    <xf numFmtId="3" fontId="167" fillId="0" borderId="0"/>
    <xf numFmtId="3" fontId="167" fillId="0" borderId="0"/>
    <xf numFmtId="3" fontId="167" fillId="0" borderId="0"/>
    <xf numFmtId="3" fontId="167" fillId="0" borderId="0"/>
    <xf numFmtId="3" fontId="167" fillId="0" borderId="0"/>
    <xf numFmtId="3" fontId="167" fillId="0" borderId="0"/>
    <xf numFmtId="3" fontId="167" fillId="0" borderId="0"/>
    <xf numFmtId="3" fontId="167" fillId="0" borderId="0"/>
    <xf numFmtId="3" fontId="167" fillId="0" borderId="0"/>
    <xf numFmtId="170" fontId="83" fillId="0" borderId="0" applyFill="0" applyBorder="0" applyAlignment="0" applyProtection="0"/>
    <xf numFmtId="3" fontId="167" fillId="0" borderId="0"/>
    <xf numFmtId="3" fontId="167" fillId="0" borderId="0"/>
    <xf numFmtId="3" fontId="167" fillId="0" borderId="0"/>
    <xf numFmtId="3" fontId="167" fillId="0" borderId="0"/>
    <xf numFmtId="3" fontId="167" fillId="0" borderId="0"/>
    <xf numFmtId="3" fontId="167" fillId="0" borderId="0"/>
    <xf numFmtId="3" fontId="167" fillId="0" borderId="0"/>
    <xf numFmtId="3" fontId="167" fillId="0" borderId="0"/>
    <xf numFmtId="203" fontId="24" fillId="0" borderId="0" applyFill="0" applyProtection="0"/>
    <xf numFmtId="0" fontId="1" fillId="0" borderId="0"/>
    <xf numFmtId="0" fontId="1" fillId="0" borderId="0"/>
    <xf numFmtId="0" fontId="119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273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9" fillId="0" borderId="0" applyNumberFormat="0" applyFill="0" applyBorder="0" applyAlignment="0" applyProtection="0"/>
    <xf numFmtId="0" fontId="168" fillId="0" borderId="0" applyNumberFormat="0" applyFill="0" applyBorder="0" applyAlignment="0" applyProtection="0"/>
    <xf numFmtId="0" fontId="1" fillId="0" borderId="0"/>
    <xf numFmtId="0" fontId="119" fillId="0" borderId="0" applyNumberFormat="0" applyFill="0" applyBorder="0" applyAlignment="0" applyProtection="0"/>
    <xf numFmtId="0" fontId="168" fillId="0" borderId="0" applyNumberFormat="0" applyFill="0" applyBorder="0" applyAlignment="0" applyProtection="0"/>
    <xf numFmtId="0" fontId="1" fillId="0" borderId="0"/>
    <xf numFmtId="0" fontId="119" fillId="0" borderId="0" applyNumberFormat="0" applyFill="0" applyBorder="0" applyAlignment="0" applyProtection="0"/>
    <xf numFmtId="0" fontId="168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" fillId="0" borderId="0"/>
    <xf numFmtId="0" fontId="119" fillId="0" borderId="0" applyNumberFormat="0" applyFill="0" applyBorder="0" applyAlignment="0" applyProtection="0"/>
    <xf numFmtId="0" fontId="168" fillId="0" borderId="0" applyNumberFormat="0" applyFill="0" applyBorder="0" applyAlignment="0" applyProtection="0"/>
    <xf numFmtId="0" fontId="168" fillId="0" borderId="0" applyNumberFormat="0" applyFill="0" applyBorder="0" applyAlignment="0" applyProtection="0"/>
    <xf numFmtId="0" fontId="168" fillId="0" borderId="0" applyNumberFormat="0" applyFill="0" applyBorder="0" applyAlignment="0" applyProtection="0"/>
    <xf numFmtId="0" fontId="168" fillId="0" borderId="0" applyNumberFormat="0" applyFill="0" applyBorder="0" applyAlignment="0" applyProtection="0"/>
    <xf numFmtId="0" fontId="168" fillId="0" borderId="0" applyNumberFormat="0" applyFill="0" applyBorder="0" applyAlignment="0" applyProtection="0"/>
    <xf numFmtId="0" fontId="168" fillId="0" borderId="0" applyNumberFormat="0" applyFill="0" applyBorder="0" applyAlignment="0" applyProtection="0"/>
    <xf numFmtId="0" fontId="168" fillId="0" borderId="0" applyNumberFormat="0" applyFill="0" applyBorder="0" applyAlignment="0" applyProtection="0"/>
    <xf numFmtId="0" fontId="168" fillId="0" borderId="0" applyNumberFormat="0" applyFill="0" applyBorder="0" applyAlignment="0" applyProtection="0"/>
    <xf numFmtId="0" fontId="1" fillId="0" borderId="0"/>
    <xf numFmtId="0" fontId="119" fillId="0" borderId="0" applyNumberFormat="0" applyFill="0" applyBorder="0" applyAlignment="0" applyProtection="0"/>
    <xf numFmtId="0" fontId="1" fillId="0" borderId="0"/>
    <xf numFmtId="0" fontId="119" fillId="0" borderId="0" applyNumberFormat="0" applyFill="0" applyBorder="0" applyAlignment="0" applyProtection="0"/>
    <xf numFmtId="49" fontId="83" fillId="0" borderId="0">
      <alignment horizontal="center"/>
    </xf>
    <xf numFmtId="49" fontId="83" fillId="0" borderId="0">
      <alignment horizontal="center"/>
    </xf>
    <xf numFmtId="49" fontId="83" fillId="0" borderId="0">
      <alignment horizontal="center"/>
    </xf>
    <xf numFmtId="49" fontId="83" fillId="0" borderId="0">
      <alignment horizontal="center"/>
    </xf>
    <xf numFmtId="49" fontId="83" fillId="0" borderId="0">
      <alignment horizontal="center"/>
    </xf>
    <xf numFmtId="49" fontId="83" fillId="0" borderId="0">
      <alignment horizontal="center"/>
    </xf>
    <xf numFmtId="49" fontId="83" fillId="0" borderId="0">
      <alignment horizontal="center"/>
    </xf>
    <xf numFmtId="49" fontId="83" fillId="0" borderId="0">
      <alignment horizontal="center"/>
    </xf>
    <xf numFmtId="0" fontId="1" fillId="0" borderId="0"/>
    <xf numFmtId="0" fontId="1" fillId="0" borderId="0"/>
    <xf numFmtId="41" fontId="18" fillId="0" borderId="0" applyFont="0" applyFill="0" applyBorder="0" applyAlignment="0" applyProtection="0"/>
    <xf numFmtId="0" fontId="1" fillId="0" borderId="0"/>
    <xf numFmtId="167" fontId="31" fillId="0" borderId="0" applyFont="0" applyFill="0" applyBorder="0" applyAlignment="0" applyProtection="0"/>
    <xf numFmtId="0" fontId="1" fillId="0" borderId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0" fontId="1" fillId="0" borderId="0"/>
    <xf numFmtId="167" fontId="31" fillId="0" borderId="0" applyFont="0" applyFill="0" applyBorder="0" applyAlignment="0" applyProtection="0"/>
    <xf numFmtId="0" fontId="1" fillId="0" borderId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0" fontId="1" fillId="0" borderId="0"/>
    <xf numFmtId="167" fontId="31" fillId="0" borderId="0" applyFont="0" applyFill="0" applyBorder="0" applyAlignment="0" applyProtection="0"/>
    <xf numFmtId="0" fontId="1" fillId="0" borderId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0" fontId="1" fillId="0" borderId="0"/>
    <xf numFmtId="167" fontId="158" fillId="0" borderId="0" applyFont="0" applyFill="0" applyBorder="0" applyAlignment="0" applyProtection="0"/>
    <xf numFmtId="0" fontId="1" fillId="0" borderId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43" fontId="18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0" fontId="1" fillId="0" borderId="0"/>
    <xf numFmtId="43" fontId="18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156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" fillId="0" borderId="0"/>
    <xf numFmtId="43" fontId="18" fillId="0" borderId="0" applyFont="0" applyFill="0" applyBorder="0" applyAlignment="0" applyProtection="0"/>
    <xf numFmtId="0" fontId="1" fillId="0" borderId="0"/>
    <xf numFmtId="43" fontId="18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8" fillId="0" borderId="0" applyFont="0" applyFill="0" applyBorder="0" applyAlignment="0" applyProtection="0"/>
    <xf numFmtId="167" fontId="156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56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8" fillId="0" borderId="0" applyFont="0" applyFill="0" applyBorder="0" applyAlignment="0" applyProtection="0"/>
    <xf numFmtId="167" fontId="26" fillId="0" borderId="0" applyFont="0" applyFill="0" applyBorder="0" applyAlignment="0" applyProtection="0"/>
    <xf numFmtId="25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31" fillId="0" borderId="0" applyFont="0" applyFill="0" applyBorder="0" applyAlignment="0" applyProtection="0"/>
    <xf numFmtId="0" fontId="1" fillId="0" borderId="0"/>
    <xf numFmtId="43" fontId="18" fillId="0" borderId="0" applyFont="0" applyFill="0" applyBorder="0" applyAlignment="0" applyProtection="0"/>
    <xf numFmtId="0" fontId="1" fillId="0" borderId="0"/>
    <xf numFmtId="167" fontId="26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" fillId="0" borderId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31" fillId="0" borderId="0" applyFont="0" applyFill="0" applyBorder="0" applyAlignment="0" applyProtection="0"/>
    <xf numFmtId="0" fontId="1" fillId="0" borderId="0"/>
    <xf numFmtId="0" fontId="18" fillId="0" borderId="0"/>
    <xf numFmtId="167" fontId="26" fillId="0" borderId="0" applyFont="0" applyFill="0" applyBorder="0" applyAlignment="0" applyProtection="0"/>
    <xf numFmtId="43" fontId="18" fillId="0" borderId="0" applyFont="0" applyFill="0" applyBorder="0" applyAlignment="0" applyProtection="0"/>
    <xf numFmtId="211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246" fontId="24" fillId="0" borderId="0" applyFill="0" applyBorder="0" applyAlignment="0" applyProtection="0"/>
    <xf numFmtId="167" fontId="31" fillId="0" borderId="0" applyFont="0" applyFill="0" applyBorder="0" applyAlignment="0" applyProtection="0"/>
    <xf numFmtId="0" fontId="18" fillId="0" borderId="0" applyFont="0" applyFill="0" applyBorder="0" applyAlignment="0" applyProtection="0"/>
    <xf numFmtId="167" fontId="26" fillId="0" borderId="0" applyFont="0" applyFill="0" applyBorder="0" applyAlignment="0" applyProtection="0"/>
    <xf numFmtId="0" fontId="18" fillId="0" borderId="0"/>
    <xf numFmtId="186" fontId="18" fillId="0" borderId="0" applyFont="0" applyFill="0" applyBorder="0" applyAlignment="0" applyProtection="0"/>
    <xf numFmtId="0" fontId="18" fillId="0" borderId="0"/>
    <xf numFmtId="167" fontId="158" fillId="0" borderId="0" applyFont="0" applyFill="0" applyBorder="0" applyAlignment="0" applyProtection="0"/>
    <xf numFmtId="167" fontId="1" fillId="0" borderId="0" applyFont="0" applyFill="0" applyBorder="0" applyAlignment="0" applyProtection="0"/>
    <xf numFmtId="186" fontId="18" fillId="0" borderId="0" applyFont="0" applyFill="0" applyBorder="0" applyAlignment="0" applyProtection="0"/>
    <xf numFmtId="255" fontId="24" fillId="0" borderId="0" applyFill="0" applyBorder="0" applyAlignment="0" applyProtection="0"/>
    <xf numFmtId="186" fontId="18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" fillId="0" borderId="0"/>
    <xf numFmtId="167" fontId="26" fillId="0" borderId="0" applyFont="0" applyFill="0" applyBorder="0" applyAlignment="0" applyProtection="0"/>
    <xf numFmtId="167" fontId="153" fillId="0" borderId="0" applyFont="0" applyFill="0" applyBorder="0" applyAlignment="0" applyProtection="0"/>
    <xf numFmtId="213" fontId="18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8" fillId="0" borderId="0" applyFont="0" applyFill="0" applyBorder="0" applyAlignment="0" applyProtection="0"/>
    <xf numFmtId="167" fontId="26" fillId="0" borderId="0" applyFont="0" applyFill="0" applyBorder="0" applyAlignment="0" applyProtection="0"/>
    <xf numFmtId="0" fontId="1" fillId="0" borderId="0"/>
    <xf numFmtId="167" fontId="26" fillId="0" borderId="0" applyFont="0" applyFill="0" applyBorder="0" applyAlignment="0" applyProtection="0"/>
    <xf numFmtId="167" fontId="153" fillId="0" borderId="0" applyFont="0" applyFill="0" applyBorder="0" applyAlignment="0" applyProtection="0"/>
    <xf numFmtId="167" fontId="158" fillId="0" borderId="0" applyFont="0" applyFill="0" applyBorder="0" applyAlignment="0" applyProtection="0"/>
    <xf numFmtId="0" fontId="1" fillId="0" borderId="0"/>
    <xf numFmtId="167" fontId="31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8" fillId="0" borderId="0" applyFont="0" applyFill="0" applyBorder="0" applyAlignment="0" applyProtection="0"/>
    <xf numFmtId="167" fontId="153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0" fontId="1" fillId="0" borderId="0"/>
    <xf numFmtId="167" fontId="153" fillId="0" borderId="0" applyFont="0" applyFill="0" applyBorder="0" applyAlignment="0" applyProtection="0"/>
    <xf numFmtId="167" fontId="26" fillId="0" borderId="0" applyFont="0" applyFill="0" applyBorder="0" applyAlignment="0" applyProtection="0"/>
    <xf numFmtId="0" fontId="1" fillId="0" borderId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4" fontId="14" fillId="3" borderId="0" applyFont="0" applyBorder="0">
      <alignment horizontal="right"/>
    </xf>
    <xf numFmtId="4" fontId="14" fillId="3" borderId="0" applyBorder="0">
      <alignment horizontal="right"/>
    </xf>
    <xf numFmtId="4" fontId="14" fillId="3" borderId="0" applyFont="0" applyBorder="0">
      <alignment horizontal="right"/>
    </xf>
    <xf numFmtId="4" fontId="14" fillId="3" borderId="0" applyBorder="0">
      <alignment horizontal="right"/>
    </xf>
    <xf numFmtId="4" fontId="14" fillId="3" borderId="0" applyFont="0" applyBorder="0">
      <alignment horizontal="right"/>
    </xf>
    <xf numFmtId="4" fontId="14" fillId="3" borderId="0" applyBorder="0">
      <alignment horizontal="right"/>
    </xf>
    <xf numFmtId="0" fontId="18" fillId="0" borderId="0"/>
    <xf numFmtId="0" fontId="18" fillId="0" borderId="0"/>
    <xf numFmtId="0" fontId="1" fillId="0" borderId="0"/>
    <xf numFmtId="0" fontId="1" fillId="0" borderId="0"/>
    <xf numFmtId="0" fontId="61" fillId="9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70" fillId="57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274" fillId="66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1" fillId="57" borderId="0" applyNumberFormat="0" applyBorder="0" applyAlignment="0" applyProtection="0"/>
    <xf numFmtId="0" fontId="170" fillId="9" borderId="0" applyNumberFormat="0" applyBorder="0" applyAlignment="0" applyProtection="0"/>
    <xf numFmtId="0" fontId="1" fillId="0" borderId="0"/>
    <xf numFmtId="0" fontId="61" fillId="9" borderId="0" applyNumberFormat="0" applyBorder="0" applyAlignment="0" applyProtection="0"/>
    <xf numFmtId="0" fontId="170" fillId="9" borderId="0" applyNumberFormat="0" applyBorder="0" applyAlignment="0" applyProtection="0"/>
    <xf numFmtId="0" fontId="170" fillId="57" borderId="0" applyNumberFormat="0" applyBorder="0" applyAlignment="0" applyProtection="0"/>
    <xf numFmtId="0" fontId="61" fillId="9" borderId="0" applyNumberFormat="0" applyBorder="0" applyAlignment="0" applyProtection="0"/>
    <xf numFmtId="0" fontId="61" fillId="57" borderId="0" applyNumberFormat="0" applyBorder="0" applyAlignment="0" applyProtection="0"/>
    <xf numFmtId="0" fontId="61" fillId="9" borderId="0" applyNumberFormat="0" applyBorder="0" applyAlignment="0" applyProtection="0"/>
    <xf numFmtId="0" fontId="1" fillId="0" borderId="0"/>
    <xf numFmtId="0" fontId="61" fillId="9" borderId="0" applyNumberFormat="0" applyBorder="0" applyAlignment="0" applyProtection="0"/>
    <xf numFmtId="0" fontId="170" fillId="9" borderId="0" applyNumberFormat="0" applyBorder="0" applyAlignment="0" applyProtection="0"/>
    <xf numFmtId="0" fontId="61" fillId="9" borderId="0" applyNumberFormat="0" applyBorder="0" applyAlignment="0" applyProtection="0"/>
    <xf numFmtId="0" fontId="1" fillId="0" borderId="0"/>
    <xf numFmtId="0" fontId="170" fillId="57" borderId="0" applyNumberFormat="0" applyBorder="0" applyAlignment="0" applyProtection="0"/>
    <xf numFmtId="0" fontId="61" fillId="9" borderId="0" applyNumberFormat="0" applyBorder="0" applyAlignment="0" applyProtection="0"/>
    <xf numFmtId="0" fontId="170" fillId="57" borderId="0" applyNumberFormat="0" applyBorder="0" applyAlignment="0" applyProtection="0"/>
    <xf numFmtId="0" fontId="170" fillId="9" borderId="0" applyNumberFormat="0" applyBorder="0" applyAlignment="0" applyProtection="0"/>
    <xf numFmtId="0" fontId="170" fillId="9" borderId="0" applyNumberFormat="0" applyBorder="0" applyAlignment="0" applyProtection="0"/>
    <xf numFmtId="0" fontId="18" fillId="0" borderId="0"/>
    <xf numFmtId="0" fontId="61" fillId="9" borderId="0" applyNumberFormat="0" applyBorder="0" applyAlignment="0" applyProtection="0"/>
    <xf numFmtId="0" fontId="170" fillId="57" borderId="0" applyNumberFormat="0" applyBorder="0" applyAlignment="0" applyProtection="0"/>
    <xf numFmtId="0" fontId="170" fillId="9" borderId="0" applyNumberFormat="0" applyBorder="0" applyAlignment="0" applyProtection="0"/>
    <xf numFmtId="0" fontId="170" fillId="9" borderId="0" applyNumberFormat="0" applyBorder="0" applyAlignment="0" applyProtection="0"/>
    <xf numFmtId="0" fontId="18" fillId="0" borderId="0"/>
    <xf numFmtId="0" fontId="61" fillId="9" borderId="0" applyNumberFormat="0" applyBorder="0" applyAlignment="0" applyProtection="0"/>
    <xf numFmtId="0" fontId="170" fillId="57" borderId="0" applyNumberFormat="0" applyBorder="0" applyAlignment="0" applyProtection="0"/>
    <xf numFmtId="0" fontId="170" fillId="9" borderId="0" applyNumberFormat="0" applyBorder="0" applyAlignment="0" applyProtection="0"/>
    <xf numFmtId="0" fontId="18" fillId="0" borderId="0"/>
    <xf numFmtId="0" fontId="170" fillId="9" borderId="0" applyNumberFormat="0" applyBorder="0" applyAlignment="0" applyProtection="0"/>
    <xf numFmtId="0" fontId="18" fillId="0" borderId="0"/>
    <xf numFmtId="0" fontId="61" fillId="9" borderId="0" applyNumberFormat="0" applyBorder="0" applyAlignment="0" applyProtection="0"/>
    <xf numFmtId="0" fontId="170" fillId="57" borderId="0" applyNumberFormat="0" applyBorder="0" applyAlignment="0" applyProtection="0"/>
    <xf numFmtId="0" fontId="170" fillId="9" borderId="0" applyNumberFormat="0" applyBorder="0" applyAlignment="0" applyProtection="0"/>
    <xf numFmtId="0" fontId="18" fillId="0" borderId="0"/>
    <xf numFmtId="0" fontId="170" fillId="9" borderId="0" applyNumberFormat="0" applyBorder="0" applyAlignment="0" applyProtection="0"/>
    <xf numFmtId="0" fontId="18" fillId="0" borderId="0"/>
    <xf numFmtId="0" fontId="61" fillId="9" borderId="0" applyNumberFormat="0" applyBorder="0" applyAlignment="0" applyProtection="0"/>
    <xf numFmtId="0" fontId="1" fillId="0" borderId="0"/>
    <xf numFmtId="0" fontId="18" fillId="0" borderId="0"/>
    <xf numFmtId="0" fontId="61" fillId="9" borderId="0" applyNumberFormat="0" applyBorder="0" applyAlignment="0" applyProtection="0"/>
    <xf numFmtId="0" fontId="18" fillId="0" borderId="0"/>
    <xf numFmtId="0" fontId="61" fillId="9" borderId="0" applyNumberFormat="0" applyBorder="0" applyAlignment="0" applyProtection="0"/>
    <xf numFmtId="0" fontId="1" fillId="0" borderId="0"/>
    <xf numFmtId="0" fontId="18" fillId="0" borderId="0"/>
    <xf numFmtId="0" fontId="61" fillId="9" borderId="0" applyNumberFormat="0" applyBorder="0" applyAlignment="0" applyProtection="0"/>
    <xf numFmtId="0" fontId="1" fillId="0" borderId="0"/>
    <xf numFmtId="188" fontId="26" fillId="0" borderId="2" applyFont="0" applyFill="0" applyBorder="0" applyProtection="0">
      <alignment horizontal="center" vertical="center"/>
    </xf>
    <xf numFmtId="188" fontId="26" fillId="0" borderId="2" applyFont="0" applyFill="0" applyBorder="0" applyProtection="0">
      <alignment horizontal="center" vertical="center"/>
    </xf>
    <xf numFmtId="188" fontId="26" fillId="0" borderId="2" applyFont="0" applyFill="0" applyBorder="0" applyProtection="0">
      <alignment horizontal="center" vertical="center"/>
    </xf>
    <xf numFmtId="0" fontId="18" fillId="0" borderId="0"/>
    <xf numFmtId="188" fontId="26" fillId="0" borderId="2" applyFont="0" applyFill="0" applyBorder="0" applyProtection="0">
      <alignment horizontal="center" vertical="center"/>
    </xf>
    <xf numFmtId="0" fontId="18" fillId="0" borderId="0"/>
    <xf numFmtId="3" fontId="26" fillId="0" borderId="0" applyFont="0" applyBorder="0">
      <alignment horizontal="center"/>
    </xf>
    <xf numFmtId="256" fontId="28" fillId="0" borderId="0">
      <protection locked="0"/>
    </xf>
    <xf numFmtId="0" fontId="18" fillId="0" borderId="0"/>
    <xf numFmtId="166" fontId="27" fillId="0" borderId="0">
      <protection locked="0"/>
    </xf>
    <xf numFmtId="0" fontId="18" fillId="0" borderId="0"/>
    <xf numFmtId="49" fontId="129" fillId="0" borderId="2">
      <alignment horizontal="center" vertical="center" wrapText="1"/>
    </xf>
    <xf numFmtId="0" fontId="18" fillId="0" borderId="0"/>
    <xf numFmtId="0" fontId="24" fillId="0" borderId="2" applyBorder="0">
      <alignment horizontal="center" vertical="center" wrapText="1"/>
    </xf>
    <xf numFmtId="0" fontId="18" fillId="0" borderId="0"/>
    <xf numFmtId="49" fontId="101" fillId="0" borderId="2" applyNumberFormat="0" applyFill="0" applyAlignment="0" applyProtection="0"/>
    <xf numFmtId="0" fontId="18" fillId="0" borderId="0"/>
    <xf numFmtId="0" fontId="78" fillId="12" borderId="6" applyNumberFormat="0" applyAlignment="0" applyProtection="0"/>
    <xf numFmtId="0" fontId="16" fillId="0" borderId="0"/>
    <xf numFmtId="0" fontId="17" fillId="0" borderId="0"/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0" fontId="26" fillId="0" borderId="0"/>
    <xf numFmtId="0" fontId="26" fillId="0" borderId="0"/>
    <xf numFmtId="178" fontId="26" fillId="0" borderId="0" applyFont="0" applyFill="0" applyBorder="0" applyAlignment="0" applyProtection="0"/>
    <xf numFmtId="182" fontId="26" fillId="0" borderId="0">
      <alignment horizontal="center"/>
    </xf>
    <xf numFmtId="182" fontId="26" fillId="0" borderId="0">
      <alignment horizontal="center"/>
    </xf>
    <xf numFmtId="182" fontId="26" fillId="0" borderId="0">
      <alignment horizontal="center"/>
    </xf>
    <xf numFmtId="182" fontId="26" fillId="0" borderId="0">
      <alignment horizontal="center"/>
    </xf>
    <xf numFmtId="0" fontId="32" fillId="7" borderId="0" applyNumberFormat="0" applyBorder="0" applyAlignment="0" applyProtection="0"/>
    <xf numFmtId="0" fontId="32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2" fillId="7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9" borderId="0" applyNumberFormat="0" applyBorder="0" applyAlignment="0" applyProtection="0"/>
    <xf numFmtId="0" fontId="32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2" fillId="9" borderId="0" applyNumberFormat="0" applyBorder="0" applyAlignment="0" applyProtection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2" fillId="10" borderId="0" applyNumberFormat="0" applyBorder="0" applyAlignment="0" applyProtection="0"/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2" fillId="11" borderId="0" applyNumberFormat="0" applyBorder="0" applyAlignment="0" applyProtection="0"/>
    <xf numFmtId="0" fontId="32" fillId="12" borderId="0" applyNumberFormat="0" applyBorder="0" applyAlignment="0" applyProtection="0"/>
    <xf numFmtId="0" fontId="32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2" fillId="12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2" fillId="14" borderId="0" applyNumberFormat="0" applyBorder="0" applyAlignment="0" applyProtection="0"/>
    <xf numFmtId="0" fontId="32" fillId="15" borderId="0" applyNumberFormat="0" applyBorder="0" applyAlignment="0" applyProtection="0"/>
    <xf numFmtId="0" fontId="32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2" fillId="15" borderId="0" applyNumberFormat="0" applyBorder="0" applyAlignment="0" applyProtection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2" fillId="10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16" borderId="0" applyNumberFormat="0" applyBorder="0" applyAlignment="0" applyProtection="0"/>
    <xf numFmtId="0" fontId="32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2" fillId="16" borderId="0" applyNumberFormat="0" applyBorder="0" applyAlignment="0" applyProtection="0"/>
    <xf numFmtId="0" fontId="34" fillId="18" borderId="0" applyNumberFormat="0" applyBorder="0" applyAlignment="0" applyProtection="0"/>
    <xf numFmtId="0" fontId="34" fillId="18" borderId="0" applyNumberFormat="0" applyBorder="0" applyAlignment="0" applyProtection="0"/>
    <xf numFmtId="0" fontId="33" fillId="18" borderId="0" applyNumberFormat="0" applyBorder="0" applyAlignment="0" applyProtection="0"/>
    <xf numFmtId="0" fontId="33" fillId="18" borderId="0" applyNumberFormat="0" applyBorder="0" applyAlignment="0" applyProtection="0"/>
    <xf numFmtId="0" fontId="33" fillId="18" borderId="0" applyNumberFormat="0" applyBorder="0" applyAlignment="0" applyProtection="0"/>
    <xf numFmtId="0" fontId="34" fillId="18" borderId="0" applyNumberFormat="0" applyBorder="0" applyAlignment="0" applyProtection="0"/>
    <xf numFmtId="0" fontId="34" fillId="18" borderId="0" applyNumberFormat="0" applyBorder="0" applyAlignment="0" applyProtection="0"/>
    <xf numFmtId="0" fontId="34" fillId="14" borderId="0" applyNumberFormat="0" applyBorder="0" applyAlignment="0" applyProtection="0"/>
    <xf numFmtId="0" fontId="34" fillId="14" borderId="0" applyNumberFormat="0" applyBorder="0" applyAlignment="0" applyProtection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34" fillId="14" borderId="0" applyNumberFormat="0" applyBorder="0" applyAlignment="0" applyProtection="0"/>
    <xf numFmtId="0" fontId="202" fillId="14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4" fillId="15" borderId="0" applyNumberFormat="0" applyBorder="0" applyAlignment="0" applyProtection="0"/>
    <xf numFmtId="0" fontId="202" fillId="15" borderId="0" applyNumberFormat="0" applyBorder="0" applyAlignment="0" applyProtection="0"/>
    <xf numFmtId="0" fontId="34" fillId="15" borderId="0" applyNumberFormat="0" applyBorder="0" applyAlignment="0" applyProtection="0"/>
    <xf numFmtId="0" fontId="34" fillId="19" borderId="0" applyNumberFormat="0" applyBorder="0" applyAlignment="0" applyProtection="0"/>
    <xf numFmtId="0" fontId="34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4" fillId="19" borderId="0" applyNumberFormat="0" applyBorder="0" applyAlignment="0" applyProtection="0"/>
    <xf numFmtId="0" fontId="202" fillId="19" borderId="0" applyNumberFormat="0" applyBorder="0" applyAlignment="0" applyProtection="0"/>
    <xf numFmtId="0" fontId="34" fillId="19" borderId="0" applyNumberFormat="0" applyBorder="0" applyAlignment="0" applyProtection="0"/>
    <xf numFmtId="0" fontId="34" fillId="20" borderId="0" applyNumberFormat="0" applyBorder="0" applyAlignment="0" applyProtection="0"/>
    <xf numFmtId="0" fontId="34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4" fillId="20" borderId="0" applyNumberFormat="0" applyBorder="0" applyAlignment="0" applyProtection="0"/>
    <xf numFmtId="0" fontId="202" fillId="20" borderId="0" applyNumberFormat="0" applyBorder="0" applyAlignment="0" applyProtection="0"/>
    <xf numFmtId="0" fontId="34" fillId="20" borderId="0" applyNumberFormat="0" applyBorder="0" applyAlignment="0" applyProtection="0"/>
    <xf numFmtId="0" fontId="34" fillId="21" borderId="0" applyNumberFormat="0" applyBorder="0" applyAlignment="0" applyProtection="0"/>
    <xf numFmtId="0" fontId="34" fillId="21" borderId="0" applyNumberFormat="0" applyBorder="0" applyAlignment="0" applyProtection="0"/>
    <xf numFmtId="0" fontId="33" fillId="21" borderId="0" applyNumberFormat="0" applyBorder="0" applyAlignment="0" applyProtection="0"/>
    <xf numFmtId="0" fontId="33" fillId="21" borderId="0" applyNumberFormat="0" applyBorder="0" applyAlignment="0" applyProtection="0"/>
    <xf numFmtId="0" fontId="33" fillId="21" borderId="0" applyNumberFormat="0" applyBorder="0" applyAlignment="0" applyProtection="0"/>
    <xf numFmtId="0" fontId="34" fillId="21" borderId="0" applyNumberFormat="0" applyBorder="0" applyAlignment="0" applyProtection="0"/>
    <xf numFmtId="0" fontId="202" fillId="21" borderId="0" applyNumberFormat="0" applyBorder="0" applyAlignment="0" applyProtection="0"/>
    <xf numFmtId="0" fontId="34" fillId="21" borderId="0" applyNumberFormat="0" applyBorder="0" applyAlignment="0" applyProtection="0"/>
    <xf numFmtId="14" fontId="180" fillId="0" borderId="0" applyFont="0" applyBorder="0">
      <alignment vertical="top"/>
    </xf>
    <xf numFmtId="14" fontId="180" fillId="0" borderId="0" applyFont="0" applyBorder="0">
      <alignment vertical="top"/>
    </xf>
    <xf numFmtId="14" fontId="180" fillId="0" borderId="0" applyFont="0" applyBorder="0">
      <alignment vertical="top"/>
    </xf>
    <xf numFmtId="38" fontId="48" fillId="0" borderId="0">
      <alignment vertical="top"/>
    </xf>
    <xf numFmtId="173" fontId="26" fillId="0" borderId="0" applyFont="0" applyFill="0" applyBorder="0" applyAlignment="0" applyProtection="0"/>
    <xf numFmtId="173" fontId="26" fillId="0" borderId="0" applyFont="0" applyFill="0" applyBorder="0" applyAlignment="0" applyProtection="0"/>
    <xf numFmtId="173" fontId="26" fillId="0" borderId="0" applyFont="0" applyFill="0" applyBorder="0" applyAlignment="0" applyProtection="0"/>
    <xf numFmtId="0" fontId="31" fillId="0" borderId="0"/>
    <xf numFmtId="0" fontId="24" fillId="0" borderId="0"/>
    <xf numFmtId="0" fontId="68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38" fontId="71" fillId="0" borderId="0">
      <alignment vertical="top"/>
    </xf>
    <xf numFmtId="38" fontId="20" fillId="2" borderId="0">
      <alignment vertical="top"/>
    </xf>
    <xf numFmtId="38" fontId="20" fillId="0" borderId="0">
      <alignment vertical="top"/>
    </xf>
    <xf numFmtId="38" fontId="20" fillId="0" borderId="0">
      <alignment vertical="top"/>
    </xf>
    <xf numFmtId="38" fontId="20" fillId="0" borderId="0">
      <alignment vertical="top"/>
    </xf>
    <xf numFmtId="38" fontId="20" fillId="0" borderId="0">
      <alignment vertical="top"/>
    </xf>
    <xf numFmtId="3" fontId="26" fillId="0" borderId="14" applyFont="0" applyBorder="0">
      <alignment horizontal="center" vertical="center"/>
    </xf>
    <xf numFmtId="196" fontId="26" fillId="0" borderId="0"/>
    <xf numFmtId="0" fontId="26" fillId="0" borderId="0"/>
    <xf numFmtId="197" fontId="26" fillId="0" borderId="0" applyFont="0" applyAlignment="0">
      <alignment horizontal="center"/>
    </xf>
    <xf numFmtId="38" fontId="108" fillId="56" borderId="0">
      <alignment horizontal="right" vertical="top"/>
    </xf>
    <xf numFmtId="4" fontId="31" fillId="57" borderId="0">
      <alignment horizontal="right"/>
    </xf>
    <xf numFmtId="0" fontId="44" fillId="0" borderId="26" applyNumberFormat="0" applyFont="0" applyFill="0" applyAlignment="0" applyProtection="0"/>
    <xf numFmtId="0" fontId="33" fillId="22" borderId="0" applyNumberFormat="0" applyBorder="0" applyAlignment="0" applyProtection="0"/>
    <xf numFmtId="0" fontId="202" fillId="22" borderId="0" applyNumberFormat="0" applyBorder="0" applyAlignment="0" applyProtection="0"/>
    <xf numFmtId="0" fontId="34" fillId="22" borderId="0" applyNumberFormat="0" applyBorder="0" applyAlignment="0" applyProtection="0"/>
    <xf numFmtId="0" fontId="33" fillId="23" borderId="0" applyNumberFormat="0" applyBorder="0" applyAlignment="0" applyProtection="0"/>
    <xf numFmtId="0" fontId="202" fillId="23" borderId="0" applyNumberFormat="0" applyBorder="0" applyAlignment="0" applyProtection="0"/>
    <xf numFmtId="0" fontId="34" fillId="23" borderId="0" applyNumberFormat="0" applyBorder="0" applyAlignment="0" applyProtection="0"/>
    <xf numFmtId="0" fontId="33" fillId="24" borderId="0" applyNumberFormat="0" applyBorder="0" applyAlignment="0" applyProtection="0"/>
    <xf numFmtId="0" fontId="202" fillId="24" borderId="0" applyNumberFormat="0" applyBorder="0" applyAlignment="0" applyProtection="0"/>
    <xf numFmtId="0" fontId="34" fillId="24" borderId="0" applyNumberFormat="0" applyBorder="0" applyAlignment="0" applyProtection="0"/>
    <xf numFmtId="0" fontId="33" fillId="19" borderId="0" applyNumberFormat="0" applyBorder="0" applyAlignment="0" applyProtection="0"/>
    <xf numFmtId="0" fontId="202" fillId="19" borderId="0" applyNumberFormat="0" applyBorder="0" applyAlignment="0" applyProtection="0"/>
    <xf numFmtId="0" fontId="34" fillId="19" borderId="0" applyNumberFormat="0" applyBorder="0" applyAlignment="0" applyProtection="0"/>
    <xf numFmtId="0" fontId="33" fillId="20" borderId="0" applyNumberFormat="0" applyBorder="0" applyAlignment="0" applyProtection="0"/>
    <xf numFmtId="0" fontId="202" fillId="20" borderId="0" applyNumberFormat="0" applyBorder="0" applyAlignment="0" applyProtection="0"/>
    <xf numFmtId="0" fontId="34" fillId="20" borderId="0" applyNumberFormat="0" applyBorder="0" applyAlignment="0" applyProtection="0"/>
    <xf numFmtId="0" fontId="33" fillId="25" borderId="0" applyNumberFormat="0" applyBorder="0" applyAlignment="0" applyProtection="0"/>
    <xf numFmtId="0" fontId="202" fillId="25" borderId="0" applyNumberFormat="0" applyBorder="0" applyAlignment="0" applyProtection="0"/>
    <xf numFmtId="0" fontId="34" fillId="25" borderId="0" applyNumberFormat="0" applyBorder="0" applyAlignment="0" applyProtection="0"/>
    <xf numFmtId="0" fontId="78" fillId="12" borderId="6" applyNumberFormat="0" applyAlignment="0" applyProtection="0"/>
    <xf numFmtId="0" fontId="249" fillId="12" borderId="6" applyNumberFormat="0" applyAlignment="0" applyProtection="0"/>
    <xf numFmtId="0" fontId="78" fillId="12" borderId="6" applyNumberFormat="0" applyAlignment="0" applyProtection="0"/>
    <xf numFmtId="0" fontId="121" fillId="12" borderId="6" applyNumberFormat="0" applyAlignment="0" applyProtection="0"/>
    <xf numFmtId="0" fontId="78" fillId="12" borderId="6" applyNumberFormat="0" applyAlignment="0" applyProtection="0"/>
    <xf numFmtId="0" fontId="78" fillId="12" borderId="6" applyNumberFormat="0" applyAlignment="0" applyProtection="0"/>
    <xf numFmtId="0" fontId="78" fillId="12" borderId="6" applyNumberFormat="0" applyAlignment="0" applyProtection="0"/>
    <xf numFmtId="0" fontId="78" fillId="12" borderId="6" applyNumberFormat="0" applyAlignment="0" applyProtection="0"/>
    <xf numFmtId="0" fontId="87" fillId="17" borderId="16" applyNumberFormat="0" applyAlignment="0" applyProtection="0"/>
    <xf numFmtId="0" fontId="251" fillId="17" borderId="16" applyNumberFormat="0" applyAlignment="0" applyProtection="0"/>
    <xf numFmtId="0" fontId="123" fillId="17" borderId="16" applyNumberFormat="0" applyAlignment="0" applyProtection="0"/>
    <xf numFmtId="0" fontId="40" fillId="17" borderId="6" applyNumberFormat="0" applyAlignment="0" applyProtection="0"/>
    <xf numFmtId="0" fontId="253" fillId="17" borderId="6" applyNumberFormat="0" applyAlignment="0" applyProtection="0"/>
    <xf numFmtId="0" fontId="124" fillId="17" borderId="6" applyNumberFormat="0" applyAlignment="0" applyProtection="0"/>
    <xf numFmtId="0" fontId="125" fillId="0" borderId="0" applyNumberFormat="0" applyFill="0" applyBorder="0" applyAlignment="0" applyProtection="0">
      <alignment vertical="top"/>
      <protection locked="0"/>
    </xf>
    <xf numFmtId="0" fontId="186" fillId="0" borderId="0" applyNumberFormat="0" applyFill="0" applyBorder="0" applyAlignment="0" applyProtection="0">
      <alignment vertical="top"/>
      <protection locked="0"/>
    </xf>
    <xf numFmtId="206" fontId="18" fillId="0" borderId="0" applyFont="0" applyFill="0" applyBorder="0" applyAlignment="0" applyProtection="0"/>
    <xf numFmtId="0" fontId="135" fillId="0" borderId="27" applyNumberFormat="0" applyFill="0" applyAlignment="0" applyProtection="0"/>
    <xf numFmtId="0" fontId="136" fillId="0" borderId="27" applyNumberFormat="0" applyFill="0" applyAlignment="0" applyProtection="0"/>
    <xf numFmtId="0" fontId="137" fillId="0" borderId="28" applyNumberFormat="0" applyFill="0" applyAlignment="0" applyProtection="0"/>
    <xf numFmtId="0" fontId="138" fillId="0" borderId="28" applyNumberFormat="0" applyFill="0" applyAlignment="0" applyProtection="0"/>
    <xf numFmtId="0" fontId="70" fillId="0" borderId="12" applyNumberFormat="0" applyFill="0" applyAlignment="0" applyProtection="0"/>
    <xf numFmtId="0" fontId="139" fillId="0" borderId="12" applyNumberFormat="0" applyFill="0" applyAlignment="0" applyProtection="0"/>
    <xf numFmtId="0" fontId="70" fillId="0" borderId="0" applyNumberFormat="0" applyFill="0" applyBorder="0" applyAlignment="0" applyProtection="0"/>
    <xf numFmtId="0" fontId="139" fillId="0" borderId="0" applyNumberFormat="0" applyFill="0" applyBorder="0" applyAlignment="0" applyProtection="0"/>
    <xf numFmtId="0" fontId="144" fillId="0" borderId="30" applyNumberFormat="0" applyFill="0" applyAlignment="0" applyProtection="0"/>
    <xf numFmtId="0" fontId="1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24" fillId="0" borderId="0"/>
    <xf numFmtId="0" fontId="156" fillId="0" borderId="0"/>
    <xf numFmtId="0" fontId="156" fillId="0" borderId="0"/>
    <xf numFmtId="0" fontId="26" fillId="0" borderId="0"/>
    <xf numFmtId="0" fontId="156" fillId="0" borderId="0"/>
    <xf numFmtId="0" fontId="31" fillId="0" borderId="0"/>
    <xf numFmtId="0" fontId="152" fillId="0" borderId="0"/>
    <xf numFmtId="0" fontId="24" fillId="0" borderId="0"/>
    <xf numFmtId="0" fontId="1" fillId="0" borderId="0"/>
    <xf numFmtId="0" fontId="24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4" fillId="0" borderId="0"/>
    <xf numFmtId="0" fontId="153" fillId="0" borderId="0"/>
    <xf numFmtId="9" fontId="2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5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4" fillId="0" borderId="0" applyFill="0" applyBorder="0" applyAlignment="0" applyProtection="0"/>
    <xf numFmtId="203" fontId="24" fillId="0" borderId="0" applyFill="0" applyProtection="0"/>
    <xf numFmtId="3" fontId="167" fillId="0" borderId="0"/>
    <xf numFmtId="167" fontId="1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213" fontId="18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26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83" fillId="0" borderId="0" applyNumberFormat="0" applyFill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31" fillId="12" borderId="0" applyNumberFormat="0" applyBorder="0" applyAlignment="0" applyProtection="0"/>
    <xf numFmtId="0" fontId="33" fillId="20" borderId="0" applyNumberFormat="0" applyBorder="0" applyAlignment="0" applyProtection="0"/>
    <xf numFmtId="9" fontId="1" fillId="0" borderId="0" applyFont="0" applyFill="0" applyBorder="0" applyAlignment="0" applyProtection="0"/>
  </cellStyleXfs>
  <cellXfs count="112">
    <xf numFmtId="0" fontId="0" fillId="0" borderId="0" xfId="0"/>
    <xf numFmtId="171" fontId="10" fillId="0" borderId="1" xfId="5" applyFont="1" applyFill="1" applyBorder="1" applyAlignment="1">
      <alignment horizontal="center" vertical="center" wrapText="1" shrinkToFit="1"/>
    </xf>
    <xf numFmtId="172" fontId="10" fillId="0" borderId="1" xfId="6" applyNumberFormat="1" applyFont="1" applyFill="1" applyBorder="1" applyAlignment="1">
      <alignment horizontal="center" vertical="center" wrapText="1" shrinkToFit="1"/>
    </xf>
    <xf numFmtId="0" fontId="10" fillId="0" borderId="1" xfId="4" applyFont="1" applyFill="1" applyBorder="1" applyAlignment="1">
      <alignment horizontal="left" vertical="center" wrapText="1" shrinkToFit="1"/>
    </xf>
    <xf numFmtId="49" fontId="10" fillId="0" borderId="1" xfId="4" applyNumberFormat="1" applyFont="1" applyFill="1" applyBorder="1" applyAlignment="1">
      <alignment horizontal="left" vertical="center" wrapText="1" shrinkToFit="1"/>
    </xf>
    <xf numFmtId="0" fontId="10" fillId="0" borderId="0" xfId="0" applyFont="1" applyFill="1"/>
    <xf numFmtId="49" fontId="10" fillId="0" borderId="0" xfId="0" applyNumberFormat="1" applyFont="1" applyFill="1" applyAlignment="1">
      <alignment horizontal="left"/>
    </xf>
    <xf numFmtId="0" fontId="12" fillId="0" borderId="0" xfId="0" applyFont="1" applyFill="1" applyAlignment="1">
      <alignment horizontal="center" vertical="center" wrapText="1"/>
    </xf>
    <xf numFmtId="0" fontId="13" fillId="0" borderId="1" xfId="0" applyFont="1" applyFill="1" applyBorder="1" applyAlignment="1">
      <alignment vertical="center" wrapText="1"/>
    </xf>
    <xf numFmtId="49" fontId="10" fillId="0" borderId="1" xfId="0" applyNumberFormat="1" applyFont="1" applyFill="1" applyBorder="1" applyAlignment="1">
      <alignment horizontal="left" vertical="center" wrapText="1" shrinkToFit="1"/>
    </xf>
    <xf numFmtId="0" fontId="10" fillId="0" borderId="1" xfId="0" applyFont="1" applyFill="1" applyBorder="1" applyAlignment="1">
      <alignment horizontal="left" vertical="center" wrapText="1" shrinkToFit="1"/>
    </xf>
    <xf numFmtId="0" fontId="10" fillId="0" borderId="1" xfId="0" applyFont="1" applyFill="1" applyBorder="1" applyAlignment="1">
      <alignment horizontal="center" vertical="center" wrapText="1" shrinkToFit="1"/>
    </xf>
    <xf numFmtId="0" fontId="10" fillId="0" borderId="0" xfId="0" applyFont="1" applyFill="1" applyAlignment="1">
      <alignment horizontal="center" vertical="center" wrapText="1" shrinkToFit="1"/>
    </xf>
    <xf numFmtId="0" fontId="10" fillId="0" borderId="0" xfId="0" applyFont="1" applyFill="1" applyAlignment="1">
      <alignment horizontal="center" vertical="center" wrapText="1"/>
    </xf>
    <xf numFmtId="0" fontId="10" fillId="0" borderId="1" xfId="0" applyFont="1" applyFill="1" applyBorder="1"/>
    <xf numFmtId="0" fontId="10" fillId="0" borderId="1" xfId="0" applyFont="1" applyFill="1" applyBorder="1" applyAlignment="1">
      <alignment horizontal="left"/>
    </xf>
    <xf numFmtId="0" fontId="12" fillId="0" borderId="1" xfId="0" applyFont="1" applyFill="1" applyBorder="1" applyAlignment="1">
      <alignment horizontal="left" vertical="center" wrapText="1"/>
    </xf>
    <xf numFmtId="167" fontId="10" fillId="0" borderId="1" xfId="1" applyFont="1" applyFill="1" applyBorder="1" applyAlignment="1">
      <alignment horizontal="center" vertical="center" wrapText="1" shrinkToFit="1"/>
    </xf>
    <xf numFmtId="0" fontId="10" fillId="0" borderId="1" xfId="0" applyFont="1" applyFill="1" applyBorder="1" applyAlignment="1">
      <alignment horizontal="left" vertical="center" wrapText="1"/>
    </xf>
    <xf numFmtId="0" fontId="6" fillId="0" borderId="0" xfId="3" applyFont="1" applyFill="1"/>
    <xf numFmtId="0" fontId="10" fillId="0" borderId="1" xfId="3" applyFont="1" applyFill="1" applyBorder="1" applyAlignment="1">
      <alignment vertical="center"/>
    </xf>
    <xf numFmtId="0" fontId="6" fillId="0" borderId="0" xfId="3" applyFont="1" applyFill="1" applyAlignment="1">
      <alignment vertical="center"/>
    </xf>
    <xf numFmtId="0" fontId="172" fillId="0" borderId="1" xfId="0" applyFont="1" applyFill="1" applyBorder="1" applyAlignment="1">
      <alignment vertical="center" wrapText="1"/>
    </xf>
    <xf numFmtId="171" fontId="172" fillId="0" borderId="1" xfId="5" applyFont="1" applyFill="1" applyBorder="1" applyAlignment="1">
      <alignment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73" fillId="0" borderId="0" xfId="0" applyFont="1" applyFill="1"/>
    <xf numFmtId="0" fontId="172" fillId="0" borderId="0" xfId="0" applyFont="1" applyFill="1" applyBorder="1" applyAlignment="1">
      <alignment horizontal="left" vertical="center" wrapText="1"/>
    </xf>
    <xf numFmtId="0" fontId="172" fillId="0" borderId="0" xfId="0" applyFont="1" applyFill="1" applyBorder="1" applyAlignment="1">
      <alignment vertical="center" wrapText="1"/>
    </xf>
    <xf numFmtId="171" fontId="172" fillId="0" borderId="0" xfId="5" applyFont="1" applyFill="1" applyBorder="1" applyAlignment="1">
      <alignment vertical="center" wrapText="1"/>
    </xf>
    <xf numFmtId="0" fontId="6" fillId="0" borderId="1" xfId="3" applyFont="1" applyFill="1" applyBorder="1"/>
    <xf numFmtId="0" fontId="6" fillId="0" borderId="1" xfId="3" applyFont="1" applyFill="1" applyBorder="1" applyAlignment="1">
      <alignment vertical="center"/>
    </xf>
    <xf numFmtId="49" fontId="174" fillId="0" borderId="1" xfId="0" applyNumberFormat="1" applyFont="1" applyFill="1" applyBorder="1" applyAlignment="1">
      <alignment horizontal="center" vertical="center"/>
    </xf>
    <xf numFmtId="4" fontId="174" fillId="0" borderId="1" xfId="0" applyNumberFormat="1" applyFont="1" applyFill="1" applyBorder="1" applyAlignment="1">
      <alignment horizontal="left" vertical="center" wrapText="1"/>
    </xf>
    <xf numFmtId="49" fontId="174" fillId="0" borderId="1" xfId="0" applyNumberFormat="1" applyFont="1" applyFill="1" applyBorder="1" applyAlignment="1">
      <alignment horizontal="left" vertical="center"/>
    </xf>
    <xf numFmtId="172" fontId="12" fillId="0" borderId="1" xfId="0" applyNumberFormat="1" applyFont="1" applyFill="1" applyBorder="1" applyAlignment="1">
      <alignment horizontal="center" vertical="center" wrapText="1"/>
    </xf>
    <xf numFmtId="172" fontId="10" fillId="0" borderId="1" xfId="0" applyNumberFormat="1" applyFont="1" applyFill="1" applyBorder="1" applyAlignment="1">
      <alignment horizontal="center" vertical="center" wrapText="1" shrinkToFit="1"/>
    </xf>
    <xf numFmtId="172" fontId="172" fillId="0" borderId="1" xfId="5" applyNumberFormat="1" applyFont="1" applyFill="1" applyBorder="1" applyAlignment="1">
      <alignment vertical="center" wrapText="1"/>
    </xf>
    <xf numFmtId="2" fontId="10" fillId="64" borderId="1" xfId="0" applyNumberFormat="1" applyFont="1" applyFill="1" applyBorder="1" applyAlignment="1">
      <alignment horizontal="center" vertical="center" wrapText="1" shrinkToFit="1"/>
    </xf>
    <xf numFmtId="0" fontId="178" fillId="0" borderId="1" xfId="0" applyFont="1" applyFill="1" applyBorder="1" applyAlignment="1">
      <alignment horizontal="left" vertical="center" wrapText="1" shrinkToFit="1"/>
    </xf>
    <xf numFmtId="168" fontId="10" fillId="0" borderId="1" xfId="0" applyNumberFormat="1" applyFont="1" applyFill="1" applyBorder="1" applyAlignment="1">
      <alignment horizontal="center" vertical="center" wrapText="1" shrinkToFit="1"/>
    </xf>
    <xf numFmtId="168" fontId="10" fillId="0" borderId="1" xfId="6" applyNumberFormat="1" applyFont="1" applyFill="1" applyBorder="1" applyAlignment="1">
      <alignment horizontal="center" vertical="center" wrapText="1" shrinkToFit="1"/>
    </xf>
    <xf numFmtId="168" fontId="10" fillId="0" borderId="1" xfId="0" applyNumberFormat="1" applyFont="1" applyFill="1" applyBorder="1" applyAlignment="1">
      <alignment horizontal="center" vertical="center" wrapText="1"/>
    </xf>
    <xf numFmtId="172" fontId="10" fillId="0" borderId="1" xfId="1" applyNumberFormat="1" applyFont="1" applyFill="1" applyBorder="1" applyAlignment="1">
      <alignment horizontal="center" vertical="center" wrapText="1" shrinkToFit="1"/>
    </xf>
    <xf numFmtId="168" fontId="10" fillId="0" borderId="1" xfId="3" applyNumberFormat="1" applyFont="1" applyFill="1" applyBorder="1" applyAlignment="1">
      <alignment horizontal="center" vertical="center"/>
    </xf>
    <xf numFmtId="171" fontId="10" fillId="65" borderId="1" xfId="1" applyNumberFormat="1" applyFont="1" applyFill="1" applyBorder="1" applyAlignment="1">
      <alignment horizontal="center" vertical="center" wrapText="1" shrinkToFit="1"/>
    </xf>
    <xf numFmtId="0" fontId="173" fillId="0" borderId="1" xfId="0" applyFont="1" applyFill="1" applyBorder="1"/>
    <xf numFmtId="2" fontId="10" fillId="65" borderId="1" xfId="0" applyNumberFormat="1" applyFont="1" applyFill="1" applyBorder="1" applyAlignment="1">
      <alignment horizontal="center" vertical="center" wrapText="1" shrinkToFit="1"/>
    </xf>
    <xf numFmtId="2" fontId="10" fillId="0" borderId="60" xfId="0" applyNumberFormat="1" applyFont="1" applyFill="1" applyBorder="1" applyAlignment="1">
      <alignment horizontal="center" wrapText="1" shrinkToFit="1"/>
    </xf>
    <xf numFmtId="2" fontId="10" fillId="0" borderId="61" xfId="0" applyNumberFormat="1" applyFont="1" applyFill="1" applyBorder="1" applyAlignment="1">
      <alignment horizontal="center" wrapText="1" shrinkToFit="1"/>
    </xf>
    <xf numFmtId="4" fontId="10" fillId="0" borderId="1" xfId="0" applyNumberFormat="1" applyFont="1" applyFill="1" applyBorder="1" applyAlignment="1">
      <alignment horizontal="center" vertical="center" wrapText="1" shrinkToFit="1"/>
    </xf>
    <xf numFmtId="4" fontId="10" fillId="0" borderId="1" xfId="5" applyNumberFormat="1" applyFont="1" applyFill="1" applyBorder="1" applyAlignment="1">
      <alignment horizontal="center" vertical="center" wrapText="1" shrinkToFit="1"/>
    </xf>
    <xf numFmtId="171" fontId="10" fillId="0" borderId="1" xfId="5" applyFont="1" applyFill="1" applyBorder="1" applyAlignment="1">
      <alignment wrapText="1" shrinkToFit="1"/>
    </xf>
    <xf numFmtId="49" fontId="10" fillId="0" borderId="58" xfId="0" applyNumberFormat="1" applyFont="1" applyFill="1" applyBorder="1" applyAlignment="1">
      <alignment horizontal="left" vertical="center" wrapText="1" shrinkToFit="1"/>
    </xf>
    <xf numFmtId="0" fontId="10" fillId="0" borderId="62" xfId="0" applyFont="1" applyFill="1" applyBorder="1" applyAlignment="1">
      <alignment horizontal="left" vertical="center" wrapText="1" shrinkToFit="1"/>
    </xf>
    <xf numFmtId="0" fontId="10" fillId="0" borderId="59" xfId="0" applyFont="1" applyFill="1" applyBorder="1" applyAlignment="1">
      <alignment horizontal="left" vertical="center" wrapText="1" shrinkToFit="1"/>
    </xf>
    <xf numFmtId="0" fontId="13" fillId="0" borderId="1" xfId="0" applyFont="1" applyFill="1" applyBorder="1" applyAlignment="1">
      <alignment horizontal="left" vertical="center" wrapText="1"/>
    </xf>
    <xf numFmtId="2" fontId="10" fillId="0" borderId="1" xfId="0" applyNumberFormat="1" applyFont="1" applyFill="1" applyBorder="1" applyAlignment="1">
      <alignment horizontal="center" vertical="center" wrapText="1" shrinkToFit="1"/>
    </xf>
    <xf numFmtId="0" fontId="15" fillId="0" borderId="0" xfId="0" applyFont="1" applyFill="1" applyAlignment="1">
      <alignment horizontal="center" vertical="center" wrapText="1"/>
    </xf>
    <xf numFmtId="0" fontId="15" fillId="0" borderId="0" xfId="0" applyFont="1" applyFill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172" fontId="10" fillId="0" borderId="58" xfId="0" applyNumberFormat="1" applyFont="1" applyFill="1" applyBorder="1" applyAlignment="1">
      <alignment horizontal="center" vertical="center" wrapText="1" shrinkToFit="1"/>
    </xf>
    <xf numFmtId="172" fontId="10" fillId="65" borderId="1" xfId="0" applyNumberFormat="1" applyFont="1" applyFill="1" applyBorder="1" applyAlignment="1">
      <alignment horizontal="center" vertical="center" wrapText="1" shrinkToFit="1"/>
    </xf>
    <xf numFmtId="0" fontId="10" fillId="0" borderId="1" xfId="0" applyFont="1" applyFill="1" applyBorder="1" applyAlignment="1">
      <alignment horizontal="left" vertical="center"/>
    </xf>
    <xf numFmtId="4" fontId="12" fillId="0" borderId="1" xfId="0" applyNumberFormat="1" applyFont="1" applyFill="1" applyBorder="1" applyAlignment="1">
      <alignment horizontal="center" vertical="center" wrapText="1"/>
    </xf>
    <xf numFmtId="4" fontId="10" fillId="0" borderId="1" xfId="4494" applyNumberFormat="1" applyFont="1" applyFill="1" applyBorder="1" applyAlignment="1">
      <alignment horizontal="center" vertical="center" wrapText="1" shrinkToFit="1"/>
    </xf>
    <xf numFmtId="4" fontId="10" fillId="0" borderId="1" xfId="0" applyNumberFormat="1" applyFont="1" applyFill="1" applyBorder="1" applyAlignment="1">
      <alignment horizontal="center" vertical="center" wrapText="1"/>
    </xf>
    <xf numFmtId="4" fontId="10" fillId="0" borderId="1" xfId="6" applyNumberFormat="1" applyFont="1" applyFill="1" applyBorder="1" applyAlignment="1">
      <alignment horizontal="center" vertical="center" wrapText="1" shrinkToFit="1"/>
    </xf>
    <xf numFmtId="4" fontId="10" fillId="0" borderId="1" xfId="4499" applyNumberFormat="1" applyFont="1" applyFill="1" applyBorder="1" applyAlignment="1">
      <alignment horizontal="center" vertical="center" wrapText="1" shrinkToFit="1"/>
    </xf>
    <xf numFmtId="4" fontId="10" fillId="0" borderId="1" xfId="4501" applyNumberFormat="1" applyFont="1" applyFill="1" applyBorder="1" applyAlignment="1">
      <alignment horizontal="center" vertical="center" wrapText="1" shrinkToFit="1"/>
    </xf>
    <xf numFmtId="4" fontId="10" fillId="0" borderId="1" xfId="7" applyNumberFormat="1" applyFont="1" applyFill="1" applyBorder="1" applyAlignment="1">
      <alignment horizontal="center" vertical="center" wrapText="1" shrinkToFit="1"/>
    </xf>
    <xf numFmtId="172" fontId="10" fillId="0" borderId="1" xfId="3" applyNumberFormat="1" applyFont="1" applyFill="1" applyBorder="1"/>
    <xf numFmtId="0" fontId="174" fillId="0" borderId="1" xfId="0" applyNumberFormat="1" applyFont="1" applyFill="1" applyBorder="1" applyAlignment="1">
      <alignment horizontal="left" vertical="center" wrapText="1"/>
    </xf>
    <xf numFmtId="0" fontId="173" fillId="64" borderId="1" xfId="0" applyFont="1" applyFill="1" applyBorder="1"/>
    <xf numFmtId="0" fontId="10" fillId="0" borderId="1" xfId="3" applyFont="1" applyFill="1" applyBorder="1" applyAlignment="1">
      <alignment horizontal="left" vertical="center"/>
    </xf>
    <xf numFmtId="0" fontId="173" fillId="0" borderId="1" xfId="0" applyFont="1" applyFill="1" applyBorder="1" applyAlignment="1">
      <alignment horizontal="center" vertical="center"/>
    </xf>
    <xf numFmtId="0" fontId="173" fillId="0" borderId="0" xfId="0" applyFont="1" applyFill="1" applyAlignment="1">
      <alignment horizontal="center" vertical="center"/>
    </xf>
    <xf numFmtId="172" fontId="10" fillId="0" borderId="1" xfId="0" applyNumberFormat="1" applyFont="1" applyFill="1" applyBorder="1"/>
    <xf numFmtId="0" fontId="275" fillId="0" borderId="1" xfId="0" applyFont="1" applyFill="1" applyBorder="1"/>
    <xf numFmtId="0" fontId="275" fillId="0" borderId="0" xfId="0" applyFont="1" applyFill="1"/>
    <xf numFmtId="0" fontId="275" fillId="0" borderId="0" xfId="0" applyFont="1" applyFill="1" applyBorder="1"/>
    <xf numFmtId="49" fontId="173" fillId="0" borderId="0" xfId="0" applyNumberFormat="1" applyFont="1" applyFill="1" applyAlignment="1">
      <alignment horizontal="left"/>
    </xf>
    <xf numFmtId="0" fontId="10" fillId="0" borderId="0" xfId="0" applyFont="1" applyFill="1" applyAlignment="1">
      <alignment horizontal="left" wrapText="1"/>
    </xf>
    <xf numFmtId="0" fontId="10" fillId="0" borderId="1" xfId="0" applyFont="1" applyFill="1" applyBorder="1" applyAlignment="1">
      <alignment horizontal="left" wrapText="1"/>
    </xf>
    <xf numFmtId="0" fontId="10" fillId="0" borderId="1" xfId="3" applyFont="1" applyFill="1" applyBorder="1" applyAlignment="1">
      <alignment vertical="center" wrapText="1"/>
    </xf>
    <xf numFmtId="0" fontId="173" fillId="0" borderId="0" xfId="0" applyFont="1" applyFill="1" applyAlignment="1">
      <alignment horizontal="left" wrapText="1"/>
    </xf>
    <xf numFmtId="49" fontId="10" fillId="0" borderId="1" xfId="0" applyNumberFormat="1" applyFont="1" applyFill="1" applyBorder="1" applyAlignment="1">
      <alignment horizontal="center" vertical="center" wrapText="1" shrinkToFit="1"/>
    </xf>
    <xf numFmtId="49" fontId="10" fillId="0" borderId="1" xfId="4" applyNumberFormat="1" applyFont="1" applyFill="1" applyBorder="1" applyAlignment="1">
      <alignment horizontal="center" vertical="center" wrapText="1" shrinkToFit="1"/>
    </xf>
    <xf numFmtId="0" fontId="174" fillId="0" borderId="1" xfId="0" applyNumberFormat="1" applyFont="1" applyFill="1" applyBorder="1" applyAlignment="1">
      <alignment horizontal="center" vertical="center" wrapText="1"/>
    </xf>
    <xf numFmtId="0" fontId="10" fillId="0" borderId="1" xfId="3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72" fillId="0" borderId="0" xfId="0" applyFont="1" applyFill="1" applyBorder="1" applyAlignment="1">
      <alignment horizontal="center" vertical="center" wrapText="1"/>
    </xf>
    <xf numFmtId="49" fontId="10" fillId="0" borderId="0" xfId="0" applyNumberFormat="1" applyFont="1" applyFill="1" applyAlignment="1">
      <alignment horizontal="center" vertical="center"/>
    </xf>
    <xf numFmtId="49" fontId="173" fillId="0" borderId="0" xfId="0" applyNumberFormat="1" applyFont="1" applyFill="1" applyAlignment="1">
      <alignment horizontal="center" vertical="center"/>
    </xf>
    <xf numFmtId="9" fontId="10" fillId="0" borderId="0" xfId="10077" applyFont="1" applyFill="1"/>
    <xf numFmtId="0" fontId="276" fillId="0" borderId="0" xfId="0" applyFont="1" applyFill="1" applyAlignment="1">
      <alignment vertical="center"/>
    </xf>
    <xf numFmtId="0" fontId="277" fillId="0" borderId="0" xfId="0" applyFont="1" applyFill="1" applyAlignment="1">
      <alignment vertical="center" wrapText="1"/>
    </xf>
    <xf numFmtId="0" fontId="15" fillId="0" borderId="0" xfId="0" applyFont="1" applyFill="1" applyAlignment="1">
      <alignment vertical="center" wrapText="1"/>
    </xf>
    <xf numFmtId="0" fontId="173" fillId="0" borderId="0" xfId="0" applyFont="1" applyFill="1" applyAlignment="1">
      <alignment horizontal="right"/>
    </xf>
    <xf numFmtId="0" fontId="172" fillId="0" borderId="0" xfId="0" applyFont="1" applyFill="1" applyAlignment="1">
      <alignment horizontal="center" vertical="center" wrapText="1"/>
    </xf>
    <xf numFmtId="0" fontId="173" fillId="0" borderId="0" xfId="0" applyFont="1" applyFill="1" applyAlignment="1">
      <alignment horizontal="right"/>
    </xf>
    <xf numFmtId="0" fontId="13" fillId="0" borderId="1" xfId="0" applyFont="1" applyFill="1" applyBorder="1" applyAlignment="1">
      <alignment horizontal="left" vertical="center" wrapText="1"/>
    </xf>
    <xf numFmtId="0" fontId="172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2" fontId="10" fillId="0" borderId="1" xfId="0" applyNumberFormat="1" applyFont="1" applyFill="1" applyBorder="1" applyAlignment="1">
      <alignment horizontal="center" vertical="center" wrapText="1" shrinkToFit="1"/>
    </xf>
    <xf numFmtId="49" fontId="6" fillId="0" borderId="1" xfId="0" applyNumberFormat="1" applyFont="1" applyFill="1" applyBorder="1" applyAlignment="1">
      <alignment horizontal="center" vertical="center" wrapText="1"/>
    </xf>
    <xf numFmtId="0" fontId="13" fillId="0" borderId="1" xfId="3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3" fillId="0" borderId="58" xfId="0" applyFont="1" applyFill="1" applyBorder="1" applyAlignment="1">
      <alignment horizontal="left" vertical="center" wrapText="1"/>
    </xf>
    <xf numFmtId="0" fontId="13" fillId="0" borderId="62" xfId="0" applyFont="1" applyFill="1" applyBorder="1" applyAlignment="1">
      <alignment horizontal="left" vertical="center" wrapText="1"/>
    </xf>
    <xf numFmtId="0" fontId="13" fillId="0" borderId="59" xfId="0" applyFont="1" applyFill="1" applyBorder="1" applyAlignment="1">
      <alignment horizontal="left" vertical="center" wrapText="1"/>
    </xf>
    <xf numFmtId="0" fontId="173" fillId="0" borderId="0" xfId="0" applyFont="1" applyFill="1" applyAlignment="1">
      <alignment horizontal="left"/>
    </xf>
  </cellXfs>
  <cellStyles count="10078">
    <cellStyle name=" 1" xfId="8"/>
    <cellStyle name=" 1 2" xfId="9"/>
    <cellStyle name=" 1 3" xfId="5696"/>
    <cellStyle name=" 1 4" xfId="9799"/>
    <cellStyle name=" 1 5" xfId="9800"/>
    <cellStyle name=" 1_Stage1" xfId="10"/>
    <cellStyle name="_x000a_bidires=100_x000d_" xfId="11"/>
    <cellStyle name="_x000a_bidires=100_x000d_ 2" xfId="5697"/>
    <cellStyle name="%" xfId="12"/>
    <cellStyle name="%_Inputs" xfId="13"/>
    <cellStyle name="%_Inputs (const)" xfId="14"/>
    <cellStyle name="%_Inputs (const)_Расче тарифа на тэ 2014 Мезенский АрхоблЭнерго" xfId="15"/>
    <cellStyle name="%_Inputs (const)_Тариф тепло Мезень для АТЦ" xfId="16"/>
    <cellStyle name="%_Inputs (const)_тарифы по ТЭ на 2014 год Соловки исправ." xfId="17"/>
    <cellStyle name="%_Inputs Co" xfId="18"/>
    <cellStyle name="%_Inputs Co_Расче тарифа на тэ 2014 Мезенский АрхоблЭнерго" xfId="19"/>
    <cellStyle name="%_Inputs Co_Тариф тепло Мезень для АТЦ" xfId="20"/>
    <cellStyle name="%_Inputs Co_тарифы по ТЭ на 2014 год Соловки исправ." xfId="21"/>
    <cellStyle name=";;;" xfId="5698"/>
    <cellStyle name="?" xfId="22"/>
    <cellStyle name="?…?ж?Ш?и [0.00]" xfId="23"/>
    <cellStyle name="?W??_‘O’с?р??" xfId="24"/>
    <cellStyle name="]_x000d__x000a_Zoomed=1_x000d__x000a_Row=0_x000d__x000a_Column=0_x000d__x000a_Height=0_x000d__x000a_Width=0_x000d__x000a_FontName=FoxFont_x000d__x000a_FontStyle=0_x000d__x000a_FontSize=9_x000d__x000a_PrtFontName=FoxPrin" xfId="5699"/>
    <cellStyle name="__Металлургический дивизион - формы v1.2" xfId="5700"/>
    <cellStyle name="__Металлургический дивизион v1.3" xfId="5701"/>
    <cellStyle name="__Штабквартира - формы v1.1" xfId="5702"/>
    <cellStyle name="_~6450243" xfId="25"/>
    <cellStyle name="_~6450243 2" xfId="26"/>
    <cellStyle name="_~6450243 2 2" xfId="5703"/>
    <cellStyle name="_~6450243 3" xfId="5704"/>
    <cellStyle name="_2008г. и 4кв" xfId="5705"/>
    <cellStyle name="_4_macro 2009" xfId="5706"/>
    <cellStyle name="_CashFlow_2007_проект_02_02_final" xfId="27"/>
    <cellStyle name="_Condition-long(2012-2030)нах" xfId="5707"/>
    <cellStyle name="_CPI foodimp" xfId="28"/>
    <cellStyle name="_FFF" xfId="29"/>
    <cellStyle name="_FFF_New Form10_2" xfId="30"/>
    <cellStyle name="_FFF_Nsi" xfId="31"/>
    <cellStyle name="_FFF_Nsi_1" xfId="32"/>
    <cellStyle name="_FFF_Nsi_139" xfId="33"/>
    <cellStyle name="_FFF_Nsi_140" xfId="34"/>
    <cellStyle name="_FFF_Nsi_140(Зах)" xfId="35"/>
    <cellStyle name="_FFF_Nsi_140_mod" xfId="36"/>
    <cellStyle name="_FFF_Summary" xfId="37"/>
    <cellStyle name="_FFF_Tax_form_1кв_3" xfId="38"/>
    <cellStyle name="_FFF_БКЭ" xfId="39"/>
    <cellStyle name="_Final_Book_010301" xfId="40"/>
    <cellStyle name="_Final_Book_010301_New Form10_2" xfId="41"/>
    <cellStyle name="_Final_Book_010301_Nsi" xfId="42"/>
    <cellStyle name="_Final_Book_010301_Nsi_1" xfId="43"/>
    <cellStyle name="_Final_Book_010301_Nsi_139" xfId="44"/>
    <cellStyle name="_Final_Book_010301_Nsi_140" xfId="45"/>
    <cellStyle name="_Final_Book_010301_Nsi_140(Зах)" xfId="46"/>
    <cellStyle name="_Final_Book_010301_Nsi_140_mod" xfId="47"/>
    <cellStyle name="_Final_Book_010301_Summary" xfId="48"/>
    <cellStyle name="_Final_Book_010301_Tax_form_1кв_3" xfId="49"/>
    <cellStyle name="_Final_Book_010301_БКЭ" xfId="50"/>
    <cellStyle name="_macro 2012 var 1" xfId="51"/>
    <cellStyle name="_Model_RAB Мой" xfId="52"/>
    <cellStyle name="_Model_RAB Мой 10" xfId="5708"/>
    <cellStyle name="_Model_RAB Мой 11" xfId="9801"/>
    <cellStyle name="_Model_RAB Мой 2" xfId="53"/>
    <cellStyle name="_Model_RAB Мой 2 2" xfId="5709"/>
    <cellStyle name="_Model_RAB Мой 2_OREP.KU.2011.MONTHLY.02(v0.1)" xfId="54"/>
    <cellStyle name="_Model_RAB Мой 2_OREP.KU.2011.MONTHLY.02(v0.4)" xfId="55"/>
    <cellStyle name="_Model_RAB Мой 2_OREP.KU.2011.MONTHLY.11(v1.4)" xfId="56"/>
    <cellStyle name="_Model_RAB Мой 2_OREP.KU.2011.MONTHLY.11(v1.4) 2" xfId="5710"/>
    <cellStyle name="_Model_RAB Мой 2_OREP.KU.2011.MONTHLY.11(v1.4)_UPDATE.BALANCE.WARM.2012YEAR.TO.1.1" xfId="5017"/>
    <cellStyle name="_Model_RAB Мой 2_OREP.KU.2011.MONTHLY.11(v1.4)_UPDATE.CALC.WARM.2012YEAR.TO.1.1" xfId="5018"/>
    <cellStyle name="_Model_RAB Мой 2_TEHSHEET" xfId="9802"/>
    <cellStyle name="_Model_RAB Мой 2_UPDATE.BALANCE.WARM.2012YEAR.TO.1.1" xfId="5019"/>
    <cellStyle name="_Model_RAB Мой 2_UPDATE.CALC.WARM.2012YEAR.TO.1.1" xfId="5020"/>
    <cellStyle name="_Model_RAB Мой 2_UPDATE.MONITORING.OS.EE.2.02.TO.1.3.64" xfId="5021"/>
    <cellStyle name="_Model_RAB Мой 2_UPDATE.OREP.KU.2011.MONTHLY.02.TO.1.2" xfId="57"/>
    <cellStyle name="_Model_RAB Мой 3" xfId="5711"/>
    <cellStyle name="_Model_RAB Мой 3 2" xfId="5712"/>
    <cellStyle name="_Model_RAB Мой 4" xfId="5713"/>
    <cellStyle name="_Model_RAB Мой 5" xfId="5714"/>
    <cellStyle name="_Model_RAB Мой 6" xfId="5715"/>
    <cellStyle name="_Model_RAB Мой 7" xfId="5716"/>
    <cellStyle name="_Model_RAB Мой 8" xfId="5717"/>
    <cellStyle name="_Model_RAB Мой 9" xfId="5718"/>
    <cellStyle name="_Model_RAB Мой_46EE.2011(v1.0)" xfId="58"/>
    <cellStyle name="_Model_RAB Мой_46EE.2011(v1.0)_46TE.2011(v1.0)" xfId="59"/>
    <cellStyle name="_Model_RAB Мой_46EE.2011(v1.0)_INDEX.STATION.2012(v1.0)_" xfId="60"/>
    <cellStyle name="_Model_RAB Мой_46EE.2011(v1.0)_INDEX.STATION.2012(v2.0)" xfId="61"/>
    <cellStyle name="_Model_RAB Мой_46EE.2011(v1.0)_INDEX.STATION.2012(v2.1)" xfId="62"/>
    <cellStyle name="_Model_RAB Мой_46EE.2011(v1.0)_TEPLO.PREDEL.2012.M(v1.1)_test" xfId="63"/>
    <cellStyle name="_Model_RAB Мой_46EE.2011(v1.2)" xfId="64"/>
    <cellStyle name="_Model_RAB Мой_46EP.2011(v2.0)" xfId="65"/>
    <cellStyle name="_Model_RAB Мой_46EP.2012(v0.1)" xfId="66"/>
    <cellStyle name="_Model_RAB Мой_46TE.2011(v1.0)" xfId="67"/>
    <cellStyle name="_Model_RAB Мой_4DNS.UPDATE.EXAMPLE" xfId="68"/>
    <cellStyle name="_Model_RAB Мой_ARMRAZR" xfId="69"/>
    <cellStyle name="_Model_RAB Мой_BALANCE.TBO.2011YEAR(v1.1)" xfId="9803"/>
    <cellStyle name="_Model_RAB Мой_BALANCE.WARM.2010.FACT(v1.0)" xfId="70"/>
    <cellStyle name="_Model_RAB Мой_BALANCE.WARM.2010.PLAN" xfId="71"/>
    <cellStyle name="_Model_RAB Мой_BALANCE.WARM.2011YEAR(v0.7)" xfId="72"/>
    <cellStyle name="_Model_RAB Мой_BALANCE.WARM.2011YEAR.NEW.UPDATE.SCHEME" xfId="73"/>
    <cellStyle name="_Model_RAB Мой_CALC.NORMATIV.KU(v0.2)" xfId="74"/>
    <cellStyle name="_Model_RAB Мой_DOPFACTOR.VO.2012(v1.0)" xfId="9804"/>
    <cellStyle name="_Model_RAB Мой_EE.2REK.P2011.4.78(v0.3)" xfId="75"/>
    <cellStyle name="_Model_RAB Мой_FORM3.1.2013(v0.2)" xfId="76"/>
    <cellStyle name="_Model_RAB Мой_FORM3.2013(v1.0)" xfId="77"/>
    <cellStyle name="_Model_RAB Мой_FORM3.REG(v1.0)" xfId="78"/>
    <cellStyle name="_Model_RAB Мой_FORM910.2012(v1.1)" xfId="79"/>
    <cellStyle name="_Model_RAB Мой_INDEX.STATION.2012(v2.1)" xfId="80"/>
    <cellStyle name="_Model_RAB Мой_INDEX.STATION.2013(v1.0)_патч до 1.1" xfId="81"/>
    <cellStyle name="_Model_RAB Мой_INVEST.EE.PLAN.4.78(v0.1)" xfId="82"/>
    <cellStyle name="_Model_RAB Мой_INVEST.EE.PLAN.4.78(v0.3)" xfId="83"/>
    <cellStyle name="_Model_RAB Мой_INVEST.EE.PLAN.4.78(v1.0)" xfId="84"/>
    <cellStyle name="_Model_RAB Мой_INVEST.EE.PLAN.4.78(v1.0)_PASSPORT.TEPLO.PROIZV(v2.0)" xfId="85"/>
    <cellStyle name="_Model_RAB Мой_INVEST.EE.PLAN.4.78(v1.0)_PASSPORT.TEPLO.PROIZV(v2.0)_INDEX.STATION.2013(v1.0)_патч до 1.1" xfId="86"/>
    <cellStyle name="_Model_RAB Мой_INVEST.EE.PLAN.4.78(v1.0)_PASSPORT.TEPLO.PROIZV(v2.0)_TEPLO.PREDEL.2013(v2.0)" xfId="87"/>
    <cellStyle name="_Model_RAB Мой_INVEST.PLAN.4.78(v0.1)" xfId="88"/>
    <cellStyle name="_Model_RAB Мой_INVEST.WARM.PLAN.4.78(v0.1)" xfId="89"/>
    <cellStyle name="_Model_RAB Мой_INVEST_WARM_PLAN" xfId="90"/>
    <cellStyle name="_Model_RAB Мой_NADB.JNVLP.APTEKA.2012(v1.0)_21_02_12" xfId="91"/>
    <cellStyle name="_Model_RAB Мой_NADB.JNVLS.APTEKA.2011(v1.3.3)" xfId="92"/>
    <cellStyle name="_Model_RAB Мой_NADB.JNVLS.APTEKA.2011(v1.3.3)_46TE.2011(v1.0)" xfId="93"/>
    <cellStyle name="_Model_RAB Мой_NADB.JNVLS.APTEKA.2011(v1.3.3)_INDEX.STATION.2012(v1.0)_" xfId="94"/>
    <cellStyle name="_Model_RAB Мой_NADB.JNVLS.APTEKA.2011(v1.3.3)_INDEX.STATION.2012(v2.0)" xfId="95"/>
    <cellStyle name="_Model_RAB Мой_NADB.JNVLS.APTEKA.2011(v1.3.3)_INDEX.STATION.2012(v2.1)" xfId="96"/>
    <cellStyle name="_Model_RAB Мой_NADB.JNVLS.APTEKA.2011(v1.3.3)_TEPLO.PREDEL.2012.M(v1.1)_test" xfId="97"/>
    <cellStyle name="_Model_RAB Мой_NADB.JNVLS.APTEKA.2011(v1.3.4)" xfId="98"/>
    <cellStyle name="_Model_RAB Мой_NADB.JNVLS.APTEKA.2011(v1.3.4)_46TE.2011(v1.0)" xfId="99"/>
    <cellStyle name="_Model_RAB Мой_NADB.JNVLS.APTEKA.2011(v1.3.4)_INDEX.STATION.2012(v1.0)_" xfId="100"/>
    <cellStyle name="_Model_RAB Мой_NADB.JNVLS.APTEKA.2011(v1.3.4)_INDEX.STATION.2012(v2.0)" xfId="101"/>
    <cellStyle name="_Model_RAB Мой_NADB.JNVLS.APTEKA.2011(v1.3.4)_INDEX.STATION.2012(v2.1)" xfId="102"/>
    <cellStyle name="_Model_RAB Мой_NADB.JNVLS.APTEKA.2011(v1.3.4)_TEPLO.PREDEL.2012.M(v1.1)_test" xfId="103"/>
    <cellStyle name="_Model_RAB Мой_PASSPORT.TEPLO.PROIZV(v2.0)" xfId="5022"/>
    <cellStyle name="_Model_RAB Мой_PASSPORT.TEPLO.PROIZV(v2.1)" xfId="104"/>
    <cellStyle name="_Model_RAB Мой_PASSPORT.TEPLO.SETI(v0.7)" xfId="105"/>
    <cellStyle name="_Model_RAB Мой_PASSPORT.TEPLO.SETI(v1.0)" xfId="106"/>
    <cellStyle name="_Model_RAB Мой_PR.PROG.WARM.NOTCOMBI.2012.2.16_v1.4(04.04.11) " xfId="107"/>
    <cellStyle name="_Model_RAB Мой_PREDEL.JKH.UTV.2011(v1.0.1)" xfId="108"/>
    <cellStyle name="_Model_RAB Мой_PREDEL.JKH.UTV.2011(v1.0.1)_46TE.2011(v1.0)" xfId="109"/>
    <cellStyle name="_Model_RAB Мой_PREDEL.JKH.UTV.2011(v1.0.1)_INDEX.STATION.2012(v1.0)_" xfId="110"/>
    <cellStyle name="_Model_RAB Мой_PREDEL.JKH.UTV.2011(v1.0.1)_INDEX.STATION.2012(v2.0)" xfId="111"/>
    <cellStyle name="_Model_RAB Мой_PREDEL.JKH.UTV.2011(v1.0.1)_INDEX.STATION.2012(v2.1)" xfId="112"/>
    <cellStyle name="_Model_RAB Мой_PREDEL.JKH.UTV.2011(v1.0.1)_TEPLO.PREDEL.2012.M(v1.1)_test" xfId="113"/>
    <cellStyle name="_Model_RAB Мой_PREDEL.JKH.UTV.2011(v1.1)" xfId="114"/>
    <cellStyle name="_Model_RAB Мой_REP.BLR.2012(v1.0)" xfId="115"/>
    <cellStyle name="_Model_RAB Мой_TEHSHEET" xfId="5023"/>
    <cellStyle name="_Model_RAB Мой_TEPLO.PREDEL.2012.M(v1.1)" xfId="116"/>
    <cellStyle name="_Model_RAB Мой_TEPLO.PREDEL.2013(v2.0)" xfId="117"/>
    <cellStyle name="_Model_RAB Мой_TEST.TEMPLATE" xfId="118"/>
    <cellStyle name="_Model_RAB Мой_UPDATE.46EE.2011.TO.1.1" xfId="119"/>
    <cellStyle name="_Model_RAB Мой_UPDATE.46TE.2011.TO.1.1" xfId="120"/>
    <cellStyle name="_Model_RAB Мой_UPDATE.46TE.2011.TO.1.2" xfId="121"/>
    <cellStyle name="_Model_RAB Мой_UPDATE.BALANCE.WARM.2011YEAR.TO.1.1" xfId="122"/>
    <cellStyle name="_Model_RAB Мой_UPDATE.BALANCE.WARM.2011YEAR.TO.1.1_46TE.2011(v1.0)" xfId="123"/>
    <cellStyle name="_Model_RAB Мой_UPDATE.BALANCE.WARM.2011YEAR.TO.1.1_INDEX.STATION.2012(v1.0)_" xfId="124"/>
    <cellStyle name="_Model_RAB Мой_UPDATE.BALANCE.WARM.2011YEAR.TO.1.1_INDEX.STATION.2012(v2.0)" xfId="125"/>
    <cellStyle name="_Model_RAB Мой_UPDATE.BALANCE.WARM.2011YEAR.TO.1.1_INDEX.STATION.2012(v2.1)" xfId="126"/>
    <cellStyle name="_Model_RAB Мой_UPDATE.BALANCE.WARM.2011YEAR.TO.1.1_OREP.KU.2011.MONTHLY.02(v1.1)" xfId="127"/>
    <cellStyle name="_Model_RAB Мой_UPDATE.BALANCE.WARM.2011YEAR.TO.1.1_TEPLO.PREDEL.2012.M(v1.1)_test" xfId="128"/>
    <cellStyle name="_Model_RAB Мой_UPDATE.BALANCE.WARM.2011YEAR.TO.1.2" xfId="5024"/>
    <cellStyle name="_Model_RAB Мой_UPDATE.BALANCE.WARM.2011YEAR.TO.1.4.64" xfId="5025"/>
    <cellStyle name="_Model_RAB Мой_UPDATE.BALANCE.WARM.2011YEAR.TO.1.5.64" xfId="5026"/>
    <cellStyle name="_Model_RAB Мой_UPDATE.MONITORING.OS.EE.2.02.TO.1.3.64" xfId="5027"/>
    <cellStyle name="_Model_RAB Мой_UPDATE.NADB.JNVLS.APTEKA.2011.TO.1.3.4" xfId="129"/>
    <cellStyle name="_Model_RAB Мой_Книга2" xfId="9805"/>
    <cellStyle name="_Model_RAB Мой_Книга2_PR.PROG.WARM.NOTCOMBI.2012.2.16_v1.4(04.04.11) " xfId="130"/>
    <cellStyle name="_Model_RAB Мой_Тариф 2013 Архангельск для агентства" xfId="131"/>
    <cellStyle name="_Model_RAB Мой_Тариф 2014 уч. Шипицыно газ" xfId="132"/>
    <cellStyle name="_Model_RAB Мой_Тариф 2014 уч. Шипицыно газ 2" xfId="5028"/>
    <cellStyle name="_Model_RAB_MRSK_svod" xfId="133"/>
    <cellStyle name="_Model_RAB_MRSK_svod 10" xfId="5719"/>
    <cellStyle name="_Model_RAB_MRSK_svod 11" xfId="9806"/>
    <cellStyle name="_Model_RAB_MRSK_svod 2" xfId="134"/>
    <cellStyle name="_Model_RAB_MRSK_svod 2 2" xfId="5720"/>
    <cellStyle name="_Model_RAB_MRSK_svod 2_OREP.KU.2011.MONTHLY.02(v0.1)" xfId="135"/>
    <cellStyle name="_Model_RAB_MRSK_svod 2_OREP.KU.2011.MONTHLY.02(v0.4)" xfId="136"/>
    <cellStyle name="_Model_RAB_MRSK_svod 2_OREP.KU.2011.MONTHLY.11(v1.4)" xfId="137"/>
    <cellStyle name="_Model_RAB_MRSK_svod 2_OREP.KU.2011.MONTHLY.11(v1.4) 2" xfId="5721"/>
    <cellStyle name="_Model_RAB_MRSK_svod 2_OREP.KU.2011.MONTHLY.11(v1.4)_UPDATE.BALANCE.WARM.2012YEAR.TO.1.1" xfId="5029"/>
    <cellStyle name="_Model_RAB_MRSK_svod 2_OREP.KU.2011.MONTHLY.11(v1.4)_UPDATE.CALC.WARM.2012YEAR.TO.1.1" xfId="5030"/>
    <cellStyle name="_Model_RAB_MRSK_svod 2_TEHSHEET" xfId="9807"/>
    <cellStyle name="_Model_RAB_MRSK_svod 2_UPDATE.BALANCE.WARM.2012YEAR.TO.1.1" xfId="5031"/>
    <cellStyle name="_Model_RAB_MRSK_svod 2_UPDATE.CALC.WARM.2012YEAR.TO.1.1" xfId="5032"/>
    <cellStyle name="_Model_RAB_MRSK_svod 2_UPDATE.MONITORING.OS.EE.2.02.TO.1.3.64" xfId="5033"/>
    <cellStyle name="_Model_RAB_MRSK_svod 2_UPDATE.OREP.KU.2011.MONTHLY.02.TO.1.2" xfId="138"/>
    <cellStyle name="_Model_RAB_MRSK_svod 3" xfId="5722"/>
    <cellStyle name="_Model_RAB_MRSK_svod 3 2" xfId="5723"/>
    <cellStyle name="_Model_RAB_MRSK_svod 4" xfId="5724"/>
    <cellStyle name="_Model_RAB_MRSK_svod 5" xfId="5725"/>
    <cellStyle name="_Model_RAB_MRSK_svod 6" xfId="5726"/>
    <cellStyle name="_Model_RAB_MRSK_svod 7" xfId="5727"/>
    <cellStyle name="_Model_RAB_MRSK_svod 8" xfId="5728"/>
    <cellStyle name="_Model_RAB_MRSK_svod 9" xfId="5729"/>
    <cellStyle name="_Model_RAB_MRSK_svod_46EE.2011(v1.0)" xfId="139"/>
    <cellStyle name="_Model_RAB_MRSK_svod_46EE.2011(v1.0)_46TE.2011(v1.0)" xfId="140"/>
    <cellStyle name="_Model_RAB_MRSK_svod_46EE.2011(v1.0)_INDEX.STATION.2012(v1.0)_" xfId="141"/>
    <cellStyle name="_Model_RAB_MRSK_svod_46EE.2011(v1.0)_INDEX.STATION.2012(v2.0)" xfId="142"/>
    <cellStyle name="_Model_RAB_MRSK_svod_46EE.2011(v1.0)_INDEX.STATION.2012(v2.1)" xfId="143"/>
    <cellStyle name="_Model_RAB_MRSK_svod_46EE.2011(v1.0)_TEPLO.PREDEL.2012.M(v1.1)_test" xfId="144"/>
    <cellStyle name="_Model_RAB_MRSK_svod_46EE.2011(v1.2)" xfId="145"/>
    <cellStyle name="_Model_RAB_MRSK_svod_46EP.2011(v2.0)" xfId="146"/>
    <cellStyle name="_Model_RAB_MRSK_svod_46EP.2012(v0.1)" xfId="147"/>
    <cellStyle name="_Model_RAB_MRSK_svod_46TE.2011(v1.0)" xfId="148"/>
    <cellStyle name="_Model_RAB_MRSK_svod_4DNS.UPDATE.EXAMPLE" xfId="149"/>
    <cellStyle name="_Model_RAB_MRSK_svod_ARMRAZR" xfId="150"/>
    <cellStyle name="_Model_RAB_MRSK_svod_BALANCE.TBO.2011YEAR(v1.1)" xfId="9808"/>
    <cellStyle name="_Model_RAB_MRSK_svod_BALANCE.WARM.2010.FACT(v1.0)" xfId="151"/>
    <cellStyle name="_Model_RAB_MRSK_svod_BALANCE.WARM.2010.PLAN" xfId="152"/>
    <cellStyle name="_Model_RAB_MRSK_svod_BALANCE.WARM.2011YEAR(v0.7)" xfId="153"/>
    <cellStyle name="_Model_RAB_MRSK_svod_BALANCE.WARM.2011YEAR.NEW.UPDATE.SCHEME" xfId="154"/>
    <cellStyle name="_Model_RAB_MRSK_svod_CALC.NORMATIV.KU(v0.2)" xfId="155"/>
    <cellStyle name="_Model_RAB_MRSK_svod_DOPFACTOR.VO.2012(v1.0)" xfId="9809"/>
    <cellStyle name="_Model_RAB_MRSK_svod_EE.2REK.P2011.4.78(v0.3)" xfId="156"/>
    <cellStyle name="_Model_RAB_MRSK_svod_FORM3.1.2013(v0.2)" xfId="157"/>
    <cellStyle name="_Model_RAB_MRSK_svod_FORM3.2013(v1.0)" xfId="158"/>
    <cellStyle name="_Model_RAB_MRSK_svod_FORM3.REG(v1.0)" xfId="159"/>
    <cellStyle name="_Model_RAB_MRSK_svod_FORM910.2012(v1.1)" xfId="160"/>
    <cellStyle name="_Model_RAB_MRSK_svod_INDEX.STATION.2012(v2.1)" xfId="161"/>
    <cellStyle name="_Model_RAB_MRSK_svod_INDEX.STATION.2013(v1.0)_патч до 1.1" xfId="162"/>
    <cellStyle name="_Model_RAB_MRSK_svod_INVEST.EE.PLAN.4.78(v0.1)" xfId="163"/>
    <cellStyle name="_Model_RAB_MRSK_svod_INVEST.EE.PLAN.4.78(v0.3)" xfId="164"/>
    <cellStyle name="_Model_RAB_MRSK_svod_INVEST.EE.PLAN.4.78(v1.0)" xfId="165"/>
    <cellStyle name="_Model_RAB_MRSK_svod_INVEST.EE.PLAN.4.78(v1.0)_PASSPORT.TEPLO.PROIZV(v2.0)" xfId="166"/>
    <cellStyle name="_Model_RAB_MRSK_svod_INVEST.EE.PLAN.4.78(v1.0)_PASSPORT.TEPLO.PROIZV(v2.0)_INDEX.STATION.2013(v1.0)_патч до 1.1" xfId="167"/>
    <cellStyle name="_Model_RAB_MRSK_svod_INVEST.EE.PLAN.4.78(v1.0)_PASSPORT.TEPLO.PROIZV(v2.0)_TEPLO.PREDEL.2013(v2.0)" xfId="168"/>
    <cellStyle name="_Model_RAB_MRSK_svod_INVEST.PLAN.4.78(v0.1)" xfId="169"/>
    <cellStyle name="_Model_RAB_MRSK_svod_INVEST.WARM.PLAN.4.78(v0.1)" xfId="170"/>
    <cellStyle name="_Model_RAB_MRSK_svod_INVEST_WARM_PLAN" xfId="171"/>
    <cellStyle name="_Model_RAB_MRSK_svod_NADB.JNVLP.APTEKA.2012(v1.0)_21_02_12" xfId="172"/>
    <cellStyle name="_Model_RAB_MRSK_svod_NADB.JNVLS.APTEKA.2011(v1.3.3)" xfId="173"/>
    <cellStyle name="_Model_RAB_MRSK_svod_NADB.JNVLS.APTEKA.2011(v1.3.3)_46TE.2011(v1.0)" xfId="174"/>
    <cellStyle name="_Model_RAB_MRSK_svod_NADB.JNVLS.APTEKA.2011(v1.3.3)_INDEX.STATION.2012(v1.0)_" xfId="175"/>
    <cellStyle name="_Model_RAB_MRSK_svod_NADB.JNVLS.APTEKA.2011(v1.3.3)_INDEX.STATION.2012(v2.0)" xfId="176"/>
    <cellStyle name="_Model_RAB_MRSK_svod_NADB.JNVLS.APTEKA.2011(v1.3.3)_INDEX.STATION.2012(v2.1)" xfId="177"/>
    <cellStyle name="_Model_RAB_MRSK_svod_NADB.JNVLS.APTEKA.2011(v1.3.3)_TEPLO.PREDEL.2012.M(v1.1)_test" xfId="178"/>
    <cellStyle name="_Model_RAB_MRSK_svod_NADB.JNVLS.APTEKA.2011(v1.3.4)" xfId="179"/>
    <cellStyle name="_Model_RAB_MRSK_svod_NADB.JNVLS.APTEKA.2011(v1.3.4)_46TE.2011(v1.0)" xfId="180"/>
    <cellStyle name="_Model_RAB_MRSK_svod_NADB.JNVLS.APTEKA.2011(v1.3.4)_INDEX.STATION.2012(v1.0)_" xfId="181"/>
    <cellStyle name="_Model_RAB_MRSK_svod_NADB.JNVLS.APTEKA.2011(v1.3.4)_INDEX.STATION.2012(v2.0)" xfId="182"/>
    <cellStyle name="_Model_RAB_MRSK_svod_NADB.JNVLS.APTEKA.2011(v1.3.4)_INDEX.STATION.2012(v2.1)" xfId="183"/>
    <cellStyle name="_Model_RAB_MRSK_svod_NADB.JNVLS.APTEKA.2011(v1.3.4)_TEPLO.PREDEL.2012.M(v1.1)_test" xfId="184"/>
    <cellStyle name="_Model_RAB_MRSK_svod_PASSPORT.TEPLO.PROIZV(v2.0)" xfId="5034"/>
    <cellStyle name="_Model_RAB_MRSK_svod_PASSPORT.TEPLO.PROIZV(v2.1)" xfId="185"/>
    <cellStyle name="_Model_RAB_MRSK_svod_PASSPORT.TEPLO.SETI(v0.7)" xfId="186"/>
    <cellStyle name="_Model_RAB_MRSK_svod_PASSPORT.TEPLO.SETI(v1.0)" xfId="187"/>
    <cellStyle name="_Model_RAB_MRSK_svod_PR.PROG.WARM.NOTCOMBI.2012.2.16_v1.4(04.04.11) " xfId="188"/>
    <cellStyle name="_Model_RAB_MRSK_svod_PREDEL.JKH.UTV.2011(v1.0.1)" xfId="189"/>
    <cellStyle name="_Model_RAB_MRSK_svod_PREDEL.JKH.UTV.2011(v1.0.1)_46TE.2011(v1.0)" xfId="190"/>
    <cellStyle name="_Model_RAB_MRSK_svod_PREDEL.JKH.UTV.2011(v1.0.1)_INDEX.STATION.2012(v1.0)_" xfId="191"/>
    <cellStyle name="_Model_RAB_MRSK_svod_PREDEL.JKH.UTV.2011(v1.0.1)_INDEX.STATION.2012(v2.0)" xfId="192"/>
    <cellStyle name="_Model_RAB_MRSK_svod_PREDEL.JKH.UTV.2011(v1.0.1)_INDEX.STATION.2012(v2.1)" xfId="193"/>
    <cellStyle name="_Model_RAB_MRSK_svod_PREDEL.JKH.UTV.2011(v1.0.1)_TEPLO.PREDEL.2012.M(v1.1)_test" xfId="194"/>
    <cellStyle name="_Model_RAB_MRSK_svod_PREDEL.JKH.UTV.2011(v1.1)" xfId="195"/>
    <cellStyle name="_Model_RAB_MRSK_svod_REP.BLR.2012(v1.0)" xfId="196"/>
    <cellStyle name="_Model_RAB_MRSK_svod_TEHSHEET" xfId="5035"/>
    <cellStyle name="_Model_RAB_MRSK_svod_TEPLO.PREDEL.2012.M(v1.1)" xfId="197"/>
    <cellStyle name="_Model_RAB_MRSK_svod_TEPLO.PREDEL.2013(v2.0)" xfId="198"/>
    <cellStyle name="_Model_RAB_MRSK_svod_TEST.TEMPLATE" xfId="199"/>
    <cellStyle name="_Model_RAB_MRSK_svod_UPDATE.46EE.2011.TO.1.1" xfId="200"/>
    <cellStyle name="_Model_RAB_MRSK_svod_UPDATE.46TE.2011.TO.1.1" xfId="201"/>
    <cellStyle name="_Model_RAB_MRSK_svod_UPDATE.46TE.2011.TO.1.2" xfId="202"/>
    <cellStyle name="_Model_RAB_MRSK_svod_UPDATE.BALANCE.WARM.2011YEAR.TO.1.1" xfId="203"/>
    <cellStyle name="_Model_RAB_MRSK_svod_UPDATE.BALANCE.WARM.2011YEAR.TO.1.1_46TE.2011(v1.0)" xfId="204"/>
    <cellStyle name="_Model_RAB_MRSK_svod_UPDATE.BALANCE.WARM.2011YEAR.TO.1.1_INDEX.STATION.2012(v1.0)_" xfId="205"/>
    <cellStyle name="_Model_RAB_MRSK_svod_UPDATE.BALANCE.WARM.2011YEAR.TO.1.1_INDEX.STATION.2012(v2.0)" xfId="206"/>
    <cellStyle name="_Model_RAB_MRSK_svod_UPDATE.BALANCE.WARM.2011YEAR.TO.1.1_INDEX.STATION.2012(v2.1)" xfId="207"/>
    <cellStyle name="_Model_RAB_MRSK_svod_UPDATE.BALANCE.WARM.2011YEAR.TO.1.1_OREP.KU.2011.MONTHLY.02(v1.1)" xfId="208"/>
    <cellStyle name="_Model_RAB_MRSK_svod_UPDATE.BALANCE.WARM.2011YEAR.TO.1.1_TEPLO.PREDEL.2012.M(v1.1)_test" xfId="209"/>
    <cellStyle name="_Model_RAB_MRSK_svod_UPDATE.BALANCE.WARM.2011YEAR.TO.1.2" xfId="5036"/>
    <cellStyle name="_Model_RAB_MRSK_svod_UPDATE.BALANCE.WARM.2011YEAR.TO.1.4.64" xfId="5037"/>
    <cellStyle name="_Model_RAB_MRSK_svod_UPDATE.BALANCE.WARM.2011YEAR.TO.1.5.64" xfId="5038"/>
    <cellStyle name="_Model_RAB_MRSK_svod_UPDATE.MONITORING.OS.EE.2.02.TO.1.3.64" xfId="5039"/>
    <cellStyle name="_Model_RAB_MRSK_svod_UPDATE.NADB.JNVLS.APTEKA.2011.TO.1.3.4" xfId="210"/>
    <cellStyle name="_Model_RAB_MRSK_svod_Книга2" xfId="9810"/>
    <cellStyle name="_Model_RAB_MRSK_svod_Книга2_PR.PROG.WARM.NOTCOMBI.2012.2.16_v1.4(04.04.11) " xfId="211"/>
    <cellStyle name="_Model_RAB_MRSK_svod_Тариф 2013 Архангельск для агентства" xfId="212"/>
    <cellStyle name="_Model_RAB_MRSK_svod_Тариф 2014 уч. Шипицыно газ" xfId="213"/>
    <cellStyle name="_Model_RAB_MRSK_svod_Тариф 2014 уч. Шипицыно газ 2" xfId="5040"/>
    <cellStyle name="_New_Sofi" xfId="214"/>
    <cellStyle name="_New_Sofi_FFF" xfId="215"/>
    <cellStyle name="_New_Sofi_New Form10_2" xfId="216"/>
    <cellStyle name="_New_Sofi_Nsi" xfId="217"/>
    <cellStyle name="_New_Sofi_Nsi_1" xfId="218"/>
    <cellStyle name="_New_Sofi_Nsi_139" xfId="219"/>
    <cellStyle name="_New_Sofi_Nsi_140" xfId="220"/>
    <cellStyle name="_New_Sofi_Nsi_140(Зах)" xfId="221"/>
    <cellStyle name="_New_Sofi_Nsi_140_mod" xfId="222"/>
    <cellStyle name="_New_Sofi_Summary" xfId="223"/>
    <cellStyle name="_New_Sofi_Tax_form_1кв_3" xfId="224"/>
    <cellStyle name="_New_Sofi_БКЭ" xfId="225"/>
    <cellStyle name="_Nsi" xfId="226"/>
    <cellStyle name="_Plug" xfId="227"/>
    <cellStyle name="_Plug 2" xfId="5730"/>
    <cellStyle name="_Plug_4DNS.UPDATE.EXAMPLE" xfId="228"/>
    <cellStyle name="_Plug_4DNS.UPDATE.EXAMPLE 2" xfId="5731"/>
    <cellStyle name="_Plug_4DNS.UPDATE.EXAMPLE_INDEX.STATION.2013(v1.0)_патч до 1.1" xfId="229"/>
    <cellStyle name="_Plug_4DNS.UPDATE.EXAMPLE_INDEX.STATION.2013(v1.0)_патч до 1.1 2" xfId="5732"/>
    <cellStyle name="_Plug_4DNS.UPDATE.EXAMPLE_TEPLO.PREDEL.2013(v2.1)_FST" xfId="230"/>
    <cellStyle name="_Plug_4DNS.UPDATE.EXAMPLE_TEPLO.PREDEL.2013(v2.1)_FST 2" xfId="5733"/>
    <cellStyle name="_Plug_4DNS.UPDATE.EXAMPLE_TEPLO.PREDEL.2013.FST_update1" xfId="231"/>
    <cellStyle name="_Plug_4DNS.UPDATE.EXAMPLE_TEPLO.PREDEL.2013.FST_update1 2" xfId="5734"/>
    <cellStyle name="_SeriesAttributes" xfId="232"/>
    <cellStyle name="_TSET.NET.2010.варианты расчета_min_max_ГК_03.09.09 RAB" xfId="233"/>
    <cellStyle name="_TSET.NET.2010.варианты расчета_min_max_ГК_03.09.09 RAB_Расче тарифа на тэ 2014 Мезенский АрхоблЭнерго" xfId="234"/>
    <cellStyle name="_TSET.NET.2010.варианты расчета_min_max_ГК_03.09.09 RAB_тарифы по ТЭ на 2014 год Соловки исправ." xfId="235"/>
    <cellStyle name="_v-2013-2030- 2b17.01.11Нах-cpiнов. курс inn 1-2-Е1xls" xfId="236"/>
    <cellStyle name="_АГ" xfId="4903"/>
    <cellStyle name="_АГТС от 09.10.09." xfId="5735"/>
    <cellStyle name="_Аморт,налоги,охрана,молоко" xfId="237"/>
    <cellStyle name="_БДР (ЦФО) 05-11-08" xfId="238"/>
    <cellStyle name="_БДР 2008 факт 1 кв. + проект на год 10.04.08" xfId="239"/>
    <cellStyle name="_БДР 2009" xfId="240"/>
    <cellStyle name="_БДР 3 квартал" xfId="241"/>
    <cellStyle name="_Бухгалтерия (налоги, амортизация, прочие)" xfId="242"/>
    <cellStyle name="_Бюджет ПРОДО 2008" xfId="5736"/>
    <cellStyle name="_Бюджет2006_ПОКАЗАТЕЛИ СВОДНЫЕ" xfId="243"/>
    <cellStyle name="_Вводы 2008-2012 Колэнерго" xfId="244"/>
    <cellStyle name="_Вводы 2008-2012 Колэнерго_Расче тарифа на тэ 2014 Мезенский АрхоблЭнерго" xfId="245"/>
    <cellStyle name="_Вводы 2008-2012 Колэнерго_тарифы по ТЭ на 2014 год Соловки исправ." xfId="246"/>
    <cellStyle name="_ВО ОП ТЭС-ОТ- 2007" xfId="247"/>
    <cellStyle name="_ВО ОП ТЭС-ОТ- 2007_Новая инструкция1_фст" xfId="248"/>
    <cellStyle name="_ВФ ОАО ТЭС-ОТ- 2009" xfId="249"/>
    <cellStyle name="_ВФ ОАО ТЭС-ОТ- 2009_Новая инструкция1_фст" xfId="250"/>
    <cellStyle name="_выручка по присоединениям2" xfId="251"/>
    <cellStyle name="_выручка по присоединениям2_Новая инструкция1_фст" xfId="252"/>
    <cellStyle name="_выручка по присоединениям2_Расче тарифа на тэ 2014 Мезенский АрхоблЭнерго" xfId="253"/>
    <cellStyle name="_выручка по присоединениям2_Тариф тепло Мезень для АТЦ" xfId="254"/>
    <cellStyle name="_выручка по присоединениям2_тарифы по ТЭ на 2014 год Соловки исправ." xfId="255"/>
    <cellStyle name="_Газ-расчет-16 0508Клдо 2023" xfId="5737"/>
    <cellStyle name="_ГКПЗ 2009" xfId="256"/>
    <cellStyle name="_горн" xfId="5738"/>
    <cellStyle name="_Договор аренды ЯЭ с разбивкой" xfId="257"/>
    <cellStyle name="_Договор аренды ЯЭ с разбивкой_Новая инструкция1_фст" xfId="258"/>
    <cellStyle name="_Защита ФЗП" xfId="259"/>
    <cellStyle name="_инвест" xfId="260"/>
    <cellStyle name="_инвест_Расче тарифа на тэ 2014 Мезенский АрхоблЭнерго" xfId="261"/>
    <cellStyle name="_инвест_тарифы по ТЭ на 2014 год Соловки исправ." xfId="262"/>
    <cellStyle name="_ИП 17032006" xfId="263"/>
    <cellStyle name="_ИП 17032006_Расче тарифа на тэ 2014 Мезенский АрхоблЭнерго" xfId="264"/>
    <cellStyle name="_ИП 17032006_тарифы по ТЭ на 2014 год Соловки исправ." xfId="265"/>
    <cellStyle name="_ИП СО 2006-2010 отпр 22 01 07" xfId="266"/>
    <cellStyle name="_ИП СО 2006-2010 отпр 22 01 07_Расче тарифа на тэ 2014 Мезенский АрхоблЭнерго" xfId="267"/>
    <cellStyle name="_ИП СО 2006-2010 отпр 22 01 07_тарифы по ТЭ на 2014 год Соловки исправ." xfId="268"/>
    <cellStyle name="_ИПЦЖКХ2105 08-до 2023вар1" xfId="5739"/>
    <cellStyle name="_Исходные данные для модели" xfId="269"/>
    <cellStyle name="_Исходные данные для модели_Новая инструкция1_фст" xfId="270"/>
    <cellStyle name="_Исходные данные для модели_Расче тарифа на тэ 2014 Мезенский АрхоблЭнерго" xfId="271"/>
    <cellStyle name="_Исходные данные для модели_Тариф тепло Мезень для АТЦ" xfId="272"/>
    <cellStyle name="_Исходные данные для модели_тарифы по ТЭ на 2014 год Соловки исправ." xfId="273"/>
    <cellStyle name="_Книга1" xfId="274"/>
    <cellStyle name="_Книга1 2" xfId="5740"/>
    <cellStyle name="_Книга1 3" xfId="5741"/>
    <cellStyle name="_Книга3" xfId="275"/>
    <cellStyle name="_Книга3_New Form10_2" xfId="276"/>
    <cellStyle name="_Книга3_Nsi" xfId="277"/>
    <cellStyle name="_Книга3_Nsi_1" xfId="278"/>
    <cellStyle name="_Книга3_Nsi_139" xfId="279"/>
    <cellStyle name="_Книга3_Nsi_140" xfId="280"/>
    <cellStyle name="_Книга3_Nsi_140(Зах)" xfId="281"/>
    <cellStyle name="_Книга3_Nsi_140_mod" xfId="282"/>
    <cellStyle name="_Книга3_Summary" xfId="283"/>
    <cellStyle name="_Книга3_Tax_form_1кв_3" xfId="284"/>
    <cellStyle name="_Книга3_БКЭ" xfId="285"/>
    <cellStyle name="_Книга7" xfId="286"/>
    <cellStyle name="_Книга7_New Form10_2" xfId="287"/>
    <cellStyle name="_Книга7_Nsi" xfId="288"/>
    <cellStyle name="_Книга7_Nsi_1" xfId="289"/>
    <cellStyle name="_Книга7_Nsi_139" xfId="290"/>
    <cellStyle name="_Книга7_Nsi_140" xfId="291"/>
    <cellStyle name="_Книга7_Nsi_140(Зах)" xfId="292"/>
    <cellStyle name="_Книга7_Nsi_140_mod" xfId="293"/>
    <cellStyle name="_Книга7_Summary" xfId="294"/>
    <cellStyle name="_Книга7_Tax_form_1кв_3" xfId="295"/>
    <cellStyle name="_Книга7_БКЭ" xfId="296"/>
    <cellStyle name="_кокс" xfId="5742"/>
    <cellStyle name="_Коксоугольный дивизион - формы MR - v2 0" xfId="5743"/>
    <cellStyle name="_Коксоугольный дивизион - формы MR - v2.0" xfId="5744"/>
    <cellStyle name="_Консолидация-2008-проект-new" xfId="297"/>
    <cellStyle name="_Копия Затраты под АЭР ремонт+содерж на март" xfId="298"/>
    <cellStyle name="_Копия Прил 2(Показатели ИП)" xfId="299"/>
    <cellStyle name="_Копия Прил 2(Показатели ИП)_Расче тарифа на тэ 2014 Мезенский АрхоблЭнерго" xfId="300"/>
    <cellStyle name="_Копия Прил 2(Показатели ИП)_тарифы по ТЭ на 2014 год Соловки исправ." xfId="301"/>
    <cellStyle name="_КОТЕЛЬНАЯ ВОС 2012 Нюкс" xfId="5745"/>
    <cellStyle name="_курсовые разницы 01,06,08" xfId="5746"/>
    <cellStyle name="_Макро_2030 год" xfId="5747"/>
    <cellStyle name="_мет" xfId="5748"/>
    <cellStyle name="_мин_макс_24.09.2009_ГК" xfId="302"/>
    <cellStyle name="_мин_макс_24.09.2009_ГК_Расче тарифа на тэ 2014 Мезенский АрхоблЭнерго" xfId="303"/>
    <cellStyle name="_мин_макс_24.09.2009_ГК_тарифы по ТЭ на 2014 год Соловки исправ." xfId="304"/>
    <cellStyle name="_Модель - 2(23)" xfId="305"/>
    <cellStyle name="_МОДЕЛЬ_1 (2)" xfId="306"/>
    <cellStyle name="_МОДЕЛЬ_1 (2) 10" xfId="5749"/>
    <cellStyle name="_МОДЕЛЬ_1 (2) 11" xfId="9811"/>
    <cellStyle name="_МОДЕЛЬ_1 (2) 2" xfId="307"/>
    <cellStyle name="_МОДЕЛЬ_1 (2) 2 2" xfId="5750"/>
    <cellStyle name="_МОДЕЛЬ_1 (2) 2_OREP.KU.2011.MONTHLY.02(v0.1)" xfId="308"/>
    <cellStyle name="_МОДЕЛЬ_1 (2) 2_OREP.KU.2011.MONTHLY.02(v0.4)" xfId="309"/>
    <cellStyle name="_МОДЕЛЬ_1 (2) 2_OREP.KU.2011.MONTHLY.11(v1.4)" xfId="310"/>
    <cellStyle name="_МОДЕЛЬ_1 (2) 2_OREP.KU.2011.MONTHLY.11(v1.4) 2" xfId="5751"/>
    <cellStyle name="_МОДЕЛЬ_1 (2) 2_OREP.KU.2011.MONTHLY.11(v1.4)_UPDATE.BALANCE.WARM.2012YEAR.TO.1.1" xfId="5041"/>
    <cellStyle name="_МОДЕЛЬ_1 (2) 2_OREP.KU.2011.MONTHLY.11(v1.4)_UPDATE.CALC.WARM.2012YEAR.TO.1.1" xfId="5042"/>
    <cellStyle name="_МОДЕЛЬ_1 (2) 2_TEHSHEET" xfId="9812"/>
    <cellStyle name="_МОДЕЛЬ_1 (2) 2_UPDATE.BALANCE.WARM.2012YEAR.TO.1.1" xfId="5043"/>
    <cellStyle name="_МОДЕЛЬ_1 (2) 2_UPDATE.CALC.WARM.2012YEAR.TO.1.1" xfId="5044"/>
    <cellStyle name="_МОДЕЛЬ_1 (2) 2_UPDATE.MONITORING.OS.EE.2.02.TO.1.3.64" xfId="5045"/>
    <cellStyle name="_МОДЕЛЬ_1 (2) 2_UPDATE.OREP.KU.2011.MONTHLY.02.TO.1.2" xfId="311"/>
    <cellStyle name="_МОДЕЛЬ_1 (2) 3" xfId="5752"/>
    <cellStyle name="_МОДЕЛЬ_1 (2) 3 2" xfId="5753"/>
    <cellStyle name="_МОДЕЛЬ_1 (2) 4" xfId="5754"/>
    <cellStyle name="_МОДЕЛЬ_1 (2) 5" xfId="5755"/>
    <cellStyle name="_МОДЕЛЬ_1 (2) 6" xfId="5756"/>
    <cellStyle name="_МОДЕЛЬ_1 (2) 7" xfId="5757"/>
    <cellStyle name="_МОДЕЛЬ_1 (2) 8" xfId="5758"/>
    <cellStyle name="_МОДЕЛЬ_1 (2) 9" xfId="5759"/>
    <cellStyle name="_МОДЕЛЬ_1 (2) Псков max затраты ПЭ сценарные Холдинга ( конечн.19,8)" xfId="312"/>
    <cellStyle name="_МОДЕЛЬ_1 (2) Псков max затраты ПЭ сценарные Холдинга ( конечн.19,8) 2" xfId="5046"/>
    <cellStyle name="_МОДЕЛЬ_1 (2)_46EE.2011(v1.0)" xfId="313"/>
    <cellStyle name="_МОДЕЛЬ_1 (2)_46EE.2011(v1.0)_46TE.2011(v1.0)" xfId="314"/>
    <cellStyle name="_МОДЕЛЬ_1 (2)_46EE.2011(v1.0)_INDEX.STATION.2012(v1.0)_" xfId="315"/>
    <cellStyle name="_МОДЕЛЬ_1 (2)_46EE.2011(v1.0)_INDEX.STATION.2012(v2.0)" xfId="316"/>
    <cellStyle name="_МОДЕЛЬ_1 (2)_46EE.2011(v1.0)_INDEX.STATION.2012(v2.1)" xfId="317"/>
    <cellStyle name="_МОДЕЛЬ_1 (2)_46EE.2011(v1.0)_TEPLO.PREDEL.2012.M(v1.1)_test" xfId="318"/>
    <cellStyle name="_МОДЕЛЬ_1 (2)_46EE.2011(v1.2)" xfId="319"/>
    <cellStyle name="_МОДЕЛЬ_1 (2)_46EP.2011(v2.0)" xfId="320"/>
    <cellStyle name="_МОДЕЛЬ_1 (2)_46EP.2012(v0.1)" xfId="321"/>
    <cellStyle name="_МОДЕЛЬ_1 (2)_46TE.2011(v1.0)" xfId="322"/>
    <cellStyle name="_МОДЕЛЬ_1 (2)_4DNS.UPDATE.EXAMPLE" xfId="323"/>
    <cellStyle name="_МОДЕЛЬ_1 (2)_ARMRAZR" xfId="324"/>
    <cellStyle name="_МОДЕЛЬ_1 (2)_BALANCE.TBO.2011YEAR(v1.1)" xfId="9813"/>
    <cellStyle name="_МОДЕЛЬ_1 (2)_BALANCE.WARM.2010.FACT(v1.0)" xfId="325"/>
    <cellStyle name="_МОДЕЛЬ_1 (2)_BALANCE.WARM.2010.PLAN" xfId="326"/>
    <cellStyle name="_МОДЕЛЬ_1 (2)_BALANCE.WARM.2011YEAR(v0.7)" xfId="327"/>
    <cellStyle name="_МОДЕЛЬ_1 (2)_BALANCE.WARM.2011YEAR.NEW.UPDATE.SCHEME" xfId="328"/>
    <cellStyle name="_МОДЕЛЬ_1 (2)_CALC.NORMATIV.KU(v0.2)" xfId="329"/>
    <cellStyle name="_МОДЕЛЬ_1 (2)_DOPFACTOR.VO.2012(v1.0)" xfId="9814"/>
    <cellStyle name="_МОДЕЛЬ_1 (2)_EE.2REK.P2011.4.78(v0.3)" xfId="330"/>
    <cellStyle name="_МОДЕЛЬ_1 (2)_FORM3.1.2013(v0.2)" xfId="331"/>
    <cellStyle name="_МОДЕЛЬ_1 (2)_FORM3.2013(v1.0)" xfId="332"/>
    <cellStyle name="_МОДЕЛЬ_1 (2)_FORM3.REG(v1.0)" xfId="333"/>
    <cellStyle name="_МОДЕЛЬ_1 (2)_FORM910.2012(v1.1)" xfId="334"/>
    <cellStyle name="_МОДЕЛЬ_1 (2)_INDEX.STATION.2012(v2.1)" xfId="335"/>
    <cellStyle name="_МОДЕЛЬ_1 (2)_INDEX.STATION.2013(v1.0)_патч до 1.1" xfId="336"/>
    <cellStyle name="_МОДЕЛЬ_1 (2)_INVEST.EE.PLAN.4.78(v0.1)" xfId="337"/>
    <cellStyle name="_МОДЕЛЬ_1 (2)_INVEST.EE.PLAN.4.78(v0.3)" xfId="338"/>
    <cellStyle name="_МОДЕЛЬ_1 (2)_INVEST.EE.PLAN.4.78(v1.0)" xfId="339"/>
    <cellStyle name="_МОДЕЛЬ_1 (2)_INVEST.EE.PLAN.4.78(v1.0)_PASSPORT.TEPLO.PROIZV(v2.0)" xfId="340"/>
    <cellStyle name="_МОДЕЛЬ_1 (2)_INVEST.EE.PLAN.4.78(v1.0)_PASSPORT.TEPLO.PROIZV(v2.0)_INDEX.STATION.2013(v1.0)_патч до 1.1" xfId="341"/>
    <cellStyle name="_МОДЕЛЬ_1 (2)_INVEST.EE.PLAN.4.78(v1.0)_PASSPORT.TEPLO.PROIZV(v2.0)_TEPLO.PREDEL.2013(v2.0)" xfId="342"/>
    <cellStyle name="_МОДЕЛЬ_1 (2)_INVEST.PLAN.4.78(v0.1)" xfId="343"/>
    <cellStyle name="_МОДЕЛЬ_1 (2)_INVEST.WARM.PLAN.4.78(v0.1)" xfId="344"/>
    <cellStyle name="_МОДЕЛЬ_1 (2)_INVEST_WARM_PLAN" xfId="345"/>
    <cellStyle name="_МОДЕЛЬ_1 (2)_NADB.JNVLP.APTEKA.2012(v1.0)_21_02_12" xfId="346"/>
    <cellStyle name="_МОДЕЛЬ_1 (2)_NADB.JNVLS.APTEKA.2011(v1.3.3)" xfId="347"/>
    <cellStyle name="_МОДЕЛЬ_1 (2)_NADB.JNVLS.APTEKA.2011(v1.3.3)_46TE.2011(v1.0)" xfId="348"/>
    <cellStyle name="_МОДЕЛЬ_1 (2)_NADB.JNVLS.APTEKA.2011(v1.3.3)_INDEX.STATION.2012(v1.0)_" xfId="349"/>
    <cellStyle name="_МОДЕЛЬ_1 (2)_NADB.JNVLS.APTEKA.2011(v1.3.3)_INDEX.STATION.2012(v2.0)" xfId="350"/>
    <cellStyle name="_МОДЕЛЬ_1 (2)_NADB.JNVLS.APTEKA.2011(v1.3.3)_INDEX.STATION.2012(v2.1)" xfId="351"/>
    <cellStyle name="_МОДЕЛЬ_1 (2)_NADB.JNVLS.APTEKA.2011(v1.3.3)_TEPLO.PREDEL.2012.M(v1.1)_test" xfId="352"/>
    <cellStyle name="_МОДЕЛЬ_1 (2)_NADB.JNVLS.APTEKA.2011(v1.3.4)" xfId="353"/>
    <cellStyle name="_МОДЕЛЬ_1 (2)_NADB.JNVLS.APTEKA.2011(v1.3.4)_46TE.2011(v1.0)" xfId="354"/>
    <cellStyle name="_МОДЕЛЬ_1 (2)_NADB.JNVLS.APTEKA.2011(v1.3.4)_INDEX.STATION.2012(v1.0)_" xfId="355"/>
    <cellStyle name="_МОДЕЛЬ_1 (2)_NADB.JNVLS.APTEKA.2011(v1.3.4)_INDEX.STATION.2012(v2.0)" xfId="356"/>
    <cellStyle name="_МОДЕЛЬ_1 (2)_NADB.JNVLS.APTEKA.2011(v1.3.4)_INDEX.STATION.2012(v2.1)" xfId="357"/>
    <cellStyle name="_МОДЕЛЬ_1 (2)_NADB.JNVLS.APTEKA.2011(v1.3.4)_TEPLO.PREDEL.2012.M(v1.1)_test" xfId="358"/>
    <cellStyle name="_МОДЕЛЬ_1 (2)_PASSPORT.TEPLO.PROIZV(v2.0)" xfId="5047"/>
    <cellStyle name="_МОДЕЛЬ_1 (2)_PASSPORT.TEPLO.PROIZV(v2.1)" xfId="359"/>
    <cellStyle name="_МОДЕЛЬ_1 (2)_PASSPORT.TEPLO.SETI(v0.7)" xfId="360"/>
    <cellStyle name="_МОДЕЛЬ_1 (2)_PASSPORT.TEPLO.SETI(v1.0)" xfId="361"/>
    <cellStyle name="_МОДЕЛЬ_1 (2)_PR.PROG.WARM.NOTCOMBI.2012.2.16_v1.4(04.04.11) " xfId="362"/>
    <cellStyle name="_МОДЕЛЬ_1 (2)_PREDEL.JKH.UTV.2011(v1.0.1)" xfId="363"/>
    <cellStyle name="_МОДЕЛЬ_1 (2)_PREDEL.JKH.UTV.2011(v1.0.1)_46TE.2011(v1.0)" xfId="364"/>
    <cellStyle name="_МОДЕЛЬ_1 (2)_PREDEL.JKH.UTV.2011(v1.0.1)_INDEX.STATION.2012(v1.0)_" xfId="365"/>
    <cellStyle name="_МОДЕЛЬ_1 (2)_PREDEL.JKH.UTV.2011(v1.0.1)_INDEX.STATION.2012(v2.0)" xfId="366"/>
    <cellStyle name="_МОДЕЛЬ_1 (2)_PREDEL.JKH.UTV.2011(v1.0.1)_INDEX.STATION.2012(v2.1)" xfId="367"/>
    <cellStyle name="_МОДЕЛЬ_1 (2)_PREDEL.JKH.UTV.2011(v1.0.1)_TEPLO.PREDEL.2012.M(v1.1)_test" xfId="368"/>
    <cellStyle name="_МОДЕЛЬ_1 (2)_PREDEL.JKH.UTV.2011(v1.1)" xfId="369"/>
    <cellStyle name="_МОДЕЛЬ_1 (2)_REP.BLR.2012(v1.0)" xfId="370"/>
    <cellStyle name="_МОДЕЛЬ_1 (2)_TEHSHEET" xfId="5048"/>
    <cellStyle name="_МОДЕЛЬ_1 (2)_TEPLO.PREDEL.2012.M(v1.1)" xfId="371"/>
    <cellStyle name="_МОДЕЛЬ_1 (2)_TEPLO.PREDEL.2013(v2.0)" xfId="372"/>
    <cellStyle name="_МОДЕЛЬ_1 (2)_TEST.TEMPLATE" xfId="373"/>
    <cellStyle name="_МОДЕЛЬ_1 (2)_UPDATE.46EE.2011.TO.1.1" xfId="374"/>
    <cellStyle name="_МОДЕЛЬ_1 (2)_UPDATE.46TE.2011.TO.1.1" xfId="375"/>
    <cellStyle name="_МОДЕЛЬ_1 (2)_UPDATE.46TE.2011.TO.1.2" xfId="376"/>
    <cellStyle name="_МОДЕЛЬ_1 (2)_UPDATE.BALANCE.WARM.2011YEAR.TO.1.1" xfId="377"/>
    <cellStyle name="_МОДЕЛЬ_1 (2)_UPDATE.BALANCE.WARM.2011YEAR.TO.1.1_46TE.2011(v1.0)" xfId="378"/>
    <cellStyle name="_МОДЕЛЬ_1 (2)_UPDATE.BALANCE.WARM.2011YEAR.TO.1.1_INDEX.STATION.2012(v1.0)_" xfId="379"/>
    <cellStyle name="_МОДЕЛЬ_1 (2)_UPDATE.BALANCE.WARM.2011YEAR.TO.1.1_INDEX.STATION.2012(v2.0)" xfId="380"/>
    <cellStyle name="_МОДЕЛЬ_1 (2)_UPDATE.BALANCE.WARM.2011YEAR.TO.1.1_INDEX.STATION.2012(v2.1)" xfId="381"/>
    <cellStyle name="_МОДЕЛЬ_1 (2)_UPDATE.BALANCE.WARM.2011YEAR.TO.1.1_OREP.KU.2011.MONTHLY.02(v1.1)" xfId="382"/>
    <cellStyle name="_МОДЕЛЬ_1 (2)_UPDATE.BALANCE.WARM.2011YEAR.TO.1.1_TEPLO.PREDEL.2012.M(v1.1)_test" xfId="383"/>
    <cellStyle name="_МОДЕЛЬ_1 (2)_UPDATE.BALANCE.WARM.2011YEAR.TO.1.2" xfId="5049"/>
    <cellStyle name="_МОДЕЛЬ_1 (2)_UPDATE.BALANCE.WARM.2011YEAR.TO.1.4.64" xfId="5050"/>
    <cellStyle name="_МОДЕЛЬ_1 (2)_UPDATE.BALANCE.WARM.2011YEAR.TO.1.5.64" xfId="5051"/>
    <cellStyle name="_МОДЕЛЬ_1 (2)_UPDATE.MONITORING.OS.EE.2.02.TO.1.3.64" xfId="5052"/>
    <cellStyle name="_МОДЕЛЬ_1 (2)_UPDATE.NADB.JNVLS.APTEKA.2011.TO.1.3.4" xfId="384"/>
    <cellStyle name="_МОДЕЛЬ_1 (2)_Книга2" xfId="9815"/>
    <cellStyle name="_МОДЕЛЬ_1 (2)_Книга2_PR.PROG.WARM.NOTCOMBI.2012.2.16_v1.4(04.04.11) " xfId="385"/>
    <cellStyle name="_МОДЕЛЬ_1 (2)_Тариф 2013 Архангельск для агентства" xfId="386"/>
    <cellStyle name="_МОДЕЛЬ_1 (2)_Тариф 2014 уч. Шипицыно газ" xfId="387"/>
    <cellStyle name="_МОДЕЛЬ_1 (2)_Тариф 2014 уч. Шипицыно газ 2" xfId="5053"/>
    <cellStyle name="_НВВ 2009 постатейно свод по филиалам_09_02_09" xfId="388"/>
    <cellStyle name="_НВВ 2009 постатейно свод по филиалам_09_02_09_Новая инструкция1_фст" xfId="389"/>
    <cellStyle name="_НВВ 2009 постатейно свод по филиалам_09_02_09_Расче тарифа на тэ 2014 Мезенский АрхоблЭнерго" xfId="390"/>
    <cellStyle name="_НВВ 2009 постатейно свод по филиалам_09_02_09_Тариф тепло Мезень для АТЦ" xfId="391"/>
    <cellStyle name="_НВВ 2009 постатейно свод по филиалам_09_02_09_тарифы по ТЭ на 2014 год Соловки исправ." xfId="392"/>
    <cellStyle name="_НВВ 2009 постатейно свод по филиалам_для Валентина" xfId="393"/>
    <cellStyle name="_НВВ 2009 постатейно свод по филиалам_для Валентина_Новая инструкция1_фст" xfId="394"/>
    <cellStyle name="_НВВ 2009 постатейно свод по филиалам_для Валентина_Расче тарифа на тэ 2014 Мезенский АрхоблЭнерго" xfId="395"/>
    <cellStyle name="_НВВ 2009 постатейно свод по филиалам_для Валентина_Тариф тепло Мезень для АТЦ" xfId="396"/>
    <cellStyle name="_НВВ 2009 постатейно свод по филиалам_для Валентина_тарифы по ТЭ на 2014 год Соловки исправ." xfId="397"/>
    <cellStyle name="_Омск" xfId="398"/>
    <cellStyle name="_Омск_Новая инструкция1_фст" xfId="399"/>
    <cellStyle name="_Омск_Расче тарифа на тэ 2014 Мезенский АрхоблЭнерго" xfId="400"/>
    <cellStyle name="_Омск_Тариф тепло Мезень для АТЦ" xfId="401"/>
    <cellStyle name="_Омск_тарифы по ТЭ на 2014 год Соловки исправ." xfId="402"/>
    <cellStyle name="_ОТ ИД 2009" xfId="403"/>
    <cellStyle name="_ОТ ИД 2009_Новая инструкция1_фст" xfId="404"/>
    <cellStyle name="_ПЛАН 2006  АРМ " xfId="405"/>
    <cellStyle name="_ПЛАН 2006  АРМ  2" xfId="9816"/>
    <cellStyle name="_ПЛАН 2008 АРМ " xfId="406"/>
    <cellStyle name="_ПЛАН 2008 АРМ  2" xfId="9817"/>
    <cellStyle name="_ПЛАН 2011 под 130 млн итог на подпись" xfId="407"/>
    <cellStyle name="_ПЛАН 2011 под 130 млн итог на подпись 2" xfId="9818"/>
    <cellStyle name="_ПЛАН 2011 тарифы 250 млн блочный" xfId="408"/>
    <cellStyle name="_ПЛАН 2011 тарифы 250 млн блочный 2" xfId="9819"/>
    <cellStyle name="_План по ремонту ХЦ 2007" xfId="409"/>
    <cellStyle name="_План по ремонту ХЦ 2007 2" xfId="9820"/>
    <cellStyle name="_пр 5 тариф RAB" xfId="410"/>
    <cellStyle name="_пр 5 тариф RAB 10" xfId="5760"/>
    <cellStyle name="_пр 5 тариф RAB 11" xfId="9821"/>
    <cellStyle name="_пр 5 тариф RAB 2" xfId="411"/>
    <cellStyle name="_пр 5 тариф RAB 2 2" xfId="5761"/>
    <cellStyle name="_пр 5 тариф RAB 2_OREP.KU.2011.MONTHLY.02(v0.1)" xfId="412"/>
    <cellStyle name="_пр 5 тариф RAB 2_OREP.KU.2011.MONTHLY.02(v0.4)" xfId="413"/>
    <cellStyle name="_пр 5 тариф RAB 2_OREP.KU.2011.MONTHLY.11(v1.4)" xfId="414"/>
    <cellStyle name="_пр 5 тариф RAB 2_OREP.KU.2011.MONTHLY.11(v1.4) 2" xfId="5762"/>
    <cellStyle name="_пр 5 тариф RAB 2_OREP.KU.2011.MONTHLY.11(v1.4)_UPDATE.BALANCE.WARM.2012YEAR.TO.1.1" xfId="5054"/>
    <cellStyle name="_пр 5 тариф RAB 2_OREP.KU.2011.MONTHLY.11(v1.4)_UPDATE.CALC.WARM.2012YEAR.TO.1.1" xfId="5055"/>
    <cellStyle name="_пр 5 тариф RAB 2_TEHSHEET" xfId="9822"/>
    <cellStyle name="_пр 5 тариф RAB 2_UPDATE.BALANCE.WARM.2012YEAR.TO.1.1" xfId="5056"/>
    <cellStyle name="_пр 5 тариф RAB 2_UPDATE.CALC.WARM.2012YEAR.TO.1.1" xfId="5057"/>
    <cellStyle name="_пр 5 тариф RAB 2_UPDATE.MONITORING.OS.EE.2.02.TO.1.3.64" xfId="5058"/>
    <cellStyle name="_пр 5 тариф RAB 2_UPDATE.OREP.KU.2011.MONTHLY.02.TO.1.2" xfId="415"/>
    <cellStyle name="_пр 5 тариф RAB 3" xfId="5763"/>
    <cellStyle name="_пр 5 тариф RAB 3 2" xfId="5764"/>
    <cellStyle name="_пр 5 тариф RAB 4" xfId="5765"/>
    <cellStyle name="_пр 5 тариф RAB 5" xfId="5766"/>
    <cellStyle name="_пр 5 тариф RAB 6" xfId="5767"/>
    <cellStyle name="_пр 5 тариф RAB 7" xfId="5768"/>
    <cellStyle name="_пр 5 тариф RAB 8" xfId="5769"/>
    <cellStyle name="_пр 5 тариф RAB 9" xfId="5770"/>
    <cellStyle name="_пр 5 тариф RAB_46EE.2011(v1.0)" xfId="416"/>
    <cellStyle name="_пр 5 тариф RAB_46EE.2011(v1.0)_46TE.2011(v1.0)" xfId="417"/>
    <cellStyle name="_пр 5 тариф RAB_46EE.2011(v1.0)_INDEX.STATION.2012(v1.0)_" xfId="418"/>
    <cellStyle name="_пр 5 тариф RAB_46EE.2011(v1.0)_INDEX.STATION.2012(v2.0)" xfId="419"/>
    <cellStyle name="_пр 5 тариф RAB_46EE.2011(v1.0)_INDEX.STATION.2012(v2.1)" xfId="420"/>
    <cellStyle name="_пр 5 тариф RAB_46EE.2011(v1.0)_TEPLO.PREDEL.2012.M(v1.1)_test" xfId="421"/>
    <cellStyle name="_пр 5 тариф RAB_46EE.2011(v1.2)" xfId="422"/>
    <cellStyle name="_пр 5 тариф RAB_46EP.2011(v2.0)" xfId="423"/>
    <cellStyle name="_пр 5 тариф RAB_46EP.2012(v0.1)" xfId="424"/>
    <cellStyle name="_пр 5 тариф RAB_46TE.2011(v1.0)" xfId="425"/>
    <cellStyle name="_пр 5 тариф RAB_4DNS.UPDATE.EXAMPLE" xfId="426"/>
    <cellStyle name="_пр 5 тариф RAB_ARMRAZR" xfId="427"/>
    <cellStyle name="_пр 5 тариф RAB_BALANCE.TBO.2011YEAR(v1.1)" xfId="9823"/>
    <cellStyle name="_пр 5 тариф RAB_BALANCE.WARM.2010.FACT(v1.0)" xfId="428"/>
    <cellStyle name="_пр 5 тариф RAB_BALANCE.WARM.2010.PLAN" xfId="429"/>
    <cellStyle name="_пр 5 тариф RAB_BALANCE.WARM.2011YEAR(v0.7)" xfId="430"/>
    <cellStyle name="_пр 5 тариф RAB_BALANCE.WARM.2011YEAR.NEW.UPDATE.SCHEME" xfId="431"/>
    <cellStyle name="_пр 5 тариф RAB_CALC.NORMATIV.KU(v0.2)" xfId="432"/>
    <cellStyle name="_пр 5 тариф RAB_DOPFACTOR.VO.2012(v1.0)" xfId="9824"/>
    <cellStyle name="_пр 5 тариф RAB_EE.2REK.P2011.4.78(v0.3)" xfId="433"/>
    <cellStyle name="_пр 5 тариф RAB_FORM3.1.2013(v0.2)" xfId="434"/>
    <cellStyle name="_пр 5 тариф RAB_FORM3.2013(v1.0)" xfId="435"/>
    <cellStyle name="_пр 5 тариф RAB_FORM3.REG(v1.0)" xfId="436"/>
    <cellStyle name="_пр 5 тариф RAB_FORM910.2012(v1.1)" xfId="437"/>
    <cellStyle name="_пр 5 тариф RAB_INDEX.STATION.2012(v2.1)" xfId="438"/>
    <cellStyle name="_пр 5 тариф RAB_INDEX.STATION.2013(v1.0)_патч до 1.1" xfId="439"/>
    <cellStyle name="_пр 5 тариф RAB_INVEST.EE.PLAN.4.78(v0.1)" xfId="440"/>
    <cellStyle name="_пр 5 тариф RAB_INVEST.EE.PLAN.4.78(v0.3)" xfId="441"/>
    <cellStyle name="_пр 5 тариф RAB_INVEST.EE.PLAN.4.78(v1.0)" xfId="442"/>
    <cellStyle name="_пр 5 тариф RAB_INVEST.EE.PLAN.4.78(v1.0)_PASSPORT.TEPLO.PROIZV(v2.0)" xfId="443"/>
    <cellStyle name="_пр 5 тариф RAB_INVEST.EE.PLAN.4.78(v1.0)_PASSPORT.TEPLO.PROIZV(v2.0)_INDEX.STATION.2013(v1.0)_патч до 1.1" xfId="444"/>
    <cellStyle name="_пр 5 тариф RAB_INVEST.EE.PLAN.4.78(v1.0)_PASSPORT.TEPLO.PROIZV(v2.0)_TEPLO.PREDEL.2013(v2.0)" xfId="445"/>
    <cellStyle name="_пр 5 тариф RAB_INVEST.PLAN.4.78(v0.1)" xfId="446"/>
    <cellStyle name="_пр 5 тариф RAB_INVEST.WARM.PLAN.4.78(v0.1)" xfId="447"/>
    <cellStyle name="_пр 5 тариф RAB_INVEST_WARM_PLAN" xfId="448"/>
    <cellStyle name="_пр 5 тариф RAB_NADB.JNVLP.APTEKA.2012(v1.0)_21_02_12" xfId="449"/>
    <cellStyle name="_пр 5 тариф RAB_NADB.JNVLS.APTEKA.2011(v1.3.3)" xfId="450"/>
    <cellStyle name="_пр 5 тариф RAB_NADB.JNVLS.APTEKA.2011(v1.3.3)_46TE.2011(v1.0)" xfId="451"/>
    <cellStyle name="_пр 5 тариф RAB_NADB.JNVLS.APTEKA.2011(v1.3.3)_INDEX.STATION.2012(v1.0)_" xfId="452"/>
    <cellStyle name="_пр 5 тариф RAB_NADB.JNVLS.APTEKA.2011(v1.3.3)_INDEX.STATION.2012(v2.0)" xfId="453"/>
    <cellStyle name="_пр 5 тариф RAB_NADB.JNVLS.APTEKA.2011(v1.3.3)_INDEX.STATION.2012(v2.1)" xfId="454"/>
    <cellStyle name="_пр 5 тариф RAB_NADB.JNVLS.APTEKA.2011(v1.3.3)_TEPLO.PREDEL.2012.M(v1.1)_test" xfId="455"/>
    <cellStyle name="_пр 5 тариф RAB_NADB.JNVLS.APTEKA.2011(v1.3.4)" xfId="456"/>
    <cellStyle name="_пр 5 тариф RAB_NADB.JNVLS.APTEKA.2011(v1.3.4)_46TE.2011(v1.0)" xfId="457"/>
    <cellStyle name="_пр 5 тариф RAB_NADB.JNVLS.APTEKA.2011(v1.3.4)_INDEX.STATION.2012(v1.0)_" xfId="458"/>
    <cellStyle name="_пр 5 тариф RAB_NADB.JNVLS.APTEKA.2011(v1.3.4)_INDEX.STATION.2012(v2.0)" xfId="459"/>
    <cellStyle name="_пр 5 тариф RAB_NADB.JNVLS.APTEKA.2011(v1.3.4)_INDEX.STATION.2012(v2.1)" xfId="460"/>
    <cellStyle name="_пр 5 тариф RAB_NADB.JNVLS.APTEKA.2011(v1.3.4)_TEPLO.PREDEL.2012.M(v1.1)_test" xfId="461"/>
    <cellStyle name="_пр 5 тариф RAB_PASSPORT.TEPLO.PROIZV(v2.0)" xfId="5059"/>
    <cellStyle name="_пр 5 тариф RAB_PASSPORT.TEPLO.PROIZV(v2.1)" xfId="462"/>
    <cellStyle name="_пр 5 тариф RAB_PASSPORT.TEPLO.SETI(v0.7)" xfId="463"/>
    <cellStyle name="_пр 5 тариф RAB_PASSPORT.TEPLO.SETI(v1.0)" xfId="464"/>
    <cellStyle name="_пр 5 тариф RAB_PR.PROG.WARM.NOTCOMBI.2012.2.16_v1.4(04.04.11) " xfId="465"/>
    <cellStyle name="_пр 5 тариф RAB_PREDEL.JKH.UTV.2011(v1.0.1)" xfId="466"/>
    <cellStyle name="_пр 5 тариф RAB_PREDEL.JKH.UTV.2011(v1.0.1)_46TE.2011(v1.0)" xfId="467"/>
    <cellStyle name="_пр 5 тариф RAB_PREDEL.JKH.UTV.2011(v1.0.1)_INDEX.STATION.2012(v1.0)_" xfId="468"/>
    <cellStyle name="_пр 5 тариф RAB_PREDEL.JKH.UTV.2011(v1.0.1)_INDEX.STATION.2012(v2.0)" xfId="469"/>
    <cellStyle name="_пр 5 тариф RAB_PREDEL.JKH.UTV.2011(v1.0.1)_INDEX.STATION.2012(v2.1)" xfId="470"/>
    <cellStyle name="_пр 5 тариф RAB_PREDEL.JKH.UTV.2011(v1.0.1)_TEPLO.PREDEL.2012.M(v1.1)_test" xfId="471"/>
    <cellStyle name="_пр 5 тариф RAB_PREDEL.JKH.UTV.2011(v1.1)" xfId="472"/>
    <cellStyle name="_пр 5 тариф RAB_REP.BLR.2012(v1.0)" xfId="473"/>
    <cellStyle name="_пр 5 тариф RAB_TEHSHEET" xfId="5060"/>
    <cellStyle name="_пр 5 тариф RAB_TEPLO.PREDEL.2012.M(v1.1)" xfId="474"/>
    <cellStyle name="_пр 5 тариф RAB_TEPLO.PREDEL.2013(v2.0)" xfId="475"/>
    <cellStyle name="_пр 5 тариф RAB_TEST.TEMPLATE" xfId="476"/>
    <cellStyle name="_пр 5 тариф RAB_UPDATE.46EE.2011.TO.1.1" xfId="477"/>
    <cellStyle name="_пр 5 тариф RAB_UPDATE.46TE.2011.TO.1.1" xfId="478"/>
    <cellStyle name="_пр 5 тариф RAB_UPDATE.46TE.2011.TO.1.2" xfId="479"/>
    <cellStyle name="_пр 5 тариф RAB_UPDATE.BALANCE.WARM.2011YEAR.TO.1.1" xfId="480"/>
    <cellStyle name="_пр 5 тариф RAB_UPDATE.BALANCE.WARM.2011YEAR.TO.1.1_46TE.2011(v1.0)" xfId="481"/>
    <cellStyle name="_пр 5 тариф RAB_UPDATE.BALANCE.WARM.2011YEAR.TO.1.1_INDEX.STATION.2012(v1.0)_" xfId="482"/>
    <cellStyle name="_пр 5 тариф RAB_UPDATE.BALANCE.WARM.2011YEAR.TO.1.1_INDEX.STATION.2012(v2.0)" xfId="483"/>
    <cellStyle name="_пр 5 тариф RAB_UPDATE.BALANCE.WARM.2011YEAR.TO.1.1_INDEX.STATION.2012(v2.1)" xfId="484"/>
    <cellStyle name="_пр 5 тариф RAB_UPDATE.BALANCE.WARM.2011YEAR.TO.1.1_OREP.KU.2011.MONTHLY.02(v1.1)" xfId="485"/>
    <cellStyle name="_пр 5 тариф RAB_UPDATE.BALANCE.WARM.2011YEAR.TO.1.1_TEPLO.PREDEL.2012.M(v1.1)_test" xfId="486"/>
    <cellStyle name="_пр 5 тариф RAB_UPDATE.BALANCE.WARM.2011YEAR.TO.1.2" xfId="5061"/>
    <cellStyle name="_пр 5 тариф RAB_UPDATE.BALANCE.WARM.2011YEAR.TO.1.4.64" xfId="5062"/>
    <cellStyle name="_пр 5 тариф RAB_UPDATE.BALANCE.WARM.2011YEAR.TO.1.5.64" xfId="5063"/>
    <cellStyle name="_пр 5 тариф RAB_UPDATE.MONITORING.OS.EE.2.02.TO.1.3.64" xfId="5064"/>
    <cellStyle name="_пр 5 тариф RAB_UPDATE.NADB.JNVLS.APTEKA.2011.TO.1.3.4" xfId="487"/>
    <cellStyle name="_пр 5 тариф RAB_Книга2" xfId="9825"/>
    <cellStyle name="_пр 5 тариф RAB_Книга2_PR.PROG.WARM.NOTCOMBI.2012.2.16_v1.4(04.04.11) " xfId="488"/>
    <cellStyle name="_пр 5 тариф RAB_Тариф 2013 Архангельск для агентства" xfId="489"/>
    <cellStyle name="_пр 5 тариф RAB_Тариф 2014 уч. Шипицыно газ" xfId="490"/>
    <cellStyle name="_пр 5 тариф RAB_Тариф 2014 уч. Шипицыно газ 2" xfId="5065"/>
    <cellStyle name="_пр 6 финпроекция" xfId="491"/>
    <cellStyle name="_пр 6 финпроекция_Расче тарифа на тэ 2014 Мезенский АрхоблЭнерго" xfId="492"/>
    <cellStyle name="_пр 6 финпроекция_тарифы по ТЭ на 2014 год Соловки исправ." xfId="493"/>
    <cellStyle name="_Правила заполнения" xfId="5771"/>
    <cellStyle name="_Предожение _ДБП_2009 г ( согласованные БП)  (2)" xfId="494"/>
    <cellStyle name="_Предожение _ДБП_2009 г ( согласованные БП)  (2)_Новая инструкция1_фст" xfId="495"/>
    <cellStyle name="_Предожение _ДБП_2009 г ( согласованные БП)  (2)_Расче тарифа на тэ 2014 Мезенский АрхоблЭнерго" xfId="496"/>
    <cellStyle name="_Предожение _ДБП_2009 г ( согласованные БП)  (2)_Тариф тепло Мезень для АТЦ" xfId="497"/>
    <cellStyle name="_Предожение _ДБП_2009 г ( согласованные БП)  (2)_тарифы по ТЭ на 2014 год Соловки исправ." xfId="498"/>
    <cellStyle name="_ПРИЛ. 2003_ЧТЭ" xfId="4904"/>
    <cellStyle name="_Прил1-1 (МГИ) (Дубинину) 22 01 07" xfId="499"/>
    <cellStyle name="_Прил1-1 (МГИ) (Дубинину) 22 01 07_Расче тарифа на тэ 2014 Мезенский АрхоблЭнерго" xfId="500"/>
    <cellStyle name="_Прил1-1 (МГИ) (Дубинину) 22 01 07_тарифы по ТЭ на 2014 год Соловки исправ." xfId="501"/>
    <cellStyle name="_Приложение 2 0806 факт" xfId="502"/>
    <cellStyle name="_Приложение МТС-3-КС" xfId="503"/>
    <cellStyle name="_Приложение МТС-3-КС_Новая инструкция1_фст" xfId="504"/>
    <cellStyle name="_Приложение МТС-3-КС_Расче тарифа на тэ 2014 Мезенский АрхоблЭнерго" xfId="505"/>
    <cellStyle name="_Приложение МТС-3-КС_Тариф тепло Мезень для АТЦ" xfId="506"/>
    <cellStyle name="_Приложение МТС-3-КС_тарифы по ТЭ на 2014 год Соловки исправ." xfId="507"/>
    <cellStyle name="_Приложение-МТС--2-1" xfId="508"/>
    <cellStyle name="_Приложение-МТС--2-1_Новая инструкция1_фст" xfId="509"/>
    <cellStyle name="_Приложение-МТС--2-1_Расче тарифа на тэ 2014 Мезенский АрхоблЭнерго" xfId="510"/>
    <cellStyle name="_Приложение-МТС--2-1_Тариф тепло Мезень для АТЦ" xfId="511"/>
    <cellStyle name="_Приложение-МТС--2-1_тарифы по ТЭ на 2014 год Соловки исправ." xfId="512"/>
    <cellStyle name="_Программа СО 7-09 для СД от 29 марта" xfId="513"/>
    <cellStyle name="_Программа СО 7-09 для СД от 29 марта_Расче тарифа на тэ 2014 Мезенский АрхоблЭнерго" xfId="514"/>
    <cellStyle name="_Программа СО 7-09 для СД от 29 марта_тарифы по ТЭ на 2014 год Соловки исправ." xfId="515"/>
    <cellStyle name="_Расчет RAB_22072008" xfId="516"/>
    <cellStyle name="_Расчет RAB_22072008 10" xfId="5772"/>
    <cellStyle name="_Расчет RAB_22072008 11" xfId="9826"/>
    <cellStyle name="_Расчет RAB_22072008 2" xfId="517"/>
    <cellStyle name="_Расчет RAB_22072008 2 2" xfId="5773"/>
    <cellStyle name="_Расчет RAB_22072008 2_OREP.KU.2011.MONTHLY.02(v0.1)" xfId="518"/>
    <cellStyle name="_Расчет RAB_22072008 2_OREP.KU.2011.MONTHLY.02(v0.4)" xfId="519"/>
    <cellStyle name="_Расчет RAB_22072008 2_OREP.KU.2011.MONTHLY.11(v1.4)" xfId="520"/>
    <cellStyle name="_Расчет RAB_22072008 2_OREP.KU.2011.MONTHLY.11(v1.4) 2" xfId="5774"/>
    <cellStyle name="_Расчет RAB_22072008 2_OREP.KU.2011.MONTHLY.11(v1.4)_UPDATE.BALANCE.WARM.2012YEAR.TO.1.1" xfId="5066"/>
    <cellStyle name="_Расчет RAB_22072008 2_OREP.KU.2011.MONTHLY.11(v1.4)_UPDATE.CALC.WARM.2012YEAR.TO.1.1" xfId="5067"/>
    <cellStyle name="_Расчет RAB_22072008 2_TEHSHEET" xfId="9827"/>
    <cellStyle name="_Расчет RAB_22072008 2_UPDATE.BALANCE.WARM.2012YEAR.TO.1.1" xfId="5068"/>
    <cellStyle name="_Расчет RAB_22072008 2_UPDATE.CALC.WARM.2012YEAR.TO.1.1" xfId="5069"/>
    <cellStyle name="_Расчет RAB_22072008 2_UPDATE.MONITORING.OS.EE.2.02.TO.1.3.64" xfId="5070"/>
    <cellStyle name="_Расчет RAB_22072008 2_UPDATE.OREP.KU.2011.MONTHLY.02.TO.1.2" xfId="521"/>
    <cellStyle name="_Расчет RAB_22072008 3" xfId="5775"/>
    <cellStyle name="_Расчет RAB_22072008 3 2" xfId="5776"/>
    <cellStyle name="_Расчет RAB_22072008 4" xfId="5777"/>
    <cellStyle name="_Расчет RAB_22072008 5" xfId="5778"/>
    <cellStyle name="_Расчет RAB_22072008 6" xfId="5779"/>
    <cellStyle name="_Расчет RAB_22072008 7" xfId="5780"/>
    <cellStyle name="_Расчет RAB_22072008 8" xfId="5781"/>
    <cellStyle name="_Расчет RAB_22072008 9" xfId="5782"/>
    <cellStyle name="_Расчет RAB_22072008_46EE.2011(v1.0)" xfId="522"/>
    <cellStyle name="_Расчет RAB_22072008_46EE.2011(v1.0)_46TE.2011(v1.0)" xfId="523"/>
    <cellStyle name="_Расчет RAB_22072008_46EE.2011(v1.0)_INDEX.STATION.2012(v1.0)_" xfId="524"/>
    <cellStyle name="_Расчет RAB_22072008_46EE.2011(v1.0)_INDEX.STATION.2012(v2.0)" xfId="525"/>
    <cellStyle name="_Расчет RAB_22072008_46EE.2011(v1.0)_INDEX.STATION.2012(v2.1)" xfId="526"/>
    <cellStyle name="_Расчет RAB_22072008_46EE.2011(v1.0)_TEPLO.PREDEL.2012.M(v1.1)_test" xfId="527"/>
    <cellStyle name="_Расчет RAB_22072008_46EE.2011(v1.2)" xfId="528"/>
    <cellStyle name="_Расчет RAB_22072008_46EP.2011(v2.0)" xfId="529"/>
    <cellStyle name="_Расчет RAB_22072008_46EP.2012(v0.1)" xfId="530"/>
    <cellStyle name="_Расчет RAB_22072008_46TE.2011(v1.0)" xfId="531"/>
    <cellStyle name="_Расчет RAB_22072008_4DNS.UPDATE.EXAMPLE" xfId="532"/>
    <cellStyle name="_Расчет RAB_22072008_ARMRAZR" xfId="533"/>
    <cellStyle name="_Расчет RAB_22072008_BALANCE.TBO.2011YEAR(v1.1)" xfId="9828"/>
    <cellStyle name="_Расчет RAB_22072008_BALANCE.WARM.2010.FACT(v1.0)" xfId="534"/>
    <cellStyle name="_Расчет RAB_22072008_BALANCE.WARM.2010.PLAN" xfId="535"/>
    <cellStyle name="_Расчет RAB_22072008_BALANCE.WARM.2011YEAR(v0.7)" xfId="536"/>
    <cellStyle name="_Расчет RAB_22072008_BALANCE.WARM.2011YEAR.NEW.UPDATE.SCHEME" xfId="537"/>
    <cellStyle name="_Расчет RAB_22072008_CALC.NORMATIV.KU(v0.2)" xfId="538"/>
    <cellStyle name="_Расчет RAB_22072008_DOPFACTOR.VO.2012(v1.0)" xfId="9829"/>
    <cellStyle name="_Расчет RAB_22072008_EE.2REK.P2011.4.78(v0.3)" xfId="539"/>
    <cellStyle name="_Расчет RAB_22072008_FORM3.1.2013(v0.2)" xfId="540"/>
    <cellStyle name="_Расчет RAB_22072008_FORM3.2013(v1.0)" xfId="541"/>
    <cellStyle name="_Расчет RAB_22072008_FORM3.REG(v1.0)" xfId="542"/>
    <cellStyle name="_Расчет RAB_22072008_FORM910.2012(v1.1)" xfId="543"/>
    <cellStyle name="_Расчет RAB_22072008_INDEX.STATION.2012(v2.1)" xfId="544"/>
    <cellStyle name="_Расчет RAB_22072008_INDEX.STATION.2013(v1.0)_патч до 1.1" xfId="545"/>
    <cellStyle name="_Расчет RAB_22072008_INVEST.EE.PLAN.4.78(v0.1)" xfId="546"/>
    <cellStyle name="_Расчет RAB_22072008_INVEST.EE.PLAN.4.78(v0.3)" xfId="547"/>
    <cellStyle name="_Расчет RAB_22072008_INVEST.EE.PLAN.4.78(v1.0)" xfId="548"/>
    <cellStyle name="_Расчет RAB_22072008_INVEST.EE.PLAN.4.78(v1.0)_PASSPORT.TEPLO.PROIZV(v2.0)" xfId="549"/>
    <cellStyle name="_Расчет RAB_22072008_INVEST.EE.PLAN.4.78(v1.0)_PASSPORT.TEPLO.PROIZV(v2.0)_INDEX.STATION.2013(v1.0)_патч до 1.1" xfId="550"/>
    <cellStyle name="_Расчет RAB_22072008_INVEST.EE.PLAN.4.78(v1.0)_PASSPORT.TEPLO.PROIZV(v2.0)_TEPLO.PREDEL.2013(v2.0)" xfId="551"/>
    <cellStyle name="_Расчет RAB_22072008_INVEST.PLAN.4.78(v0.1)" xfId="552"/>
    <cellStyle name="_Расчет RAB_22072008_INVEST.WARM.PLAN.4.78(v0.1)" xfId="553"/>
    <cellStyle name="_Расчет RAB_22072008_INVEST_WARM_PLAN" xfId="554"/>
    <cellStyle name="_Расчет RAB_22072008_NADB.JNVLP.APTEKA.2012(v1.0)_21_02_12" xfId="555"/>
    <cellStyle name="_Расчет RAB_22072008_NADB.JNVLS.APTEKA.2011(v1.3.3)" xfId="556"/>
    <cellStyle name="_Расчет RAB_22072008_NADB.JNVLS.APTEKA.2011(v1.3.3)_46TE.2011(v1.0)" xfId="557"/>
    <cellStyle name="_Расчет RAB_22072008_NADB.JNVLS.APTEKA.2011(v1.3.3)_INDEX.STATION.2012(v1.0)_" xfId="558"/>
    <cellStyle name="_Расчет RAB_22072008_NADB.JNVLS.APTEKA.2011(v1.3.3)_INDEX.STATION.2012(v2.0)" xfId="559"/>
    <cellStyle name="_Расчет RAB_22072008_NADB.JNVLS.APTEKA.2011(v1.3.3)_INDEX.STATION.2012(v2.1)" xfId="560"/>
    <cellStyle name="_Расчет RAB_22072008_NADB.JNVLS.APTEKA.2011(v1.3.3)_TEPLO.PREDEL.2012.M(v1.1)_test" xfId="561"/>
    <cellStyle name="_Расчет RAB_22072008_NADB.JNVLS.APTEKA.2011(v1.3.4)" xfId="562"/>
    <cellStyle name="_Расчет RAB_22072008_NADB.JNVLS.APTEKA.2011(v1.3.4)_46TE.2011(v1.0)" xfId="563"/>
    <cellStyle name="_Расчет RAB_22072008_NADB.JNVLS.APTEKA.2011(v1.3.4)_INDEX.STATION.2012(v1.0)_" xfId="564"/>
    <cellStyle name="_Расчет RAB_22072008_NADB.JNVLS.APTEKA.2011(v1.3.4)_INDEX.STATION.2012(v2.0)" xfId="565"/>
    <cellStyle name="_Расчет RAB_22072008_NADB.JNVLS.APTEKA.2011(v1.3.4)_INDEX.STATION.2012(v2.1)" xfId="566"/>
    <cellStyle name="_Расчет RAB_22072008_NADB.JNVLS.APTEKA.2011(v1.3.4)_TEPLO.PREDEL.2012.M(v1.1)_test" xfId="567"/>
    <cellStyle name="_Расчет RAB_22072008_PASSPORT.TEPLO.PROIZV(v2.0)" xfId="5071"/>
    <cellStyle name="_Расчет RAB_22072008_PASSPORT.TEPLO.PROIZV(v2.1)" xfId="568"/>
    <cellStyle name="_Расчет RAB_22072008_PASSPORT.TEPLO.SETI(v0.7)" xfId="569"/>
    <cellStyle name="_Расчет RAB_22072008_PASSPORT.TEPLO.SETI(v1.0)" xfId="570"/>
    <cellStyle name="_Расчет RAB_22072008_PR.PROG.WARM.NOTCOMBI.2012.2.16_v1.4(04.04.11) " xfId="571"/>
    <cellStyle name="_Расчет RAB_22072008_PREDEL.JKH.UTV.2011(v1.0.1)" xfId="572"/>
    <cellStyle name="_Расчет RAB_22072008_PREDEL.JKH.UTV.2011(v1.0.1)_46TE.2011(v1.0)" xfId="573"/>
    <cellStyle name="_Расчет RAB_22072008_PREDEL.JKH.UTV.2011(v1.0.1)_INDEX.STATION.2012(v1.0)_" xfId="574"/>
    <cellStyle name="_Расчет RAB_22072008_PREDEL.JKH.UTV.2011(v1.0.1)_INDEX.STATION.2012(v2.0)" xfId="575"/>
    <cellStyle name="_Расчет RAB_22072008_PREDEL.JKH.UTV.2011(v1.0.1)_INDEX.STATION.2012(v2.1)" xfId="576"/>
    <cellStyle name="_Расчет RAB_22072008_PREDEL.JKH.UTV.2011(v1.0.1)_TEPLO.PREDEL.2012.M(v1.1)_test" xfId="577"/>
    <cellStyle name="_Расчет RAB_22072008_PREDEL.JKH.UTV.2011(v1.1)" xfId="578"/>
    <cellStyle name="_Расчет RAB_22072008_REP.BLR.2012(v1.0)" xfId="579"/>
    <cellStyle name="_Расчет RAB_22072008_TEHSHEET" xfId="5072"/>
    <cellStyle name="_Расчет RAB_22072008_TEPLO.PREDEL.2012.M(v1.1)" xfId="580"/>
    <cellStyle name="_Расчет RAB_22072008_TEPLO.PREDEL.2013(v2.0)" xfId="581"/>
    <cellStyle name="_Расчет RAB_22072008_TEST.TEMPLATE" xfId="582"/>
    <cellStyle name="_Расчет RAB_22072008_UPDATE.46EE.2011.TO.1.1" xfId="583"/>
    <cellStyle name="_Расчет RAB_22072008_UPDATE.46TE.2011.TO.1.1" xfId="584"/>
    <cellStyle name="_Расчет RAB_22072008_UPDATE.46TE.2011.TO.1.2" xfId="585"/>
    <cellStyle name="_Расчет RAB_22072008_UPDATE.BALANCE.WARM.2011YEAR.TO.1.1" xfId="586"/>
    <cellStyle name="_Расчет RAB_22072008_UPDATE.BALANCE.WARM.2011YEAR.TO.1.1_46TE.2011(v1.0)" xfId="587"/>
    <cellStyle name="_Расчет RAB_22072008_UPDATE.BALANCE.WARM.2011YEAR.TO.1.1_INDEX.STATION.2012(v1.0)_" xfId="588"/>
    <cellStyle name="_Расчет RAB_22072008_UPDATE.BALANCE.WARM.2011YEAR.TO.1.1_INDEX.STATION.2012(v2.0)" xfId="589"/>
    <cellStyle name="_Расчет RAB_22072008_UPDATE.BALANCE.WARM.2011YEAR.TO.1.1_INDEX.STATION.2012(v2.1)" xfId="590"/>
    <cellStyle name="_Расчет RAB_22072008_UPDATE.BALANCE.WARM.2011YEAR.TO.1.1_OREP.KU.2011.MONTHLY.02(v1.1)" xfId="591"/>
    <cellStyle name="_Расчет RAB_22072008_UPDATE.BALANCE.WARM.2011YEAR.TO.1.1_TEPLO.PREDEL.2012.M(v1.1)_test" xfId="592"/>
    <cellStyle name="_Расчет RAB_22072008_UPDATE.BALANCE.WARM.2011YEAR.TO.1.2" xfId="5073"/>
    <cellStyle name="_Расчет RAB_22072008_UPDATE.BALANCE.WARM.2011YEAR.TO.1.4.64" xfId="5074"/>
    <cellStyle name="_Расчет RAB_22072008_UPDATE.BALANCE.WARM.2011YEAR.TO.1.5.64" xfId="5075"/>
    <cellStyle name="_Расчет RAB_22072008_UPDATE.MONITORING.OS.EE.2.02.TO.1.3.64" xfId="5076"/>
    <cellStyle name="_Расчет RAB_22072008_UPDATE.NADB.JNVLS.APTEKA.2011.TO.1.3.4" xfId="593"/>
    <cellStyle name="_Расчет RAB_22072008_Книга2" xfId="9830"/>
    <cellStyle name="_Расчет RAB_22072008_Книга2_PR.PROG.WARM.NOTCOMBI.2012.2.16_v1.4(04.04.11) " xfId="594"/>
    <cellStyle name="_Расчет RAB_22072008_Тариф 2013 Архангельск для агентства" xfId="595"/>
    <cellStyle name="_Расчет RAB_22072008_Тариф 2014 уч. Шипицыно газ" xfId="596"/>
    <cellStyle name="_Расчет RAB_22072008_Тариф 2014 уч. Шипицыно газ 2" xfId="5077"/>
    <cellStyle name="_Расчет RAB_Лен и МОЭСК_с 2010 года_14.04.2009_со сглаж_version 3.0_без ФСК" xfId="597"/>
    <cellStyle name="_Расчет RAB_Лен и МОЭСК_с 2010 года_14.04.2009_со сглаж_version 3.0_без ФСК 10" xfId="5783"/>
    <cellStyle name="_Расчет RAB_Лен и МОЭСК_с 2010 года_14.04.2009_со сглаж_version 3.0_без ФСК 11" xfId="9831"/>
    <cellStyle name="_Расчет RAB_Лен и МОЭСК_с 2010 года_14.04.2009_со сглаж_version 3.0_без ФСК 2" xfId="598"/>
    <cellStyle name="_Расчет RAB_Лен и МОЭСК_с 2010 года_14.04.2009_со сглаж_version 3.0_без ФСК 2 2" xfId="5784"/>
    <cellStyle name="_Расчет RAB_Лен и МОЭСК_с 2010 года_14.04.2009_со сглаж_version 3.0_без ФСК 2_OREP.KU.2011.MONTHLY.02(v0.1)" xfId="599"/>
    <cellStyle name="_Расчет RAB_Лен и МОЭСК_с 2010 года_14.04.2009_со сглаж_version 3.0_без ФСК 2_OREP.KU.2011.MONTHLY.02(v0.4)" xfId="600"/>
    <cellStyle name="_Расчет RAB_Лен и МОЭСК_с 2010 года_14.04.2009_со сглаж_version 3.0_без ФСК 2_OREP.KU.2011.MONTHLY.11(v1.4)" xfId="601"/>
    <cellStyle name="_Расчет RAB_Лен и МОЭСК_с 2010 года_14.04.2009_со сглаж_version 3.0_без ФСК 2_OREP.KU.2011.MONTHLY.11(v1.4) 2" xfId="5785"/>
    <cellStyle name="_Расчет RAB_Лен и МОЭСК_с 2010 года_14.04.2009_со сглаж_version 3.0_без ФСК 2_OREP.KU.2011.MONTHLY.11(v1.4)_UPDATE.BALANCE.WARM.2012YEAR.TO.1.1" xfId="5078"/>
    <cellStyle name="_Расчет RAB_Лен и МОЭСК_с 2010 года_14.04.2009_со сглаж_version 3.0_без ФСК 2_OREP.KU.2011.MONTHLY.11(v1.4)_UPDATE.CALC.WARM.2012YEAR.TO.1.1" xfId="5079"/>
    <cellStyle name="_Расчет RAB_Лен и МОЭСК_с 2010 года_14.04.2009_со сглаж_version 3.0_без ФСК 2_TEHSHEET" xfId="9832"/>
    <cellStyle name="_Расчет RAB_Лен и МОЭСК_с 2010 года_14.04.2009_со сглаж_version 3.0_без ФСК 2_UPDATE.BALANCE.WARM.2012YEAR.TO.1.1" xfId="5080"/>
    <cellStyle name="_Расчет RAB_Лен и МОЭСК_с 2010 года_14.04.2009_со сглаж_version 3.0_без ФСК 2_UPDATE.CALC.WARM.2012YEAR.TO.1.1" xfId="5081"/>
    <cellStyle name="_Расчет RAB_Лен и МОЭСК_с 2010 года_14.04.2009_со сглаж_version 3.0_без ФСК 2_UPDATE.MONITORING.OS.EE.2.02.TO.1.3.64" xfId="5082"/>
    <cellStyle name="_Расчет RAB_Лен и МОЭСК_с 2010 года_14.04.2009_со сглаж_version 3.0_без ФСК 2_UPDATE.OREP.KU.2011.MONTHLY.02.TO.1.2" xfId="602"/>
    <cellStyle name="_Расчет RAB_Лен и МОЭСК_с 2010 года_14.04.2009_со сглаж_version 3.0_без ФСК 3" xfId="5786"/>
    <cellStyle name="_Расчет RAB_Лен и МОЭСК_с 2010 года_14.04.2009_со сглаж_version 3.0_без ФСК 3 2" xfId="5787"/>
    <cellStyle name="_Расчет RAB_Лен и МОЭСК_с 2010 года_14.04.2009_со сглаж_version 3.0_без ФСК 4" xfId="5788"/>
    <cellStyle name="_Расчет RAB_Лен и МОЭСК_с 2010 года_14.04.2009_со сглаж_version 3.0_без ФСК 5" xfId="5789"/>
    <cellStyle name="_Расчет RAB_Лен и МОЭСК_с 2010 года_14.04.2009_со сглаж_version 3.0_без ФСК 6" xfId="5790"/>
    <cellStyle name="_Расчет RAB_Лен и МОЭСК_с 2010 года_14.04.2009_со сглаж_version 3.0_без ФСК 7" xfId="5791"/>
    <cellStyle name="_Расчет RAB_Лен и МОЭСК_с 2010 года_14.04.2009_со сглаж_version 3.0_без ФСК 8" xfId="5792"/>
    <cellStyle name="_Расчет RAB_Лен и МОЭСК_с 2010 года_14.04.2009_со сглаж_version 3.0_без ФСК 9" xfId="5793"/>
    <cellStyle name="_Расчет RAB_Лен и МОЭСК_с 2010 года_14.04.2009_со сглаж_version 3.0_без ФСК_46EE.2011(v1.0)" xfId="603"/>
    <cellStyle name="_Расчет RAB_Лен и МОЭСК_с 2010 года_14.04.2009_со сглаж_version 3.0_без ФСК_46EE.2011(v1.0)_46TE.2011(v1.0)" xfId="604"/>
    <cellStyle name="_Расчет RAB_Лен и МОЭСК_с 2010 года_14.04.2009_со сглаж_version 3.0_без ФСК_46EE.2011(v1.0)_INDEX.STATION.2012(v1.0)_" xfId="605"/>
    <cellStyle name="_Расчет RAB_Лен и МОЭСК_с 2010 года_14.04.2009_со сглаж_version 3.0_без ФСК_46EE.2011(v1.0)_INDEX.STATION.2012(v2.0)" xfId="606"/>
    <cellStyle name="_Расчет RAB_Лен и МОЭСК_с 2010 года_14.04.2009_со сглаж_version 3.0_без ФСК_46EE.2011(v1.0)_INDEX.STATION.2012(v2.1)" xfId="607"/>
    <cellStyle name="_Расчет RAB_Лен и МОЭСК_с 2010 года_14.04.2009_со сглаж_version 3.0_без ФСК_46EE.2011(v1.0)_TEPLO.PREDEL.2012.M(v1.1)_test" xfId="608"/>
    <cellStyle name="_Расчет RAB_Лен и МОЭСК_с 2010 года_14.04.2009_со сглаж_version 3.0_без ФСК_46EE.2011(v1.2)" xfId="609"/>
    <cellStyle name="_Расчет RAB_Лен и МОЭСК_с 2010 года_14.04.2009_со сглаж_version 3.0_без ФСК_46EP.2011(v2.0)" xfId="610"/>
    <cellStyle name="_Расчет RAB_Лен и МОЭСК_с 2010 года_14.04.2009_со сглаж_version 3.0_без ФСК_46EP.2012(v0.1)" xfId="611"/>
    <cellStyle name="_Расчет RAB_Лен и МОЭСК_с 2010 года_14.04.2009_со сглаж_version 3.0_без ФСК_46TE.2011(v1.0)" xfId="612"/>
    <cellStyle name="_Расчет RAB_Лен и МОЭСК_с 2010 года_14.04.2009_со сглаж_version 3.0_без ФСК_4DNS.UPDATE.EXAMPLE" xfId="613"/>
    <cellStyle name="_Расчет RAB_Лен и МОЭСК_с 2010 года_14.04.2009_со сглаж_version 3.0_без ФСК_ARMRAZR" xfId="614"/>
    <cellStyle name="_Расчет RAB_Лен и МОЭСК_с 2010 года_14.04.2009_со сглаж_version 3.0_без ФСК_BALANCE.TBO.2011YEAR(v1.1)" xfId="9833"/>
    <cellStyle name="_Расчет RAB_Лен и МОЭСК_с 2010 года_14.04.2009_со сглаж_version 3.0_без ФСК_BALANCE.WARM.2010.FACT(v1.0)" xfId="615"/>
    <cellStyle name="_Расчет RAB_Лен и МОЭСК_с 2010 года_14.04.2009_со сглаж_version 3.0_без ФСК_BALANCE.WARM.2010.PLAN" xfId="616"/>
    <cellStyle name="_Расчет RAB_Лен и МОЭСК_с 2010 года_14.04.2009_со сглаж_version 3.0_без ФСК_BALANCE.WARM.2011YEAR(v0.7)" xfId="617"/>
    <cellStyle name="_Расчет RAB_Лен и МОЭСК_с 2010 года_14.04.2009_со сглаж_version 3.0_без ФСК_BALANCE.WARM.2011YEAR.NEW.UPDATE.SCHEME" xfId="618"/>
    <cellStyle name="_Расчет RAB_Лен и МОЭСК_с 2010 года_14.04.2009_со сглаж_version 3.0_без ФСК_CALC.NORMATIV.KU(v0.2)" xfId="619"/>
    <cellStyle name="_Расчет RAB_Лен и МОЭСК_с 2010 года_14.04.2009_со сглаж_version 3.0_без ФСК_DOPFACTOR.VO.2012(v1.0)" xfId="9834"/>
    <cellStyle name="_Расчет RAB_Лен и МОЭСК_с 2010 года_14.04.2009_со сглаж_version 3.0_без ФСК_EE.2REK.P2011.4.78(v0.3)" xfId="620"/>
    <cellStyle name="_Расчет RAB_Лен и МОЭСК_с 2010 года_14.04.2009_со сглаж_version 3.0_без ФСК_FORM3.1.2013(v0.2)" xfId="621"/>
    <cellStyle name="_Расчет RAB_Лен и МОЭСК_с 2010 года_14.04.2009_со сглаж_version 3.0_без ФСК_FORM3.2013(v1.0)" xfId="622"/>
    <cellStyle name="_Расчет RAB_Лен и МОЭСК_с 2010 года_14.04.2009_со сглаж_version 3.0_без ФСК_FORM3.REG(v1.0)" xfId="623"/>
    <cellStyle name="_Расчет RAB_Лен и МОЭСК_с 2010 года_14.04.2009_со сглаж_version 3.0_без ФСК_FORM910.2012(v1.1)" xfId="624"/>
    <cellStyle name="_Расчет RAB_Лен и МОЭСК_с 2010 года_14.04.2009_со сглаж_version 3.0_без ФСК_INDEX.STATION.2012(v2.1)" xfId="625"/>
    <cellStyle name="_Расчет RAB_Лен и МОЭСК_с 2010 года_14.04.2009_со сглаж_version 3.0_без ФСК_INDEX.STATION.2013(v1.0)_патч до 1.1" xfId="626"/>
    <cellStyle name="_Расчет RAB_Лен и МОЭСК_с 2010 года_14.04.2009_со сглаж_version 3.0_без ФСК_INVEST.EE.PLAN.4.78(v0.1)" xfId="627"/>
    <cellStyle name="_Расчет RAB_Лен и МОЭСК_с 2010 года_14.04.2009_со сглаж_version 3.0_без ФСК_INVEST.EE.PLAN.4.78(v0.3)" xfId="628"/>
    <cellStyle name="_Расчет RAB_Лен и МОЭСК_с 2010 года_14.04.2009_со сглаж_version 3.0_без ФСК_INVEST.EE.PLAN.4.78(v1.0)" xfId="629"/>
    <cellStyle name="_Расчет RAB_Лен и МОЭСК_с 2010 года_14.04.2009_со сглаж_version 3.0_без ФСК_INVEST.EE.PLAN.4.78(v1.0)_PASSPORT.TEPLO.PROIZV(v2.0)" xfId="630"/>
    <cellStyle name="_Расчет RAB_Лен и МОЭСК_с 2010 года_14.04.2009_со сглаж_version 3.0_без ФСК_INVEST.EE.PLAN.4.78(v1.0)_PASSPORT.TEPLO.PROIZV(v2.0)_INDEX.STATION.2013(v1.0)_патч до 1.1" xfId="631"/>
    <cellStyle name="_Расчет RAB_Лен и МОЭСК_с 2010 года_14.04.2009_со сглаж_version 3.0_без ФСК_INVEST.EE.PLAN.4.78(v1.0)_PASSPORT.TEPLO.PROIZV(v2.0)_TEPLO.PREDEL.2013(v2.0)" xfId="632"/>
    <cellStyle name="_Расчет RAB_Лен и МОЭСК_с 2010 года_14.04.2009_со сглаж_version 3.0_без ФСК_INVEST.PLAN.4.78(v0.1)" xfId="633"/>
    <cellStyle name="_Расчет RAB_Лен и МОЭСК_с 2010 года_14.04.2009_со сглаж_version 3.0_без ФСК_INVEST.WARM.PLAN.4.78(v0.1)" xfId="634"/>
    <cellStyle name="_Расчет RAB_Лен и МОЭСК_с 2010 года_14.04.2009_со сглаж_version 3.0_без ФСК_INVEST_WARM_PLAN" xfId="635"/>
    <cellStyle name="_Расчет RAB_Лен и МОЭСК_с 2010 года_14.04.2009_со сглаж_version 3.0_без ФСК_NADB.JNVLP.APTEKA.2012(v1.0)_21_02_12" xfId="636"/>
    <cellStyle name="_Расчет RAB_Лен и МОЭСК_с 2010 года_14.04.2009_со сглаж_version 3.0_без ФСК_NADB.JNVLS.APTEKA.2011(v1.3.3)" xfId="637"/>
    <cellStyle name="_Расчет RAB_Лен и МОЭСК_с 2010 года_14.04.2009_со сглаж_version 3.0_без ФСК_NADB.JNVLS.APTEKA.2011(v1.3.3)_46TE.2011(v1.0)" xfId="638"/>
    <cellStyle name="_Расчет RAB_Лен и МОЭСК_с 2010 года_14.04.2009_со сглаж_version 3.0_без ФСК_NADB.JNVLS.APTEKA.2011(v1.3.3)_INDEX.STATION.2012(v1.0)_" xfId="639"/>
    <cellStyle name="_Расчет RAB_Лен и МОЭСК_с 2010 года_14.04.2009_со сглаж_version 3.0_без ФСК_NADB.JNVLS.APTEKA.2011(v1.3.3)_INDEX.STATION.2012(v2.0)" xfId="640"/>
    <cellStyle name="_Расчет RAB_Лен и МОЭСК_с 2010 года_14.04.2009_со сглаж_version 3.0_без ФСК_NADB.JNVLS.APTEKA.2011(v1.3.3)_INDEX.STATION.2012(v2.1)" xfId="641"/>
    <cellStyle name="_Расчет RAB_Лен и МОЭСК_с 2010 года_14.04.2009_со сглаж_version 3.0_без ФСК_NADB.JNVLS.APTEKA.2011(v1.3.3)_TEPLO.PREDEL.2012.M(v1.1)_test" xfId="642"/>
    <cellStyle name="_Расчет RAB_Лен и МОЭСК_с 2010 года_14.04.2009_со сглаж_version 3.0_без ФСК_NADB.JNVLS.APTEKA.2011(v1.3.4)" xfId="643"/>
    <cellStyle name="_Расчет RAB_Лен и МОЭСК_с 2010 года_14.04.2009_со сглаж_version 3.0_без ФСК_NADB.JNVLS.APTEKA.2011(v1.3.4)_46TE.2011(v1.0)" xfId="644"/>
    <cellStyle name="_Расчет RAB_Лен и МОЭСК_с 2010 года_14.04.2009_со сглаж_version 3.0_без ФСК_NADB.JNVLS.APTEKA.2011(v1.3.4)_INDEX.STATION.2012(v1.0)_" xfId="645"/>
    <cellStyle name="_Расчет RAB_Лен и МОЭСК_с 2010 года_14.04.2009_со сглаж_version 3.0_без ФСК_NADB.JNVLS.APTEKA.2011(v1.3.4)_INDEX.STATION.2012(v2.0)" xfId="646"/>
    <cellStyle name="_Расчет RAB_Лен и МОЭСК_с 2010 года_14.04.2009_со сглаж_version 3.0_без ФСК_NADB.JNVLS.APTEKA.2011(v1.3.4)_INDEX.STATION.2012(v2.1)" xfId="647"/>
    <cellStyle name="_Расчет RAB_Лен и МОЭСК_с 2010 года_14.04.2009_со сглаж_version 3.0_без ФСК_NADB.JNVLS.APTEKA.2011(v1.3.4)_TEPLO.PREDEL.2012.M(v1.1)_test" xfId="648"/>
    <cellStyle name="_Расчет RAB_Лен и МОЭСК_с 2010 года_14.04.2009_со сглаж_version 3.0_без ФСК_PASSPORT.TEPLO.PROIZV(v2.0)" xfId="5083"/>
    <cellStyle name="_Расчет RAB_Лен и МОЭСК_с 2010 года_14.04.2009_со сглаж_version 3.0_без ФСК_PASSPORT.TEPLO.PROIZV(v2.1)" xfId="649"/>
    <cellStyle name="_Расчет RAB_Лен и МОЭСК_с 2010 года_14.04.2009_со сглаж_version 3.0_без ФСК_PASSPORT.TEPLO.SETI(v0.7)" xfId="650"/>
    <cellStyle name="_Расчет RAB_Лен и МОЭСК_с 2010 года_14.04.2009_со сглаж_version 3.0_без ФСК_PASSPORT.TEPLO.SETI(v1.0)" xfId="651"/>
    <cellStyle name="_Расчет RAB_Лен и МОЭСК_с 2010 года_14.04.2009_со сглаж_version 3.0_без ФСК_PR.PROG.WARM.NOTCOMBI.2012.2.16_v1.4(04.04.11) " xfId="652"/>
    <cellStyle name="_Расчет RAB_Лен и МОЭСК_с 2010 года_14.04.2009_со сглаж_version 3.0_без ФСК_PREDEL.JKH.UTV.2011(v1.0.1)" xfId="653"/>
    <cellStyle name="_Расчет RAB_Лен и МОЭСК_с 2010 года_14.04.2009_со сглаж_version 3.0_без ФСК_PREDEL.JKH.UTV.2011(v1.0.1)_46TE.2011(v1.0)" xfId="654"/>
    <cellStyle name="_Расчет RAB_Лен и МОЭСК_с 2010 года_14.04.2009_со сглаж_version 3.0_без ФСК_PREDEL.JKH.UTV.2011(v1.0.1)_INDEX.STATION.2012(v1.0)_" xfId="655"/>
    <cellStyle name="_Расчет RAB_Лен и МОЭСК_с 2010 года_14.04.2009_со сглаж_version 3.0_без ФСК_PREDEL.JKH.UTV.2011(v1.0.1)_INDEX.STATION.2012(v2.0)" xfId="656"/>
    <cellStyle name="_Расчет RAB_Лен и МОЭСК_с 2010 года_14.04.2009_со сглаж_version 3.0_без ФСК_PREDEL.JKH.UTV.2011(v1.0.1)_INDEX.STATION.2012(v2.1)" xfId="657"/>
    <cellStyle name="_Расчет RAB_Лен и МОЭСК_с 2010 года_14.04.2009_со сглаж_version 3.0_без ФСК_PREDEL.JKH.UTV.2011(v1.0.1)_TEPLO.PREDEL.2012.M(v1.1)_test" xfId="658"/>
    <cellStyle name="_Расчет RAB_Лен и МОЭСК_с 2010 года_14.04.2009_со сглаж_version 3.0_без ФСК_PREDEL.JKH.UTV.2011(v1.1)" xfId="659"/>
    <cellStyle name="_Расчет RAB_Лен и МОЭСК_с 2010 года_14.04.2009_со сглаж_version 3.0_без ФСК_REP.BLR.2012(v1.0)" xfId="660"/>
    <cellStyle name="_Расчет RAB_Лен и МОЭСК_с 2010 года_14.04.2009_со сглаж_version 3.0_без ФСК_TEHSHEET" xfId="5084"/>
    <cellStyle name="_Расчет RAB_Лен и МОЭСК_с 2010 года_14.04.2009_со сглаж_version 3.0_без ФСК_TEPLO.PREDEL.2012.M(v1.1)" xfId="661"/>
    <cellStyle name="_Расчет RAB_Лен и МОЭСК_с 2010 года_14.04.2009_со сглаж_version 3.0_без ФСК_TEPLO.PREDEL.2013(v2.0)" xfId="662"/>
    <cellStyle name="_Расчет RAB_Лен и МОЭСК_с 2010 года_14.04.2009_со сглаж_version 3.0_без ФСК_TEST.TEMPLATE" xfId="663"/>
    <cellStyle name="_Расчет RAB_Лен и МОЭСК_с 2010 года_14.04.2009_со сглаж_version 3.0_без ФСК_UPDATE.46EE.2011.TO.1.1" xfId="664"/>
    <cellStyle name="_Расчет RAB_Лен и МОЭСК_с 2010 года_14.04.2009_со сглаж_version 3.0_без ФСК_UPDATE.46TE.2011.TO.1.1" xfId="665"/>
    <cellStyle name="_Расчет RAB_Лен и МОЭСК_с 2010 года_14.04.2009_со сглаж_version 3.0_без ФСК_UPDATE.46TE.2011.TO.1.2" xfId="666"/>
    <cellStyle name="_Расчет RAB_Лен и МОЭСК_с 2010 года_14.04.2009_со сглаж_version 3.0_без ФСК_UPDATE.BALANCE.WARM.2011YEAR.TO.1.1" xfId="667"/>
    <cellStyle name="_Расчет RAB_Лен и МОЭСК_с 2010 года_14.04.2009_со сглаж_version 3.0_без ФСК_UPDATE.BALANCE.WARM.2011YEAR.TO.1.1_46TE.2011(v1.0)" xfId="668"/>
    <cellStyle name="_Расчет RAB_Лен и МОЭСК_с 2010 года_14.04.2009_со сглаж_version 3.0_без ФСК_UPDATE.BALANCE.WARM.2011YEAR.TO.1.1_INDEX.STATION.2012(v1.0)_" xfId="669"/>
    <cellStyle name="_Расчет RAB_Лен и МОЭСК_с 2010 года_14.04.2009_со сглаж_version 3.0_без ФСК_UPDATE.BALANCE.WARM.2011YEAR.TO.1.1_INDEX.STATION.2012(v2.0)" xfId="670"/>
    <cellStyle name="_Расчет RAB_Лен и МОЭСК_с 2010 года_14.04.2009_со сглаж_version 3.0_без ФСК_UPDATE.BALANCE.WARM.2011YEAR.TO.1.1_INDEX.STATION.2012(v2.1)" xfId="671"/>
    <cellStyle name="_Расчет RAB_Лен и МОЭСК_с 2010 года_14.04.2009_со сглаж_version 3.0_без ФСК_UPDATE.BALANCE.WARM.2011YEAR.TO.1.1_OREP.KU.2011.MONTHLY.02(v1.1)" xfId="672"/>
    <cellStyle name="_Расчет RAB_Лен и МОЭСК_с 2010 года_14.04.2009_со сглаж_version 3.0_без ФСК_UPDATE.BALANCE.WARM.2011YEAR.TO.1.1_TEPLO.PREDEL.2012.M(v1.1)_test" xfId="673"/>
    <cellStyle name="_Расчет RAB_Лен и МОЭСК_с 2010 года_14.04.2009_со сглаж_version 3.0_без ФСК_UPDATE.BALANCE.WARM.2011YEAR.TO.1.2" xfId="5085"/>
    <cellStyle name="_Расчет RAB_Лен и МОЭСК_с 2010 года_14.04.2009_со сглаж_version 3.0_без ФСК_UPDATE.BALANCE.WARM.2011YEAR.TO.1.4.64" xfId="5086"/>
    <cellStyle name="_Расчет RAB_Лен и МОЭСК_с 2010 года_14.04.2009_со сглаж_version 3.0_без ФСК_UPDATE.BALANCE.WARM.2011YEAR.TO.1.5.64" xfId="5087"/>
    <cellStyle name="_Расчет RAB_Лен и МОЭСК_с 2010 года_14.04.2009_со сглаж_version 3.0_без ФСК_UPDATE.MONITORING.OS.EE.2.02.TO.1.3.64" xfId="5088"/>
    <cellStyle name="_Расчет RAB_Лен и МОЭСК_с 2010 года_14.04.2009_со сглаж_version 3.0_без ФСК_UPDATE.NADB.JNVLS.APTEKA.2011.TO.1.3.4" xfId="674"/>
    <cellStyle name="_Расчет RAB_Лен и МОЭСК_с 2010 года_14.04.2009_со сглаж_version 3.0_без ФСК_Книга2" xfId="9835"/>
    <cellStyle name="_Расчет RAB_Лен и МОЭСК_с 2010 года_14.04.2009_со сглаж_version 3.0_без ФСК_Книга2_PR.PROG.WARM.NOTCOMBI.2012.2.16_v1.4(04.04.11) " xfId="675"/>
    <cellStyle name="_Расчет RAB_Лен и МОЭСК_с 2010 года_14.04.2009_со сглаж_version 3.0_без ФСК_Тариф 2013 Архангельск для агентства" xfId="676"/>
    <cellStyle name="_Расчет RAB_Лен и МОЭСК_с 2010 года_14.04.2009_со сглаж_version 3.0_без ФСК_Тариф 2014 уч. Шипицыно газ" xfId="677"/>
    <cellStyle name="_Расчет RAB_Лен и МОЭСК_с 2010 года_14.04.2009_со сглаж_version 3.0_без ФСК_Тариф 2014 уч. Шипицыно газ 2" xfId="5089"/>
    <cellStyle name="_Расчет кредита_RAB 2010-2014  max конечн.20,77" xfId="678"/>
    <cellStyle name="_Расчет кредита_RAB 2010-2014  max конечн.20,77_Расче тарифа на тэ 2014 Мезенский АрхоблЭнерго" xfId="679"/>
    <cellStyle name="_Расчет кредита_RAB 2010-2014  max конечн.20,77_тарифы по ТЭ на 2014 год Соловки исправ." xfId="680"/>
    <cellStyle name="_Расчет на 2008 год" xfId="681"/>
    <cellStyle name="_Расчет на 2009 год" xfId="682"/>
    <cellStyle name="_Расчет ТЕХПД на 2010 год" xfId="683"/>
    <cellStyle name="_Расшифровка по приоритетам_МРСК 2" xfId="684"/>
    <cellStyle name="_Расшифровка по приоритетам_МРСК 2_Расче тарифа на тэ 2014 Мезенский АрхоблЭнерго" xfId="685"/>
    <cellStyle name="_Расшифровка по приоритетам_МРСК 2_тарифы по ТЭ на 2014 год Соловки исправ." xfId="686"/>
    <cellStyle name="_Рем программа СТЭЦ-1тарифы 2010 год" xfId="687"/>
    <cellStyle name="_Рем программа СТЭЦ-1тарифы 2010 год 2" xfId="9836"/>
    <cellStyle name="_Сб-macro 2020" xfId="688"/>
    <cellStyle name="_Сб-macro 2020 2" xfId="689"/>
    <cellStyle name="_Сб-macro 2020_v2008-2012-23.09.09вар2а-11" xfId="5794"/>
    <cellStyle name="_Свод по ИПР (2)" xfId="690"/>
    <cellStyle name="_Свод по ИПР (2)_Новая инструкция1_фст" xfId="691"/>
    <cellStyle name="_Свод по ИПР (2)_Расче тарифа на тэ 2014 Мезенский АрхоблЭнерго" xfId="692"/>
    <cellStyle name="_Свод по ИПР (2)_Тариф тепло Мезень для АТЦ" xfId="693"/>
    <cellStyle name="_Свод по ИПР (2)_тарифы по ТЭ на 2014 год Соловки исправ." xfId="694"/>
    <cellStyle name="_сводная таблица (2)" xfId="695"/>
    <cellStyle name="_сводная таблица (2)_Расче тарифа на тэ 2014 Мезенский АрхоблЭнерго" xfId="696"/>
    <cellStyle name="_сводная таблица (2)_тарифы по ТЭ на 2014 год Соловки исправ." xfId="697"/>
    <cellStyle name="_СО 2006-2010  Прил1-1 (Дубинину)" xfId="698"/>
    <cellStyle name="_СО 2006-2010  Прил1-1 (Дубинину)_Расче тарифа на тэ 2014 Мезенский АрхоблЭнерго" xfId="699"/>
    <cellStyle name="_СО 2006-2010  Прил1-1 (Дубинину)_тарифы по ТЭ на 2014 год Соловки исправ." xfId="700"/>
    <cellStyle name="_Справочник затрат_ЛХ_20.10.05" xfId="701"/>
    <cellStyle name="_Табл П2-5 (вар18-10-2006)" xfId="702"/>
    <cellStyle name="_Табл П2-5 (вар18-10-2006)_Расче тарифа на тэ 2014 Мезенский АрхоблЭнерго" xfId="703"/>
    <cellStyle name="_Табл П2-5 (вар18-10-2006)_тарифы по ТЭ на 2014 год Соловки исправ." xfId="704"/>
    <cellStyle name="_Табл. 9, ТФБ 2009" xfId="705"/>
    <cellStyle name="_таблицы для расчетов28-04-08_2006-2009_прибыль корр_по ИА" xfId="706"/>
    <cellStyle name="_таблицы для расчетов28-04-08_2006-2009_прибыль корр_по ИА_Новая инструкция1_фст" xfId="707"/>
    <cellStyle name="_таблицы для расчетов28-04-08_2006-2009_прибыль корр_по ИА_Расче тарифа на тэ 2014 Мезенский АрхоблЭнерго" xfId="708"/>
    <cellStyle name="_таблицы для расчетов28-04-08_2006-2009_прибыль корр_по ИА_Тариф тепло Мезень для АТЦ" xfId="709"/>
    <cellStyle name="_таблицы для расчетов28-04-08_2006-2009_прибыль корр_по ИА_тарифы по ТЭ на 2014 год Соловки исправ." xfId="710"/>
    <cellStyle name="_таблицы для расчетов28-04-08_2006-2009с ИА" xfId="711"/>
    <cellStyle name="_таблицы для расчетов28-04-08_2006-2009с ИА_Новая инструкция1_фст" xfId="712"/>
    <cellStyle name="_таблицы для расчетов28-04-08_2006-2009с ИА_Расче тарифа на тэ 2014 Мезенский АрхоблЭнерго" xfId="713"/>
    <cellStyle name="_таблицы для расчетов28-04-08_2006-2009с ИА_Тариф тепло Мезень для АТЦ" xfId="714"/>
    <cellStyle name="_таблицы для расчетов28-04-08_2006-2009с ИА_тарифы по ТЭ на 2014 год Соловки исправ." xfId="715"/>
    <cellStyle name="_Тарифы  СИЗ СП ОД Шапина" xfId="716"/>
    <cellStyle name="_УЕ  свод Псковэнерго" xfId="717"/>
    <cellStyle name="_УЕ  свод Псковэнерго_Расче тарифа на тэ 2014 Мезенский АрхоблЭнерго" xfId="718"/>
    <cellStyle name="_УЕ  свод Псковэнерго_тарифы по ТЭ на 2014 год Соловки исправ." xfId="719"/>
    <cellStyle name="_Условные единицы ПСКОВЭНЕРГО (RAB)" xfId="720"/>
    <cellStyle name="_Условные единицы ПСКОВЭНЕРГО (RAB)_Расче тарифа на тэ 2014 Мезенский АрхоблЭнерго" xfId="721"/>
    <cellStyle name="_Условные единицы ПСКОВЭНЕРГО (RAB)_тарифы по ТЭ на 2014 год Соловки исправ." xfId="722"/>
    <cellStyle name="_Услуги связи_2008_котельные" xfId="723"/>
    <cellStyle name="_ФЗП  и медосмотр 2010" xfId="5795"/>
    <cellStyle name="_Форма 6  РТК.xls(отчет по Адр пр. ЛО)" xfId="724"/>
    <cellStyle name="_Форма 6  РТК.xls(отчет по Адр пр. ЛО)_Новая инструкция1_фст" xfId="725"/>
    <cellStyle name="_Форма 6  РТК.xls(отчет по Адр пр. ЛО)_Расче тарифа на тэ 2014 Мезенский АрхоблЭнерго" xfId="726"/>
    <cellStyle name="_Форма 6  РТК.xls(отчет по Адр пр. ЛО)_Тариф тепло Мезень для АТЦ" xfId="727"/>
    <cellStyle name="_Форма 6  РТК.xls(отчет по Адр пр. ЛО)_тарифы по ТЭ на 2014 год Соловки исправ." xfId="728"/>
    <cellStyle name="_Форма программы ремонтов " xfId="729"/>
    <cellStyle name="_Форма программы ремонтов  2" xfId="730"/>
    <cellStyle name="_Форма программы ремонтов  2 2" xfId="5796"/>
    <cellStyle name="_Форма программы ремонтов  3" xfId="5797"/>
    <cellStyle name="_Формат разбивки по МРСК_РСК" xfId="731"/>
    <cellStyle name="_Формат разбивки по МРСК_РСК_Новая инструкция1_фст" xfId="732"/>
    <cellStyle name="_Формат разбивки по МРСК_РСК_Расче тарифа на тэ 2014 Мезенский АрхоблЭнерго" xfId="733"/>
    <cellStyle name="_Формат разбивки по МРСК_РСК_Тариф тепло Мезень для АТЦ" xfId="734"/>
    <cellStyle name="_Формат разбивки по МРСК_РСК_тарифы по ТЭ на 2014 год Соловки исправ." xfId="735"/>
    <cellStyle name="_Формат_для Согласования" xfId="736"/>
    <cellStyle name="_Формат_для Согласования_Новая инструкция1_фст" xfId="737"/>
    <cellStyle name="_Формат_для Согласования_Расче тарифа на тэ 2014 Мезенский АрхоблЭнерго" xfId="738"/>
    <cellStyle name="_Формат_для Согласования_Тариф тепло Мезень для АТЦ" xfId="739"/>
    <cellStyle name="_Формат_для Согласования_тарифы по ТЭ на 2014 год Соловки исправ." xfId="740"/>
    <cellStyle name="_ХХХ Прил 2 Формы бюджетных документов 2007" xfId="741"/>
    <cellStyle name="_ХХХ Прил 2 Формы бюджетных документов 2007 2" xfId="9837"/>
    <cellStyle name="_ЦФ  реализация акций 2008-2010" xfId="5798"/>
    <cellStyle name="_ЦФ  реализация акций 2008-2010_акции по годам 2009-2012" xfId="5799"/>
    <cellStyle name="_ЦФ  реализация акций 2008-2010_Копия Прогноз ПТРдо 2030г  (3)" xfId="5800"/>
    <cellStyle name="_ЦФ  реализация акций 2008-2010_Прогноз ПТРдо 2030г." xfId="5801"/>
    <cellStyle name="_ШтабКвартира - формы MR - v3.0" xfId="5802"/>
    <cellStyle name="_ШтабКвартира - формы MR - v5 0" xfId="5803"/>
    <cellStyle name="_экон.форм-т ВО 1 с разбивкой" xfId="742"/>
    <cellStyle name="_экон.форм-т ВО 1 с разбивкой_Новая инструкция1_фст" xfId="743"/>
    <cellStyle name="’К‰Э [0.00]" xfId="744"/>
    <cellStyle name="’К‰Э [0.00] 2" xfId="9838"/>
    <cellStyle name="”€ќђќ‘ћ‚›‰" xfId="746"/>
    <cellStyle name="”€љ‘€ђћ‚ђќќ›‰" xfId="747"/>
    <cellStyle name="”ќђќ‘ћ‚›‰" xfId="748"/>
    <cellStyle name="”ќђќ‘ћ‚›‰ 2" xfId="5090"/>
    <cellStyle name="”љ‘ђћ‚ђќќ›‰" xfId="749"/>
    <cellStyle name="”љ‘ђћ‚ђќќ›‰ 2" xfId="5091"/>
    <cellStyle name="„…ќ…†ќ›‰" xfId="750"/>
    <cellStyle name="„…ќ…†ќ›‰ 2" xfId="5092"/>
    <cellStyle name="€’ћѓћ‚›‰" xfId="753"/>
    <cellStyle name="=D:\WINNT\SYSTEM32\COMMAND.COM" xfId="5804"/>
    <cellStyle name="‡ђѓћ‹ћ‚ћљ1" xfId="751"/>
    <cellStyle name="‡ђѓћ‹ћ‚ћљ1 2" xfId="5093"/>
    <cellStyle name="‡ђѓћ‹ћ‚ћљ2" xfId="752"/>
    <cellStyle name="‡ђѓћ‹ћ‚ћљ2 2" xfId="5094"/>
    <cellStyle name="’ћѓћ‚›‰" xfId="745"/>
    <cellStyle name="’ћѓћ‚›‰ 2" xfId="5095"/>
    <cellStyle name="0,00;0;" xfId="754"/>
    <cellStyle name="0,00;0; 2" xfId="755"/>
    <cellStyle name="0,00;0; 2 2" xfId="9839"/>
    <cellStyle name="0,00;0; 3" xfId="756"/>
    <cellStyle name="0,00;0; 3 2" xfId="9840"/>
    <cellStyle name="0,00;0; 4" xfId="757"/>
    <cellStyle name="0,00;0; 4 2" xfId="9841"/>
    <cellStyle name="0,00;0; 5" xfId="9842"/>
    <cellStyle name="1Normal" xfId="758"/>
    <cellStyle name="1Normal 2" xfId="5805"/>
    <cellStyle name="1Normal 3" xfId="5806"/>
    <cellStyle name="1Outputbox1" xfId="5807"/>
    <cellStyle name="1Outputbox2" xfId="5808"/>
    <cellStyle name="1Outputheader" xfId="5809"/>
    <cellStyle name="1Outputheader2" xfId="5810"/>
    <cellStyle name="1Outputsubtitle" xfId="5811"/>
    <cellStyle name="1Outputtitle" xfId="5812"/>
    <cellStyle name="1Profileheader" xfId="5813"/>
    <cellStyle name="1Profilelowerbox" xfId="5814"/>
    <cellStyle name="1Profilesubheader" xfId="5815"/>
    <cellStyle name="1Profiletitle" xfId="5816"/>
    <cellStyle name="1Profiletopbox" xfId="5817"/>
    <cellStyle name="20% - Accent1" xfId="759"/>
    <cellStyle name="20% - Accent1 1" xfId="5818"/>
    <cellStyle name="20% - Accent1 2" xfId="760"/>
    <cellStyle name="20% - Accent1 2 2" xfId="761"/>
    <cellStyle name="20% - Accent1 2 2 2" xfId="5819"/>
    <cellStyle name="20% - Accent1 2 3" xfId="5820"/>
    <cellStyle name="20% - Accent1 3" xfId="762"/>
    <cellStyle name="20% - Accent1 3 2" xfId="763"/>
    <cellStyle name="20% - Accent1 3 2 2" xfId="5821"/>
    <cellStyle name="20% - Accent1 3 3" xfId="5822"/>
    <cellStyle name="20% - Accent1 4" xfId="764"/>
    <cellStyle name="20% - Accent1 4 2" xfId="5824"/>
    <cellStyle name="20% - Accent1 4 3" xfId="5823"/>
    <cellStyle name="20% - Accent1 5" xfId="5825"/>
    <cellStyle name="20% - Accent1_46EE.2011(v1.0)" xfId="765"/>
    <cellStyle name="20% - Accent2" xfId="766"/>
    <cellStyle name="20% - Accent2 1" xfId="5826"/>
    <cellStyle name="20% - Accent2 2" xfId="767"/>
    <cellStyle name="20% - Accent2 2 2" xfId="768"/>
    <cellStyle name="20% - Accent2 2 2 2" xfId="5827"/>
    <cellStyle name="20% - Accent2 2 3" xfId="5828"/>
    <cellStyle name="20% - Accent2 3" xfId="769"/>
    <cellStyle name="20% - Accent2 3 2" xfId="770"/>
    <cellStyle name="20% - Accent2 3 2 2" xfId="5829"/>
    <cellStyle name="20% - Accent2 3 3" xfId="5830"/>
    <cellStyle name="20% - Accent2 4" xfId="771"/>
    <cellStyle name="20% - Accent2 4 2" xfId="5832"/>
    <cellStyle name="20% - Accent2 4 3" xfId="5831"/>
    <cellStyle name="20% - Accent2 5" xfId="5833"/>
    <cellStyle name="20% - Accent2_46EE.2011(v1.0)" xfId="772"/>
    <cellStyle name="20% - Accent3" xfId="773"/>
    <cellStyle name="20% - Accent3 1" xfId="5834"/>
    <cellStyle name="20% - Accent3 2" xfId="774"/>
    <cellStyle name="20% - Accent3 2 2" xfId="775"/>
    <cellStyle name="20% - Accent3 2 2 2" xfId="5835"/>
    <cellStyle name="20% - Accent3 2 3" xfId="5836"/>
    <cellStyle name="20% - Accent3 3" xfId="776"/>
    <cellStyle name="20% - Accent3 3 2" xfId="777"/>
    <cellStyle name="20% - Accent3 3 2 2" xfId="5837"/>
    <cellStyle name="20% - Accent3 3 3" xfId="5838"/>
    <cellStyle name="20% - Accent3 4" xfId="778"/>
    <cellStyle name="20% - Accent3 4 2" xfId="5840"/>
    <cellStyle name="20% - Accent3 4 3" xfId="5839"/>
    <cellStyle name="20% - Accent3 5" xfId="5841"/>
    <cellStyle name="20% - Accent3_46EE.2011(v1.0)" xfId="779"/>
    <cellStyle name="20% - Accent4" xfId="780"/>
    <cellStyle name="20% - Accent4 1" xfId="5842"/>
    <cellStyle name="20% - Accent4 2" xfId="781"/>
    <cellStyle name="20% - Accent4 2 2" xfId="782"/>
    <cellStyle name="20% - Accent4 2 2 2" xfId="5843"/>
    <cellStyle name="20% - Accent4 2 3" xfId="5844"/>
    <cellStyle name="20% - Accent4 3" xfId="783"/>
    <cellStyle name="20% - Accent4 3 2" xfId="784"/>
    <cellStyle name="20% - Accent4 3 2 2" xfId="5845"/>
    <cellStyle name="20% - Accent4 3 3" xfId="5846"/>
    <cellStyle name="20% - Accent4 4" xfId="785"/>
    <cellStyle name="20% - Accent4 4 2" xfId="5848"/>
    <cellStyle name="20% - Accent4 4 3" xfId="5847"/>
    <cellStyle name="20% - Accent4 5" xfId="5849"/>
    <cellStyle name="20% - Accent4_46EE.2011(v1.0)" xfId="786"/>
    <cellStyle name="20% - Accent5" xfId="787"/>
    <cellStyle name="20% - Accent5 1" xfId="5850"/>
    <cellStyle name="20% - Accent5 2" xfId="788"/>
    <cellStyle name="20% - Accent5 2 2" xfId="789"/>
    <cellStyle name="20% - Accent5 2 2 2" xfId="5851"/>
    <cellStyle name="20% - Accent5 2 3" xfId="5852"/>
    <cellStyle name="20% - Accent5 3" xfId="790"/>
    <cellStyle name="20% - Accent5 3 2" xfId="791"/>
    <cellStyle name="20% - Accent5 3 2 2" xfId="5853"/>
    <cellStyle name="20% - Accent5 3 3" xfId="5854"/>
    <cellStyle name="20% - Accent5 4" xfId="792"/>
    <cellStyle name="20% - Accent5 4 2" xfId="5856"/>
    <cellStyle name="20% - Accent5 4 3" xfId="5855"/>
    <cellStyle name="20% - Accent5 5" xfId="5857"/>
    <cellStyle name="20% - Accent5_46EE.2011(v1.0)" xfId="793"/>
    <cellStyle name="20% - Accent6" xfId="794"/>
    <cellStyle name="20% - Accent6 1" xfId="5858"/>
    <cellStyle name="20% - Accent6 2" xfId="795"/>
    <cellStyle name="20% - Accent6 2 2" xfId="796"/>
    <cellStyle name="20% - Accent6 2 2 2" xfId="5859"/>
    <cellStyle name="20% - Accent6 2 3" xfId="5860"/>
    <cellStyle name="20% - Accent6 3" xfId="797"/>
    <cellStyle name="20% - Accent6 3 2" xfId="798"/>
    <cellStyle name="20% - Accent6 3 2 2" xfId="5861"/>
    <cellStyle name="20% - Accent6 3 3" xfId="5862"/>
    <cellStyle name="20% - Accent6 4" xfId="799"/>
    <cellStyle name="20% - Accent6 4 2" xfId="5864"/>
    <cellStyle name="20% - Accent6 4 3" xfId="5863"/>
    <cellStyle name="20% - Accent6 5" xfId="5865"/>
    <cellStyle name="20% - Accent6_46EE.2011(v1.0)" xfId="800"/>
    <cellStyle name="20% — акцент1" xfId="801"/>
    <cellStyle name="20% - Акцент1 10" xfId="802"/>
    <cellStyle name="20% — акцент1 10" xfId="803"/>
    <cellStyle name="20% - Акцент1 10 2" xfId="804"/>
    <cellStyle name="20% - Акцент1 10 3" xfId="5866"/>
    <cellStyle name="20% - Акцент1 11" xfId="805"/>
    <cellStyle name="20% — акцент1 11" xfId="806"/>
    <cellStyle name="20% - Акцент1 11 2" xfId="807"/>
    <cellStyle name="20% - Акцент1 11 3" xfId="5867"/>
    <cellStyle name="20% - Акцент1 12" xfId="5868"/>
    <cellStyle name="20% — акцент1 12" xfId="808"/>
    <cellStyle name="20% - Акцент1 12 2" xfId="5869"/>
    <cellStyle name="20% - Акцент1 12 3" xfId="5870"/>
    <cellStyle name="20% - Акцент1 12 4" xfId="5871"/>
    <cellStyle name="20% - Акцент1 13" xfId="5872"/>
    <cellStyle name="20% — акцент1 13" xfId="809"/>
    <cellStyle name="20% - Акцент1 13 2" xfId="5873"/>
    <cellStyle name="20% - Акцент1 13 3" xfId="5874"/>
    <cellStyle name="20% - Акцент1 13 4" xfId="5875"/>
    <cellStyle name="20% - Акцент1 14" xfId="5876"/>
    <cellStyle name="20% — акцент1 14" xfId="810"/>
    <cellStyle name="20% - Акцент1 14 2" xfId="5877"/>
    <cellStyle name="20% - Акцент1 14 3" xfId="5878"/>
    <cellStyle name="20% - Акцент1 15" xfId="5879"/>
    <cellStyle name="20% — акцент1 15" xfId="811"/>
    <cellStyle name="20% - Акцент1 15 2" xfId="5880"/>
    <cellStyle name="20% - Акцент1 15 3" xfId="5881"/>
    <cellStyle name="20% - Акцент1 16" xfId="5882"/>
    <cellStyle name="20% — акцент1 16" xfId="812"/>
    <cellStyle name="20% - Акцент1 16 2" xfId="5883"/>
    <cellStyle name="20% - Акцент1 16 3" xfId="5884"/>
    <cellStyle name="20% - Акцент1 17" xfId="5885"/>
    <cellStyle name="20% — акцент1 17" xfId="813"/>
    <cellStyle name="20% - Акцент1 18" xfId="5886"/>
    <cellStyle name="20% — акцент1 18" xfId="814"/>
    <cellStyle name="20% — акцент1 19" xfId="815"/>
    <cellStyle name="20% - Акцент1 2" xfId="816"/>
    <cellStyle name="20% — акцент1 2" xfId="817"/>
    <cellStyle name="20% - Акцент1 2 1" xfId="5887"/>
    <cellStyle name="20% - Акцент1 2 10" xfId="818"/>
    <cellStyle name="20% - Акцент1 2 11" xfId="4843"/>
    <cellStyle name="20% - Акцент1 2 11 2" xfId="9843"/>
    <cellStyle name="20% - Акцент1 2 11 3" xfId="5097"/>
    <cellStyle name="20% - Акцент1 2 12" xfId="4963"/>
    <cellStyle name="20% - Акцент1 2 12 2" xfId="9844"/>
    <cellStyle name="20% - Акцент1 2 13" xfId="5014"/>
    <cellStyle name="20% - Акцент1 2 14" xfId="5888"/>
    <cellStyle name="20% - Акцент1 2 15" xfId="5889"/>
    <cellStyle name="20% - Акцент1 2 16" xfId="5890"/>
    <cellStyle name="20% - Акцент1 2 16 2" xfId="9845"/>
    <cellStyle name="20% - Акцент1 2 17" xfId="9846"/>
    <cellStyle name="20% - Акцент1 2 18" xfId="9847"/>
    <cellStyle name="20% - Акцент1 2 19" xfId="9848"/>
    <cellStyle name="20% - Акцент1 2 2" xfId="819"/>
    <cellStyle name="20% - Акцент1 2 2 2" xfId="820"/>
    <cellStyle name="20% - Акцент1 2 2 2 2" xfId="5891"/>
    <cellStyle name="20% - Акцент1 2 2 2 3" xfId="5098"/>
    <cellStyle name="20% - Акцент1 2 20" xfId="5096"/>
    <cellStyle name="20% - Акцент1 2 3" xfId="821"/>
    <cellStyle name="20% - Акцент1 2 3 2" xfId="822"/>
    <cellStyle name="20% - Акцент1 2 3 3" xfId="5892"/>
    <cellStyle name="20% - Акцент1 2 4" xfId="823"/>
    <cellStyle name="20% - Акцент1 2 4 2" xfId="5893"/>
    <cellStyle name="20% - Акцент1 2 5" xfId="824"/>
    <cellStyle name="20% - Акцент1 2 5 2" xfId="5894"/>
    <cellStyle name="20% - Акцент1 2 6" xfId="825"/>
    <cellStyle name="20% - Акцент1 2 7" xfId="826"/>
    <cellStyle name="20% - Акцент1 2 8" xfId="827"/>
    <cellStyle name="20% - Акцент1 2 9" xfId="828"/>
    <cellStyle name="20% - Акцент1 2_46EE.2011(v1.0)" xfId="829"/>
    <cellStyle name="20% — акцент1 20" xfId="830"/>
    <cellStyle name="20% — акцент1 21" xfId="831"/>
    <cellStyle name="20% - Акцент1 3" xfId="832"/>
    <cellStyle name="20% — акцент1 3" xfId="833"/>
    <cellStyle name="20% - Акцент1 3 10" xfId="834"/>
    <cellStyle name="20% - Акцент1 3 11" xfId="835"/>
    <cellStyle name="20% - Акцент1 3 12" xfId="4844"/>
    <cellStyle name="20% - Акцент1 3 13" xfId="4902"/>
    <cellStyle name="20% - Акцент1 3 14" xfId="5013"/>
    <cellStyle name="20% - Акцент1 3 15" xfId="5099"/>
    <cellStyle name="20% - Акцент1 3 2" xfId="836"/>
    <cellStyle name="20% - Акцент1 3 2 2" xfId="837"/>
    <cellStyle name="20% - Акцент1 3 2 3" xfId="5895"/>
    <cellStyle name="20% - Акцент1 3 3" xfId="838"/>
    <cellStyle name="20% - Акцент1 3 3 2" xfId="839"/>
    <cellStyle name="20% - Акцент1 3 3 3" xfId="5896"/>
    <cellStyle name="20% - Акцент1 3 4" xfId="840"/>
    <cellStyle name="20% - Акцент1 3 4 2" xfId="5897"/>
    <cellStyle name="20% - Акцент1 3 4 2 2" xfId="5898"/>
    <cellStyle name="20% - Акцент1 3 5" xfId="841"/>
    <cellStyle name="20% - Акцент1 3 6" xfId="842"/>
    <cellStyle name="20% - Акцент1 3 7" xfId="843"/>
    <cellStyle name="20% - Акцент1 3 8" xfId="844"/>
    <cellStyle name="20% - Акцент1 3 9" xfId="845"/>
    <cellStyle name="20% - Акцент1 3_46EE.2011(v1.0)" xfId="846"/>
    <cellStyle name="20% - Акцент1 4" xfId="847"/>
    <cellStyle name="20% — акцент1 4" xfId="848"/>
    <cellStyle name="20% - Акцент1 4 2" xfId="849"/>
    <cellStyle name="20% - Акцент1 4 2 2" xfId="850"/>
    <cellStyle name="20% - Акцент1 4 2 3" xfId="5899"/>
    <cellStyle name="20% - Акцент1 4 3" xfId="851"/>
    <cellStyle name="20% - Акцент1 4 3 2" xfId="852"/>
    <cellStyle name="20% - Акцент1 4 3 3" xfId="5900"/>
    <cellStyle name="20% - Акцент1 4 4" xfId="5100"/>
    <cellStyle name="20% - Акцент1 4 4 2" xfId="5901"/>
    <cellStyle name="20% - Акцент1 4_46EE.2011(v1.0)" xfId="853"/>
    <cellStyle name="20% - Акцент1 5" xfId="854"/>
    <cellStyle name="20% — акцент1 5" xfId="855"/>
    <cellStyle name="20% - Акцент1 5 2" xfId="856"/>
    <cellStyle name="20% - Акцент1 5 2 2" xfId="857"/>
    <cellStyle name="20% - Акцент1 5 2 3" xfId="5902"/>
    <cellStyle name="20% - Акцент1 5 3" xfId="858"/>
    <cellStyle name="20% - Акцент1 5 3 2" xfId="859"/>
    <cellStyle name="20% - Акцент1 5 3 3" xfId="5903"/>
    <cellStyle name="20% - Акцент1 5 4" xfId="5101"/>
    <cellStyle name="20% - Акцент1 5 4 2" xfId="5904"/>
    <cellStyle name="20% - Акцент1 5_46EE.2011(v1.0)" xfId="860"/>
    <cellStyle name="20% - Акцент1 6" xfId="861"/>
    <cellStyle name="20% — акцент1 6" xfId="862"/>
    <cellStyle name="20% - Акцент1 6 2" xfId="863"/>
    <cellStyle name="20% - Акцент1 6 2 2" xfId="864"/>
    <cellStyle name="20% - Акцент1 6 2 3" xfId="5905"/>
    <cellStyle name="20% - Акцент1 6 3" xfId="865"/>
    <cellStyle name="20% - Акцент1 6 3 2" xfId="866"/>
    <cellStyle name="20% - Акцент1 6 3 3" xfId="5906"/>
    <cellStyle name="20% - Акцент1 6 4" xfId="5102"/>
    <cellStyle name="20% - Акцент1 6 4 2" xfId="5907"/>
    <cellStyle name="20% - Акцент1 6_46EE.2011(v1.0)" xfId="867"/>
    <cellStyle name="20% - Акцент1 7" xfId="868"/>
    <cellStyle name="20% — акцент1 7" xfId="869"/>
    <cellStyle name="20% - Акцент1 7 2" xfId="870"/>
    <cellStyle name="20% - Акцент1 7 2 2" xfId="871"/>
    <cellStyle name="20% - Акцент1 7 2 3" xfId="5908"/>
    <cellStyle name="20% - Акцент1 7 3" xfId="872"/>
    <cellStyle name="20% - Акцент1 7 3 2" xfId="873"/>
    <cellStyle name="20% - Акцент1 7 3 3" xfId="5909"/>
    <cellStyle name="20% - Акцент1 7 4" xfId="5103"/>
    <cellStyle name="20% - Акцент1 7 4 2" xfId="5910"/>
    <cellStyle name="20% - Акцент1 7_46EE.2011(v1.0)" xfId="874"/>
    <cellStyle name="20% - Акцент1 8" xfId="875"/>
    <cellStyle name="20% — акцент1 8" xfId="876"/>
    <cellStyle name="20% - Акцент1 8 2" xfId="877"/>
    <cellStyle name="20% - Акцент1 8 2 2" xfId="878"/>
    <cellStyle name="20% - Акцент1 8 2 3" xfId="5911"/>
    <cellStyle name="20% - Акцент1 8 3" xfId="879"/>
    <cellStyle name="20% - Акцент1 8 3 2" xfId="880"/>
    <cellStyle name="20% - Акцент1 8 3 3" xfId="5912"/>
    <cellStyle name="20% - Акцент1 8 4" xfId="881"/>
    <cellStyle name="20% - Акцент1 8 5" xfId="5913"/>
    <cellStyle name="20% - Акцент1 8_46EE.2011(v1.0)" xfId="882"/>
    <cellStyle name="20% - Акцент1 9" xfId="883"/>
    <cellStyle name="20% — акцент1 9" xfId="884"/>
    <cellStyle name="20% - Акцент1 9 2" xfId="885"/>
    <cellStyle name="20% - Акцент1 9 2 2" xfId="886"/>
    <cellStyle name="20% - Акцент1 9 2 3" xfId="5914"/>
    <cellStyle name="20% - Акцент1 9 3" xfId="887"/>
    <cellStyle name="20% - Акцент1 9 3 2" xfId="888"/>
    <cellStyle name="20% - Акцент1 9 3 3" xfId="5915"/>
    <cellStyle name="20% - Акцент1 9 4" xfId="889"/>
    <cellStyle name="20% - Акцент1 9 5" xfId="5916"/>
    <cellStyle name="20% - Акцент1 9_46EE.2011(v1.0)" xfId="890"/>
    <cellStyle name="20% — акцент1_Расчет тарифа на тэ 2015 СЛФ" xfId="891"/>
    <cellStyle name="20% — акцент2" xfId="892"/>
    <cellStyle name="20% - Акцент2 10" xfId="893"/>
    <cellStyle name="20% — акцент2 10" xfId="894"/>
    <cellStyle name="20% - Акцент2 10 2" xfId="895"/>
    <cellStyle name="20% - Акцент2 10 3" xfId="5917"/>
    <cellStyle name="20% - Акцент2 11" xfId="896"/>
    <cellStyle name="20% — акцент2 11" xfId="897"/>
    <cellStyle name="20% - Акцент2 11 2" xfId="898"/>
    <cellStyle name="20% - Акцент2 11 3" xfId="5918"/>
    <cellStyle name="20% - Акцент2 12" xfId="5919"/>
    <cellStyle name="20% — акцент2 12" xfId="899"/>
    <cellStyle name="20% - Акцент2 12 2" xfId="5920"/>
    <cellStyle name="20% - Акцент2 12 3" xfId="5921"/>
    <cellStyle name="20% - Акцент2 12 4" xfId="5922"/>
    <cellStyle name="20% - Акцент2 13" xfId="5923"/>
    <cellStyle name="20% — акцент2 13" xfId="900"/>
    <cellStyle name="20% - Акцент2 13 2" xfId="5924"/>
    <cellStyle name="20% - Акцент2 13 3" xfId="5925"/>
    <cellStyle name="20% - Акцент2 13 4" xfId="5926"/>
    <cellStyle name="20% - Акцент2 14" xfId="5927"/>
    <cellStyle name="20% — акцент2 14" xfId="901"/>
    <cellStyle name="20% - Акцент2 14 2" xfId="5928"/>
    <cellStyle name="20% - Акцент2 14 3" xfId="5929"/>
    <cellStyle name="20% - Акцент2 15" xfId="5930"/>
    <cellStyle name="20% — акцент2 15" xfId="902"/>
    <cellStyle name="20% - Акцент2 15 2" xfId="5931"/>
    <cellStyle name="20% - Акцент2 15 3" xfId="5932"/>
    <cellStyle name="20% - Акцент2 16" xfId="5933"/>
    <cellStyle name="20% — акцент2 16" xfId="903"/>
    <cellStyle name="20% - Акцент2 16 2" xfId="5934"/>
    <cellStyle name="20% - Акцент2 16 3" xfId="5935"/>
    <cellStyle name="20% - Акцент2 17" xfId="5936"/>
    <cellStyle name="20% — акцент2 17" xfId="904"/>
    <cellStyle name="20% - Акцент2 18" xfId="5937"/>
    <cellStyle name="20% — акцент2 18" xfId="905"/>
    <cellStyle name="20% — акцент2 19" xfId="906"/>
    <cellStyle name="20% - Акцент2 2" xfId="907"/>
    <cellStyle name="20% — акцент2 2" xfId="908"/>
    <cellStyle name="20% - Акцент2 2 1" xfId="5938"/>
    <cellStyle name="20% - Акцент2 2 10" xfId="909"/>
    <cellStyle name="20% - Акцент2 2 11" xfId="4845"/>
    <cellStyle name="20% - Акцент2 2 11 2" xfId="9849"/>
    <cellStyle name="20% - Акцент2 2 11 3" xfId="5105"/>
    <cellStyle name="20% - Акцент2 2 12" xfId="4962"/>
    <cellStyle name="20% - Акцент2 2 12 2" xfId="9850"/>
    <cellStyle name="20% - Акцент2 2 13" xfId="5012"/>
    <cellStyle name="20% - Акцент2 2 14" xfId="5939"/>
    <cellStyle name="20% - Акцент2 2 15" xfId="5940"/>
    <cellStyle name="20% - Акцент2 2 16" xfId="5941"/>
    <cellStyle name="20% - Акцент2 2 16 2" xfId="9851"/>
    <cellStyle name="20% - Акцент2 2 17" xfId="9852"/>
    <cellStyle name="20% - Акцент2 2 18" xfId="9853"/>
    <cellStyle name="20% - Акцент2 2 19" xfId="9854"/>
    <cellStyle name="20% - Акцент2 2 2" xfId="910"/>
    <cellStyle name="20% - Акцент2 2 2 2" xfId="911"/>
    <cellStyle name="20% - Акцент2 2 2 2 2" xfId="5942"/>
    <cellStyle name="20% - Акцент2 2 2 2 3" xfId="5106"/>
    <cellStyle name="20% - Акцент2 2 20" xfId="5104"/>
    <cellStyle name="20% - Акцент2 2 3" xfId="912"/>
    <cellStyle name="20% - Акцент2 2 3 2" xfId="913"/>
    <cellStyle name="20% - Акцент2 2 3 3" xfId="5943"/>
    <cellStyle name="20% - Акцент2 2 4" xfId="914"/>
    <cellStyle name="20% - Акцент2 2 4 2" xfId="5944"/>
    <cellStyle name="20% - Акцент2 2 5" xfId="915"/>
    <cellStyle name="20% - Акцент2 2 5 2" xfId="5945"/>
    <cellStyle name="20% - Акцент2 2 6" xfId="916"/>
    <cellStyle name="20% - Акцент2 2 7" xfId="917"/>
    <cellStyle name="20% - Акцент2 2 8" xfId="918"/>
    <cellStyle name="20% - Акцент2 2 9" xfId="919"/>
    <cellStyle name="20% - Акцент2 2_46EE.2011(v1.0)" xfId="920"/>
    <cellStyle name="20% — акцент2 20" xfId="921"/>
    <cellStyle name="20% — акцент2 21" xfId="922"/>
    <cellStyle name="20% - Акцент2 3" xfId="923"/>
    <cellStyle name="20% — акцент2 3" xfId="924"/>
    <cellStyle name="20% - Акцент2 3 10" xfId="925"/>
    <cellStyle name="20% - Акцент2 3 11" xfId="926"/>
    <cellStyle name="20% - Акцент2 3 12" xfId="4846"/>
    <cellStyle name="20% - Акцент2 3 13" xfId="4961"/>
    <cellStyle name="20% - Акцент2 3 14" xfId="5011"/>
    <cellStyle name="20% - Акцент2 3 15" xfId="5107"/>
    <cellStyle name="20% - Акцент2 3 2" xfId="927"/>
    <cellStyle name="20% - Акцент2 3 2 2" xfId="928"/>
    <cellStyle name="20% - Акцент2 3 2 3" xfId="5946"/>
    <cellStyle name="20% - Акцент2 3 3" xfId="929"/>
    <cellStyle name="20% - Акцент2 3 3 2" xfId="930"/>
    <cellStyle name="20% - Акцент2 3 3 3" xfId="5947"/>
    <cellStyle name="20% - Акцент2 3 4" xfId="931"/>
    <cellStyle name="20% - Акцент2 3 4 2" xfId="5948"/>
    <cellStyle name="20% - Акцент2 3 4 2 2" xfId="5949"/>
    <cellStyle name="20% - Акцент2 3 5" xfId="932"/>
    <cellStyle name="20% - Акцент2 3 6" xfId="933"/>
    <cellStyle name="20% - Акцент2 3 7" xfId="934"/>
    <cellStyle name="20% - Акцент2 3 8" xfId="935"/>
    <cellStyle name="20% - Акцент2 3 9" xfId="936"/>
    <cellStyle name="20% - Акцент2 3_46EE.2011(v1.0)" xfId="937"/>
    <cellStyle name="20% - Акцент2 4" xfId="938"/>
    <cellStyle name="20% — акцент2 4" xfId="939"/>
    <cellStyle name="20% - Акцент2 4 2" xfId="940"/>
    <cellStyle name="20% - Акцент2 4 2 2" xfId="941"/>
    <cellStyle name="20% - Акцент2 4 2 3" xfId="5950"/>
    <cellStyle name="20% - Акцент2 4 3" xfId="942"/>
    <cellStyle name="20% - Акцент2 4 3 2" xfId="943"/>
    <cellStyle name="20% - Акцент2 4 3 3" xfId="5951"/>
    <cellStyle name="20% - Акцент2 4 4" xfId="5108"/>
    <cellStyle name="20% - Акцент2 4 4 2" xfId="5952"/>
    <cellStyle name="20% - Акцент2 4_46EE.2011(v1.0)" xfId="944"/>
    <cellStyle name="20% - Акцент2 5" xfId="945"/>
    <cellStyle name="20% — акцент2 5" xfId="946"/>
    <cellStyle name="20% - Акцент2 5 2" xfId="947"/>
    <cellStyle name="20% - Акцент2 5 2 2" xfId="948"/>
    <cellStyle name="20% - Акцент2 5 2 3" xfId="5953"/>
    <cellStyle name="20% - Акцент2 5 3" xfId="949"/>
    <cellStyle name="20% - Акцент2 5 3 2" xfId="950"/>
    <cellStyle name="20% - Акцент2 5 3 3" xfId="5954"/>
    <cellStyle name="20% - Акцент2 5 4" xfId="5109"/>
    <cellStyle name="20% - Акцент2 5 4 2" xfId="5955"/>
    <cellStyle name="20% - Акцент2 5_46EE.2011(v1.0)" xfId="951"/>
    <cellStyle name="20% - Акцент2 6" xfId="952"/>
    <cellStyle name="20% — акцент2 6" xfId="953"/>
    <cellStyle name="20% - Акцент2 6 2" xfId="954"/>
    <cellStyle name="20% - Акцент2 6 2 2" xfId="955"/>
    <cellStyle name="20% - Акцент2 6 2 3" xfId="5956"/>
    <cellStyle name="20% - Акцент2 6 3" xfId="956"/>
    <cellStyle name="20% - Акцент2 6 3 2" xfId="957"/>
    <cellStyle name="20% - Акцент2 6 3 3" xfId="5957"/>
    <cellStyle name="20% - Акцент2 6 4" xfId="5110"/>
    <cellStyle name="20% - Акцент2 6 4 2" xfId="5958"/>
    <cellStyle name="20% - Акцент2 6_46EE.2011(v1.0)" xfId="958"/>
    <cellStyle name="20% - Акцент2 7" xfId="959"/>
    <cellStyle name="20% — акцент2 7" xfId="960"/>
    <cellStyle name="20% - Акцент2 7 2" xfId="961"/>
    <cellStyle name="20% - Акцент2 7 2 2" xfId="962"/>
    <cellStyle name="20% - Акцент2 7 2 3" xfId="5959"/>
    <cellStyle name="20% - Акцент2 7 3" xfId="963"/>
    <cellStyle name="20% - Акцент2 7 3 2" xfId="964"/>
    <cellStyle name="20% - Акцент2 7 3 3" xfId="5960"/>
    <cellStyle name="20% - Акцент2 7 4" xfId="5111"/>
    <cellStyle name="20% - Акцент2 7 4 2" xfId="5961"/>
    <cellStyle name="20% - Акцент2 7_46EE.2011(v1.0)" xfId="965"/>
    <cellStyle name="20% - Акцент2 8" xfId="966"/>
    <cellStyle name="20% — акцент2 8" xfId="967"/>
    <cellStyle name="20% - Акцент2 8 2" xfId="968"/>
    <cellStyle name="20% - Акцент2 8 2 2" xfId="969"/>
    <cellStyle name="20% - Акцент2 8 2 3" xfId="5962"/>
    <cellStyle name="20% - Акцент2 8 3" xfId="970"/>
    <cellStyle name="20% - Акцент2 8 3 2" xfId="971"/>
    <cellStyle name="20% - Акцент2 8 3 3" xfId="5963"/>
    <cellStyle name="20% - Акцент2 8 4" xfId="972"/>
    <cellStyle name="20% - Акцент2 8 5" xfId="5964"/>
    <cellStyle name="20% - Акцент2 8_46EE.2011(v1.0)" xfId="973"/>
    <cellStyle name="20% - Акцент2 9" xfId="974"/>
    <cellStyle name="20% — акцент2 9" xfId="975"/>
    <cellStyle name="20% - Акцент2 9 2" xfId="976"/>
    <cellStyle name="20% - Акцент2 9 2 2" xfId="977"/>
    <cellStyle name="20% - Акцент2 9 2 3" xfId="5965"/>
    <cellStyle name="20% - Акцент2 9 3" xfId="978"/>
    <cellStyle name="20% - Акцент2 9 3 2" xfId="979"/>
    <cellStyle name="20% - Акцент2 9 3 3" xfId="5966"/>
    <cellStyle name="20% - Акцент2 9 4" xfId="980"/>
    <cellStyle name="20% - Акцент2 9 5" xfId="5967"/>
    <cellStyle name="20% - Акцент2 9_46EE.2011(v1.0)" xfId="981"/>
    <cellStyle name="20% — акцент2_Расчет тарифа на тэ 2015 СЛФ" xfId="982"/>
    <cellStyle name="20% — акцент3" xfId="983"/>
    <cellStyle name="20% - Акцент3 10" xfId="984"/>
    <cellStyle name="20% — акцент3 10" xfId="985"/>
    <cellStyle name="20% - Акцент3 10 2" xfId="986"/>
    <cellStyle name="20% - Акцент3 10 3" xfId="5968"/>
    <cellStyle name="20% - Акцент3 11" xfId="987"/>
    <cellStyle name="20% — акцент3 11" xfId="988"/>
    <cellStyle name="20% - Акцент3 11 2" xfId="989"/>
    <cellStyle name="20% - Акцент3 11 3" xfId="5969"/>
    <cellStyle name="20% - Акцент3 12" xfId="5970"/>
    <cellStyle name="20% — акцент3 12" xfId="990"/>
    <cellStyle name="20% - Акцент3 12 2" xfId="5971"/>
    <cellStyle name="20% - Акцент3 12 3" xfId="5972"/>
    <cellStyle name="20% - Акцент3 12 4" xfId="5973"/>
    <cellStyle name="20% - Акцент3 13" xfId="5974"/>
    <cellStyle name="20% — акцент3 13" xfId="991"/>
    <cellStyle name="20% - Акцент3 13 2" xfId="5975"/>
    <cellStyle name="20% - Акцент3 13 3" xfId="5976"/>
    <cellStyle name="20% - Акцент3 13 4" xfId="5977"/>
    <cellStyle name="20% - Акцент3 14" xfId="5978"/>
    <cellStyle name="20% — акцент3 14" xfId="992"/>
    <cellStyle name="20% - Акцент3 14 2" xfId="5979"/>
    <cellStyle name="20% - Акцент3 14 3" xfId="5980"/>
    <cellStyle name="20% - Акцент3 15" xfId="5981"/>
    <cellStyle name="20% — акцент3 15" xfId="993"/>
    <cellStyle name="20% - Акцент3 15 2" xfId="5982"/>
    <cellStyle name="20% - Акцент3 15 3" xfId="5983"/>
    <cellStyle name="20% - Акцент3 16" xfId="5984"/>
    <cellStyle name="20% — акцент3 16" xfId="994"/>
    <cellStyle name="20% - Акцент3 16 2" xfId="5985"/>
    <cellStyle name="20% - Акцент3 16 3" xfId="5986"/>
    <cellStyle name="20% - Акцент3 17" xfId="5987"/>
    <cellStyle name="20% — акцент3 17" xfId="995"/>
    <cellStyle name="20% - Акцент3 18" xfId="5988"/>
    <cellStyle name="20% — акцент3 18" xfId="996"/>
    <cellStyle name="20% — акцент3 19" xfId="997"/>
    <cellStyle name="20% - Акцент3 2" xfId="998"/>
    <cellStyle name="20% — акцент3 2" xfId="999"/>
    <cellStyle name="20% - Акцент3 2 1" xfId="5989"/>
    <cellStyle name="20% - Акцент3 2 10" xfId="1000"/>
    <cellStyle name="20% - Акцент3 2 11" xfId="4847"/>
    <cellStyle name="20% - Акцент3 2 11 2" xfId="9855"/>
    <cellStyle name="20% - Акцент3 2 11 3" xfId="5113"/>
    <cellStyle name="20% - Акцент3 2 12" xfId="4960"/>
    <cellStyle name="20% - Акцент3 2 12 2" xfId="9856"/>
    <cellStyle name="20% - Акцент3 2 13" xfId="5010"/>
    <cellStyle name="20% - Акцент3 2 14" xfId="5990"/>
    <cellStyle name="20% - Акцент3 2 15" xfId="5991"/>
    <cellStyle name="20% - Акцент3 2 16" xfId="5992"/>
    <cellStyle name="20% - Акцент3 2 16 2" xfId="9857"/>
    <cellStyle name="20% - Акцент3 2 17" xfId="9858"/>
    <cellStyle name="20% - Акцент3 2 18" xfId="9859"/>
    <cellStyle name="20% - Акцент3 2 19" xfId="9860"/>
    <cellStyle name="20% - Акцент3 2 2" xfId="1001"/>
    <cellStyle name="20% - Акцент3 2 2 2" xfId="1002"/>
    <cellStyle name="20% - Акцент3 2 2 2 2" xfId="5993"/>
    <cellStyle name="20% - Акцент3 2 2 2 3" xfId="5114"/>
    <cellStyle name="20% - Акцент3 2 20" xfId="5112"/>
    <cellStyle name="20% - Акцент3 2 3" xfId="1003"/>
    <cellStyle name="20% - Акцент3 2 3 2" xfId="1004"/>
    <cellStyle name="20% - Акцент3 2 3 3" xfId="5994"/>
    <cellStyle name="20% - Акцент3 2 4" xfId="1005"/>
    <cellStyle name="20% - Акцент3 2 4 2" xfId="5995"/>
    <cellStyle name="20% - Акцент3 2 5" xfId="1006"/>
    <cellStyle name="20% - Акцент3 2 5 2" xfId="5996"/>
    <cellStyle name="20% - Акцент3 2 6" xfId="1007"/>
    <cellStyle name="20% - Акцент3 2 7" xfId="1008"/>
    <cellStyle name="20% - Акцент3 2 8" xfId="1009"/>
    <cellStyle name="20% - Акцент3 2 9" xfId="1010"/>
    <cellStyle name="20% - Акцент3 2_46EE.2011(v1.0)" xfId="1011"/>
    <cellStyle name="20% — акцент3 20" xfId="1012"/>
    <cellStyle name="20% — акцент3 21" xfId="1013"/>
    <cellStyle name="20% - Акцент3 3" xfId="1014"/>
    <cellStyle name="20% — акцент3 3" xfId="1015"/>
    <cellStyle name="20% - Акцент3 3 10" xfId="1016"/>
    <cellStyle name="20% - Акцент3 3 11" xfId="1017"/>
    <cellStyle name="20% - Акцент3 3 12" xfId="4848"/>
    <cellStyle name="20% - Акцент3 3 13" xfId="4959"/>
    <cellStyle name="20% - Акцент3 3 14" xfId="5009"/>
    <cellStyle name="20% - Акцент3 3 15" xfId="5115"/>
    <cellStyle name="20% - Акцент3 3 2" xfId="1018"/>
    <cellStyle name="20% - Акцент3 3 2 2" xfId="1019"/>
    <cellStyle name="20% - Акцент3 3 2 3" xfId="5997"/>
    <cellStyle name="20% - Акцент3 3 3" xfId="1020"/>
    <cellStyle name="20% - Акцент3 3 3 2" xfId="1021"/>
    <cellStyle name="20% - Акцент3 3 3 3" xfId="5998"/>
    <cellStyle name="20% - Акцент3 3 4" xfId="1022"/>
    <cellStyle name="20% - Акцент3 3 4 2" xfId="5999"/>
    <cellStyle name="20% - Акцент3 3 4 2 2" xfId="6000"/>
    <cellStyle name="20% - Акцент3 3 5" xfId="1023"/>
    <cellStyle name="20% - Акцент3 3 6" xfId="1024"/>
    <cellStyle name="20% - Акцент3 3 7" xfId="1025"/>
    <cellStyle name="20% - Акцент3 3 8" xfId="1026"/>
    <cellStyle name="20% - Акцент3 3 9" xfId="1027"/>
    <cellStyle name="20% - Акцент3 3_46EE.2011(v1.0)" xfId="1028"/>
    <cellStyle name="20% - Акцент3 4" xfId="1029"/>
    <cellStyle name="20% — акцент3 4" xfId="1030"/>
    <cellStyle name="20% - Акцент3 4 2" xfId="1031"/>
    <cellStyle name="20% - Акцент3 4 2 2" xfId="1032"/>
    <cellStyle name="20% - Акцент3 4 2 3" xfId="6001"/>
    <cellStyle name="20% - Акцент3 4 3" xfId="1033"/>
    <cellStyle name="20% - Акцент3 4 3 2" xfId="1034"/>
    <cellStyle name="20% - Акцент3 4 3 3" xfId="6002"/>
    <cellStyle name="20% - Акцент3 4 4" xfId="5116"/>
    <cellStyle name="20% - Акцент3 4 4 2" xfId="6003"/>
    <cellStyle name="20% - Акцент3 4_46EE.2011(v1.0)" xfId="1035"/>
    <cellStyle name="20% - Акцент3 5" xfId="1036"/>
    <cellStyle name="20% — акцент3 5" xfId="1037"/>
    <cellStyle name="20% - Акцент3 5 2" xfId="1038"/>
    <cellStyle name="20% - Акцент3 5 2 2" xfId="1039"/>
    <cellStyle name="20% - Акцент3 5 2 3" xfId="6004"/>
    <cellStyle name="20% - Акцент3 5 3" xfId="1040"/>
    <cellStyle name="20% - Акцент3 5 3 2" xfId="1041"/>
    <cellStyle name="20% - Акцент3 5 3 3" xfId="6005"/>
    <cellStyle name="20% - Акцент3 5 4" xfId="5117"/>
    <cellStyle name="20% - Акцент3 5 4 2" xfId="6006"/>
    <cellStyle name="20% - Акцент3 5_46EE.2011(v1.0)" xfId="1042"/>
    <cellStyle name="20% - Акцент3 6" xfId="1043"/>
    <cellStyle name="20% — акцент3 6" xfId="1044"/>
    <cellStyle name="20% - Акцент3 6 2" xfId="1045"/>
    <cellStyle name="20% - Акцент3 6 2 2" xfId="1046"/>
    <cellStyle name="20% - Акцент3 6 2 3" xfId="6007"/>
    <cellStyle name="20% - Акцент3 6 3" xfId="1047"/>
    <cellStyle name="20% - Акцент3 6 3 2" xfId="1048"/>
    <cellStyle name="20% - Акцент3 6 3 3" xfId="6008"/>
    <cellStyle name="20% - Акцент3 6 4" xfId="5118"/>
    <cellStyle name="20% - Акцент3 6 4 2" xfId="6009"/>
    <cellStyle name="20% - Акцент3 6_46EE.2011(v1.0)" xfId="1049"/>
    <cellStyle name="20% - Акцент3 7" xfId="1050"/>
    <cellStyle name="20% — акцент3 7" xfId="1051"/>
    <cellStyle name="20% - Акцент3 7 2" xfId="1052"/>
    <cellStyle name="20% - Акцент3 7 2 2" xfId="1053"/>
    <cellStyle name="20% - Акцент3 7 2 3" xfId="6010"/>
    <cellStyle name="20% - Акцент3 7 3" xfId="1054"/>
    <cellStyle name="20% - Акцент3 7 3 2" xfId="1055"/>
    <cellStyle name="20% - Акцент3 7 3 3" xfId="6011"/>
    <cellStyle name="20% - Акцент3 7 4" xfId="5119"/>
    <cellStyle name="20% - Акцент3 7 4 2" xfId="6012"/>
    <cellStyle name="20% - Акцент3 7_46EE.2011(v1.0)" xfId="1056"/>
    <cellStyle name="20% - Акцент3 8" xfId="1057"/>
    <cellStyle name="20% — акцент3 8" xfId="1058"/>
    <cellStyle name="20% - Акцент3 8 2" xfId="1059"/>
    <cellStyle name="20% - Акцент3 8 2 2" xfId="1060"/>
    <cellStyle name="20% - Акцент3 8 2 3" xfId="6013"/>
    <cellStyle name="20% - Акцент3 8 3" xfId="1061"/>
    <cellStyle name="20% - Акцент3 8 3 2" xfId="1062"/>
    <cellStyle name="20% - Акцент3 8 3 3" xfId="6014"/>
    <cellStyle name="20% - Акцент3 8 4" xfId="1063"/>
    <cellStyle name="20% - Акцент3 8 5" xfId="6015"/>
    <cellStyle name="20% - Акцент3 8_46EE.2011(v1.0)" xfId="1064"/>
    <cellStyle name="20% - Акцент3 9" xfId="1065"/>
    <cellStyle name="20% — акцент3 9" xfId="1066"/>
    <cellStyle name="20% - Акцент3 9 2" xfId="1067"/>
    <cellStyle name="20% - Акцент3 9 2 2" xfId="1068"/>
    <cellStyle name="20% - Акцент3 9 2 3" xfId="6016"/>
    <cellStyle name="20% - Акцент3 9 3" xfId="1069"/>
    <cellStyle name="20% - Акцент3 9 3 2" xfId="1070"/>
    <cellStyle name="20% - Акцент3 9 3 3" xfId="6017"/>
    <cellStyle name="20% - Акцент3 9 4" xfId="1071"/>
    <cellStyle name="20% - Акцент3 9 5" xfId="6018"/>
    <cellStyle name="20% - Акцент3 9_46EE.2011(v1.0)" xfId="1072"/>
    <cellStyle name="20% — акцент3_Расчет тарифа на тэ 2015 СЛФ" xfId="1073"/>
    <cellStyle name="20% — акцент4" xfId="1074"/>
    <cellStyle name="20% - Акцент4 10" xfId="1075"/>
    <cellStyle name="20% — акцент4 10" xfId="1076"/>
    <cellStyle name="20% - Акцент4 10 2" xfId="1077"/>
    <cellStyle name="20% - Акцент4 10 3" xfId="6019"/>
    <cellStyle name="20% - Акцент4 11" xfId="1078"/>
    <cellStyle name="20% — акцент4 11" xfId="1079"/>
    <cellStyle name="20% - Акцент4 11 2" xfId="1080"/>
    <cellStyle name="20% - Акцент4 11 3" xfId="6020"/>
    <cellStyle name="20% - Акцент4 12" xfId="6021"/>
    <cellStyle name="20% — акцент4 12" xfId="1081"/>
    <cellStyle name="20% - Акцент4 12 2" xfId="6022"/>
    <cellStyle name="20% - Акцент4 12 3" xfId="6023"/>
    <cellStyle name="20% - Акцент4 12 4" xfId="6024"/>
    <cellStyle name="20% - Акцент4 13" xfId="6025"/>
    <cellStyle name="20% — акцент4 13" xfId="1082"/>
    <cellStyle name="20% - Акцент4 13 2" xfId="6026"/>
    <cellStyle name="20% - Акцент4 13 3" xfId="6027"/>
    <cellStyle name="20% - Акцент4 13 4" xfId="6028"/>
    <cellStyle name="20% - Акцент4 14" xfId="6029"/>
    <cellStyle name="20% — акцент4 14" xfId="1083"/>
    <cellStyle name="20% - Акцент4 14 2" xfId="6030"/>
    <cellStyle name="20% - Акцент4 14 3" xfId="6031"/>
    <cellStyle name="20% - Акцент4 15" xfId="6032"/>
    <cellStyle name="20% — акцент4 15" xfId="1084"/>
    <cellStyle name="20% - Акцент4 15 2" xfId="6033"/>
    <cellStyle name="20% - Акцент4 15 3" xfId="6034"/>
    <cellStyle name="20% - Акцент4 16" xfId="6035"/>
    <cellStyle name="20% — акцент4 16" xfId="1085"/>
    <cellStyle name="20% - Акцент4 16 2" xfId="6036"/>
    <cellStyle name="20% - Акцент4 16 3" xfId="6037"/>
    <cellStyle name="20% - Акцент4 17" xfId="6038"/>
    <cellStyle name="20% — акцент4 17" xfId="1086"/>
    <cellStyle name="20% - Акцент4 18" xfId="6039"/>
    <cellStyle name="20% — акцент4 18" xfId="1087"/>
    <cellStyle name="20% — акцент4 19" xfId="1088"/>
    <cellStyle name="20% - Акцент4 2" xfId="1089"/>
    <cellStyle name="20% — акцент4 2" xfId="1090"/>
    <cellStyle name="20% - Акцент4 2 1" xfId="6040"/>
    <cellStyle name="20% - Акцент4 2 10" xfId="1091"/>
    <cellStyle name="20% - Акцент4 2 11" xfId="4849"/>
    <cellStyle name="20% - Акцент4 2 11 2" xfId="9861"/>
    <cellStyle name="20% - Акцент4 2 11 3" xfId="5121"/>
    <cellStyle name="20% - Акцент4 2 12" xfId="4957"/>
    <cellStyle name="20% - Акцент4 2 12 2" xfId="9862"/>
    <cellStyle name="20% - Акцент4 2 13" xfId="5008"/>
    <cellStyle name="20% - Акцент4 2 14" xfId="6041"/>
    <cellStyle name="20% - Акцент4 2 15" xfId="6042"/>
    <cellStyle name="20% - Акцент4 2 16" xfId="6043"/>
    <cellStyle name="20% - Акцент4 2 16 2" xfId="9863"/>
    <cellStyle name="20% - Акцент4 2 17" xfId="9864"/>
    <cellStyle name="20% - Акцент4 2 18" xfId="9865"/>
    <cellStyle name="20% - Акцент4 2 19" xfId="9866"/>
    <cellStyle name="20% - Акцент4 2 2" xfId="1092"/>
    <cellStyle name="20% - Акцент4 2 2 2" xfId="1093"/>
    <cellStyle name="20% - Акцент4 2 2 2 2" xfId="6044"/>
    <cellStyle name="20% - Акцент4 2 2 2 3" xfId="5122"/>
    <cellStyle name="20% - Акцент4 2 20" xfId="5120"/>
    <cellStyle name="20% - Акцент4 2 3" xfId="1094"/>
    <cellStyle name="20% - Акцент4 2 3 2" xfId="1095"/>
    <cellStyle name="20% - Акцент4 2 3 3" xfId="6045"/>
    <cellStyle name="20% - Акцент4 2 4" xfId="1096"/>
    <cellStyle name="20% - Акцент4 2 4 2" xfId="6046"/>
    <cellStyle name="20% - Акцент4 2 5" xfId="1097"/>
    <cellStyle name="20% - Акцент4 2 5 2" xfId="6047"/>
    <cellStyle name="20% - Акцент4 2 6" xfId="1098"/>
    <cellStyle name="20% - Акцент4 2 7" xfId="1099"/>
    <cellStyle name="20% - Акцент4 2 8" xfId="1100"/>
    <cellStyle name="20% - Акцент4 2 9" xfId="1101"/>
    <cellStyle name="20% - Акцент4 2_46EE.2011(v1.0)" xfId="1102"/>
    <cellStyle name="20% — акцент4 20" xfId="1103"/>
    <cellStyle name="20% — акцент4 21" xfId="1104"/>
    <cellStyle name="20% - Акцент4 3" xfId="1105"/>
    <cellStyle name="20% — акцент4 3" xfId="1106"/>
    <cellStyle name="20% - Акцент4 3 10" xfId="1107"/>
    <cellStyle name="20% - Акцент4 3 11" xfId="1108"/>
    <cellStyle name="20% - Акцент4 3 12" xfId="4850"/>
    <cellStyle name="20% - Акцент4 3 13" xfId="4956"/>
    <cellStyle name="20% - Акцент4 3 14" xfId="5007"/>
    <cellStyle name="20% - Акцент4 3 15" xfId="5123"/>
    <cellStyle name="20% - Акцент4 3 2" xfId="1109"/>
    <cellStyle name="20% - Акцент4 3 2 2" xfId="1110"/>
    <cellStyle name="20% - Акцент4 3 2 3" xfId="6048"/>
    <cellStyle name="20% - Акцент4 3 3" xfId="1111"/>
    <cellStyle name="20% - Акцент4 3 3 2" xfId="1112"/>
    <cellStyle name="20% - Акцент4 3 3 3" xfId="6049"/>
    <cellStyle name="20% - Акцент4 3 4" xfId="1113"/>
    <cellStyle name="20% - Акцент4 3 4 2" xfId="6050"/>
    <cellStyle name="20% - Акцент4 3 4 2 2" xfId="6051"/>
    <cellStyle name="20% - Акцент4 3 5" xfId="1114"/>
    <cellStyle name="20% - Акцент4 3 6" xfId="1115"/>
    <cellStyle name="20% - Акцент4 3 7" xfId="1116"/>
    <cellStyle name="20% - Акцент4 3 8" xfId="1117"/>
    <cellStyle name="20% - Акцент4 3 9" xfId="1118"/>
    <cellStyle name="20% - Акцент4 3_46EE.2011(v1.0)" xfId="1119"/>
    <cellStyle name="20% - Акцент4 4" xfId="1120"/>
    <cellStyle name="20% — акцент4 4" xfId="1121"/>
    <cellStyle name="20% - Акцент4 4 2" xfId="1122"/>
    <cellStyle name="20% - Акцент4 4 2 2" xfId="1123"/>
    <cellStyle name="20% - Акцент4 4 2 3" xfId="6052"/>
    <cellStyle name="20% - Акцент4 4 3" xfId="1124"/>
    <cellStyle name="20% - Акцент4 4 3 2" xfId="1125"/>
    <cellStyle name="20% - Акцент4 4 3 3" xfId="6053"/>
    <cellStyle name="20% - Акцент4 4 4" xfId="5124"/>
    <cellStyle name="20% - Акцент4 4 4 2" xfId="6054"/>
    <cellStyle name="20% - Акцент4 4_46EE.2011(v1.0)" xfId="1126"/>
    <cellStyle name="20% - Акцент4 5" xfId="1127"/>
    <cellStyle name="20% — акцент4 5" xfId="1128"/>
    <cellStyle name="20% - Акцент4 5 2" xfId="1129"/>
    <cellStyle name="20% - Акцент4 5 2 2" xfId="1130"/>
    <cellStyle name="20% - Акцент4 5 2 3" xfId="6055"/>
    <cellStyle name="20% - Акцент4 5 3" xfId="1131"/>
    <cellStyle name="20% - Акцент4 5 3 2" xfId="1132"/>
    <cellStyle name="20% - Акцент4 5 3 3" xfId="6056"/>
    <cellStyle name="20% - Акцент4 5 4" xfId="5125"/>
    <cellStyle name="20% - Акцент4 5 4 2" xfId="6057"/>
    <cellStyle name="20% - Акцент4 5_46EE.2011(v1.0)" xfId="1133"/>
    <cellStyle name="20% - Акцент4 6" xfId="1134"/>
    <cellStyle name="20% — акцент4 6" xfId="1135"/>
    <cellStyle name="20% - Акцент4 6 2" xfId="1136"/>
    <cellStyle name="20% - Акцент4 6 2 2" xfId="1137"/>
    <cellStyle name="20% - Акцент4 6 2 3" xfId="6058"/>
    <cellStyle name="20% - Акцент4 6 3" xfId="1138"/>
    <cellStyle name="20% - Акцент4 6 3 2" xfId="1139"/>
    <cellStyle name="20% - Акцент4 6 3 3" xfId="6059"/>
    <cellStyle name="20% - Акцент4 6 4" xfId="5126"/>
    <cellStyle name="20% - Акцент4 6 4 2" xfId="6060"/>
    <cellStyle name="20% - Акцент4 6_46EE.2011(v1.0)" xfId="1140"/>
    <cellStyle name="20% - Акцент4 7" xfId="1141"/>
    <cellStyle name="20% — акцент4 7" xfId="1142"/>
    <cellStyle name="20% - Акцент4 7 2" xfId="1143"/>
    <cellStyle name="20% - Акцент4 7 2 2" xfId="1144"/>
    <cellStyle name="20% - Акцент4 7 2 3" xfId="6061"/>
    <cellStyle name="20% - Акцент4 7 3" xfId="1145"/>
    <cellStyle name="20% - Акцент4 7 3 2" xfId="1146"/>
    <cellStyle name="20% - Акцент4 7 3 3" xfId="6062"/>
    <cellStyle name="20% - Акцент4 7 4" xfId="5127"/>
    <cellStyle name="20% - Акцент4 7 4 2" xfId="6063"/>
    <cellStyle name="20% - Акцент4 7_46EE.2011(v1.0)" xfId="1147"/>
    <cellStyle name="20% - Акцент4 8" xfId="1148"/>
    <cellStyle name="20% — акцент4 8" xfId="1149"/>
    <cellStyle name="20% - Акцент4 8 2" xfId="1150"/>
    <cellStyle name="20% - Акцент4 8 2 2" xfId="1151"/>
    <cellStyle name="20% - Акцент4 8 2 3" xfId="6064"/>
    <cellStyle name="20% - Акцент4 8 3" xfId="1152"/>
    <cellStyle name="20% - Акцент4 8 3 2" xfId="1153"/>
    <cellStyle name="20% - Акцент4 8 3 3" xfId="6065"/>
    <cellStyle name="20% - Акцент4 8 4" xfId="1154"/>
    <cellStyle name="20% - Акцент4 8 5" xfId="6066"/>
    <cellStyle name="20% - Акцент4 8_46EE.2011(v1.0)" xfId="1155"/>
    <cellStyle name="20% - Акцент4 9" xfId="1156"/>
    <cellStyle name="20% — акцент4 9" xfId="1157"/>
    <cellStyle name="20% - Акцент4 9 2" xfId="1158"/>
    <cellStyle name="20% - Акцент4 9 2 2" xfId="1159"/>
    <cellStyle name="20% - Акцент4 9 2 3" xfId="6067"/>
    <cellStyle name="20% - Акцент4 9 3" xfId="1160"/>
    <cellStyle name="20% - Акцент4 9 3 2" xfId="1161"/>
    <cellStyle name="20% - Акцент4 9 3 3" xfId="6068"/>
    <cellStyle name="20% - Акцент4 9 4" xfId="1162"/>
    <cellStyle name="20% - Акцент4 9 5" xfId="6069"/>
    <cellStyle name="20% - Акцент4 9_46EE.2011(v1.0)" xfId="1163"/>
    <cellStyle name="20% — акцент4_Расчет тарифа на тэ 2015 СЛФ" xfId="1164"/>
    <cellStyle name="20% — акцент5" xfId="1165"/>
    <cellStyle name="20% - Акцент5 10" xfId="1166"/>
    <cellStyle name="20% — акцент5 10" xfId="1167"/>
    <cellStyle name="20% - Акцент5 10 2" xfId="1168"/>
    <cellStyle name="20% - Акцент5 10 3" xfId="6070"/>
    <cellStyle name="20% - Акцент5 11" xfId="1169"/>
    <cellStyle name="20% — акцент5 11" xfId="1170"/>
    <cellStyle name="20% - Акцент5 11 2" xfId="1171"/>
    <cellStyle name="20% - Акцент5 11 3" xfId="6071"/>
    <cellStyle name="20% - Акцент5 12" xfId="6072"/>
    <cellStyle name="20% — акцент5 12" xfId="1172"/>
    <cellStyle name="20% - Акцент5 12 2" xfId="6073"/>
    <cellStyle name="20% - Акцент5 12 3" xfId="6074"/>
    <cellStyle name="20% - Акцент5 12 4" xfId="6075"/>
    <cellStyle name="20% - Акцент5 13" xfId="6076"/>
    <cellStyle name="20% — акцент5 13" xfId="1173"/>
    <cellStyle name="20% - Акцент5 13 2" xfId="6077"/>
    <cellStyle name="20% - Акцент5 13 3" xfId="6078"/>
    <cellStyle name="20% - Акцент5 13 4" xfId="6079"/>
    <cellStyle name="20% - Акцент5 14" xfId="6080"/>
    <cellStyle name="20% — акцент5 14" xfId="1174"/>
    <cellStyle name="20% - Акцент5 14 2" xfId="6081"/>
    <cellStyle name="20% - Акцент5 14 3" xfId="6082"/>
    <cellStyle name="20% - Акцент5 15" xfId="6083"/>
    <cellStyle name="20% — акцент5 15" xfId="1175"/>
    <cellStyle name="20% - Акцент5 15 2" xfId="6084"/>
    <cellStyle name="20% - Акцент5 15 3" xfId="6085"/>
    <cellStyle name="20% - Акцент5 16" xfId="6086"/>
    <cellStyle name="20% — акцент5 16" xfId="1176"/>
    <cellStyle name="20% - Акцент5 16 2" xfId="6087"/>
    <cellStyle name="20% - Акцент5 16 3" xfId="6088"/>
    <cellStyle name="20% - Акцент5 17" xfId="6089"/>
    <cellStyle name="20% — акцент5 17" xfId="1177"/>
    <cellStyle name="20% - Акцент5 18" xfId="6090"/>
    <cellStyle name="20% — акцент5 18" xfId="1178"/>
    <cellStyle name="20% — акцент5 19" xfId="1179"/>
    <cellStyle name="20% - Акцент5 2" xfId="1180"/>
    <cellStyle name="20% — акцент5 2" xfId="1181"/>
    <cellStyle name="20% - Акцент5 2 1" xfId="6091"/>
    <cellStyle name="20% - Акцент5 2 10" xfId="1182"/>
    <cellStyle name="20% - Акцент5 2 11" xfId="4851"/>
    <cellStyle name="20% - Акцент5 2 11 2" xfId="9867"/>
    <cellStyle name="20% - Акцент5 2 11 3" xfId="5129"/>
    <cellStyle name="20% - Акцент5 2 12" xfId="4955"/>
    <cellStyle name="20% - Акцент5 2 12 2" xfId="9868"/>
    <cellStyle name="20% - Акцент5 2 13" xfId="5006"/>
    <cellStyle name="20% - Акцент5 2 14" xfId="6092"/>
    <cellStyle name="20% - Акцент5 2 15" xfId="6093"/>
    <cellStyle name="20% - Акцент5 2 16" xfId="6094"/>
    <cellStyle name="20% - Акцент5 2 16 2" xfId="9869"/>
    <cellStyle name="20% - Акцент5 2 17" xfId="9870"/>
    <cellStyle name="20% - Акцент5 2 18" xfId="9871"/>
    <cellStyle name="20% - Акцент5 2 19" xfId="9872"/>
    <cellStyle name="20% - Акцент5 2 2" xfId="1183"/>
    <cellStyle name="20% - Акцент5 2 2 2" xfId="1184"/>
    <cellStyle name="20% - Акцент5 2 2 2 2" xfId="6095"/>
    <cellStyle name="20% - Акцент5 2 2 2 3" xfId="5130"/>
    <cellStyle name="20% - Акцент5 2 20" xfId="5128"/>
    <cellStyle name="20% - Акцент5 2 3" xfId="1185"/>
    <cellStyle name="20% - Акцент5 2 3 2" xfId="1186"/>
    <cellStyle name="20% - Акцент5 2 3 3" xfId="6096"/>
    <cellStyle name="20% - Акцент5 2 4" xfId="1187"/>
    <cellStyle name="20% - Акцент5 2 4 2" xfId="6097"/>
    <cellStyle name="20% - Акцент5 2 5" xfId="1188"/>
    <cellStyle name="20% - Акцент5 2 5 2" xfId="6098"/>
    <cellStyle name="20% - Акцент5 2 6" xfId="1189"/>
    <cellStyle name="20% - Акцент5 2 7" xfId="1190"/>
    <cellStyle name="20% - Акцент5 2 8" xfId="1191"/>
    <cellStyle name="20% - Акцент5 2 9" xfId="1192"/>
    <cellStyle name="20% - Акцент5 2_46EE.2011(v1.0)" xfId="1193"/>
    <cellStyle name="20% — акцент5 20" xfId="1194"/>
    <cellStyle name="20% — акцент5 21" xfId="1195"/>
    <cellStyle name="20% - Акцент5 3" xfId="1196"/>
    <cellStyle name="20% — акцент5 3" xfId="1197"/>
    <cellStyle name="20% - Акцент5 3 10" xfId="1198"/>
    <cellStyle name="20% - Акцент5 3 11" xfId="1199"/>
    <cellStyle name="20% - Акцент5 3 12" xfId="4852"/>
    <cellStyle name="20% - Акцент5 3 13" xfId="4899"/>
    <cellStyle name="20% - Акцент5 3 14" xfId="5005"/>
    <cellStyle name="20% - Акцент5 3 15" xfId="5131"/>
    <cellStyle name="20% - Акцент5 3 2" xfId="1200"/>
    <cellStyle name="20% - Акцент5 3 2 2" xfId="1201"/>
    <cellStyle name="20% - Акцент5 3 2 3" xfId="6099"/>
    <cellStyle name="20% - Акцент5 3 3" xfId="1202"/>
    <cellStyle name="20% - Акцент5 3 3 2" xfId="1203"/>
    <cellStyle name="20% - Акцент5 3 3 3" xfId="6100"/>
    <cellStyle name="20% - Акцент5 3 4" xfId="1204"/>
    <cellStyle name="20% - Акцент5 3 4 2" xfId="6101"/>
    <cellStyle name="20% - Акцент5 3 4 2 2" xfId="6102"/>
    <cellStyle name="20% - Акцент5 3 5" xfId="1205"/>
    <cellStyle name="20% - Акцент5 3 6" xfId="1206"/>
    <cellStyle name="20% - Акцент5 3 7" xfId="1207"/>
    <cellStyle name="20% - Акцент5 3 8" xfId="1208"/>
    <cellStyle name="20% - Акцент5 3 9" xfId="1209"/>
    <cellStyle name="20% - Акцент5 3_46EE.2011(v1.0)" xfId="1210"/>
    <cellStyle name="20% - Акцент5 4" xfId="1211"/>
    <cellStyle name="20% — акцент5 4" xfId="1212"/>
    <cellStyle name="20% - Акцент5 4 2" xfId="1213"/>
    <cellStyle name="20% - Акцент5 4 2 2" xfId="1214"/>
    <cellStyle name="20% - Акцент5 4 2 3" xfId="6103"/>
    <cellStyle name="20% - Акцент5 4 3" xfId="1215"/>
    <cellStyle name="20% - Акцент5 4 3 2" xfId="1216"/>
    <cellStyle name="20% - Акцент5 4 3 3" xfId="6104"/>
    <cellStyle name="20% - Акцент5 4 4" xfId="5132"/>
    <cellStyle name="20% - Акцент5 4 4 2" xfId="6105"/>
    <cellStyle name="20% - Акцент5 4_46EE.2011(v1.0)" xfId="1217"/>
    <cellStyle name="20% - Акцент5 5" xfId="1218"/>
    <cellStyle name="20% — акцент5 5" xfId="1219"/>
    <cellStyle name="20% - Акцент5 5 2" xfId="1220"/>
    <cellStyle name="20% - Акцент5 5 2 2" xfId="1221"/>
    <cellStyle name="20% - Акцент5 5 2 3" xfId="6106"/>
    <cellStyle name="20% - Акцент5 5 3" xfId="1222"/>
    <cellStyle name="20% - Акцент5 5 3 2" xfId="1223"/>
    <cellStyle name="20% - Акцент5 5 3 3" xfId="6107"/>
    <cellStyle name="20% - Акцент5 5 4" xfId="5133"/>
    <cellStyle name="20% - Акцент5 5 4 2" xfId="6108"/>
    <cellStyle name="20% - Акцент5 5_46EE.2011(v1.0)" xfId="1224"/>
    <cellStyle name="20% - Акцент5 6" xfId="1225"/>
    <cellStyle name="20% — акцент5 6" xfId="1226"/>
    <cellStyle name="20% - Акцент5 6 2" xfId="1227"/>
    <cellStyle name="20% - Акцент5 6 2 2" xfId="1228"/>
    <cellStyle name="20% - Акцент5 6 2 3" xfId="6109"/>
    <cellStyle name="20% - Акцент5 6 3" xfId="1229"/>
    <cellStyle name="20% - Акцент5 6 3 2" xfId="1230"/>
    <cellStyle name="20% - Акцент5 6 3 3" xfId="6110"/>
    <cellStyle name="20% - Акцент5 6 4" xfId="5134"/>
    <cellStyle name="20% - Акцент5 6 4 2" xfId="6111"/>
    <cellStyle name="20% - Акцент5 6_46EE.2011(v1.0)" xfId="1231"/>
    <cellStyle name="20% - Акцент5 7" xfId="1232"/>
    <cellStyle name="20% — акцент5 7" xfId="1233"/>
    <cellStyle name="20% - Акцент5 7 2" xfId="1234"/>
    <cellStyle name="20% - Акцент5 7 2 2" xfId="1235"/>
    <cellStyle name="20% - Акцент5 7 2 3" xfId="6112"/>
    <cellStyle name="20% - Акцент5 7 3" xfId="1236"/>
    <cellStyle name="20% - Акцент5 7 3 2" xfId="1237"/>
    <cellStyle name="20% - Акцент5 7 3 3" xfId="6113"/>
    <cellStyle name="20% - Акцент5 7 4" xfId="5135"/>
    <cellStyle name="20% - Акцент5 7 4 2" xfId="6114"/>
    <cellStyle name="20% - Акцент5 7_46EE.2011(v1.0)" xfId="1238"/>
    <cellStyle name="20% - Акцент5 8" xfId="1239"/>
    <cellStyle name="20% — акцент5 8" xfId="1240"/>
    <cellStyle name="20% - Акцент5 8 2" xfId="1241"/>
    <cellStyle name="20% - Акцент5 8 2 2" xfId="1242"/>
    <cellStyle name="20% - Акцент5 8 2 3" xfId="6115"/>
    <cellStyle name="20% - Акцент5 8 3" xfId="1243"/>
    <cellStyle name="20% - Акцент5 8 3 2" xfId="1244"/>
    <cellStyle name="20% - Акцент5 8 3 3" xfId="6116"/>
    <cellStyle name="20% - Акцент5 8 4" xfId="1245"/>
    <cellStyle name="20% - Акцент5 8 5" xfId="6117"/>
    <cellStyle name="20% - Акцент5 8_46EE.2011(v1.0)" xfId="1246"/>
    <cellStyle name="20% - Акцент5 9" xfId="1247"/>
    <cellStyle name="20% — акцент5 9" xfId="1248"/>
    <cellStyle name="20% - Акцент5 9 2" xfId="1249"/>
    <cellStyle name="20% - Акцент5 9 2 2" xfId="1250"/>
    <cellStyle name="20% - Акцент5 9 2 3" xfId="6118"/>
    <cellStyle name="20% - Акцент5 9 3" xfId="1251"/>
    <cellStyle name="20% - Акцент5 9 3 2" xfId="1252"/>
    <cellStyle name="20% - Акцент5 9 3 3" xfId="6119"/>
    <cellStyle name="20% - Акцент5 9 4" xfId="1253"/>
    <cellStyle name="20% - Акцент5 9 5" xfId="6120"/>
    <cellStyle name="20% - Акцент5 9_46EE.2011(v1.0)" xfId="1254"/>
    <cellStyle name="20% — акцент5_Расчет тарифа на тэ 2015 СЛФ" xfId="1255"/>
    <cellStyle name="20% — акцент6" xfId="1256"/>
    <cellStyle name="20% - Акцент6 10" xfId="1257"/>
    <cellStyle name="20% — акцент6 10" xfId="1258"/>
    <cellStyle name="20% - Акцент6 10 2" xfId="1259"/>
    <cellStyle name="20% - Акцент6 10 3" xfId="6121"/>
    <cellStyle name="20% - Акцент6 11" xfId="1260"/>
    <cellStyle name="20% — акцент6 11" xfId="1261"/>
    <cellStyle name="20% - Акцент6 11 2" xfId="1262"/>
    <cellStyle name="20% - Акцент6 11 3" xfId="6122"/>
    <cellStyle name="20% - Акцент6 12" xfId="6123"/>
    <cellStyle name="20% — акцент6 12" xfId="1263"/>
    <cellStyle name="20% - Акцент6 12 2" xfId="6124"/>
    <cellStyle name="20% - Акцент6 12 3" xfId="6125"/>
    <cellStyle name="20% - Акцент6 12 4" xfId="6126"/>
    <cellStyle name="20% - Акцент6 13" xfId="6127"/>
    <cellStyle name="20% — акцент6 13" xfId="1264"/>
    <cellStyle name="20% - Акцент6 13 2" xfId="6128"/>
    <cellStyle name="20% - Акцент6 13 3" xfId="6129"/>
    <cellStyle name="20% - Акцент6 13 4" xfId="6130"/>
    <cellStyle name="20% - Акцент6 14" xfId="6131"/>
    <cellStyle name="20% — акцент6 14" xfId="1265"/>
    <cellStyle name="20% - Акцент6 14 2" xfId="6132"/>
    <cellStyle name="20% - Акцент6 14 3" xfId="6133"/>
    <cellStyle name="20% - Акцент6 15" xfId="6134"/>
    <cellStyle name="20% — акцент6 15" xfId="1266"/>
    <cellStyle name="20% - Акцент6 15 2" xfId="6135"/>
    <cellStyle name="20% - Акцент6 15 3" xfId="6136"/>
    <cellStyle name="20% - Акцент6 16" xfId="6137"/>
    <cellStyle name="20% — акцент6 16" xfId="1267"/>
    <cellStyle name="20% - Акцент6 16 2" xfId="6138"/>
    <cellStyle name="20% - Акцент6 16 3" xfId="6139"/>
    <cellStyle name="20% - Акцент6 17" xfId="6140"/>
    <cellStyle name="20% — акцент6 17" xfId="1268"/>
    <cellStyle name="20% - Акцент6 18" xfId="6141"/>
    <cellStyle name="20% — акцент6 18" xfId="1269"/>
    <cellStyle name="20% — акцент6 19" xfId="1270"/>
    <cellStyle name="20% - Акцент6 2" xfId="1271"/>
    <cellStyle name="20% — акцент6 2" xfId="1272"/>
    <cellStyle name="20% - Акцент6 2 1" xfId="6142"/>
    <cellStyle name="20% - Акцент6 2 10" xfId="1273"/>
    <cellStyle name="20% - Акцент6 2 11" xfId="4853"/>
    <cellStyle name="20% - Акцент6 2 11 2" xfId="9873"/>
    <cellStyle name="20% - Акцент6 2 11 3" xfId="5137"/>
    <cellStyle name="20% - Акцент6 2 12" xfId="4954"/>
    <cellStyle name="20% - Акцент6 2 12 2" xfId="9874"/>
    <cellStyle name="20% - Акцент6 2 13" xfId="5004"/>
    <cellStyle name="20% - Акцент6 2 14" xfId="6143"/>
    <cellStyle name="20% - Акцент6 2 15" xfId="6144"/>
    <cellStyle name="20% - Акцент6 2 16" xfId="6145"/>
    <cellStyle name="20% - Акцент6 2 16 2" xfId="9875"/>
    <cellStyle name="20% - Акцент6 2 17" xfId="9876"/>
    <cellStyle name="20% - Акцент6 2 18" xfId="9877"/>
    <cellStyle name="20% - Акцент6 2 19" xfId="9878"/>
    <cellStyle name="20% - Акцент6 2 2" xfId="1274"/>
    <cellStyle name="20% - Акцент6 2 2 2" xfId="1275"/>
    <cellStyle name="20% - Акцент6 2 2 2 2" xfId="6146"/>
    <cellStyle name="20% - Акцент6 2 2 2 3" xfId="5138"/>
    <cellStyle name="20% - Акцент6 2 20" xfId="5136"/>
    <cellStyle name="20% - Акцент6 2 3" xfId="1276"/>
    <cellStyle name="20% - Акцент6 2 3 2" xfId="1277"/>
    <cellStyle name="20% - Акцент6 2 3 3" xfId="6147"/>
    <cellStyle name="20% - Акцент6 2 4" xfId="1278"/>
    <cellStyle name="20% - Акцент6 2 4 2" xfId="6148"/>
    <cellStyle name="20% - Акцент6 2 5" xfId="1279"/>
    <cellStyle name="20% - Акцент6 2 5 2" xfId="6149"/>
    <cellStyle name="20% - Акцент6 2 6" xfId="1280"/>
    <cellStyle name="20% - Акцент6 2 7" xfId="1281"/>
    <cellStyle name="20% - Акцент6 2 8" xfId="1282"/>
    <cellStyle name="20% - Акцент6 2 9" xfId="1283"/>
    <cellStyle name="20% - Акцент6 2_46EE.2011(v1.0)" xfId="1284"/>
    <cellStyle name="20% — акцент6 20" xfId="1285"/>
    <cellStyle name="20% — акцент6 21" xfId="1286"/>
    <cellStyle name="20% - Акцент6 3" xfId="1287"/>
    <cellStyle name="20% — акцент6 3" xfId="1288"/>
    <cellStyle name="20% - Акцент6 3 10" xfId="1289"/>
    <cellStyle name="20% - Акцент6 3 11" xfId="1290"/>
    <cellStyle name="20% - Акцент6 3 12" xfId="4854"/>
    <cellStyle name="20% - Акцент6 3 13" xfId="4953"/>
    <cellStyle name="20% - Акцент6 3 14" xfId="5003"/>
    <cellStyle name="20% - Акцент6 3 15" xfId="5139"/>
    <cellStyle name="20% - Акцент6 3 2" xfId="1291"/>
    <cellStyle name="20% - Акцент6 3 2 2" xfId="1292"/>
    <cellStyle name="20% - Акцент6 3 2 3" xfId="6150"/>
    <cellStyle name="20% - Акцент6 3 3" xfId="1293"/>
    <cellStyle name="20% - Акцент6 3 3 2" xfId="1294"/>
    <cellStyle name="20% - Акцент6 3 3 3" xfId="6151"/>
    <cellStyle name="20% - Акцент6 3 4" xfId="1295"/>
    <cellStyle name="20% - Акцент6 3 4 2" xfId="6152"/>
    <cellStyle name="20% - Акцент6 3 4 2 2" xfId="6153"/>
    <cellStyle name="20% - Акцент6 3 5" xfId="1296"/>
    <cellStyle name="20% - Акцент6 3 6" xfId="1297"/>
    <cellStyle name="20% - Акцент6 3 7" xfId="1298"/>
    <cellStyle name="20% - Акцент6 3 8" xfId="1299"/>
    <cellStyle name="20% - Акцент6 3 9" xfId="1300"/>
    <cellStyle name="20% - Акцент6 3_46EE.2011(v1.0)" xfId="1301"/>
    <cellStyle name="20% - Акцент6 4" xfId="1302"/>
    <cellStyle name="20% — акцент6 4" xfId="1303"/>
    <cellStyle name="20% - Акцент6 4 2" xfId="1304"/>
    <cellStyle name="20% - Акцент6 4 2 2" xfId="1305"/>
    <cellStyle name="20% - Акцент6 4 2 3" xfId="6154"/>
    <cellStyle name="20% - Акцент6 4 3" xfId="1306"/>
    <cellStyle name="20% - Акцент6 4 3 2" xfId="1307"/>
    <cellStyle name="20% - Акцент6 4 3 3" xfId="6155"/>
    <cellStyle name="20% - Акцент6 4 4" xfId="5140"/>
    <cellStyle name="20% - Акцент6 4 4 2" xfId="6156"/>
    <cellStyle name="20% - Акцент6 4_46EE.2011(v1.0)" xfId="1308"/>
    <cellStyle name="20% - Акцент6 5" xfId="1309"/>
    <cellStyle name="20% — акцент6 5" xfId="1310"/>
    <cellStyle name="20% - Акцент6 5 2" xfId="1311"/>
    <cellStyle name="20% - Акцент6 5 2 2" xfId="1312"/>
    <cellStyle name="20% - Акцент6 5 2 3" xfId="6157"/>
    <cellStyle name="20% - Акцент6 5 3" xfId="1313"/>
    <cellStyle name="20% - Акцент6 5 3 2" xfId="1314"/>
    <cellStyle name="20% - Акцент6 5 3 3" xfId="6158"/>
    <cellStyle name="20% - Акцент6 5 4" xfId="5141"/>
    <cellStyle name="20% - Акцент6 5 4 2" xfId="6159"/>
    <cellStyle name="20% - Акцент6 5_46EE.2011(v1.0)" xfId="1315"/>
    <cellStyle name="20% - Акцент6 6" xfId="1316"/>
    <cellStyle name="20% — акцент6 6" xfId="1317"/>
    <cellStyle name="20% - Акцент6 6 2" xfId="1318"/>
    <cellStyle name="20% - Акцент6 6 2 2" xfId="1319"/>
    <cellStyle name="20% - Акцент6 6 2 3" xfId="6160"/>
    <cellStyle name="20% - Акцент6 6 3" xfId="1320"/>
    <cellStyle name="20% - Акцент6 6 3 2" xfId="1321"/>
    <cellStyle name="20% - Акцент6 6 3 3" xfId="6161"/>
    <cellStyle name="20% - Акцент6 6 4" xfId="5142"/>
    <cellStyle name="20% - Акцент6 6 4 2" xfId="6162"/>
    <cellStyle name="20% - Акцент6 6_46EE.2011(v1.0)" xfId="1322"/>
    <cellStyle name="20% - Акцент6 7" xfId="1323"/>
    <cellStyle name="20% — акцент6 7" xfId="1324"/>
    <cellStyle name="20% - Акцент6 7 2" xfId="1325"/>
    <cellStyle name="20% - Акцент6 7 2 2" xfId="1326"/>
    <cellStyle name="20% - Акцент6 7 2 3" xfId="6163"/>
    <cellStyle name="20% - Акцент6 7 3" xfId="1327"/>
    <cellStyle name="20% - Акцент6 7 3 2" xfId="1328"/>
    <cellStyle name="20% - Акцент6 7 3 3" xfId="6164"/>
    <cellStyle name="20% - Акцент6 7 4" xfId="5143"/>
    <cellStyle name="20% - Акцент6 7 4 2" xfId="6165"/>
    <cellStyle name="20% - Акцент6 7_46EE.2011(v1.0)" xfId="1329"/>
    <cellStyle name="20% - Акцент6 8" xfId="1330"/>
    <cellStyle name="20% — акцент6 8" xfId="1331"/>
    <cellStyle name="20% - Акцент6 8 2" xfId="1332"/>
    <cellStyle name="20% - Акцент6 8 2 2" xfId="1333"/>
    <cellStyle name="20% - Акцент6 8 2 3" xfId="6166"/>
    <cellStyle name="20% - Акцент6 8 3" xfId="1334"/>
    <cellStyle name="20% - Акцент6 8 3 2" xfId="1335"/>
    <cellStyle name="20% - Акцент6 8 3 3" xfId="6167"/>
    <cellStyle name="20% - Акцент6 8 4" xfId="1336"/>
    <cellStyle name="20% - Акцент6 8 5" xfId="6168"/>
    <cellStyle name="20% - Акцент6 8_46EE.2011(v1.0)" xfId="1337"/>
    <cellStyle name="20% - Акцент6 9" xfId="1338"/>
    <cellStyle name="20% — акцент6 9" xfId="1339"/>
    <cellStyle name="20% - Акцент6 9 2" xfId="1340"/>
    <cellStyle name="20% - Акцент6 9 2 2" xfId="1341"/>
    <cellStyle name="20% - Акцент6 9 2 3" xfId="6169"/>
    <cellStyle name="20% - Акцент6 9 3" xfId="1342"/>
    <cellStyle name="20% - Акцент6 9 3 2" xfId="1343"/>
    <cellStyle name="20% - Акцент6 9 3 3" xfId="6170"/>
    <cellStyle name="20% - Акцент6 9 4" xfId="1344"/>
    <cellStyle name="20% - Акцент6 9 5" xfId="6171"/>
    <cellStyle name="20% - Акцент6 9_46EE.2011(v1.0)" xfId="1345"/>
    <cellStyle name="20% — акцент6_Расчет тарифа на тэ 2015 СЛФ" xfId="1346"/>
    <cellStyle name="40% - Accent1" xfId="1347"/>
    <cellStyle name="40% - Accent1 1" xfId="6172"/>
    <cellStyle name="40% - Accent1 2" xfId="1348"/>
    <cellStyle name="40% - Accent1 2 2" xfId="1349"/>
    <cellStyle name="40% - Accent1 2 2 2" xfId="6173"/>
    <cellStyle name="40% - Accent1 2 3" xfId="6174"/>
    <cellStyle name="40% - Accent1 3" xfId="1350"/>
    <cellStyle name="40% - Accent1 3 2" xfId="1351"/>
    <cellStyle name="40% - Accent1 3 2 2" xfId="6175"/>
    <cellStyle name="40% - Accent1 3 3" xfId="6176"/>
    <cellStyle name="40% - Accent1 4" xfId="1352"/>
    <cellStyle name="40% - Accent1 4 2" xfId="6178"/>
    <cellStyle name="40% - Accent1 4 3" xfId="6177"/>
    <cellStyle name="40% - Accent1 5" xfId="6179"/>
    <cellStyle name="40% - Accent1_46EE.2011(v1.0)" xfId="1353"/>
    <cellStyle name="40% - Accent2" xfId="1354"/>
    <cellStyle name="40% - Accent2 1" xfId="6180"/>
    <cellStyle name="40% - Accent2 2" xfId="1355"/>
    <cellStyle name="40% - Accent2 2 2" xfId="1356"/>
    <cellStyle name="40% - Accent2 2 2 2" xfId="6181"/>
    <cellStyle name="40% - Accent2 2 3" xfId="6182"/>
    <cellStyle name="40% - Accent2 3" xfId="1357"/>
    <cellStyle name="40% - Accent2 3 2" xfId="1358"/>
    <cellStyle name="40% - Accent2 3 2 2" xfId="6183"/>
    <cellStyle name="40% - Accent2 3 3" xfId="6184"/>
    <cellStyle name="40% - Accent2 4" xfId="1359"/>
    <cellStyle name="40% - Accent2 4 2" xfId="6186"/>
    <cellStyle name="40% - Accent2 4 3" xfId="6185"/>
    <cellStyle name="40% - Accent2 5" xfId="6187"/>
    <cellStyle name="40% - Accent2_46EE.2011(v1.0)" xfId="1360"/>
    <cellStyle name="40% - Accent3" xfId="1361"/>
    <cellStyle name="40% - Accent3 1" xfId="6188"/>
    <cellStyle name="40% - Accent3 2" xfId="1362"/>
    <cellStyle name="40% - Accent3 2 2" xfId="1363"/>
    <cellStyle name="40% - Accent3 2 2 2" xfId="6189"/>
    <cellStyle name="40% - Accent3 2 3" xfId="6190"/>
    <cellStyle name="40% - Accent3 3" xfId="1364"/>
    <cellStyle name="40% - Accent3 3 2" xfId="1365"/>
    <cellStyle name="40% - Accent3 3 2 2" xfId="6191"/>
    <cellStyle name="40% - Accent3 3 3" xfId="6192"/>
    <cellStyle name="40% - Accent3 4" xfId="1366"/>
    <cellStyle name="40% - Accent3 4 2" xfId="6194"/>
    <cellStyle name="40% - Accent3 4 3" xfId="6193"/>
    <cellStyle name="40% - Accent3 5" xfId="6195"/>
    <cellStyle name="40% - Accent3_46EE.2011(v1.0)" xfId="1367"/>
    <cellStyle name="40% - Accent4" xfId="1368"/>
    <cellStyle name="40% - Accent4 1" xfId="6196"/>
    <cellStyle name="40% - Accent4 2" xfId="1369"/>
    <cellStyle name="40% - Accent4 2 2" xfId="1370"/>
    <cellStyle name="40% - Accent4 2 2 2" xfId="6197"/>
    <cellStyle name="40% - Accent4 2 3" xfId="6198"/>
    <cellStyle name="40% - Accent4 3" xfId="1371"/>
    <cellStyle name="40% - Accent4 3 2" xfId="1372"/>
    <cellStyle name="40% - Accent4 3 2 2" xfId="6199"/>
    <cellStyle name="40% - Accent4 3 3" xfId="6200"/>
    <cellStyle name="40% - Accent4 4" xfId="1373"/>
    <cellStyle name="40% - Accent4 4 2" xfId="6202"/>
    <cellStyle name="40% - Accent4 4 3" xfId="6201"/>
    <cellStyle name="40% - Accent4 5" xfId="6203"/>
    <cellStyle name="40% - Accent4_46EE.2011(v1.0)" xfId="1374"/>
    <cellStyle name="40% - Accent5" xfId="1375"/>
    <cellStyle name="40% - Accent5 1" xfId="6204"/>
    <cellStyle name="40% - Accent5 2" xfId="1376"/>
    <cellStyle name="40% - Accent5 2 2" xfId="1377"/>
    <cellStyle name="40% - Accent5 2 2 2" xfId="6205"/>
    <cellStyle name="40% - Accent5 2 3" xfId="6206"/>
    <cellStyle name="40% - Accent5 3" xfId="1378"/>
    <cellStyle name="40% - Accent5 3 2" xfId="1379"/>
    <cellStyle name="40% - Accent5 3 2 2" xfId="6207"/>
    <cellStyle name="40% - Accent5 3 3" xfId="6208"/>
    <cellStyle name="40% - Accent5 4" xfId="1380"/>
    <cellStyle name="40% - Accent5 4 2" xfId="6210"/>
    <cellStyle name="40% - Accent5 4 3" xfId="6209"/>
    <cellStyle name="40% - Accent5 5" xfId="6211"/>
    <cellStyle name="40% - Accent5_46EE.2011(v1.0)" xfId="1381"/>
    <cellStyle name="40% - Accent6" xfId="1382"/>
    <cellStyle name="40% - Accent6 1" xfId="6212"/>
    <cellStyle name="40% - Accent6 2" xfId="1383"/>
    <cellStyle name="40% - Accent6 2 2" xfId="1384"/>
    <cellStyle name="40% - Accent6 2 2 2" xfId="6213"/>
    <cellStyle name="40% - Accent6 2 3" xfId="6214"/>
    <cellStyle name="40% - Accent6 3" xfId="1385"/>
    <cellStyle name="40% - Accent6 3 2" xfId="1386"/>
    <cellStyle name="40% - Accent6 3 2 2" xfId="6215"/>
    <cellStyle name="40% - Accent6 3 3" xfId="6216"/>
    <cellStyle name="40% - Accent6 4" xfId="1387"/>
    <cellStyle name="40% - Accent6 4 2" xfId="6218"/>
    <cellStyle name="40% - Accent6 4 3" xfId="6217"/>
    <cellStyle name="40% - Accent6 5" xfId="6219"/>
    <cellStyle name="40% - Accent6_46EE.2011(v1.0)" xfId="1388"/>
    <cellStyle name="40% — акцент1" xfId="1389"/>
    <cellStyle name="40% - Акцент1 10" xfId="1390"/>
    <cellStyle name="40% — акцент1 10" xfId="1391"/>
    <cellStyle name="40% - Акцент1 10 2" xfId="1392"/>
    <cellStyle name="40% - Акцент1 10 3" xfId="6220"/>
    <cellStyle name="40% - Акцент1 11" xfId="1393"/>
    <cellStyle name="40% — акцент1 11" xfId="1394"/>
    <cellStyle name="40% - Акцент1 11 2" xfId="1395"/>
    <cellStyle name="40% - Акцент1 11 3" xfId="6221"/>
    <cellStyle name="40% - Акцент1 12" xfId="6222"/>
    <cellStyle name="40% — акцент1 12" xfId="1396"/>
    <cellStyle name="40% - Акцент1 12 2" xfId="6223"/>
    <cellStyle name="40% - Акцент1 12 3" xfId="6224"/>
    <cellStyle name="40% - Акцент1 12 4" xfId="6225"/>
    <cellStyle name="40% - Акцент1 13" xfId="6226"/>
    <cellStyle name="40% — акцент1 13" xfId="1397"/>
    <cellStyle name="40% - Акцент1 13 2" xfId="6227"/>
    <cellStyle name="40% — акцент1 13 2" xfId="4540"/>
    <cellStyle name="40% - Акцент1 13 3" xfId="6228"/>
    <cellStyle name="40% — акцент1 13 3" xfId="4820"/>
    <cellStyle name="40% - Акцент1 13 4" xfId="6229"/>
    <cellStyle name="40% - Акцент1 14" xfId="6230"/>
    <cellStyle name="40% — акцент1 14" xfId="1398"/>
    <cellStyle name="40% - Акцент1 14 2" xfId="6231"/>
    <cellStyle name="40% — акцент1 14 2" xfId="4541"/>
    <cellStyle name="40% - Акцент1 14 3" xfId="6232"/>
    <cellStyle name="40% — акцент1 14 3" xfId="4819"/>
    <cellStyle name="40% - Акцент1 15" xfId="6233"/>
    <cellStyle name="40% — акцент1 15" xfId="1399"/>
    <cellStyle name="40% - Акцент1 15 2" xfId="6234"/>
    <cellStyle name="40% — акцент1 15 2" xfId="4542"/>
    <cellStyle name="40% - Акцент1 15 3" xfId="6235"/>
    <cellStyle name="40% — акцент1 15 3" xfId="4818"/>
    <cellStyle name="40% - Акцент1 16" xfId="6236"/>
    <cellStyle name="40% — акцент1 16" xfId="1400"/>
    <cellStyle name="40% - Акцент1 16 2" xfId="6237"/>
    <cellStyle name="40% — акцент1 16 2" xfId="4543"/>
    <cellStyle name="40% - Акцент1 16 3" xfId="6238"/>
    <cellStyle name="40% — акцент1 16 3" xfId="4817"/>
    <cellStyle name="40% - Акцент1 17" xfId="6239"/>
    <cellStyle name="40% — акцент1 17" xfId="1401"/>
    <cellStyle name="40% — акцент1 17 2" xfId="4544"/>
    <cellStyle name="40% - Акцент1 18" xfId="6240"/>
    <cellStyle name="40% — акцент1 18" xfId="1402"/>
    <cellStyle name="40% — акцент1 19" xfId="1403"/>
    <cellStyle name="40% - Акцент1 2" xfId="1404"/>
    <cellStyle name="40% — акцент1 2" xfId="1405"/>
    <cellStyle name="40% - Акцент1 2 1" xfId="6241"/>
    <cellStyle name="40% - Акцент1 2 10" xfId="1406"/>
    <cellStyle name="40% - Акцент1 2 11" xfId="4855"/>
    <cellStyle name="40% - Акцент1 2 11 2" xfId="9879"/>
    <cellStyle name="40% - Акцент1 2 11 3" xfId="5145"/>
    <cellStyle name="40% - Акцент1 2 12" xfId="4952"/>
    <cellStyle name="40% - Акцент1 2 12 2" xfId="9880"/>
    <cellStyle name="40% - Акцент1 2 13" xfId="5015"/>
    <cellStyle name="40% - Акцент1 2 14" xfId="6242"/>
    <cellStyle name="40% - Акцент1 2 15" xfId="6243"/>
    <cellStyle name="40% - Акцент1 2 16" xfId="6244"/>
    <cellStyle name="40% - Акцент1 2 16 2" xfId="9881"/>
    <cellStyle name="40% - Акцент1 2 17" xfId="9882"/>
    <cellStyle name="40% - Акцент1 2 18" xfId="9883"/>
    <cellStyle name="40% - Акцент1 2 19" xfId="9884"/>
    <cellStyle name="40% - Акцент1 2 2" xfId="1407"/>
    <cellStyle name="40% - Акцент1 2 2 2" xfId="1408"/>
    <cellStyle name="40% - Акцент1 2 2 2 2" xfId="6245"/>
    <cellStyle name="40% - Акцент1 2 2 2 3" xfId="5146"/>
    <cellStyle name="40% - Акцент1 2 20" xfId="5144"/>
    <cellStyle name="40% - Акцент1 2 3" xfId="1409"/>
    <cellStyle name="40% - Акцент1 2 3 2" xfId="1410"/>
    <cellStyle name="40% - Акцент1 2 3 3" xfId="6246"/>
    <cellStyle name="40% - Акцент1 2 4" xfId="1411"/>
    <cellStyle name="40% - Акцент1 2 4 2" xfId="6247"/>
    <cellStyle name="40% - Акцент1 2 5" xfId="1412"/>
    <cellStyle name="40% - Акцент1 2 5 2" xfId="6248"/>
    <cellStyle name="40% - Акцент1 2 6" xfId="1413"/>
    <cellStyle name="40% - Акцент1 2 7" xfId="1414"/>
    <cellStyle name="40% - Акцент1 2 8" xfId="1415"/>
    <cellStyle name="40% - Акцент1 2 9" xfId="1416"/>
    <cellStyle name="40% - Акцент1 2_46EE.2011(v1.0)" xfId="1417"/>
    <cellStyle name="40% — акцент1 20" xfId="1418"/>
    <cellStyle name="40% — акцент1 21" xfId="1419"/>
    <cellStyle name="40% — акцент1 22" xfId="4517"/>
    <cellStyle name="40% — акцент1 23" xfId="4531"/>
    <cellStyle name="40% — акцент1 24" xfId="4516"/>
    <cellStyle name="40% — акцент1 25" xfId="4530"/>
    <cellStyle name="40% — акцент1 26" xfId="4822"/>
    <cellStyle name="40% — акцент1 27" xfId="4829"/>
    <cellStyle name="40% - Акцент1 3" xfId="1420"/>
    <cellStyle name="40% — акцент1 3" xfId="1421"/>
    <cellStyle name="40% - Акцент1 3 10" xfId="1422"/>
    <cellStyle name="40% - Акцент1 3 11" xfId="1423"/>
    <cellStyle name="40% - Акцент1 3 12" xfId="4856"/>
    <cellStyle name="40% - Акцент1 3 13" xfId="4951"/>
    <cellStyle name="40% - Акцент1 3 14" xfId="4924"/>
    <cellStyle name="40% - Акцент1 3 15" xfId="5147"/>
    <cellStyle name="40% - Акцент1 3 2" xfId="1424"/>
    <cellStyle name="40% — акцент1 3 2" xfId="4545"/>
    <cellStyle name="40% - Акцент1 3 2 2" xfId="1425"/>
    <cellStyle name="40% — акцент1 3 2 2" xfId="6249"/>
    <cellStyle name="40% - Акцент1 3 2 3" xfId="6250"/>
    <cellStyle name="40% — акцент1 3 2 3" xfId="10073"/>
    <cellStyle name="40% - Акцент1 3 3" xfId="1426"/>
    <cellStyle name="40% — акцент1 3 3" xfId="4509"/>
    <cellStyle name="40% - Акцент1 3 3 2" xfId="1427"/>
    <cellStyle name="40% - Акцент1 3 3 3" xfId="6251"/>
    <cellStyle name="40% - Акцент1 3 4" xfId="1428"/>
    <cellStyle name="40% — акцент1 3 4" xfId="4534"/>
    <cellStyle name="40% - Акцент1 3 4 2" xfId="6252"/>
    <cellStyle name="40% - Акцент1 3 4 2 2" xfId="6253"/>
    <cellStyle name="40% - Акцент1 3 5" xfId="1429"/>
    <cellStyle name="40% — акцент1 3 5" xfId="4514"/>
    <cellStyle name="40% - Акцент1 3 6" xfId="1430"/>
    <cellStyle name="40% — акцент1 3 6" xfId="4831"/>
    <cellStyle name="40% - Акцент1 3 7" xfId="1431"/>
    <cellStyle name="40% — акцент1 3 7" xfId="4816"/>
    <cellStyle name="40% - Акцент1 3 8" xfId="1432"/>
    <cellStyle name="40% - Акцент1 3 9" xfId="1433"/>
    <cellStyle name="40% - Акцент1 3_46EE.2011(v1.0)" xfId="1434"/>
    <cellStyle name="40% - Акцент1 4" xfId="1435"/>
    <cellStyle name="40% — акцент1 4" xfId="1436"/>
    <cellStyle name="40% - Акцент1 4 2" xfId="1437"/>
    <cellStyle name="40% — акцент1 4 2" xfId="6254"/>
    <cellStyle name="40% - Акцент1 4 2 2" xfId="1438"/>
    <cellStyle name="40% - Акцент1 4 2 3" xfId="6255"/>
    <cellStyle name="40% - Акцент1 4 3" xfId="1439"/>
    <cellStyle name="40% - Акцент1 4 3 2" xfId="1440"/>
    <cellStyle name="40% - Акцент1 4 3 3" xfId="6256"/>
    <cellStyle name="40% - Акцент1 4 4" xfId="5148"/>
    <cellStyle name="40% - Акцент1 4 4 2" xfId="6257"/>
    <cellStyle name="40% - Акцент1 4_46EE.2011(v1.0)" xfId="1441"/>
    <cellStyle name="40% - Акцент1 5" xfId="1442"/>
    <cellStyle name="40% — акцент1 5" xfId="1443"/>
    <cellStyle name="40% - Акцент1 5 2" xfId="1444"/>
    <cellStyle name="40% — акцент1 5 2" xfId="6258"/>
    <cellStyle name="40% - Акцент1 5 2 2" xfId="1445"/>
    <cellStyle name="40% - Акцент1 5 2 3" xfId="6259"/>
    <cellStyle name="40% - Акцент1 5 3" xfId="1446"/>
    <cellStyle name="40% - Акцент1 5 3 2" xfId="1447"/>
    <cellStyle name="40% - Акцент1 5 3 3" xfId="6260"/>
    <cellStyle name="40% - Акцент1 5 4" xfId="5149"/>
    <cellStyle name="40% - Акцент1 5 4 2" xfId="6261"/>
    <cellStyle name="40% - Акцент1 5_46EE.2011(v1.0)" xfId="1448"/>
    <cellStyle name="40% - Акцент1 6" xfId="1449"/>
    <cellStyle name="40% — акцент1 6" xfId="1450"/>
    <cellStyle name="40% - Акцент1 6 2" xfId="1451"/>
    <cellStyle name="40% — акцент1 6 2" xfId="6262"/>
    <cellStyle name="40% - Акцент1 6 2 2" xfId="1452"/>
    <cellStyle name="40% - Акцент1 6 2 3" xfId="6263"/>
    <cellStyle name="40% - Акцент1 6 3" xfId="1453"/>
    <cellStyle name="40% - Акцент1 6 3 2" xfId="1454"/>
    <cellStyle name="40% - Акцент1 6 3 3" xfId="6264"/>
    <cellStyle name="40% - Акцент1 6 4" xfId="5150"/>
    <cellStyle name="40% - Акцент1 6 4 2" xfId="6265"/>
    <cellStyle name="40% - Акцент1 6_46EE.2011(v1.0)" xfId="1455"/>
    <cellStyle name="40% - Акцент1 7" xfId="1456"/>
    <cellStyle name="40% — акцент1 7" xfId="1457"/>
    <cellStyle name="40% - Акцент1 7 2" xfId="1458"/>
    <cellStyle name="40% - Акцент1 7 2 2" xfId="1459"/>
    <cellStyle name="40% - Акцент1 7 2 3" xfId="6266"/>
    <cellStyle name="40% - Акцент1 7 3" xfId="1460"/>
    <cellStyle name="40% - Акцент1 7 3 2" xfId="1461"/>
    <cellStyle name="40% - Акцент1 7 3 3" xfId="6267"/>
    <cellStyle name="40% - Акцент1 7 4" xfId="5151"/>
    <cellStyle name="40% - Акцент1 7 4 2" xfId="6268"/>
    <cellStyle name="40% - Акцент1 7_46EE.2011(v1.0)" xfId="1462"/>
    <cellStyle name="40% - Акцент1 8" xfId="1463"/>
    <cellStyle name="40% — акцент1 8" xfId="1464"/>
    <cellStyle name="40% - Акцент1 8 2" xfId="1465"/>
    <cellStyle name="40% - Акцент1 8 2 2" xfId="1466"/>
    <cellStyle name="40% - Акцент1 8 2 3" xfId="6269"/>
    <cellStyle name="40% - Акцент1 8 3" xfId="1467"/>
    <cellStyle name="40% - Акцент1 8 3 2" xfId="1468"/>
    <cellStyle name="40% - Акцент1 8 3 3" xfId="6270"/>
    <cellStyle name="40% - Акцент1 8 4" xfId="1469"/>
    <cellStyle name="40% - Акцент1 8 5" xfId="6271"/>
    <cellStyle name="40% - Акцент1 8_46EE.2011(v1.0)" xfId="1470"/>
    <cellStyle name="40% - Акцент1 9" xfId="1471"/>
    <cellStyle name="40% — акцент1 9" xfId="1472"/>
    <cellStyle name="40% - Акцент1 9 2" xfId="1473"/>
    <cellStyle name="40% - Акцент1 9 2 2" xfId="1474"/>
    <cellStyle name="40% - Акцент1 9 2 3" xfId="6272"/>
    <cellStyle name="40% - Акцент1 9 3" xfId="1475"/>
    <cellStyle name="40% - Акцент1 9 3 2" xfId="1476"/>
    <cellStyle name="40% - Акцент1 9 3 3" xfId="6273"/>
    <cellStyle name="40% - Акцент1 9 4" xfId="1477"/>
    <cellStyle name="40% - Акцент1 9 5" xfId="6274"/>
    <cellStyle name="40% - Акцент1 9_46EE.2011(v1.0)" xfId="1478"/>
    <cellStyle name="40% — акцент1_Расчет тарифа на тэ 2015 СЛФ" xfId="1479"/>
    <cellStyle name="40% — акцент2" xfId="1480"/>
    <cellStyle name="40% - Акцент2 10" xfId="1481"/>
    <cellStyle name="40% — акцент2 10" xfId="1482"/>
    <cellStyle name="40% - Акцент2 10 2" xfId="1483"/>
    <cellStyle name="40% - Акцент2 10 3" xfId="6275"/>
    <cellStyle name="40% - Акцент2 11" xfId="1484"/>
    <cellStyle name="40% — акцент2 11" xfId="1485"/>
    <cellStyle name="40% - Акцент2 11 2" xfId="1486"/>
    <cellStyle name="40% - Акцент2 11 3" xfId="6276"/>
    <cellStyle name="40% - Акцент2 12" xfId="6277"/>
    <cellStyle name="40% — акцент2 12" xfId="1487"/>
    <cellStyle name="40% - Акцент2 12 2" xfId="6278"/>
    <cellStyle name="40% - Акцент2 12 3" xfId="6279"/>
    <cellStyle name="40% - Акцент2 12 4" xfId="6280"/>
    <cellStyle name="40% - Акцент2 13" xfId="6281"/>
    <cellStyle name="40% — акцент2 13" xfId="1488"/>
    <cellStyle name="40% - Акцент2 13 2" xfId="6282"/>
    <cellStyle name="40% - Акцент2 13 3" xfId="6283"/>
    <cellStyle name="40% - Акцент2 13 4" xfId="6284"/>
    <cellStyle name="40% - Акцент2 14" xfId="6285"/>
    <cellStyle name="40% — акцент2 14" xfId="1489"/>
    <cellStyle name="40% - Акцент2 14 2" xfId="6286"/>
    <cellStyle name="40% - Акцент2 14 3" xfId="6287"/>
    <cellStyle name="40% - Акцент2 15" xfId="6288"/>
    <cellStyle name="40% — акцент2 15" xfId="1490"/>
    <cellStyle name="40% - Акцент2 15 2" xfId="6289"/>
    <cellStyle name="40% - Акцент2 15 3" xfId="6290"/>
    <cellStyle name="40% - Акцент2 16" xfId="6291"/>
    <cellStyle name="40% — акцент2 16" xfId="1491"/>
    <cellStyle name="40% - Акцент2 16 2" xfId="6292"/>
    <cellStyle name="40% - Акцент2 16 3" xfId="6293"/>
    <cellStyle name="40% - Акцент2 17" xfId="6294"/>
    <cellStyle name="40% — акцент2 17" xfId="1492"/>
    <cellStyle name="40% - Акцент2 18" xfId="6295"/>
    <cellStyle name="40% — акцент2 18" xfId="1493"/>
    <cellStyle name="40% — акцент2 19" xfId="1494"/>
    <cellStyle name="40% - Акцент2 2" xfId="1495"/>
    <cellStyle name="40% — акцент2 2" xfId="1496"/>
    <cellStyle name="40% - Акцент2 2 1" xfId="6296"/>
    <cellStyle name="40% - Акцент2 2 10" xfId="1497"/>
    <cellStyle name="40% - Акцент2 2 11" xfId="4857"/>
    <cellStyle name="40% - Акцент2 2 11 2" xfId="9885"/>
    <cellStyle name="40% - Акцент2 2 11 3" xfId="5153"/>
    <cellStyle name="40% - Акцент2 2 12" xfId="4950"/>
    <cellStyle name="40% - Акцент2 2 12 2" xfId="9886"/>
    <cellStyle name="40% - Акцент2 2 13" xfId="4909"/>
    <cellStyle name="40% - Акцент2 2 14" xfId="6297"/>
    <cellStyle name="40% - Акцент2 2 15" xfId="6298"/>
    <cellStyle name="40% - Акцент2 2 16" xfId="6299"/>
    <cellStyle name="40% - Акцент2 2 16 2" xfId="9887"/>
    <cellStyle name="40% - Акцент2 2 17" xfId="9888"/>
    <cellStyle name="40% - Акцент2 2 18" xfId="9889"/>
    <cellStyle name="40% - Акцент2 2 19" xfId="9890"/>
    <cellStyle name="40% - Акцент2 2 2" xfId="1498"/>
    <cellStyle name="40% - Акцент2 2 2 2" xfId="1499"/>
    <cellStyle name="40% - Акцент2 2 2 2 2" xfId="6300"/>
    <cellStyle name="40% - Акцент2 2 2 2 3" xfId="5154"/>
    <cellStyle name="40% - Акцент2 2 20" xfId="5152"/>
    <cellStyle name="40% - Акцент2 2 3" xfId="1500"/>
    <cellStyle name="40% - Акцент2 2 3 2" xfId="1501"/>
    <cellStyle name="40% - Акцент2 2 3 3" xfId="6301"/>
    <cellStyle name="40% - Акцент2 2 4" xfId="1502"/>
    <cellStyle name="40% - Акцент2 2 4 2" xfId="6302"/>
    <cellStyle name="40% - Акцент2 2 5" xfId="1503"/>
    <cellStyle name="40% - Акцент2 2 5 2" xfId="6303"/>
    <cellStyle name="40% - Акцент2 2 6" xfId="1504"/>
    <cellStyle name="40% - Акцент2 2 7" xfId="1505"/>
    <cellStyle name="40% - Акцент2 2 8" xfId="1506"/>
    <cellStyle name="40% - Акцент2 2 9" xfId="1507"/>
    <cellStyle name="40% - Акцент2 2_46EE.2011(v1.0)" xfId="1508"/>
    <cellStyle name="40% — акцент2 20" xfId="1509"/>
    <cellStyle name="40% — акцент2 21" xfId="1510"/>
    <cellStyle name="40% - Акцент2 3" xfId="1511"/>
    <cellStyle name="40% — акцент2 3" xfId="1512"/>
    <cellStyle name="40% - Акцент2 3 10" xfId="1513"/>
    <cellStyle name="40% - Акцент2 3 11" xfId="1514"/>
    <cellStyle name="40% - Акцент2 3 12" xfId="4858"/>
    <cellStyle name="40% - Акцент2 3 13" xfId="4949"/>
    <cellStyle name="40% - Акцент2 3 14" xfId="5002"/>
    <cellStyle name="40% - Акцент2 3 15" xfId="5155"/>
    <cellStyle name="40% - Акцент2 3 2" xfId="1515"/>
    <cellStyle name="40% - Акцент2 3 2 2" xfId="1516"/>
    <cellStyle name="40% - Акцент2 3 2 3" xfId="6304"/>
    <cellStyle name="40% - Акцент2 3 3" xfId="1517"/>
    <cellStyle name="40% - Акцент2 3 3 2" xfId="1518"/>
    <cellStyle name="40% - Акцент2 3 3 3" xfId="6305"/>
    <cellStyle name="40% - Акцент2 3 4" xfId="1519"/>
    <cellStyle name="40% - Акцент2 3 4 2" xfId="6306"/>
    <cellStyle name="40% - Акцент2 3 4 2 2" xfId="6307"/>
    <cellStyle name="40% - Акцент2 3 5" xfId="1520"/>
    <cellStyle name="40% - Акцент2 3 6" xfId="1521"/>
    <cellStyle name="40% - Акцент2 3 7" xfId="1522"/>
    <cellStyle name="40% - Акцент2 3 8" xfId="1523"/>
    <cellStyle name="40% - Акцент2 3 9" xfId="1524"/>
    <cellStyle name="40% - Акцент2 3_46EE.2011(v1.0)" xfId="1525"/>
    <cellStyle name="40% - Акцент2 4" xfId="1526"/>
    <cellStyle name="40% — акцент2 4" xfId="1527"/>
    <cellStyle name="40% - Акцент2 4 2" xfId="1528"/>
    <cellStyle name="40% - Акцент2 4 2 2" xfId="1529"/>
    <cellStyle name="40% - Акцент2 4 2 3" xfId="6308"/>
    <cellStyle name="40% - Акцент2 4 3" xfId="1530"/>
    <cellStyle name="40% - Акцент2 4 3 2" xfId="1531"/>
    <cellStyle name="40% - Акцент2 4 3 3" xfId="6309"/>
    <cellStyle name="40% - Акцент2 4 4" xfId="5156"/>
    <cellStyle name="40% - Акцент2 4 4 2" xfId="6310"/>
    <cellStyle name="40% - Акцент2 4_46EE.2011(v1.0)" xfId="1532"/>
    <cellStyle name="40% - Акцент2 5" xfId="1533"/>
    <cellStyle name="40% — акцент2 5" xfId="1534"/>
    <cellStyle name="40% - Акцент2 5 2" xfId="1535"/>
    <cellStyle name="40% - Акцент2 5 2 2" xfId="1536"/>
    <cellStyle name="40% - Акцент2 5 2 3" xfId="6311"/>
    <cellStyle name="40% - Акцент2 5 3" xfId="1537"/>
    <cellStyle name="40% - Акцент2 5 3 2" xfId="1538"/>
    <cellStyle name="40% - Акцент2 5 3 3" xfId="6312"/>
    <cellStyle name="40% - Акцент2 5 4" xfId="5157"/>
    <cellStyle name="40% - Акцент2 5 4 2" xfId="6313"/>
    <cellStyle name="40% - Акцент2 5_46EE.2011(v1.0)" xfId="1539"/>
    <cellStyle name="40% - Акцент2 6" xfId="1540"/>
    <cellStyle name="40% — акцент2 6" xfId="1541"/>
    <cellStyle name="40% - Акцент2 6 2" xfId="1542"/>
    <cellStyle name="40% - Акцент2 6 2 2" xfId="1543"/>
    <cellStyle name="40% - Акцент2 6 2 3" xfId="6314"/>
    <cellStyle name="40% - Акцент2 6 3" xfId="1544"/>
    <cellStyle name="40% - Акцент2 6 3 2" xfId="1545"/>
    <cellStyle name="40% - Акцент2 6 3 3" xfId="6315"/>
    <cellStyle name="40% - Акцент2 6 4" xfId="5158"/>
    <cellStyle name="40% - Акцент2 6 4 2" xfId="6316"/>
    <cellStyle name="40% - Акцент2 6_46EE.2011(v1.0)" xfId="1546"/>
    <cellStyle name="40% - Акцент2 7" xfId="1547"/>
    <cellStyle name="40% — акцент2 7" xfId="1548"/>
    <cellStyle name="40% - Акцент2 7 2" xfId="1549"/>
    <cellStyle name="40% - Акцент2 7 2 2" xfId="1550"/>
    <cellStyle name="40% - Акцент2 7 2 3" xfId="6317"/>
    <cellStyle name="40% - Акцент2 7 3" xfId="1551"/>
    <cellStyle name="40% - Акцент2 7 3 2" xfId="1552"/>
    <cellStyle name="40% - Акцент2 7 3 3" xfId="6318"/>
    <cellStyle name="40% - Акцент2 7 4" xfId="5159"/>
    <cellStyle name="40% - Акцент2 7 4 2" xfId="6319"/>
    <cellStyle name="40% - Акцент2 7_46EE.2011(v1.0)" xfId="1553"/>
    <cellStyle name="40% - Акцент2 8" xfId="1554"/>
    <cellStyle name="40% — акцент2 8" xfId="1555"/>
    <cellStyle name="40% - Акцент2 8 2" xfId="1556"/>
    <cellStyle name="40% - Акцент2 8 2 2" xfId="1557"/>
    <cellStyle name="40% - Акцент2 8 2 3" xfId="6320"/>
    <cellStyle name="40% - Акцент2 8 3" xfId="1558"/>
    <cellStyle name="40% - Акцент2 8 3 2" xfId="1559"/>
    <cellStyle name="40% - Акцент2 8 3 3" xfId="6321"/>
    <cellStyle name="40% - Акцент2 8 4" xfId="1560"/>
    <cellStyle name="40% - Акцент2 8 5" xfId="6322"/>
    <cellStyle name="40% - Акцент2 8_46EE.2011(v1.0)" xfId="1561"/>
    <cellStyle name="40% - Акцент2 9" xfId="1562"/>
    <cellStyle name="40% — акцент2 9" xfId="1563"/>
    <cellStyle name="40% - Акцент2 9 2" xfId="1564"/>
    <cellStyle name="40% - Акцент2 9 2 2" xfId="1565"/>
    <cellStyle name="40% - Акцент2 9 2 3" xfId="6323"/>
    <cellStyle name="40% - Акцент2 9 3" xfId="1566"/>
    <cellStyle name="40% - Акцент2 9 3 2" xfId="1567"/>
    <cellStyle name="40% - Акцент2 9 3 3" xfId="6324"/>
    <cellStyle name="40% - Акцент2 9 4" xfId="1568"/>
    <cellStyle name="40% - Акцент2 9 5" xfId="6325"/>
    <cellStyle name="40% - Акцент2 9_46EE.2011(v1.0)" xfId="1569"/>
    <cellStyle name="40% — акцент2_Расчет тарифа на тэ 2015 СЛФ" xfId="1570"/>
    <cellStyle name="40% — акцент3" xfId="1571"/>
    <cellStyle name="40% - Акцент3 10" xfId="1572"/>
    <cellStyle name="40% — акцент3 10" xfId="1573"/>
    <cellStyle name="40% - Акцент3 10 2" xfId="1574"/>
    <cellStyle name="40% - Акцент3 10 3" xfId="6326"/>
    <cellStyle name="40% - Акцент3 11" xfId="1575"/>
    <cellStyle name="40% — акцент3 11" xfId="1576"/>
    <cellStyle name="40% - Акцент3 11 2" xfId="1577"/>
    <cellStyle name="40% - Акцент3 11 3" xfId="6327"/>
    <cellStyle name="40% - Акцент3 12" xfId="6328"/>
    <cellStyle name="40% — акцент3 12" xfId="1578"/>
    <cellStyle name="40% - Акцент3 12 2" xfId="6329"/>
    <cellStyle name="40% - Акцент3 12 3" xfId="6330"/>
    <cellStyle name="40% - Акцент3 12 4" xfId="6331"/>
    <cellStyle name="40% - Акцент3 13" xfId="6332"/>
    <cellStyle name="40% — акцент3 13" xfId="1579"/>
    <cellStyle name="40% - Акцент3 13 2" xfId="6333"/>
    <cellStyle name="40% - Акцент3 13 3" xfId="6334"/>
    <cellStyle name="40% - Акцент3 13 4" xfId="6335"/>
    <cellStyle name="40% - Акцент3 14" xfId="6336"/>
    <cellStyle name="40% — акцент3 14" xfId="1580"/>
    <cellStyle name="40% - Акцент3 14 2" xfId="6337"/>
    <cellStyle name="40% - Акцент3 14 3" xfId="6338"/>
    <cellStyle name="40% - Акцент3 15" xfId="6339"/>
    <cellStyle name="40% — акцент3 15" xfId="1581"/>
    <cellStyle name="40% - Акцент3 15 2" xfId="6340"/>
    <cellStyle name="40% - Акцент3 15 3" xfId="6341"/>
    <cellStyle name="40% - Акцент3 16" xfId="6342"/>
    <cellStyle name="40% — акцент3 16" xfId="1582"/>
    <cellStyle name="40% - Акцент3 16 2" xfId="6343"/>
    <cellStyle name="40% - Акцент3 16 3" xfId="6344"/>
    <cellStyle name="40% - Акцент3 17" xfId="6345"/>
    <cellStyle name="40% — акцент3 17" xfId="1583"/>
    <cellStyle name="40% - Акцент3 18" xfId="6346"/>
    <cellStyle name="40% — акцент3 18" xfId="1584"/>
    <cellStyle name="40% — акцент3 19" xfId="1585"/>
    <cellStyle name="40% - Акцент3 2" xfId="1586"/>
    <cellStyle name="40% — акцент3 2" xfId="1587"/>
    <cellStyle name="40% - Акцент3 2 1" xfId="6347"/>
    <cellStyle name="40% - Акцент3 2 10" xfId="1588"/>
    <cellStyle name="40% - Акцент3 2 11" xfId="4859"/>
    <cellStyle name="40% - Акцент3 2 11 2" xfId="9891"/>
    <cellStyle name="40% - Акцент3 2 11 3" xfId="5161"/>
    <cellStyle name="40% - Акцент3 2 12" xfId="4948"/>
    <cellStyle name="40% - Акцент3 2 12 2" xfId="9892"/>
    <cellStyle name="40% - Акцент3 2 13" xfId="5001"/>
    <cellStyle name="40% - Акцент3 2 14" xfId="6348"/>
    <cellStyle name="40% - Акцент3 2 15" xfId="6349"/>
    <cellStyle name="40% - Акцент3 2 16" xfId="6350"/>
    <cellStyle name="40% - Акцент3 2 16 2" xfId="9893"/>
    <cellStyle name="40% - Акцент3 2 17" xfId="9894"/>
    <cellStyle name="40% - Акцент3 2 18" xfId="9895"/>
    <cellStyle name="40% - Акцент3 2 19" xfId="9896"/>
    <cellStyle name="40% - Акцент3 2 2" xfId="1589"/>
    <cellStyle name="40% - Акцент3 2 2 2" xfId="1590"/>
    <cellStyle name="40% - Акцент3 2 2 2 2" xfId="6351"/>
    <cellStyle name="40% - Акцент3 2 2 2 3" xfId="5162"/>
    <cellStyle name="40% - Акцент3 2 20" xfId="5160"/>
    <cellStyle name="40% - Акцент3 2 3" xfId="1591"/>
    <cellStyle name="40% - Акцент3 2 3 2" xfId="1592"/>
    <cellStyle name="40% - Акцент3 2 3 3" xfId="6352"/>
    <cellStyle name="40% - Акцент3 2 4" xfId="1593"/>
    <cellStyle name="40% - Акцент3 2 4 2" xfId="6353"/>
    <cellStyle name="40% - Акцент3 2 5" xfId="1594"/>
    <cellStyle name="40% - Акцент3 2 5 2" xfId="6354"/>
    <cellStyle name="40% - Акцент3 2 6" xfId="1595"/>
    <cellStyle name="40% - Акцент3 2 7" xfId="1596"/>
    <cellStyle name="40% - Акцент3 2 8" xfId="1597"/>
    <cellStyle name="40% - Акцент3 2 9" xfId="1598"/>
    <cellStyle name="40% - Акцент3 2_46EE.2011(v1.0)" xfId="1599"/>
    <cellStyle name="40% — акцент3 20" xfId="1600"/>
    <cellStyle name="40% — акцент3 21" xfId="1601"/>
    <cellStyle name="40% - Акцент3 3" xfId="1602"/>
    <cellStyle name="40% — акцент3 3" xfId="1603"/>
    <cellStyle name="40% - Акцент3 3 10" xfId="1604"/>
    <cellStyle name="40% - Акцент3 3 11" xfId="1605"/>
    <cellStyle name="40% - Акцент3 3 12" xfId="4860"/>
    <cellStyle name="40% - Акцент3 3 13" xfId="4972"/>
    <cellStyle name="40% - Акцент3 3 14" xfId="4969"/>
    <cellStyle name="40% - Акцент3 3 15" xfId="5163"/>
    <cellStyle name="40% - Акцент3 3 2" xfId="1606"/>
    <cellStyle name="40% - Акцент3 3 2 2" xfId="1607"/>
    <cellStyle name="40% - Акцент3 3 2 3" xfId="6355"/>
    <cellStyle name="40% - Акцент3 3 3" xfId="1608"/>
    <cellStyle name="40% - Акцент3 3 3 2" xfId="1609"/>
    <cellStyle name="40% - Акцент3 3 3 3" xfId="6356"/>
    <cellStyle name="40% - Акцент3 3 4" xfId="1610"/>
    <cellStyle name="40% - Акцент3 3 4 2" xfId="6357"/>
    <cellStyle name="40% - Акцент3 3 4 2 2" xfId="6358"/>
    <cellStyle name="40% - Акцент3 3 5" xfId="1611"/>
    <cellStyle name="40% - Акцент3 3 6" xfId="1612"/>
    <cellStyle name="40% - Акцент3 3 7" xfId="1613"/>
    <cellStyle name="40% - Акцент3 3 8" xfId="1614"/>
    <cellStyle name="40% - Акцент3 3 9" xfId="1615"/>
    <cellStyle name="40% - Акцент3 3_46EE.2011(v1.0)" xfId="1616"/>
    <cellStyle name="40% - Акцент3 4" xfId="1617"/>
    <cellStyle name="40% — акцент3 4" xfId="1618"/>
    <cellStyle name="40% - Акцент3 4 2" xfId="1619"/>
    <cellStyle name="40% - Акцент3 4 2 2" xfId="1620"/>
    <cellStyle name="40% - Акцент3 4 2 3" xfId="6359"/>
    <cellStyle name="40% - Акцент3 4 3" xfId="1621"/>
    <cellStyle name="40% - Акцент3 4 3 2" xfId="1622"/>
    <cellStyle name="40% - Акцент3 4 3 3" xfId="6360"/>
    <cellStyle name="40% - Акцент3 4 4" xfId="5164"/>
    <cellStyle name="40% - Акцент3 4 4 2" xfId="6361"/>
    <cellStyle name="40% - Акцент3 4_46EE.2011(v1.0)" xfId="1623"/>
    <cellStyle name="40% - Акцент3 5" xfId="1624"/>
    <cellStyle name="40% — акцент3 5" xfId="1625"/>
    <cellStyle name="40% - Акцент3 5 2" xfId="1626"/>
    <cellStyle name="40% - Акцент3 5 2 2" xfId="1627"/>
    <cellStyle name="40% - Акцент3 5 2 3" xfId="6362"/>
    <cellStyle name="40% - Акцент3 5 3" xfId="1628"/>
    <cellStyle name="40% - Акцент3 5 3 2" xfId="1629"/>
    <cellStyle name="40% - Акцент3 5 3 3" xfId="6363"/>
    <cellStyle name="40% - Акцент3 5 4" xfId="5165"/>
    <cellStyle name="40% - Акцент3 5 4 2" xfId="6364"/>
    <cellStyle name="40% - Акцент3 5_46EE.2011(v1.0)" xfId="1630"/>
    <cellStyle name="40% - Акцент3 6" xfId="1631"/>
    <cellStyle name="40% — акцент3 6" xfId="1632"/>
    <cellStyle name="40% - Акцент3 6 2" xfId="1633"/>
    <cellStyle name="40% - Акцент3 6 2 2" xfId="1634"/>
    <cellStyle name="40% - Акцент3 6 2 3" xfId="6365"/>
    <cellStyle name="40% - Акцент3 6 3" xfId="1635"/>
    <cellStyle name="40% - Акцент3 6 3 2" xfId="1636"/>
    <cellStyle name="40% - Акцент3 6 3 3" xfId="6366"/>
    <cellStyle name="40% - Акцент3 6 4" xfId="5166"/>
    <cellStyle name="40% - Акцент3 6 4 2" xfId="6367"/>
    <cellStyle name="40% - Акцент3 6_46EE.2011(v1.0)" xfId="1637"/>
    <cellStyle name="40% - Акцент3 7" xfId="1638"/>
    <cellStyle name="40% — акцент3 7" xfId="1639"/>
    <cellStyle name="40% - Акцент3 7 2" xfId="1640"/>
    <cellStyle name="40% - Акцент3 7 2 2" xfId="1641"/>
    <cellStyle name="40% - Акцент3 7 2 3" xfId="6368"/>
    <cellStyle name="40% - Акцент3 7 3" xfId="1642"/>
    <cellStyle name="40% - Акцент3 7 3 2" xfId="1643"/>
    <cellStyle name="40% - Акцент3 7 3 3" xfId="6369"/>
    <cellStyle name="40% - Акцент3 7 4" xfId="5167"/>
    <cellStyle name="40% - Акцент3 7 4 2" xfId="6370"/>
    <cellStyle name="40% - Акцент3 7_46EE.2011(v1.0)" xfId="1644"/>
    <cellStyle name="40% - Акцент3 8" xfId="1645"/>
    <cellStyle name="40% — акцент3 8" xfId="1646"/>
    <cellStyle name="40% - Акцент3 8 2" xfId="1647"/>
    <cellStyle name="40% - Акцент3 8 2 2" xfId="1648"/>
    <cellStyle name="40% - Акцент3 8 2 3" xfId="6371"/>
    <cellStyle name="40% - Акцент3 8 3" xfId="1649"/>
    <cellStyle name="40% - Акцент3 8 3 2" xfId="1650"/>
    <cellStyle name="40% - Акцент3 8 3 3" xfId="6372"/>
    <cellStyle name="40% - Акцент3 8 4" xfId="1651"/>
    <cellStyle name="40% - Акцент3 8 5" xfId="6373"/>
    <cellStyle name="40% - Акцент3 8_46EE.2011(v1.0)" xfId="1652"/>
    <cellStyle name="40% - Акцент3 9" xfId="1653"/>
    <cellStyle name="40% — акцент3 9" xfId="1654"/>
    <cellStyle name="40% - Акцент3 9 2" xfId="1655"/>
    <cellStyle name="40% - Акцент3 9 2 2" xfId="1656"/>
    <cellStyle name="40% - Акцент3 9 2 3" xfId="6374"/>
    <cellStyle name="40% - Акцент3 9 3" xfId="1657"/>
    <cellStyle name="40% - Акцент3 9 3 2" xfId="1658"/>
    <cellStyle name="40% - Акцент3 9 3 3" xfId="6375"/>
    <cellStyle name="40% - Акцент3 9 4" xfId="1659"/>
    <cellStyle name="40% - Акцент3 9 5" xfId="6376"/>
    <cellStyle name="40% - Акцент3 9_46EE.2011(v1.0)" xfId="1660"/>
    <cellStyle name="40% — акцент3_Расчет тарифа на тэ 2015 СЛФ" xfId="1661"/>
    <cellStyle name="40% — акцент4" xfId="1662"/>
    <cellStyle name="40% - Акцент4 10" xfId="1663"/>
    <cellStyle name="40% — акцент4 10" xfId="1664"/>
    <cellStyle name="40% - Акцент4 10 2" xfId="1665"/>
    <cellStyle name="40% - Акцент4 10 3" xfId="6377"/>
    <cellStyle name="40% - Акцент4 11" xfId="1666"/>
    <cellStyle name="40% — акцент4 11" xfId="1667"/>
    <cellStyle name="40% - Акцент4 11 2" xfId="1668"/>
    <cellStyle name="40% - Акцент4 11 3" xfId="6378"/>
    <cellStyle name="40% - Акцент4 12" xfId="6379"/>
    <cellStyle name="40% — акцент4 12" xfId="1669"/>
    <cellStyle name="40% - Акцент4 12 2" xfId="6380"/>
    <cellStyle name="40% - Акцент4 12 3" xfId="6381"/>
    <cellStyle name="40% - Акцент4 12 4" xfId="6382"/>
    <cellStyle name="40% - Акцент4 13" xfId="6383"/>
    <cellStyle name="40% — акцент4 13" xfId="1670"/>
    <cellStyle name="40% - Акцент4 13 2" xfId="6384"/>
    <cellStyle name="40% — акцент4 13 2" xfId="4546"/>
    <cellStyle name="40% - Акцент4 13 3" xfId="6385"/>
    <cellStyle name="40% — акцент4 13 3" xfId="4815"/>
    <cellStyle name="40% - Акцент4 13 4" xfId="6386"/>
    <cellStyle name="40% - Акцент4 14" xfId="6387"/>
    <cellStyle name="40% — акцент4 14" xfId="1671"/>
    <cellStyle name="40% - Акцент4 14 2" xfId="6388"/>
    <cellStyle name="40% — акцент4 14 2" xfId="4547"/>
    <cellStyle name="40% - Акцент4 14 3" xfId="6389"/>
    <cellStyle name="40% — акцент4 14 3" xfId="4814"/>
    <cellStyle name="40% - Акцент4 15" xfId="6390"/>
    <cellStyle name="40% — акцент4 15" xfId="1672"/>
    <cellStyle name="40% - Акцент4 15 2" xfId="6391"/>
    <cellStyle name="40% — акцент4 15 2" xfId="4548"/>
    <cellStyle name="40% - Акцент4 15 3" xfId="6392"/>
    <cellStyle name="40% — акцент4 15 3" xfId="4813"/>
    <cellStyle name="40% - Акцент4 16" xfId="6393"/>
    <cellStyle name="40% — акцент4 16" xfId="1673"/>
    <cellStyle name="40% - Акцент4 16 2" xfId="6394"/>
    <cellStyle name="40% — акцент4 16 2" xfId="4549"/>
    <cellStyle name="40% - Акцент4 16 3" xfId="6395"/>
    <cellStyle name="40% — акцент4 16 3" xfId="4812"/>
    <cellStyle name="40% - Акцент4 17" xfId="6396"/>
    <cellStyle name="40% — акцент4 17" xfId="1674"/>
    <cellStyle name="40% — акцент4 17 2" xfId="4550"/>
    <cellStyle name="40% - Акцент4 18" xfId="6397"/>
    <cellStyle name="40% — акцент4 18" xfId="1675"/>
    <cellStyle name="40% — акцент4 19" xfId="1676"/>
    <cellStyle name="40% - Акцент4 2" xfId="1677"/>
    <cellStyle name="40% — акцент4 2" xfId="1678"/>
    <cellStyle name="40% - Акцент4 2 1" xfId="6398"/>
    <cellStyle name="40% - Акцент4 2 10" xfId="1679"/>
    <cellStyle name="40% - Акцент4 2 11" xfId="4861"/>
    <cellStyle name="40% - Акцент4 2 11 2" xfId="9897"/>
    <cellStyle name="40% - Акцент4 2 11 3" xfId="5169"/>
    <cellStyle name="40% - Акцент4 2 12" xfId="4947"/>
    <cellStyle name="40% - Акцент4 2 12 2" xfId="9898"/>
    <cellStyle name="40% - Акцент4 2 13" xfId="5000"/>
    <cellStyle name="40% - Акцент4 2 14" xfId="6399"/>
    <cellStyle name="40% - Акцент4 2 15" xfId="6400"/>
    <cellStyle name="40% - Акцент4 2 16" xfId="6401"/>
    <cellStyle name="40% - Акцент4 2 16 2" xfId="9899"/>
    <cellStyle name="40% - Акцент4 2 17" xfId="9900"/>
    <cellStyle name="40% - Акцент4 2 18" xfId="9901"/>
    <cellStyle name="40% - Акцент4 2 19" xfId="9902"/>
    <cellStyle name="40% - Акцент4 2 2" xfId="1680"/>
    <cellStyle name="40% - Акцент4 2 2 2" xfId="1681"/>
    <cellStyle name="40% - Акцент4 2 2 2 2" xfId="6402"/>
    <cellStyle name="40% - Акцент4 2 2 2 3" xfId="5170"/>
    <cellStyle name="40% - Акцент4 2 20" xfId="5168"/>
    <cellStyle name="40% - Акцент4 2 3" xfId="1682"/>
    <cellStyle name="40% - Акцент4 2 3 2" xfId="1683"/>
    <cellStyle name="40% - Акцент4 2 3 3" xfId="6403"/>
    <cellStyle name="40% - Акцент4 2 4" xfId="1684"/>
    <cellStyle name="40% - Акцент4 2 4 2" xfId="6404"/>
    <cellStyle name="40% - Акцент4 2 5" xfId="1685"/>
    <cellStyle name="40% - Акцент4 2 5 2" xfId="6405"/>
    <cellStyle name="40% - Акцент4 2 6" xfId="1686"/>
    <cellStyle name="40% - Акцент4 2 7" xfId="1687"/>
    <cellStyle name="40% - Акцент4 2 8" xfId="1688"/>
    <cellStyle name="40% - Акцент4 2 9" xfId="1689"/>
    <cellStyle name="40% - Акцент4 2_46EE.2011(v1.0)" xfId="1690"/>
    <cellStyle name="40% — акцент4 20" xfId="1691"/>
    <cellStyle name="40% — акцент4 21" xfId="1692"/>
    <cellStyle name="40% — акцент4 22" xfId="4520"/>
    <cellStyle name="40% — акцент4 23" xfId="4529"/>
    <cellStyle name="40% — акцент4 24" xfId="4518"/>
    <cellStyle name="40% — акцент4 25" xfId="4528"/>
    <cellStyle name="40% — акцент4 26" xfId="4823"/>
    <cellStyle name="40% — акцент4 27" xfId="4828"/>
    <cellStyle name="40% - Акцент4 3" xfId="1693"/>
    <cellStyle name="40% — акцент4 3" xfId="1694"/>
    <cellStyle name="40% - Акцент4 3 10" xfId="1695"/>
    <cellStyle name="40% - Акцент4 3 11" xfId="1696"/>
    <cellStyle name="40% - Акцент4 3 12" xfId="4862"/>
    <cellStyle name="40% - Акцент4 3 13" xfId="4946"/>
    <cellStyle name="40% - Акцент4 3 14" xfId="4923"/>
    <cellStyle name="40% - Акцент4 3 15" xfId="5171"/>
    <cellStyle name="40% - Акцент4 3 2" xfId="1697"/>
    <cellStyle name="40% — акцент4 3 2" xfId="4551"/>
    <cellStyle name="40% - Акцент4 3 2 2" xfId="1698"/>
    <cellStyle name="40% — акцент4 3 2 2" xfId="6406"/>
    <cellStyle name="40% - Акцент4 3 2 3" xfId="6407"/>
    <cellStyle name="40% — акцент4 3 2 3" xfId="10074"/>
    <cellStyle name="40% - Акцент4 3 3" xfId="1699"/>
    <cellStyle name="40% — акцент4 3 3" xfId="4508"/>
    <cellStyle name="40% - Акцент4 3 3 2" xfId="1700"/>
    <cellStyle name="40% - Акцент4 3 3 3" xfId="6408"/>
    <cellStyle name="40% - Акцент4 3 4" xfId="1701"/>
    <cellStyle name="40% — акцент4 3 4" xfId="4535"/>
    <cellStyle name="40% - Акцент4 3 4 2" xfId="6409"/>
    <cellStyle name="40% - Акцент4 3 4 2 2" xfId="6410"/>
    <cellStyle name="40% - Акцент4 3 5" xfId="1702"/>
    <cellStyle name="40% — акцент4 3 5" xfId="4513"/>
    <cellStyle name="40% - Акцент4 3 6" xfId="1703"/>
    <cellStyle name="40% — акцент4 3 6" xfId="4832"/>
    <cellStyle name="40% - Акцент4 3 7" xfId="1704"/>
    <cellStyle name="40% — акцент4 3 7" xfId="4811"/>
    <cellStyle name="40% - Акцент4 3 8" xfId="1705"/>
    <cellStyle name="40% - Акцент4 3 9" xfId="1706"/>
    <cellStyle name="40% - Акцент4 3_46EE.2011(v1.0)" xfId="1707"/>
    <cellStyle name="40% - Акцент4 4" xfId="1708"/>
    <cellStyle name="40% — акцент4 4" xfId="1709"/>
    <cellStyle name="40% - Акцент4 4 2" xfId="1710"/>
    <cellStyle name="40% — акцент4 4 2" xfId="6411"/>
    <cellStyle name="40% - Акцент4 4 2 2" xfId="1711"/>
    <cellStyle name="40% - Акцент4 4 2 3" xfId="6412"/>
    <cellStyle name="40% - Акцент4 4 3" xfId="1712"/>
    <cellStyle name="40% - Акцент4 4 3 2" xfId="1713"/>
    <cellStyle name="40% - Акцент4 4 3 3" xfId="6413"/>
    <cellStyle name="40% - Акцент4 4 4" xfId="5172"/>
    <cellStyle name="40% - Акцент4 4 4 2" xfId="6414"/>
    <cellStyle name="40% - Акцент4 4_46EE.2011(v1.0)" xfId="1714"/>
    <cellStyle name="40% - Акцент4 5" xfId="1715"/>
    <cellStyle name="40% — акцент4 5" xfId="1716"/>
    <cellStyle name="40% - Акцент4 5 2" xfId="1717"/>
    <cellStyle name="40% — акцент4 5 2" xfId="6415"/>
    <cellStyle name="40% - Акцент4 5 2 2" xfId="1718"/>
    <cellStyle name="40% - Акцент4 5 2 3" xfId="6416"/>
    <cellStyle name="40% - Акцент4 5 3" xfId="1719"/>
    <cellStyle name="40% - Акцент4 5 3 2" xfId="1720"/>
    <cellStyle name="40% - Акцент4 5 3 3" xfId="6417"/>
    <cellStyle name="40% - Акцент4 5 4" xfId="5173"/>
    <cellStyle name="40% - Акцент4 5 4 2" xfId="6418"/>
    <cellStyle name="40% - Акцент4 5_46EE.2011(v1.0)" xfId="1721"/>
    <cellStyle name="40% - Акцент4 6" xfId="1722"/>
    <cellStyle name="40% — акцент4 6" xfId="1723"/>
    <cellStyle name="40% - Акцент4 6 2" xfId="1724"/>
    <cellStyle name="40% — акцент4 6 2" xfId="6419"/>
    <cellStyle name="40% - Акцент4 6 2 2" xfId="1725"/>
    <cellStyle name="40% - Акцент4 6 2 3" xfId="6420"/>
    <cellStyle name="40% - Акцент4 6 3" xfId="1726"/>
    <cellStyle name="40% - Акцент4 6 3 2" xfId="1727"/>
    <cellStyle name="40% - Акцент4 6 3 3" xfId="6421"/>
    <cellStyle name="40% - Акцент4 6 4" xfId="5174"/>
    <cellStyle name="40% - Акцент4 6 4 2" xfId="6422"/>
    <cellStyle name="40% - Акцент4 6_46EE.2011(v1.0)" xfId="1728"/>
    <cellStyle name="40% - Акцент4 7" xfId="1729"/>
    <cellStyle name="40% — акцент4 7" xfId="1730"/>
    <cellStyle name="40% - Акцент4 7 2" xfId="1731"/>
    <cellStyle name="40% - Акцент4 7 2 2" xfId="1732"/>
    <cellStyle name="40% - Акцент4 7 2 3" xfId="6423"/>
    <cellStyle name="40% - Акцент4 7 3" xfId="1733"/>
    <cellStyle name="40% - Акцент4 7 3 2" xfId="1734"/>
    <cellStyle name="40% - Акцент4 7 3 3" xfId="6424"/>
    <cellStyle name="40% - Акцент4 7 4" xfId="5175"/>
    <cellStyle name="40% - Акцент4 7 4 2" xfId="6425"/>
    <cellStyle name="40% - Акцент4 7_46EE.2011(v1.0)" xfId="1735"/>
    <cellStyle name="40% - Акцент4 8" xfId="1736"/>
    <cellStyle name="40% — акцент4 8" xfId="1737"/>
    <cellStyle name="40% - Акцент4 8 2" xfId="1738"/>
    <cellStyle name="40% - Акцент4 8 2 2" xfId="1739"/>
    <cellStyle name="40% - Акцент4 8 2 3" xfId="6426"/>
    <cellStyle name="40% - Акцент4 8 3" xfId="1740"/>
    <cellStyle name="40% - Акцент4 8 3 2" xfId="1741"/>
    <cellStyle name="40% - Акцент4 8 3 3" xfId="6427"/>
    <cellStyle name="40% - Акцент4 8 4" xfId="1742"/>
    <cellStyle name="40% - Акцент4 8 5" xfId="6428"/>
    <cellStyle name="40% - Акцент4 8_46EE.2011(v1.0)" xfId="1743"/>
    <cellStyle name="40% - Акцент4 9" xfId="1744"/>
    <cellStyle name="40% — акцент4 9" xfId="1745"/>
    <cellStyle name="40% - Акцент4 9 2" xfId="1746"/>
    <cellStyle name="40% - Акцент4 9 2 2" xfId="1747"/>
    <cellStyle name="40% - Акцент4 9 2 3" xfId="6429"/>
    <cellStyle name="40% - Акцент4 9 3" xfId="1748"/>
    <cellStyle name="40% - Акцент4 9 3 2" xfId="1749"/>
    <cellStyle name="40% - Акцент4 9 3 3" xfId="6430"/>
    <cellStyle name="40% - Акцент4 9 4" xfId="1750"/>
    <cellStyle name="40% - Акцент4 9 5" xfId="6431"/>
    <cellStyle name="40% - Акцент4 9_46EE.2011(v1.0)" xfId="1751"/>
    <cellStyle name="40% — акцент4_Расчет тарифа на тэ 2015 СЛФ" xfId="1752"/>
    <cellStyle name="40% — акцент5" xfId="1753"/>
    <cellStyle name="40% - Акцент5 10" xfId="1754"/>
    <cellStyle name="40% — акцент5 10" xfId="1755"/>
    <cellStyle name="40% - Акцент5 10 2" xfId="1756"/>
    <cellStyle name="40% - Акцент5 10 3" xfId="6432"/>
    <cellStyle name="40% - Акцент5 11" xfId="1757"/>
    <cellStyle name="40% — акцент5 11" xfId="1758"/>
    <cellStyle name="40% - Акцент5 11 2" xfId="1759"/>
    <cellStyle name="40% - Акцент5 11 3" xfId="6433"/>
    <cellStyle name="40% - Акцент5 12" xfId="6434"/>
    <cellStyle name="40% — акцент5 12" xfId="1760"/>
    <cellStyle name="40% - Акцент5 12 2" xfId="6435"/>
    <cellStyle name="40% - Акцент5 12 3" xfId="6436"/>
    <cellStyle name="40% - Акцент5 12 4" xfId="6437"/>
    <cellStyle name="40% - Акцент5 13" xfId="6438"/>
    <cellStyle name="40% — акцент5 13" xfId="1761"/>
    <cellStyle name="40% - Акцент5 13 2" xfId="6439"/>
    <cellStyle name="40% - Акцент5 13 3" xfId="6440"/>
    <cellStyle name="40% - Акцент5 13 4" xfId="6441"/>
    <cellStyle name="40% - Акцент5 14" xfId="6442"/>
    <cellStyle name="40% — акцент5 14" xfId="1762"/>
    <cellStyle name="40% - Акцент5 14 2" xfId="6443"/>
    <cellStyle name="40% - Акцент5 14 3" xfId="6444"/>
    <cellStyle name="40% - Акцент5 15" xfId="6445"/>
    <cellStyle name="40% — акцент5 15" xfId="1763"/>
    <cellStyle name="40% - Акцент5 15 2" xfId="6446"/>
    <cellStyle name="40% - Акцент5 15 3" xfId="6447"/>
    <cellStyle name="40% - Акцент5 16" xfId="6448"/>
    <cellStyle name="40% — акцент5 16" xfId="1764"/>
    <cellStyle name="40% - Акцент5 16 2" xfId="6449"/>
    <cellStyle name="40% - Акцент5 16 3" xfId="6450"/>
    <cellStyle name="40% - Акцент5 17" xfId="6451"/>
    <cellStyle name="40% — акцент5 17" xfId="1765"/>
    <cellStyle name="40% - Акцент5 18" xfId="6452"/>
    <cellStyle name="40% — акцент5 18" xfId="1766"/>
    <cellStyle name="40% — акцент5 19" xfId="1767"/>
    <cellStyle name="40% - Акцент5 2" xfId="1768"/>
    <cellStyle name="40% — акцент5 2" xfId="1769"/>
    <cellStyle name="40% - Акцент5 2 1" xfId="6453"/>
    <cellStyle name="40% - Акцент5 2 10" xfId="1770"/>
    <cellStyle name="40% - Акцент5 2 11" xfId="4863"/>
    <cellStyle name="40% - Акцент5 2 11 2" xfId="9903"/>
    <cellStyle name="40% - Акцент5 2 11 3" xfId="5177"/>
    <cellStyle name="40% - Акцент5 2 12" xfId="4945"/>
    <cellStyle name="40% - Акцент5 2 12 2" xfId="9904"/>
    <cellStyle name="40% - Акцент5 2 13" xfId="4883"/>
    <cellStyle name="40% - Акцент5 2 14" xfId="6454"/>
    <cellStyle name="40% - Акцент5 2 15" xfId="6455"/>
    <cellStyle name="40% - Акцент5 2 16" xfId="6456"/>
    <cellStyle name="40% - Акцент5 2 16 2" xfId="9905"/>
    <cellStyle name="40% - Акцент5 2 17" xfId="9906"/>
    <cellStyle name="40% - Акцент5 2 18" xfId="9907"/>
    <cellStyle name="40% - Акцент5 2 19" xfId="9908"/>
    <cellStyle name="40% - Акцент5 2 2" xfId="1771"/>
    <cellStyle name="40% - Акцент5 2 2 2" xfId="1772"/>
    <cellStyle name="40% - Акцент5 2 2 2 2" xfId="6457"/>
    <cellStyle name="40% - Акцент5 2 2 2 3" xfId="5178"/>
    <cellStyle name="40% - Акцент5 2 20" xfId="5176"/>
    <cellStyle name="40% - Акцент5 2 3" xfId="1773"/>
    <cellStyle name="40% - Акцент5 2 3 2" xfId="1774"/>
    <cellStyle name="40% - Акцент5 2 3 3" xfId="6458"/>
    <cellStyle name="40% - Акцент5 2 4" xfId="1775"/>
    <cellStyle name="40% - Акцент5 2 4 2" xfId="6459"/>
    <cellStyle name="40% - Акцент5 2 5" xfId="1776"/>
    <cellStyle name="40% - Акцент5 2 5 2" xfId="6460"/>
    <cellStyle name="40% - Акцент5 2 6" xfId="1777"/>
    <cellStyle name="40% - Акцент5 2 7" xfId="1778"/>
    <cellStyle name="40% - Акцент5 2 8" xfId="1779"/>
    <cellStyle name="40% - Акцент5 2 9" xfId="1780"/>
    <cellStyle name="40% - Акцент5 2_46EE.2011(v1.0)" xfId="1781"/>
    <cellStyle name="40% — акцент5 20" xfId="1782"/>
    <cellStyle name="40% — акцент5 21" xfId="1783"/>
    <cellStyle name="40% - Акцент5 3" xfId="1784"/>
    <cellStyle name="40% — акцент5 3" xfId="1785"/>
    <cellStyle name="40% - Акцент5 3 10" xfId="1786"/>
    <cellStyle name="40% - Акцент5 3 11" xfId="1787"/>
    <cellStyle name="40% - Акцент5 3 12" xfId="4864"/>
    <cellStyle name="40% - Акцент5 3 13" xfId="4944"/>
    <cellStyle name="40% - Акцент5 3 14" xfId="4999"/>
    <cellStyle name="40% - Акцент5 3 15" xfId="5179"/>
    <cellStyle name="40% - Акцент5 3 2" xfId="1788"/>
    <cellStyle name="40% - Акцент5 3 2 2" xfId="1789"/>
    <cellStyle name="40% - Акцент5 3 2 3" xfId="6461"/>
    <cellStyle name="40% - Акцент5 3 3" xfId="1790"/>
    <cellStyle name="40% - Акцент5 3 3 2" xfId="1791"/>
    <cellStyle name="40% - Акцент5 3 3 3" xfId="6462"/>
    <cellStyle name="40% - Акцент5 3 4" xfId="1792"/>
    <cellStyle name="40% - Акцент5 3 4 2" xfId="6463"/>
    <cellStyle name="40% - Акцент5 3 4 2 2" xfId="6464"/>
    <cellStyle name="40% - Акцент5 3 5" xfId="1793"/>
    <cellStyle name="40% - Акцент5 3 6" xfId="1794"/>
    <cellStyle name="40% - Акцент5 3 7" xfId="1795"/>
    <cellStyle name="40% - Акцент5 3 8" xfId="1796"/>
    <cellStyle name="40% - Акцент5 3 9" xfId="1797"/>
    <cellStyle name="40% - Акцент5 3_46EE.2011(v1.0)" xfId="1798"/>
    <cellStyle name="40% - Акцент5 4" xfId="1799"/>
    <cellStyle name="40% — акцент5 4" xfId="1800"/>
    <cellStyle name="40% - Акцент5 4 2" xfId="1801"/>
    <cellStyle name="40% - Акцент5 4 2 2" xfId="1802"/>
    <cellStyle name="40% - Акцент5 4 2 3" xfId="6465"/>
    <cellStyle name="40% - Акцент5 4 3" xfId="1803"/>
    <cellStyle name="40% - Акцент5 4 3 2" xfId="1804"/>
    <cellStyle name="40% - Акцент5 4 3 3" xfId="6466"/>
    <cellStyle name="40% - Акцент5 4 4" xfId="5180"/>
    <cellStyle name="40% - Акцент5 4 4 2" xfId="6467"/>
    <cellStyle name="40% - Акцент5 4_46EE.2011(v1.0)" xfId="1805"/>
    <cellStyle name="40% - Акцент5 5" xfId="1806"/>
    <cellStyle name="40% — акцент5 5" xfId="1807"/>
    <cellStyle name="40% - Акцент5 5 2" xfId="1808"/>
    <cellStyle name="40% - Акцент5 5 2 2" xfId="1809"/>
    <cellStyle name="40% - Акцент5 5 2 3" xfId="6468"/>
    <cellStyle name="40% - Акцент5 5 3" xfId="1810"/>
    <cellStyle name="40% - Акцент5 5 3 2" xfId="1811"/>
    <cellStyle name="40% - Акцент5 5 3 3" xfId="6469"/>
    <cellStyle name="40% - Акцент5 5 4" xfId="5181"/>
    <cellStyle name="40% - Акцент5 5 4 2" xfId="6470"/>
    <cellStyle name="40% - Акцент5 5_46EE.2011(v1.0)" xfId="1812"/>
    <cellStyle name="40% - Акцент5 6" xfId="1813"/>
    <cellStyle name="40% — акцент5 6" xfId="1814"/>
    <cellStyle name="40% - Акцент5 6 2" xfId="1815"/>
    <cellStyle name="40% - Акцент5 6 2 2" xfId="1816"/>
    <cellStyle name="40% - Акцент5 6 2 3" xfId="6471"/>
    <cellStyle name="40% - Акцент5 6 3" xfId="1817"/>
    <cellStyle name="40% - Акцент5 6 3 2" xfId="1818"/>
    <cellStyle name="40% - Акцент5 6 3 3" xfId="6472"/>
    <cellStyle name="40% - Акцент5 6 4" xfId="5182"/>
    <cellStyle name="40% - Акцент5 6 4 2" xfId="6473"/>
    <cellStyle name="40% - Акцент5 6_46EE.2011(v1.0)" xfId="1819"/>
    <cellStyle name="40% - Акцент5 7" xfId="1820"/>
    <cellStyle name="40% — акцент5 7" xfId="1821"/>
    <cellStyle name="40% - Акцент5 7 2" xfId="1822"/>
    <cellStyle name="40% - Акцент5 7 2 2" xfId="1823"/>
    <cellStyle name="40% - Акцент5 7 2 3" xfId="6474"/>
    <cellStyle name="40% - Акцент5 7 3" xfId="1824"/>
    <cellStyle name="40% - Акцент5 7 3 2" xfId="1825"/>
    <cellStyle name="40% - Акцент5 7 3 3" xfId="6475"/>
    <cellStyle name="40% - Акцент5 7 4" xfId="5183"/>
    <cellStyle name="40% - Акцент5 7 4 2" xfId="6476"/>
    <cellStyle name="40% - Акцент5 7_46EE.2011(v1.0)" xfId="1826"/>
    <cellStyle name="40% - Акцент5 8" xfId="1827"/>
    <cellStyle name="40% — акцент5 8" xfId="1828"/>
    <cellStyle name="40% - Акцент5 8 2" xfId="1829"/>
    <cellStyle name="40% - Акцент5 8 2 2" xfId="1830"/>
    <cellStyle name="40% - Акцент5 8 2 3" xfId="6477"/>
    <cellStyle name="40% - Акцент5 8 3" xfId="1831"/>
    <cellStyle name="40% - Акцент5 8 3 2" xfId="1832"/>
    <cellStyle name="40% - Акцент5 8 3 3" xfId="6478"/>
    <cellStyle name="40% - Акцент5 8 4" xfId="1833"/>
    <cellStyle name="40% - Акцент5 8 5" xfId="6479"/>
    <cellStyle name="40% - Акцент5 8_46EE.2011(v1.0)" xfId="1834"/>
    <cellStyle name="40% - Акцент5 9" xfId="1835"/>
    <cellStyle name="40% — акцент5 9" xfId="1836"/>
    <cellStyle name="40% - Акцент5 9 2" xfId="1837"/>
    <cellStyle name="40% - Акцент5 9 2 2" xfId="1838"/>
    <cellStyle name="40% - Акцент5 9 2 3" xfId="6480"/>
    <cellStyle name="40% - Акцент5 9 3" xfId="1839"/>
    <cellStyle name="40% - Акцент5 9 3 2" xfId="1840"/>
    <cellStyle name="40% - Акцент5 9 3 3" xfId="6481"/>
    <cellStyle name="40% - Акцент5 9 4" xfId="1841"/>
    <cellStyle name="40% - Акцент5 9 5" xfId="6482"/>
    <cellStyle name="40% - Акцент5 9_46EE.2011(v1.0)" xfId="1842"/>
    <cellStyle name="40% — акцент5_Расчет тарифа на тэ 2015 СЛФ" xfId="1843"/>
    <cellStyle name="40% — акцент6" xfId="1844"/>
    <cellStyle name="40% - Акцент6 10" xfId="1845"/>
    <cellStyle name="40% — акцент6 10" xfId="1846"/>
    <cellStyle name="40% - Акцент6 10 2" xfId="1847"/>
    <cellStyle name="40% - Акцент6 10 3" xfId="6483"/>
    <cellStyle name="40% - Акцент6 11" xfId="1848"/>
    <cellStyle name="40% — акцент6 11" xfId="1849"/>
    <cellStyle name="40% - Акцент6 11 2" xfId="1850"/>
    <cellStyle name="40% - Акцент6 11 3" xfId="6484"/>
    <cellStyle name="40% - Акцент6 12" xfId="6485"/>
    <cellStyle name="40% — акцент6 12" xfId="1851"/>
    <cellStyle name="40% - Акцент6 12 2" xfId="6486"/>
    <cellStyle name="40% - Акцент6 12 3" xfId="6487"/>
    <cellStyle name="40% - Акцент6 12 4" xfId="6488"/>
    <cellStyle name="40% - Акцент6 13" xfId="6489"/>
    <cellStyle name="40% — акцент6 13" xfId="1852"/>
    <cellStyle name="40% - Акцент6 13 2" xfId="6490"/>
    <cellStyle name="40% — акцент6 13 2" xfId="4552"/>
    <cellStyle name="40% - Акцент6 13 3" xfId="6491"/>
    <cellStyle name="40% — акцент6 13 3" xfId="4810"/>
    <cellStyle name="40% - Акцент6 13 4" xfId="6492"/>
    <cellStyle name="40% - Акцент6 14" xfId="6493"/>
    <cellStyle name="40% — акцент6 14" xfId="1853"/>
    <cellStyle name="40% - Акцент6 14 2" xfId="6494"/>
    <cellStyle name="40% — акцент6 14 2" xfId="4553"/>
    <cellStyle name="40% - Акцент6 14 3" xfId="6495"/>
    <cellStyle name="40% — акцент6 14 3" xfId="4809"/>
    <cellStyle name="40% - Акцент6 15" xfId="6496"/>
    <cellStyle name="40% — акцент6 15" xfId="1854"/>
    <cellStyle name="40% - Акцент6 15 2" xfId="6497"/>
    <cellStyle name="40% — акцент6 15 2" xfId="4554"/>
    <cellStyle name="40% - Акцент6 15 3" xfId="6498"/>
    <cellStyle name="40% — акцент6 15 3" xfId="4808"/>
    <cellStyle name="40% - Акцент6 16" xfId="6499"/>
    <cellStyle name="40% — акцент6 16" xfId="1855"/>
    <cellStyle name="40% - Акцент6 16 2" xfId="6500"/>
    <cellStyle name="40% — акцент6 16 2" xfId="4555"/>
    <cellStyle name="40% - Акцент6 16 3" xfId="6501"/>
    <cellStyle name="40% — акцент6 16 3" xfId="4807"/>
    <cellStyle name="40% - Акцент6 17" xfId="6502"/>
    <cellStyle name="40% — акцент6 17" xfId="1856"/>
    <cellStyle name="40% — акцент6 17 2" xfId="4556"/>
    <cellStyle name="40% - Акцент6 18" xfId="6503"/>
    <cellStyle name="40% — акцент6 18" xfId="1857"/>
    <cellStyle name="40% — акцент6 19" xfId="1858"/>
    <cellStyle name="40% - Акцент6 2" xfId="1859"/>
    <cellStyle name="40% — акцент6 2" xfId="1860"/>
    <cellStyle name="40% - Акцент6 2 1" xfId="6504"/>
    <cellStyle name="40% - Акцент6 2 10" xfId="1861"/>
    <cellStyle name="40% - Акцент6 2 11" xfId="4865"/>
    <cellStyle name="40% - Акцент6 2 11 2" xfId="9909"/>
    <cellStyle name="40% - Акцент6 2 11 3" xfId="5185"/>
    <cellStyle name="40% - Акцент6 2 12" xfId="4943"/>
    <cellStyle name="40% - Акцент6 2 12 2" xfId="9910"/>
    <cellStyle name="40% - Акцент6 2 13" xfId="4998"/>
    <cellStyle name="40% - Акцент6 2 14" xfId="6505"/>
    <cellStyle name="40% - Акцент6 2 15" xfId="6506"/>
    <cellStyle name="40% - Акцент6 2 16" xfId="6507"/>
    <cellStyle name="40% - Акцент6 2 16 2" xfId="9911"/>
    <cellStyle name="40% - Акцент6 2 17" xfId="9912"/>
    <cellStyle name="40% - Акцент6 2 18" xfId="9913"/>
    <cellStyle name="40% - Акцент6 2 19" xfId="9914"/>
    <cellStyle name="40% - Акцент6 2 2" xfId="1862"/>
    <cellStyle name="40% - Акцент6 2 2 2" xfId="1863"/>
    <cellStyle name="40% - Акцент6 2 2 2 2" xfId="6508"/>
    <cellStyle name="40% - Акцент6 2 2 2 3" xfId="5186"/>
    <cellStyle name="40% - Акцент6 2 20" xfId="5184"/>
    <cellStyle name="40% - Акцент6 2 3" xfId="1864"/>
    <cellStyle name="40% - Акцент6 2 3 2" xfId="1865"/>
    <cellStyle name="40% - Акцент6 2 3 3" xfId="6509"/>
    <cellStyle name="40% - Акцент6 2 4" xfId="1866"/>
    <cellStyle name="40% - Акцент6 2 4 2" xfId="6510"/>
    <cellStyle name="40% - Акцент6 2 5" xfId="1867"/>
    <cellStyle name="40% - Акцент6 2 5 2" xfId="6511"/>
    <cellStyle name="40% - Акцент6 2 6" xfId="1868"/>
    <cellStyle name="40% - Акцент6 2 7" xfId="1869"/>
    <cellStyle name="40% - Акцент6 2 8" xfId="1870"/>
    <cellStyle name="40% - Акцент6 2 9" xfId="1871"/>
    <cellStyle name="40% - Акцент6 2_46EE.2011(v1.0)" xfId="1872"/>
    <cellStyle name="40% — акцент6 20" xfId="1873"/>
    <cellStyle name="40% — акцент6 21" xfId="1874"/>
    <cellStyle name="40% — акцент6 22" xfId="4522"/>
    <cellStyle name="40% — акцент6 23" xfId="4527"/>
    <cellStyle name="40% — акцент6 24" xfId="4519"/>
    <cellStyle name="40% — акцент6 25" xfId="4526"/>
    <cellStyle name="40% — акцент6 26" xfId="4824"/>
    <cellStyle name="40% — акцент6 27" xfId="4827"/>
    <cellStyle name="40% - Акцент6 3" xfId="1875"/>
    <cellStyle name="40% — акцент6 3" xfId="1876"/>
    <cellStyle name="40% - Акцент6 3 10" xfId="1877"/>
    <cellStyle name="40% - Акцент6 3 11" xfId="1878"/>
    <cellStyle name="40% - Акцент6 3 12" xfId="4866"/>
    <cellStyle name="40% - Акцент6 3 13" xfId="4942"/>
    <cellStyle name="40% - Акцент6 3 14" xfId="4997"/>
    <cellStyle name="40% - Акцент6 3 15" xfId="5187"/>
    <cellStyle name="40% - Акцент6 3 2" xfId="1879"/>
    <cellStyle name="40% — акцент6 3 2" xfId="4557"/>
    <cellStyle name="40% - Акцент6 3 2 2" xfId="1880"/>
    <cellStyle name="40% — акцент6 3 2 2" xfId="6512"/>
    <cellStyle name="40% - Акцент6 3 2 3" xfId="6513"/>
    <cellStyle name="40% — акцент6 3 2 3" xfId="10075"/>
    <cellStyle name="40% - Акцент6 3 3" xfId="1881"/>
    <cellStyle name="40% — акцент6 3 3" xfId="4507"/>
    <cellStyle name="40% - Акцент6 3 3 2" xfId="1882"/>
    <cellStyle name="40% - Акцент6 3 3 3" xfId="6514"/>
    <cellStyle name="40% - Акцент6 3 4" xfId="1883"/>
    <cellStyle name="40% — акцент6 3 4" xfId="4536"/>
    <cellStyle name="40% - Акцент6 3 4 2" xfId="6515"/>
    <cellStyle name="40% - Акцент6 3 4 2 2" xfId="6516"/>
    <cellStyle name="40% - Акцент6 3 5" xfId="1884"/>
    <cellStyle name="40% — акцент6 3 5" xfId="4512"/>
    <cellStyle name="40% - Акцент6 3 6" xfId="1885"/>
    <cellStyle name="40% — акцент6 3 6" xfId="4833"/>
    <cellStyle name="40% - Акцент6 3 7" xfId="1886"/>
    <cellStyle name="40% — акцент6 3 7" xfId="4806"/>
    <cellStyle name="40% - Акцент6 3 8" xfId="1887"/>
    <cellStyle name="40% - Акцент6 3 9" xfId="1888"/>
    <cellStyle name="40% - Акцент6 3_46EE.2011(v1.0)" xfId="1889"/>
    <cellStyle name="40% - Акцент6 4" xfId="1890"/>
    <cellStyle name="40% — акцент6 4" xfId="1891"/>
    <cellStyle name="40% - Акцент6 4 2" xfId="1892"/>
    <cellStyle name="40% — акцент6 4 2" xfId="6517"/>
    <cellStyle name="40% - Акцент6 4 2 2" xfId="1893"/>
    <cellStyle name="40% - Акцент6 4 2 3" xfId="6518"/>
    <cellStyle name="40% - Акцент6 4 3" xfId="1894"/>
    <cellStyle name="40% - Акцент6 4 3 2" xfId="1895"/>
    <cellStyle name="40% - Акцент6 4 3 3" xfId="6519"/>
    <cellStyle name="40% - Акцент6 4 4" xfId="5188"/>
    <cellStyle name="40% - Акцент6 4 4 2" xfId="6520"/>
    <cellStyle name="40% - Акцент6 4_46EE.2011(v1.0)" xfId="1896"/>
    <cellStyle name="40% - Акцент6 5" xfId="1897"/>
    <cellStyle name="40% — акцент6 5" xfId="1898"/>
    <cellStyle name="40% - Акцент6 5 2" xfId="1899"/>
    <cellStyle name="40% — акцент6 5 2" xfId="6521"/>
    <cellStyle name="40% - Акцент6 5 2 2" xfId="1900"/>
    <cellStyle name="40% - Акцент6 5 2 3" xfId="6522"/>
    <cellStyle name="40% - Акцент6 5 3" xfId="1901"/>
    <cellStyle name="40% - Акцент6 5 3 2" xfId="1902"/>
    <cellStyle name="40% - Акцент6 5 3 3" xfId="6523"/>
    <cellStyle name="40% - Акцент6 5 4" xfId="5189"/>
    <cellStyle name="40% - Акцент6 5 4 2" xfId="6524"/>
    <cellStyle name="40% - Акцент6 5_46EE.2011(v1.0)" xfId="1903"/>
    <cellStyle name="40% - Акцент6 6" xfId="1904"/>
    <cellStyle name="40% — акцент6 6" xfId="1905"/>
    <cellStyle name="40% - Акцент6 6 2" xfId="1906"/>
    <cellStyle name="40% — акцент6 6 2" xfId="6525"/>
    <cellStyle name="40% - Акцент6 6 2 2" xfId="1907"/>
    <cellStyle name="40% - Акцент6 6 2 3" xfId="6526"/>
    <cellStyle name="40% - Акцент6 6 3" xfId="1908"/>
    <cellStyle name="40% - Акцент6 6 3 2" xfId="1909"/>
    <cellStyle name="40% - Акцент6 6 3 3" xfId="6527"/>
    <cellStyle name="40% - Акцент6 6 4" xfId="5190"/>
    <cellStyle name="40% - Акцент6 6 4 2" xfId="6528"/>
    <cellStyle name="40% - Акцент6 6_46EE.2011(v1.0)" xfId="1910"/>
    <cellStyle name="40% - Акцент6 7" xfId="1911"/>
    <cellStyle name="40% — акцент6 7" xfId="1912"/>
    <cellStyle name="40% - Акцент6 7 2" xfId="1913"/>
    <cellStyle name="40% - Акцент6 7 2 2" xfId="1914"/>
    <cellStyle name="40% - Акцент6 7 2 3" xfId="6529"/>
    <cellStyle name="40% - Акцент6 7 3" xfId="1915"/>
    <cellStyle name="40% - Акцент6 7 3 2" xfId="1916"/>
    <cellStyle name="40% - Акцент6 7 3 3" xfId="6530"/>
    <cellStyle name="40% - Акцент6 7 4" xfId="5191"/>
    <cellStyle name="40% - Акцент6 7 4 2" xfId="6531"/>
    <cellStyle name="40% - Акцент6 7_46EE.2011(v1.0)" xfId="1917"/>
    <cellStyle name="40% - Акцент6 8" xfId="1918"/>
    <cellStyle name="40% — акцент6 8" xfId="1919"/>
    <cellStyle name="40% - Акцент6 8 2" xfId="1920"/>
    <cellStyle name="40% - Акцент6 8 2 2" xfId="1921"/>
    <cellStyle name="40% - Акцент6 8 2 3" xfId="6532"/>
    <cellStyle name="40% - Акцент6 8 3" xfId="1922"/>
    <cellStyle name="40% - Акцент6 8 3 2" xfId="1923"/>
    <cellStyle name="40% - Акцент6 8 3 3" xfId="6533"/>
    <cellStyle name="40% - Акцент6 8 4" xfId="1924"/>
    <cellStyle name="40% - Акцент6 8 5" xfId="6534"/>
    <cellStyle name="40% - Акцент6 8_46EE.2011(v1.0)" xfId="1925"/>
    <cellStyle name="40% - Акцент6 9" xfId="1926"/>
    <cellStyle name="40% — акцент6 9" xfId="1927"/>
    <cellStyle name="40% - Акцент6 9 2" xfId="1928"/>
    <cellStyle name="40% - Акцент6 9 2 2" xfId="1929"/>
    <cellStyle name="40% - Акцент6 9 2 3" xfId="6535"/>
    <cellStyle name="40% - Акцент6 9 3" xfId="1930"/>
    <cellStyle name="40% - Акцент6 9 3 2" xfId="1931"/>
    <cellStyle name="40% - Акцент6 9 3 3" xfId="6536"/>
    <cellStyle name="40% - Акцент6 9 4" xfId="1932"/>
    <cellStyle name="40% - Акцент6 9 5" xfId="6537"/>
    <cellStyle name="40% - Акцент6 9_46EE.2011(v1.0)" xfId="1933"/>
    <cellStyle name="40% — акцент6_Расчет тарифа на тэ 2015 СЛФ" xfId="1934"/>
    <cellStyle name="60% - Accent1" xfId="1935"/>
    <cellStyle name="60% - Accent1 1" xfId="6538"/>
    <cellStyle name="60% - Accent1 2" xfId="6539"/>
    <cellStyle name="60% - Accent1 3" xfId="6540"/>
    <cellStyle name="60% - Accent1 4" xfId="6541"/>
    <cellStyle name="60% - Accent2" xfId="1936"/>
    <cellStyle name="60% - Accent2 1" xfId="6542"/>
    <cellStyle name="60% - Accent2 2" xfId="6543"/>
    <cellStyle name="60% - Accent2 3" xfId="6544"/>
    <cellStyle name="60% - Accent2 4" xfId="6545"/>
    <cellStyle name="60% - Accent3" xfId="1937"/>
    <cellStyle name="60% - Accent3 1" xfId="6546"/>
    <cellStyle name="60% - Accent3 2" xfId="6547"/>
    <cellStyle name="60% - Accent3 3" xfId="6548"/>
    <cellStyle name="60% - Accent3 4" xfId="6549"/>
    <cellStyle name="60% - Accent4" xfId="1938"/>
    <cellStyle name="60% - Accent4 1" xfId="6550"/>
    <cellStyle name="60% - Accent4 2" xfId="6551"/>
    <cellStyle name="60% - Accent4 3" xfId="6552"/>
    <cellStyle name="60% - Accent4 4" xfId="6553"/>
    <cellStyle name="60% - Accent5" xfId="1939"/>
    <cellStyle name="60% - Accent5 1" xfId="6554"/>
    <cellStyle name="60% - Accent5 2" xfId="6555"/>
    <cellStyle name="60% - Accent5 3" xfId="6556"/>
    <cellStyle name="60% - Accent5 4" xfId="6557"/>
    <cellStyle name="60% - Accent6" xfId="1940"/>
    <cellStyle name="60% - Accent6 1" xfId="6558"/>
    <cellStyle name="60% - Accent6 2" xfId="6559"/>
    <cellStyle name="60% - Accent6 3" xfId="6560"/>
    <cellStyle name="60% - Accent6 4" xfId="6561"/>
    <cellStyle name="60% — акцент1" xfId="1941"/>
    <cellStyle name="60% - Акцент1 10" xfId="1942"/>
    <cellStyle name="60% — акцент1 10" xfId="1943"/>
    <cellStyle name="60% - Акцент1 10 2" xfId="6562"/>
    <cellStyle name="60% - Акцент1 10 3" xfId="6563"/>
    <cellStyle name="60% - Акцент1 11" xfId="6564"/>
    <cellStyle name="60% — акцент1 11" xfId="1944"/>
    <cellStyle name="60% - Акцент1 11 2" xfId="6565"/>
    <cellStyle name="60% - Акцент1 11 3" xfId="6566"/>
    <cellStyle name="60% - Акцент1 11 4" xfId="6567"/>
    <cellStyle name="60% - Акцент1 12" xfId="6568"/>
    <cellStyle name="60% — акцент1 12" xfId="1945"/>
    <cellStyle name="60% - Акцент1 12 2" xfId="6569"/>
    <cellStyle name="60% - Акцент1 12 3" xfId="6570"/>
    <cellStyle name="60% - Акцент1 12 4" xfId="6571"/>
    <cellStyle name="60% - Акцент1 13" xfId="6572"/>
    <cellStyle name="60% — акцент1 13" xfId="1946"/>
    <cellStyle name="60% - Акцент1 13 2" xfId="6573"/>
    <cellStyle name="60% — акцент1 13 2" xfId="4558"/>
    <cellStyle name="60% - Акцент1 13 3" xfId="6574"/>
    <cellStyle name="60% — акцент1 13 3" xfId="4805"/>
    <cellStyle name="60% - Акцент1 14" xfId="6575"/>
    <cellStyle name="60% — акцент1 14" xfId="1947"/>
    <cellStyle name="60% - Акцент1 14 2" xfId="6576"/>
    <cellStyle name="60% — акцент1 14 2" xfId="4559"/>
    <cellStyle name="60% - Акцент1 14 3" xfId="6577"/>
    <cellStyle name="60% — акцент1 14 3" xfId="4804"/>
    <cellStyle name="60% - Акцент1 15" xfId="6578"/>
    <cellStyle name="60% — акцент1 15" xfId="1948"/>
    <cellStyle name="60% - Акцент1 15 2" xfId="6579"/>
    <cellStyle name="60% — акцент1 15 2" xfId="4560"/>
    <cellStyle name="60% - Акцент1 15 3" xfId="6580"/>
    <cellStyle name="60% — акцент1 15 3" xfId="4803"/>
    <cellStyle name="60% - Акцент1 16" xfId="6581"/>
    <cellStyle name="60% — акцент1 16" xfId="1949"/>
    <cellStyle name="60% - Акцент1 16 2" xfId="6582"/>
    <cellStyle name="60% — акцент1 16 2" xfId="4561"/>
    <cellStyle name="60% - Акцент1 16 3" xfId="6583"/>
    <cellStyle name="60% — акцент1 16 3" xfId="4802"/>
    <cellStyle name="60% - Акцент1 17" xfId="6584"/>
    <cellStyle name="60% — акцент1 17" xfId="1950"/>
    <cellStyle name="60% — акцент1 17 2" xfId="4562"/>
    <cellStyle name="60% - Акцент1 18" xfId="6585"/>
    <cellStyle name="60% — акцент1 18" xfId="1951"/>
    <cellStyle name="60% — акцент1 19" xfId="1952"/>
    <cellStyle name="60% - Акцент1 2" xfId="1953"/>
    <cellStyle name="60% — акцент1 2" xfId="1954"/>
    <cellStyle name="60% - Акцент1 2 1" xfId="6586"/>
    <cellStyle name="60% - Акцент1 2 10" xfId="1955"/>
    <cellStyle name="60% - Акцент1 2 11" xfId="4867"/>
    <cellStyle name="60% - Акцент1 2 11 2" xfId="9915"/>
    <cellStyle name="60% - Акцент1 2 11 3" xfId="5193"/>
    <cellStyle name="60% - Акцент1 2 12" xfId="4941"/>
    <cellStyle name="60% - Акцент1 2 12 2" xfId="9916"/>
    <cellStyle name="60% - Акцент1 2 13" xfId="4996"/>
    <cellStyle name="60% - Акцент1 2 14" xfId="6587"/>
    <cellStyle name="60% - Акцент1 2 15" xfId="6588"/>
    <cellStyle name="60% - Акцент1 2 16" xfId="6589"/>
    <cellStyle name="60% - Акцент1 2 17" xfId="6590"/>
    <cellStyle name="60% - Акцент1 2 17 2" xfId="9917"/>
    <cellStyle name="60% - Акцент1 2 18" xfId="9918"/>
    <cellStyle name="60% - Акцент1 2 19" xfId="9919"/>
    <cellStyle name="60% - Акцент1 2 2" xfId="1956"/>
    <cellStyle name="60% - Акцент1 2 2 2" xfId="1957"/>
    <cellStyle name="60% - Акцент1 2 2 2 2" xfId="6591"/>
    <cellStyle name="60% - Акцент1 2 2 2 3" xfId="5194"/>
    <cellStyle name="60% - Акцент1 2 20" xfId="9920"/>
    <cellStyle name="60% - Акцент1 2 21" xfId="5192"/>
    <cellStyle name="60% - Акцент1 2 3" xfId="1958"/>
    <cellStyle name="60% - Акцент1 2 3 2" xfId="6592"/>
    <cellStyle name="60% - Акцент1 2 4" xfId="1959"/>
    <cellStyle name="60% - Акцент1 2 4 2" xfId="6593"/>
    <cellStyle name="60% - Акцент1 2 5" xfId="1960"/>
    <cellStyle name="60% - Акцент1 2 6" xfId="1961"/>
    <cellStyle name="60% - Акцент1 2 7" xfId="1962"/>
    <cellStyle name="60% - Акцент1 2 8" xfId="1963"/>
    <cellStyle name="60% - Акцент1 2 9" xfId="1964"/>
    <cellStyle name="60% - Акцент1 2_МФ тепловой баланс 2015 дубль 3" xfId="1965"/>
    <cellStyle name="60% — акцент1 20" xfId="1966"/>
    <cellStyle name="60% — акцент1 21" xfId="1967"/>
    <cellStyle name="60% — акцент1 22" xfId="4523"/>
    <cellStyle name="60% — акцент1 23" xfId="4525"/>
    <cellStyle name="60% — акцент1 24" xfId="4521"/>
    <cellStyle name="60% — акцент1 25" xfId="4524"/>
    <cellStyle name="60% — акцент1 26" xfId="4825"/>
    <cellStyle name="60% — акцент1 27" xfId="4826"/>
    <cellStyle name="60% - Акцент1 3" xfId="1968"/>
    <cellStyle name="60% — акцент1 3" xfId="1969"/>
    <cellStyle name="60% - Акцент1 3 10" xfId="1970"/>
    <cellStyle name="60% - Акцент1 3 11" xfId="1971"/>
    <cellStyle name="60% - Акцент1 3 11 2" xfId="6595"/>
    <cellStyle name="60% - Акцент1 3 12" xfId="4868"/>
    <cellStyle name="60% - Акцент1 3 13" xfId="4894"/>
    <cellStyle name="60% - Акцент1 3 14" xfId="4995"/>
    <cellStyle name="60% - Акцент1 3 15" xfId="5195"/>
    <cellStyle name="60% - Акцент1 3 2" xfId="1972"/>
    <cellStyle name="60% — акцент1 3 2" xfId="4563"/>
    <cellStyle name="60% - Акцент1 3 2 2" xfId="6596"/>
    <cellStyle name="60% — акцент1 3 2 2" xfId="6594"/>
    <cellStyle name="60% - Акцент1 3 2 3" xfId="9921"/>
    <cellStyle name="60% — акцент1 3 2 3" xfId="10076"/>
    <cellStyle name="60% - Акцент1 3 3" xfId="1973"/>
    <cellStyle name="60% — акцент1 3 3" xfId="4506"/>
    <cellStyle name="60% - Акцент1 3 3 2" xfId="6597"/>
    <cellStyle name="60% - Акцент1 3 3 2 2" xfId="6598"/>
    <cellStyle name="60% - Акцент1 3 4" xfId="1974"/>
    <cellStyle name="60% — акцент1 3 4" xfId="4537"/>
    <cellStyle name="60% - Акцент1 3 5" xfId="1975"/>
    <cellStyle name="60% — акцент1 3 5" xfId="4511"/>
    <cellStyle name="60% - Акцент1 3 6" xfId="1976"/>
    <cellStyle name="60% — акцент1 3 6" xfId="4834"/>
    <cellStyle name="60% - Акцент1 3 7" xfId="1977"/>
    <cellStyle name="60% — акцент1 3 7" xfId="4801"/>
    <cellStyle name="60% - Акцент1 3 8" xfId="1978"/>
    <cellStyle name="60% - Акцент1 3 9" xfId="1979"/>
    <cellStyle name="60% - Акцент1 3_МФ тепловой баланс 2015 дубль 3" xfId="1980"/>
    <cellStyle name="60% - Акцент1 4" xfId="1981"/>
    <cellStyle name="60% — акцент1 4" xfId="1982"/>
    <cellStyle name="60% - Акцент1 4 2" xfId="1983"/>
    <cellStyle name="60% — акцент1 4 2" xfId="6599"/>
    <cellStyle name="60% - Акцент1 4 3" xfId="5196"/>
    <cellStyle name="60% - Акцент1 4 3 2" xfId="6600"/>
    <cellStyle name="60% - Акцент1 4 3 3" xfId="6601"/>
    <cellStyle name="60% - Акцент1 4_МФ тепловой баланс 2015 дубль 3" xfId="1984"/>
    <cellStyle name="60% - Акцент1 5" xfId="1985"/>
    <cellStyle name="60% — акцент1 5" xfId="1986"/>
    <cellStyle name="60% - Акцент1 5 2" xfId="1987"/>
    <cellStyle name="60% — акцент1 5 2" xfId="6602"/>
    <cellStyle name="60% - Акцент1 5 3" xfId="5197"/>
    <cellStyle name="60% - Акцент1 5 3 2" xfId="6603"/>
    <cellStyle name="60% - Акцент1 5 3 3" xfId="6604"/>
    <cellStyle name="60% - Акцент1 5_МФ тепловой баланс 2015 дубль 3" xfId="1988"/>
    <cellStyle name="60% - Акцент1 6" xfId="1989"/>
    <cellStyle name="60% — акцент1 6" xfId="1990"/>
    <cellStyle name="60% - Акцент1 6 2" xfId="1991"/>
    <cellStyle name="60% — акцент1 6 2" xfId="6605"/>
    <cellStyle name="60% - Акцент1 6 3" xfId="5198"/>
    <cellStyle name="60% - Акцент1 6 3 2" xfId="6606"/>
    <cellStyle name="60% - Акцент1 6 3 3" xfId="6607"/>
    <cellStyle name="60% - Акцент1 6_МФ тепловой баланс 2015 дубль 3" xfId="1992"/>
    <cellStyle name="60% - Акцент1 7" xfId="1993"/>
    <cellStyle name="60% — акцент1 7" xfId="1994"/>
    <cellStyle name="60% - Акцент1 7 2" xfId="1995"/>
    <cellStyle name="60% - Акцент1 7 3" xfId="5199"/>
    <cellStyle name="60% - Акцент1 7 3 2" xfId="6608"/>
    <cellStyle name="60% - Акцент1 7 3 3" xfId="6609"/>
    <cellStyle name="60% - Акцент1 7_МФ тепловой баланс 2015 дубль 3" xfId="1996"/>
    <cellStyle name="60% - Акцент1 8" xfId="1997"/>
    <cellStyle name="60% — акцент1 8" xfId="1998"/>
    <cellStyle name="60% - Акцент1 8 2" xfId="1999"/>
    <cellStyle name="60% - Акцент1 8 3" xfId="6610"/>
    <cellStyle name="60% - Акцент1 8 4" xfId="6611"/>
    <cellStyle name="60% - Акцент1 9" xfId="2000"/>
    <cellStyle name="60% — акцент1 9" xfId="2001"/>
    <cellStyle name="60% - Акцент1 9 2" xfId="2002"/>
    <cellStyle name="60% - Акцент1 9 3" xfId="6612"/>
    <cellStyle name="60% — акцент2" xfId="2003"/>
    <cellStyle name="60% - Акцент2 10" xfId="2004"/>
    <cellStyle name="60% — акцент2 10" xfId="2005"/>
    <cellStyle name="60% - Акцент2 10 2" xfId="6613"/>
    <cellStyle name="60% - Акцент2 10 3" xfId="6614"/>
    <cellStyle name="60% - Акцент2 11" xfId="6615"/>
    <cellStyle name="60% — акцент2 11" xfId="2006"/>
    <cellStyle name="60% - Акцент2 11 2" xfId="6616"/>
    <cellStyle name="60% - Акцент2 11 3" xfId="6617"/>
    <cellStyle name="60% - Акцент2 11 4" xfId="6618"/>
    <cellStyle name="60% - Акцент2 12" xfId="6619"/>
    <cellStyle name="60% — акцент2 12" xfId="2007"/>
    <cellStyle name="60% - Акцент2 12 2" xfId="6620"/>
    <cellStyle name="60% - Акцент2 12 3" xfId="6621"/>
    <cellStyle name="60% - Акцент2 12 4" xfId="6622"/>
    <cellStyle name="60% - Акцент2 13" xfId="6623"/>
    <cellStyle name="60% — акцент2 13" xfId="2008"/>
    <cellStyle name="60% - Акцент2 13 2" xfId="6624"/>
    <cellStyle name="60% - Акцент2 13 3" xfId="6625"/>
    <cellStyle name="60% - Акцент2 14" xfId="6626"/>
    <cellStyle name="60% — акцент2 14" xfId="2009"/>
    <cellStyle name="60% - Акцент2 14 2" xfId="6627"/>
    <cellStyle name="60% - Акцент2 14 3" xfId="6628"/>
    <cellStyle name="60% - Акцент2 15" xfId="6629"/>
    <cellStyle name="60% — акцент2 15" xfId="2010"/>
    <cellStyle name="60% - Акцент2 15 2" xfId="6630"/>
    <cellStyle name="60% - Акцент2 15 3" xfId="6631"/>
    <cellStyle name="60% - Акцент2 16" xfId="6632"/>
    <cellStyle name="60% — акцент2 16" xfId="2011"/>
    <cellStyle name="60% - Акцент2 16 2" xfId="6633"/>
    <cellStyle name="60% - Акцент2 16 3" xfId="6634"/>
    <cellStyle name="60% - Акцент2 17" xfId="6635"/>
    <cellStyle name="60% — акцент2 17" xfId="2012"/>
    <cellStyle name="60% - Акцент2 18" xfId="6636"/>
    <cellStyle name="60% — акцент2 18" xfId="2013"/>
    <cellStyle name="60% — акцент2 19" xfId="2014"/>
    <cellStyle name="60% - Акцент2 2" xfId="2015"/>
    <cellStyle name="60% — акцент2 2" xfId="2016"/>
    <cellStyle name="60% - Акцент2 2 1" xfId="6637"/>
    <cellStyle name="60% - Акцент2 2 10" xfId="2017"/>
    <cellStyle name="60% - Акцент2 2 11" xfId="4869"/>
    <cellStyle name="60% - Акцент2 2 11 2" xfId="9922"/>
    <cellStyle name="60% - Акцент2 2 11 3" xfId="5201"/>
    <cellStyle name="60% - Акцент2 2 12" xfId="4940"/>
    <cellStyle name="60% - Акцент2 2 12 2" xfId="9923"/>
    <cellStyle name="60% - Акцент2 2 13" xfId="4994"/>
    <cellStyle name="60% - Акцент2 2 14" xfId="6638"/>
    <cellStyle name="60% - Акцент2 2 15" xfId="6639"/>
    <cellStyle name="60% - Акцент2 2 16" xfId="6640"/>
    <cellStyle name="60% - Акцент2 2 17" xfId="6641"/>
    <cellStyle name="60% - Акцент2 2 17 2" xfId="9924"/>
    <cellStyle name="60% - Акцент2 2 18" xfId="9925"/>
    <cellStyle name="60% - Акцент2 2 19" xfId="9926"/>
    <cellStyle name="60% - Акцент2 2 2" xfId="2018"/>
    <cellStyle name="60% - Акцент2 2 2 2" xfId="2019"/>
    <cellStyle name="60% - Акцент2 2 2 2 2" xfId="6642"/>
    <cellStyle name="60% - Акцент2 2 2 2 3" xfId="5202"/>
    <cellStyle name="60% - Акцент2 2 20" xfId="9927"/>
    <cellStyle name="60% - Акцент2 2 21" xfId="5200"/>
    <cellStyle name="60% - Акцент2 2 3" xfId="2020"/>
    <cellStyle name="60% - Акцент2 2 3 2" xfId="6643"/>
    <cellStyle name="60% - Акцент2 2 4" xfId="2021"/>
    <cellStyle name="60% - Акцент2 2 4 2" xfId="6644"/>
    <cellStyle name="60% - Акцент2 2 5" xfId="2022"/>
    <cellStyle name="60% - Акцент2 2 6" xfId="2023"/>
    <cellStyle name="60% - Акцент2 2 7" xfId="2024"/>
    <cellStyle name="60% - Акцент2 2 8" xfId="2025"/>
    <cellStyle name="60% - Акцент2 2 9" xfId="2026"/>
    <cellStyle name="60% - Акцент2 2_МФ тепловой баланс 2015 дубль 3" xfId="2027"/>
    <cellStyle name="60% — акцент2 20" xfId="2028"/>
    <cellStyle name="60% — акцент2 21" xfId="2029"/>
    <cellStyle name="60% - Акцент2 3" xfId="2030"/>
    <cellStyle name="60% — акцент2 3" xfId="2031"/>
    <cellStyle name="60% - Акцент2 3 10" xfId="2032"/>
    <cellStyle name="60% - Акцент2 3 11" xfId="2033"/>
    <cellStyle name="60% - Акцент2 3 11 2" xfId="6645"/>
    <cellStyle name="60% - Акцент2 3 12" xfId="4870"/>
    <cellStyle name="60% - Акцент2 3 12 2" xfId="9928"/>
    <cellStyle name="60% - Акцент2 3 13" xfId="4893"/>
    <cellStyle name="60% - Акцент2 3 14" xfId="4993"/>
    <cellStyle name="60% - Акцент2 3 15" xfId="5203"/>
    <cellStyle name="60% - Акцент2 3 2" xfId="2034"/>
    <cellStyle name="60% - Акцент2 3 2 2" xfId="6646"/>
    <cellStyle name="60% - Акцент2 3 2 3" xfId="9929"/>
    <cellStyle name="60% - Акцент2 3 3" xfId="2035"/>
    <cellStyle name="60% - Акцент2 3 3 2" xfId="6647"/>
    <cellStyle name="60% - Акцент2 3 3 2 2" xfId="6648"/>
    <cellStyle name="60% - Акцент2 3 4" xfId="2036"/>
    <cellStyle name="60% - Акцент2 3 5" xfId="2037"/>
    <cellStyle name="60% - Акцент2 3 6" xfId="2038"/>
    <cellStyle name="60% - Акцент2 3 7" xfId="2039"/>
    <cellStyle name="60% - Акцент2 3 8" xfId="2040"/>
    <cellStyle name="60% - Акцент2 3 9" xfId="2041"/>
    <cellStyle name="60% - Акцент2 3_МФ тепловой баланс 2015 дубль 3" xfId="2042"/>
    <cellStyle name="60% - Акцент2 4" xfId="2043"/>
    <cellStyle name="60% — акцент2 4" xfId="2044"/>
    <cellStyle name="60% - Акцент2 4 2" xfId="2045"/>
    <cellStyle name="60% - Акцент2 4 3" xfId="5204"/>
    <cellStyle name="60% - Акцент2 4 3 2" xfId="6649"/>
    <cellStyle name="60% - Акцент2 4 3 3" xfId="6650"/>
    <cellStyle name="60% - Акцент2 4_МФ тепловой баланс 2015 дубль 3" xfId="2046"/>
    <cellStyle name="60% - Акцент2 5" xfId="2047"/>
    <cellStyle name="60% — акцент2 5" xfId="2048"/>
    <cellStyle name="60% - Акцент2 5 2" xfId="2049"/>
    <cellStyle name="60% - Акцент2 5 3" xfId="5205"/>
    <cellStyle name="60% - Акцент2 5 3 2" xfId="6651"/>
    <cellStyle name="60% - Акцент2 5 3 3" xfId="6652"/>
    <cellStyle name="60% - Акцент2 5_МФ тепловой баланс 2015 дубль 3" xfId="2050"/>
    <cellStyle name="60% - Акцент2 6" xfId="2051"/>
    <cellStyle name="60% — акцент2 6" xfId="2052"/>
    <cellStyle name="60% - Акцент2 6 2" xfId="2053"/>
    <cellStyle name="60% - Акцент2 6 3" xfId="5206"/>
    <cellStyle name="60% - Акцент2 6 3 2" xfId="6653"/>
    <cellStyle name="60% - Акцент2 6 3 3" xfId="6654"/>
    <cellStyle name="60% - Акцент2 6_МФ тепловой баланс 2015 дубль 3" xfId="2054"/>
    <cellStyle name="60% - Акцент2 7" xfId="2055"/>
    <cellStyle name="60% — акцент2 7" xfId="2056"/>
    <cellStyle name="60% - Акцент2 7 2" xfId="2057"/>
    <cellStyle name="60% - Акцент2 7 3" xfId="5207"/>
    <cellStyle name="60% - Акцент2 7 3 2" xfId="6655"/>
    <cellStyle name="60% - Акцент2 7 3 3" xfId="6656"/>
    <cellStyle name="60% - Акцент2 7_МФ тепловой баланс 2015 дубль 3" xfId="2058"/>
    <cellStyle name="60% - Акцент2 8" xfId="2059"/>
    <cellStyle name="60% — акцент2 8" xfId="2060"/>
    <cellStyle name="60% - Акцент2 8 2" xfId="2061"/>
    <cellStyle name="60% - Акцент2 8 3" xfId="6657"/>
    <cellStyle name="60% - Акцент2 8 4" xfId="6658"/>
    <cellStyle name="60% - Акцент2 9" xfId="2062"/>
    <cellStyle name="60% — акцент2 9" xfId="2063"/>
    <cellStyle name="60% - Акцент2 9 2" xfId="2064"/>
    <cellStyle name="60% - Акцент2 9 3" xfId="6659"/>
    <cellStyle name="60% — акцент3" xfId="2065"/>
    <cellStyle name="60% - Акцент3 10" xfId="2066"/>
    <cellStyle name="60% — акцент3 10" xfId="2067"/>
    <cellStyle name="60% - Акцент3 10 2" xfId="6660"/>
    <cellStyle name="60% - Акцент3 10 3" xfId="6661"/>
    <cellStyle name="60% - Акцент3 11" xfId="6662"/>
    <cellStyle name="60% — акцент3 11" xfId="2068"/>
    <cellStyle name="60% - Акцент3 11 2" xfId="6663"/>
    <cellStyle name="60% - Акцент3 11 3" xfId="6664"/>
    <cellStyle name="60% - Акцент3 11 4" xfId="6665"/>
    <cellStyle name="60% - Акцент3 12" xfId="6666"/>
    <cellStyle name="60% — акцент3 12" xfId="2069"/>
    <cellStyle name="60% - Акцент3 12 2" xfId="6667"/>
    <cellStyle name="60% - Акцент3 12 3" xfId="6668"/>
    <cellStyle name="60% - Акцент3 12 4" xfId="6669"/>
    <cellStyle name="60% - Акцент3 13" xfId="6670"/>
    <cellStyle name="60% — акцент3 13" xfId="2070"/>
    <cellStyle name="60% - Акцент3 13 2" xfId="6671"/>
    <cellStyle name="60% - Акцент3 13 3" xfId="6672"/>
    <cellStyle name="60% - Акцент3 14" xfId="6673"/>
    <cellStyle name="60% — акцент3 14" xfId="2071"/>
    <cellStyle name="60% - Акцент3 14 2" xfId="6674"/>
    <cellStyle name="60% - Акцент3 14 3" xfId="6675"/>
    <cellStyle name="60% - Акцент3 15" xfId="6676"/>
    <cellStyle name="60% — акцент3 15" xfId="2072"/>
    <cellStyle name="60% - Акцент3 15 2" xfId="6677"/>
    <cellStyle name="60% - Акцент3 15 3" xfId="6678"/>
    <cellStyle name="60% - Акцент3 16" xfId="6679"/>
    <cellStyle name="60% — акцент3 16" xfId="2073"/>
    <cellStyle name="60% - Акцент3 16 2" xfId="6680"/>
    <cellStyle name="60% - Акцент3 16 3" xfId="6681"/>
    <cellStyle name="60% - Акцент3 17" xfId="6682"/>
    <cellStyle name="60% — акцент3 17" xfId="2074"/>
    <cellStyle name="60% - Акцент3 18" xfId="6683"/>
    <cellStyle name="60% — акцент3 18" xfId="2075"/>
    <cellStyle name="60% — акцент3 19" xfId="2076"/>
    <cellStyle name="60% - Акцент3 2" xfId="2077"/>
    <cellStyle name="60% — акцент3 2" xfId="2078"/>
    <cellStyle name="60% - Акцент3 2 1" xfId="6684"/>
    <cellStyle name="60% - Акцент3 2 10" xfId="2079"/>
    <cellStyle name="60% - Акцент3 2 11" xfId="4871"/>
    <cellStyle name="60% - Акцент3 2 11 2" xfId="9930"/>
    <cellStyle name="60% - Акцент3 2 11 3" xfId="5209"/>
    <cellStyle name="60% - Акцент3 2 12" xfId="4939"/>
    <cellStyle name="60% - Акцент3 2 12 2" xfId="9931"/>
    <cellStyle name="60% - Акцент3 2 13" xfId="4992"/>
    <cellStyle name="60% - Акцент3 2 14" xfId="6685"/>
    <cellStyle name="60% - Акцент3 2 15" xfId="6686"/>
    <cellStyle name="60% - Акцент3 2 16" xfId="6687"/>
    <cellStyle name="60% - Акцент3 2 17" xfId="6688"/>
    <cellStyle name="60% - Акцент3 2 17 2" xfId="9932"/>
    <cellStyle name="60% - Акцент3 2 18" xfId="9933"/>
    <cellStyle name="60% - Акцент3 2 19" xfId="9934"/>
    <cellStyle name="60% - Акцент3 2 2" xfId="2080"/>
    <cellStyle name="60% - Акцент3 2 2 2" xfId="2081"/>
    <cellStyle name="60% - Акцент3 2 2 2 2" xfId="6689"/>
    <cellStyle name="60% - Акцент3 2 2 2 3" xfId="5210"/>
    <cellStyle name="60% - Акцент3 2 20" xfId="9935"/>
    <cellStyle name="60% - Акцент3 2 21" xfId="5208"/>
    <cellStyle name="60% - Акцент3 2 3" xfId="2082"/>
    <cellStyle name="60% - Акцент3 2 3 2" xfId="6690"/>
    <cellStyle name="60% - Акцент3 2 4" xfId="2083"/>
    <cellStyle name="60% - Акцент3 2 4 2" xfId="6691"/>
    <cellStyle name="60% - Акцент3 2 5" xfId="2084"/>
    <cellStyle name="60% - Акцент3 2 6" xfId="2085"/>
    <cellStyle name="60% - Акцент3 2 7" xfId="2086"/>
    <cellStyle name="60% - Акцент3 2 8" xfId="2087"/>
    <cellStyle name="60% - Акцент3 2 9" xfId="2088"/>
    <cellStyle name="60% - Акцент3 2_МФ тепловой баланс 2015 дубль 3" xfId="2089"/>
    <cellStyle name="60% — акцент3 20" xfId="2090"/>
    <cellStyle name="60% — акцент3 21" xfId="2091"/>
    <cellStyle name="60% - Акцент3 3" xfId="2092"/>
    <cellStyle name="60% — акцент3 3" xfId="2093"/>
    <cellStyle name="60% - Акцент3 3 10" xfId="2094"/>
    <cellStyle name="60% - Акцент3 3 11" xfId="2095"/>
    <cellStyle name="60% - Акцент3 3 11 2" xfId="6692"/>
    <cellStyle name="60% - Акцент3 3 12" xfId="4872"/>
    <cellStyle name="60% - Акцент3 3 12 2" xfId="9936"/>
    <cellStyle name="60% - Акцент3 3 13" xfId="4938"/>
    <cellStyle name="60% - Акцент3 3 14" xfId="4991"/>
    <cellStyle name="60% - Акцент3 3 15" xfId="5211"/>
    <cellStyle name="60% - Акцент3 3 2" xfId="2096"/>
    <cellStyle name="60% - Акцент3 3 2 2" xfId="6693"/>
    <cellStyle name="60% - Акцент3 3 2 3" xfId="9937"/>
    <cellStyle name="60% - Акцент3 3 3" xfId="2097"/>
    <cellStyle name="60% - Акцент3 3 3 2" xfId="6694"/>
    <cellStyle name="60% - Акцент3 3 3 2 2" xfId="6695"/>
    <cellStyle name="60% - Акцент3 3 4" xfId="2098"/>
    <cellStyle name="60% - Акцент3 3 5" xfId="2099"/>
    <cellStyle name="60% - Акцент3 3 6" xfId="2100"/>
    <cellStyle name="60% - Акцент3 3 7" xfId="2101"/>
    <cellStyle name="60% - Акцент3 3 8" xfId="2102"/>
    <cellStyle name="60% - Акцент3 3 9" xfId="2103"/>
    <cellStyle name="60% - Акцент3 3_МФ тепловой баланс 2015 дубль 3" xfId="2104"/>
    <cellStyle name="60% - Акцент3 4" xfId="2105"/>
    <cellStyle name="60% — акцент3 4" xfId="2106"/>
    <cellStyle name="60% - Акцент3 4 2" xfId="2107"/>
    <cellStyle name="60% - Акцент3 4 3" xfId="5212"/>
    <cellStyle name="60% - Акцент3 4 3 2" xfId="6696"/>
    <cellStyle name="60% - Акцент3 4 3 3" xfId="6697"/>
    <cellStyle name="60% - Акцент3 4_МФ тепловой баланс 2015 дубль 3" xfId="2108"/>
    <cellStyle name="60% - Акцент3 5" xfId="2109"/>
    <cellStyle name="60% — акцент3 5" xfId="2110"/>
    <cellStyle name="60% - Акцент3 5 2" xfId="2111"/>
    <cellStyle name="60% - Акцент3 5 3" xfId="5213"/>
    <cellStyle name="60% - Акцент3 5 3 2" xfId="6698"/>
    <cellStyle name="60% - Акцент3 5 3 3" xfId="6699"/>
    <cellStyle name="60% - Акцент3 5_МФ тепловой баланс 2015 дубль 3" xfId="2112"/>
    <cellStyle name="60% - Акцент3 6" xfId="2113"/>
    <cellStyle name="60% — акцент3 6" xfId="2114"/>
    <cellStyle name="60% - Акцент3 6 2" xfId="2115"/>
    <cellStyle name="60% - Акцент3 6 3" xfId="5214"/>
    <cellStyle name="60% - Акцент3 6 3 2" xfId="6700"/>
    <cellStyle name="60% - Акцент3 6 3 3" xfId="6701"/>
    <cellStyle name="60% - Акцент3 6_МФ тепловой баланс 2015 дубль 3" xfId="2116"/>
    <cellStyle name="60% - Акцент3 7" xfId="2117"/>
    <cellStyle name="60% — акцент3 7" xfId="2118"/>
    <cellStyle name="60% - Акцент3 7 2" xfId="2119"/>
    <cellStyle name="60% - Акцент3 7 3" xfId="5215"/>
    <cellStyle name="60% - Акцент3 7 3 2" xfId="6702"/>
    <cellStyle name="60% - Акцент3 7 3 3" xfId="6703"/>
    <cellStyle name="60% - Акцент3 7_МФ тепловой баланс 2015 дубль 3" xfId="2120"/>
    <cellStyle name="60% - Акцент3 8" xfId="2121"/>
    <cellStyle name="60% — акцент3 8" xfId="2122"/>
    <cellStyle name="60% - Акцент3 8 2" xfId="2123"/>
    <cellStyle name="60% - Акцент3 8 3" xfId="6704"/>
    <cellStyle name="60% - Акцент3 8 4" xfId="6705"/>
    <cellStyle name="60% - Акцент3 9" xfId="2124"/>
    <cellStyle name="60% — акцент3 9" xfId="2125"/>
    <cellStyle name="60% - Акцент3 9 2" xfId="2126"/>
    <cellStyle name="60% - Акцент3 9 3" xfId="6706"/>
    <cellStyle name="60% — акцент4" xfId="2127"/>
    <cellStyle name="60% - Акцент4 10" xfId="2128"/>
    <cellStyle name="60% — акцент4 10" xfId="2129"/>
    <cellStyle name="60% - Акцент4 10 2" xfId="6707"/>
    <cellStyle name="60% - Акцент4 10 3" xfId="6708"/>
    <cellStyle name="60% - Акцент4 11" xfId="6709"/>
    <cellStyle name="60% — акцент4 11" xfId="2130"/>
    <cellStyle name="60% - Акцент4 11 2" xfId="6710"/>
    <cellStyle name="60% - Акцент4 11 3" xfId="6711"/>
    <cellStyle name="60% - Акцент4 11 4" xfId="6712"/>
    <cellStyle name="60% - Акцент4 12" xfId="6713"/>
    <cellStyle name="60% — акцент4 12" xfId="2131"/>
    <cellStyle name="60% - Акцент4 12 2" xfId="6714"/>
    <cellStyle name="60% - Акцент4 12 3" xfId="6715"/>
    <cellStyle name="60% - Акцент4 12 4" xfId="6716"/>
    <cellStyle name="60% - Акцент4 13" xfId="6717"/>
    <cellStyle name="60% — акцент4 13" xfId="2132"/>
    <cellStyle name="60% - Акцент4 13 2" xfId="6718"/>
    <cellStyle name="60% - Акцент4 13 3" xfId="6719"/>
    <cellStyle name="60% - Акцент4 14" xfId="6720"/>
    <cellStyle name="60% — акцент4 14" xfId="2133"/>
    <cellStyle name="60% - Акцент4 14 2" xfId="6721"/>
    <cellStyle name="60% - Акцент4 14 3" xfId="6722"/>
    <cellStyle name="60% - Акцент4 15" xfId="6723"/>
    <cellStyle name="60% — акцент4 15" xfId="2134"/>
    <cellStyle name="60% - Акцент4 15 2" xfId="6724"/>
    <cellStyle name="60% - Акцент4 15 3" xfId="6725"/>
    <cellStyle name="60% - Акцент4 16" xfId="6726"/>
    <cellStyle name="60% — акцент4 16" xfId="2135"/>
    <cellStyle name="60% - Акцент4 16 2" xfId="6727"/>
    <cellStyle name="60% - Акцент4 16 3" xfId="6728"/>
    <cellStyle name="60% - Акцент4 17" xfId="6729"/>
    <cellStyle name="60% — акцент4 17" xfId="2136"/>
    <cellStyle name="60% - Акцент4 18" xfId="6730"/>
    <cellStyle name="60% — акцент4 18" xfId="2137"/>
    <cellStyle name="60% — акцент4 19" xfId="2138"/>
    <cellStyle name="60% - Акцент4 2" xfId="2139"/>
    <cellStyle name="60% — акцент4 2" xfId="2140"/>
    <cellStyle name="60% - Акцент4 2 1" xfId="6731"/>
    <cellStyle name="60% - Акцент4 2 10" xfId="2141"/>
    <cellStyle name="60% - Акцент4 2 11" xfId="4873"/>
    <cellStyle name="60% - Акцент4 2 11 2" xfId="9938"/>
    <cellStyle name="60% - Акцент4 2 11 3" xfId="5217"/>
    <cellStyle name="60% - Акцент4 2 12" xfId="4937"/>
    <cellStyle name="60% - Акцент4 2 12 2" xfId="9939"/>
    <cellStyle name="60% - Акцент4 2 13" xfId="4990"/>
    <cellStyle name="60% - Акцент4 2 14" xfId="6732"/>
    <cellStyle name="60% - Акцент4 2 15" xfId="6733"/>
    <cellStyle name="60% - Акцент4 2 16" xfId="6734"/>
    <cellStyle name="60% - Акцент4 2 17" xfId="6735"/>
    <cellStyle name="60% - Акцент4 2 17 2" xfId="9940"/>
    <cellStyle name="60% - Акцент4 2 18" xfId="9941"/>
    <cellStyle name="60% - Акцент4 2 19" xfId="9942"/>
    <cellStyle name="60% - Акцент4 2 2" xfId="2142"/>
    <cellStyle name="60% - Акцент4 2 2 2" xfId="2143"/>
    <cellStyle name="60% - Акцент4 2 2 2 2" xfId="6736"/>
    <cellStyle name="60% - Акцент4 2 2 2 3" xfId="5218"/>
    <cellStyle name="60% - Акцент4 2 20" xfId="9943"/>
    <cellStyle name="60% - Акцент4 2 21" xfId="5216"/>
    <cellStyle name="60% - Акцент4 2 3" xfId="2144"/>
    <cellStyle name="60% - Акцент4 2 3 2" xfId="6737"/>
    <cellStyle name="60% - Акцент4 2 4" xfId="2145"/>
    <cellStyle name="60% - Акцент4 2 4 2" xfId="6738"/>
    <cellStyle name="60% - Акцент4 2 5" xfId="2146"/>
    <cellStyle name="60% - Акцент4 2 6" xfId="2147"/>
    <cellStyle name="60% - Акцент4 2 7" xfId="2148"/>
    <cellStyle name="60% - Акцент4 2 8" xfId="2149"/>
    <cellStyle name="60% - Акцент4 2 9" xfId="2150"/>
    <cellStyle name="60% - Акцент4 2_МФ тепловой баланс 2015 дубль 3" xfId="2151"/>
    <cellStyle name="60% — акцент4 20" xfId="2152"/>
    <cellStyle name="60% — акцент4 21" xfId="2153"/>
    <cellStyle name="60% - Акцент4 3" xfId="2154"/>
    <cellStyle name="60% — акцент4 3" xfId="2155"/>
    <cellStyle name="60% - Акцент4 3 10" xfId="2156"/>
    <cellStyle name="60% - Акцент4 3 11" xfId="2157"/>
    <cellStyle name="60% - Акцент4 3 11 2" xfId="6739"/>
    <cellStyle name="60% - Акцент4 3 12" xfId="4874"/>
    <cellStyle name="60% - Акцент4 3 12 2" xfId="9944"/>
    <cellStyle name="60% - Акцент4 3 13" xfId="4936"/>
    <cellStyle name="60% - Акцент4 3 14" xfId="4989"/>
    <cellStyle name="60% - Акцент4 3 15" xfId="5219"/>
    <cellStyle name="60% - Акцент4 3 2" xfId="2158"/>
    <cellStyle name="60% - Акцент4 3 2 2" xfId="6740"/>
    <cellStyle name="60% - Акцент4 3 2 3" xfId="9945"/>
    <cellStyle name="60% - Акцент4 3 3" xfId="2159"/>
    <cellStyle name="60% - Акцент4 3 3 2" xfId="6741"/>
    <cellStyle name="60% - Акцент4 3 3 2 2" xfId="6742"/>
    <cellStyle name="60% - Акцент4 3 4" xfId="2160"/>
    <cellStyle name="60% - Акцент4 3 5" xfId="2161"/>
    <cellStyle name="60% - Акцент4 3 6" xfId="2162"/>
    <cellStyle name="60% - Акцент4 3 7" xfId="2163"/>
    <cellStyle name="60% - Акцент4 3 8" xfId="2164"/>
    <cellStyle name="60% - Акцент4 3 9" xfId="2165"/>
    <cellStyle name="60% - Акцент4 3_МФ тепловой баланс 2015 дубль 3" xfId="2166"/>
    <cellStyle name="60% - Акцент4 4" xfId="2167"/>
    <cellStyle name="60% — акцент4 4" xfId="2168"/>
    <cellStyle name="60% - Акцент4 4 2" xfId="2169"/>
    <cellStyle name="60% - Акцент4 4 3" xfId="5220"/>
    <cellStyle name="60% - Акцент4 4 3 2" xfId="6743"/>
    <cellStyle name="60% - Акцент4 4 3 3" xfId="6744"/>
    <cellStyle name="60% - Акцент4 4_МФ тепловой баланс 2015 дубль 3" xfId="2170"/>
    <cellStyle name="60% - Акцент4 5" xfId="2171"/>
    <cellStyle name="60% — акцент4 5" xfId="2172"/>
    <cellStyle name="60% - Акцент4 5 2" xfId="2173"/>
    <cellStyle name="60% - Акцент4 5 3" xfId="5221"/>
    <cellStyle name="60% - Акцент4 5 3 2" xfId="6745"/>
    <cellStyle name="60% - Акцент4 5 3 3" xfId="6746"/>
    <cellStyle name="60% - Акцент4 5_МФ тепловой баланс 2015 дубль 3" xfId="2174"/>
    <cellStyle name="60% - Акцент4 6" xfId="2175"/>
    <cellStyle name="60% — акцент4 6" xfId="2176"/>
    <cellStyle name="60% - Акцент4 6 2" xfId="2177"/>
    <cellStyle name="60% - Акцент4 6 3" xfId="5222"/>
    <cellStyle name="60% - Акцент4 6 3 2" xfId="6747"/>
    <cellStyle name="60% - Акцент4 6 3 3" xfId="6748"/>
    <cellStyle name="60% - Акцент4 6_МФ тепловой баланс 2015 дубль 3" xfId="2178"/>
    <cellStyle name="60% - Акцент4 7" xfId="2179"/>
    <cellStyle name="60% — акцент4 7" xfId="2180"/>
    <cellStyle name="60% - Акцент4 7 2" xfId="2181"/>
    <cellStyle name="60% - Акцент4 7 3" xfId="5223"/>
    <cellStyle name="60% - Акцент4 7 3 2" xfId="6749"/>
    <cellStyle name="60% - Акцент4 7 3 3" xfId="6750"/>
    <cellStyle name="60% - Акцент4 7_МФ тепловой баланс 2015 дубль 3" xfId="2182"/>
    <cellStyle name="60% - Акцент4 8" xfId="2183"/>
    <cellStyle name="60% — акцент4 8" xfId="2184"/>
    <cellStyle name="60% - Акцент4 8 2" xfId="2185"/>
    <cellStyle name="60% - Акцент4 8 3" xfId="6751"/>
    <cellStyle name="60% - Акцент4 8 4" xfId="6752"/>
    <cellStyle name="60% - Акцент4 9" xfId="2186"/>
    <cellStyle name="60% — акцент4 9" xfId="2187"/>
    <cellStyle name="60% - Акцент4 9 2" xfId="2188"/>
    <cellStyle name="60% - Акцент4 9 3" xfId="6753"/>
    <cellStyle name="60% — акцент5" xfId="2189"/>
    <cellStyle name="60% - Акцент5 10" xfId="2190"/>
    <cellStyle name="60% — акцент5 10" xfId="2191"/>
    <cellStyle name="60% - Акцент5 10 2" xfId="6754"/>
    <cellStyle name="60% - Акцент5 10 3" xfId="6755"/>
    <cellStyle name="60% - Акцент5 11" xfId="6756"/>
    <cellStyle name="60% — акцент5 11" xfId="2192"/>
    <cellStyle name="60% - Акцент5 11 2" xfId="6757"/>
    <cellStyle name="60% - Акцент5 11 3" xfId="6758"/>
    <cellStyle name="60% - Акцент5 11 4" xfId="6759"/>
    <cellStyle name="60% - Акцент5 12" xfId="6760"/>
    <cellStyle name="60% — акцент5 12" xfId="2193"/>
    <cellStyle name="60% - Акцент5 12 2" xfId="6761"/>
    <cellStyle name="60% - Акцент5 12 3" xfId="6762"/>
    <cellStyle name="60% - Акцент5 12 4" xfId="6763"/>
    <cellStyle name="60% - Акцент5 13" xfId="6764"/>
    <cellStyle name="60% — акцент5 13" xfId="2194"/>
    <cellStyle name="60% - Акцент5 13 2" xfId="6765"/>
    <cellStyle name="60% - Акцент5 13 3" xfId="6766"/>
    <cellStyle name="60% - Акцент5 14" xfId="6767"/>
    <cellStyle name="60% — акцент5 14" xfId="2195"/>
    <cellStyle name="60% - Акцент5 14 2" xfId="6768"/>
    <cellStyle name="60% - Акцент5 14 3" xfId="6769"/>
    <cellStyle name="60% - Акцент5 15" xfId="6770"/>
    <cellStyle name="60% — акцент5 15" xfId="2196"/>
    <cellStyle name="60% - Акцент5 15 2" xfId="6771"/>
    <cellStyle name="60% - Акцент5 15 3" xfId="6772"/>
    <cellStyle name="60% - Акцент5 16" xfId="6773"/>
    <cellStyle name="60% — акцент5 16" xfId="2197"/>
    <cellStyle name="60% - Акцент5 16 2" xfId="6774"/>
    <cellStyle name="60% - Акцент5 16 3" xfId="6775"/>
    <cellStyle name="60% - Акцент5 17" xfId="6776"/>
    <cellStyle name="60% — акцент5 17" xfId="2198"/>
    <cellStyle name="60% - Акцент5 18" xfId="6777"/>
    <cellStyle name="60% — акцент5 18" xfId="2199"/>
    <cellStyle name="60% — акцент5 19" xfId="2200"/>
    <cellStyle name="60% - Акцент5 2" xfId="2201"/>
    <cellStyle name="60% — акцент5 2" xfId="2202"/>
    <cellStyle name="60% - Акцент5 2 1" xfId="6778"/>
    <cellStyle name="60% - Акцент5 2 10" xfId="2203"/>
    <cellStyle name="60% - Акцент5 2 11" xfId="4875"/>
    <cellStyle name="60% - Акцент5 2 11 2" xfId="9946"/>
    <cellStyle name="60% - Акцент5 2 11 3" xfId="5225"/>
    <cellStyle name="60% - Акцент5 2 12" xfId="4934"/>
    <cellStyle name="60% - Акцент5 2 12 2" xfId="9947"/>
    <cellStyle name="60% - Акцент5 2 13" xfId="4988"/>
    <cellStyle name="60% - Акцент5 2 14" xfId="6779"/>
    <cellStyle name="60% - Акцент5 2 15" xfId="6780"/>
    <cellStyle name="60% - Акцент5 2 16" xfId="6781"/>
    <cellStyle name="60% - Акцент5 2 17" xfId="6782"/>
    <cellStyle name="60% - Акцент5 2 17 2" xfId="9948"/>
    <cellStyle name="60% - Акцент5 2 18" xfId="9949"/>
    <cellStyle name="60% - Акцент5 2 19" xfId="9950"/>
    <cellStyle name="60% - Акцент5 2 2" xfId="2204"/>
    <cellStyle name="60% - Акцент5 2 2 2" xfId="2205"/>
    <cellStyle name="60% - Акцент5 2 2 2 2" xfId="6783"/>
    <cellStyle name="60% - Акцент5 2 2 2 3" xfId="5226"/>
    <cellStyle name="60% - Акцент5 2 20" xfId="9951"/>
    <cellStyle name="60% - Акцент5 2 21" xfId="5224"/>
    <cellStyle name="60% - Акцент5 2 3" xfId="2206"/>
    <cellStyle name="60% - Акцент5 2 3 2" xfId="6784"/>
    <cellStyle name="60% - Акцент5 2 4" xfId="2207"/>
    <cellStyle name="60% - Акцент5 2 4 2" xfId="6785"/>
    <cellStyle name="60% - Акцент5 2 5" xfId="2208"/>
    <cellStyle name="60% - Акцент5 2 6" xfId="2209"/>
    <cellStyle name="60% - Акцент5 2 7" xfId="2210"/>
    <cellStyle name="60% - Акцент5 2 8" xfId="2211"/>
    <cellStyle name="60% - Акцент5 2 9" xfId="2212"/>
    <cellStyle name="60% - Акцент5 2_МФ тепловой баланс 2015 дубль 3" xfId="2213"/>
    <cellStyle name="60% — акцент5 20" xfId="2214"/>
    <cellStyle name="60% — акцент5 21" xfId="2215"/>
    <cellStyle name="60% - Акцент5 3" xfId="2216"/>
    <cellStyle name="60% — акцент5 3" xfId="2217"/>
    <cellStyle name="60% - Акцент5 3 10" xfId="2218"/>
    <cellStyle name="60% - Акцент5 3 11" xfId="2219"/>
    <cellStyle name="60% - Акцент5 3 11 2" xfId="6786"/>
    <cellStyle name="60% - Акцент5 3 12" xfId="4876"/>
    <cellStyle name="60% - Акцент5 3 12 2" xfId="9952"/>
    <cellStyle name="60% - Акцент5 3 13" xfId="4933"/>
    <cellStyle name="60% - Акцент5 3 14" xfId="4987"/>
    <cellStyle name="60% - Акцент5 3 15" xfId="5227"/>
    <cellStyle name="60% - Акцент5 3 2" xfId="2220"/>
    <cellStyle name="60% - Акцент5 3 2 2" xfId="6787"/>
    <cellStyle name="60% - Акцент5 3 2 3" xfId="9953"/>
    <cellStyle name="60% - Акцент5 3 3" xfId="2221"/>
    <cellStyle name="60% - Акцент5 3 3 2" xfId="6788"/>
    <cellStyle name="60% - Акцент5 3 3 2 2" xfId="6789"/>
    <cellStyle name="60% - Акцент5 3 4" xfId="2222"/>
    <cellStyle name="60% - Акцент5 3 5" xfId="2223"/>
    <cellStyle name="60% - Акцент5 3 6" xfId="2224"/>
    <cellStyle name="60% - Акцент5 3 7" xfId="2225"/>
    <cellStyle name="60% - Акцент5 3 8" xfId="2226"/>
    <cellStyle name="60% - Акцент5 3 9" xfId="2227"/>
    <cellStyle name="60% - Акцент5 3_МФ тепловой баланс 2015 дубль 3" xfId="2228"/>
    <cellStyle name="60% - Акцент5 4" xfId="2229"/>
    <cellStyle name="60% — акцент5 4" xfId="2230"/>
    <cellStyle name="60% - Акцент5 4 2" xfId="2231"/>
    <cellStyle name="60% - Акцент5 4 3" xfId="5228"/>
    <cellStyle name="60% - Акцент5 4 3 2" xfId="6790"/>
    <cellStyle name="60% - Акцент5 4 3 3" xfId="6791"/>
    <cellStyle name="60% - Акцент5 4_МФ тепловой баланс 2015 дубль 3" xfId="2232"/>
    <cellStyle name="60% - Акцент5 5" xfId="2233"/>
    <cellStyle name="60% — акцент5 5" xfId="2234"/>
    <cellStyle name="60% - Акцент5 5 2" xfId="2235"/>
    <cellStyle name="60% - Акцент5 5 3" xfId="5229"/>
    <cellStyle name="60% - Акцент5 5 3 2" xfId="6792"/>
    <cellStyle name="60% - Акцент5 5 3 3" xfId="6793"/>
    <cellStyle name="60% - Акцент5 5_МФ тепловой баланс 2015 дубль 3" xfId="2236"/>
    <cellStyle name="60% - Акцент5 6" xfId="2237"/>
    <cellStyle name="60% — акцент5 6" xfId="2238"/>
    <cellStyle name="60% - Акцент5 6 2" xfId="2239"/>
    <cellStyle name="60% - Акцент5 6 3" xfId="5230"/>
    <cellStyle name="60% - Акцент5 6 3 2" xfId="6794"/>
    <cellStyle name="60% - Акцент5 6 3 3" xfId="6795"/>
    <cellStyle name="60% - Акцент5 6_МФ тепловой баланс 2015 дубль 3" xfId="2240"/>
    <cellStyle name="60% - Акцент5 7" xfId="2241"/>
    <cellStyle name="60% — акцент5 7" xfId="2242"/>
    <cellStyle name="60% - Акцент5 7 2" xfId="2243"/>
    <cellStyle name="60% - Акцент5 7 3" xfId="5231"/>
    <cellStyle name="60% - Акцент5 7 3 2" xfId="6796"/>
    <cellStyle name="60% - Акцент5 7 3 3" xfId="6797"/>
    <cellStyle name="60% - Акцент5 7_МФ тепловой баланс 2015 дубль 3" xfId="2244"/>
    <cellStyle name="60% - Акцент5 8" xfId="2245"/>
    <cellStyle name="60% — акцент5 8" xfId="2246"/>
    <cellStyle name="60% - Акцент5 8 2" xfId="2247"/>
    <cellStyle name="60% - Акцент5 8 3" xfId="6798"/>
    <cellStyle name="60% - Акцент5 8 4" xfId="6799"/>
    <cellStyle name="60% - Акцент5 9" xfId="2248"/>
    <cellStyle name="60% — акцент5 9" xfId="2249"/>
    <cellStyle name="60% - Акцент5 9 2" xfId="2250"/>
    <cellStyle name="60% - Акцент5 9 3" xfId="6800"/>
    <cellStyle name="60% — акцент6" xfId="2251"/>
    <cellStyle name="60% - Акцент6 10" xfId="2252"/>
    <cellStyle name="60% — акцент6 10" xfId="2253"/>
    <cellStyle name="60% - Акцент6 10 2" xfId="6801"/>
    <cellStyle name="60% - Акцент6 10 3" xfId="6802"/>
    <cellStyle name="60% - Акцент6 11" xfId="6803"/>
    <cellStyle name="60% — акцент6 11" xfId="2254"/>
    <cellStyle name="60% - Акцент6 11 2" xfId="6804"/>
    <cellStyle name="60% - Акцент6 11 3" xfId="6805"/>
    <cellStyle name="60% - Акцент6 11 4" xfId="6806"/>
    <cellStyle name="60% - Акцент6 12" xfId="6807"/>
    <cellStyle name="60% — акцент6 12" xfId="2255"/>
    <cellStyle name="60% - Акцент6 12 2" xfId="6808"/>
    <cellStyle name="60% - Акцент6 12 3" xfId="6809"/>
    <cellStyle name="60% - Акцент6 12 4" xfId="6810"/>
    <cellStyle name="60% - Акцент6 13" xfId="6811"/>
    <cellStyle name="60% — акцент6 13" xfId="2256"/>
    <cellStyle name="60% - Акцент6 13 2" xfId="6812"/>
    <cellStyle name="60% - Акцент6 13 3" xfId="6813"/>
    <cellStyle name="60% - Акцент6 14" xfId="6814"/>
    <cellStyle name="60% — акцент6 14" xfId="2257"/>
    <cellStyle name="60% - Акцент6 14 2" xfId="6815"/>
    <cellStyle name="60% - Акцент6 14 3" xfId="6816"/>
    <cellStyle name="60% - Акцент6 15" xfId="6817"/>
    <cellStyle name="60% — акцент6 15" xfId="2258"/>
    <cellStyle name="60% - Акцент6 15 2" xfId="6818"/>
    <cellStyle name="60% - Акцент6 15 3" xfId="6819"/>
    <cellStyle name="60% - Акцент6 16" xfId="6820"/>
    <cellStyle name="60% — акцент6 16" xfId="2259"/>
    <cellStyle name="60% - Акцент6 16 2" xfId="6821"/>
    <cellStyle name="60% - Акцент6 16 3" xfId="6822"/>
    <cellStyle name="60% - Акцент6 17" xfId="6823"/>
    <cellStyle name="60% — акцент6 17" xfId="2260"/>
    <cellStyle name="60% - Акцент6 18" xfId="6824"/>
    <cellStyle name="60% — акцент6 18" xfId="2261"/>
    <cellStyle name="60% — акцент6 19" xfId="2262"/>
    <cellStyle name="60% - Акцент6 2" xfId="2263"/>
    <cellStyle name="60% — акцент6 2" xfId="2264"/>
    <cellStyle name="60% - Акцент6 2 1" xfId="6825"/>
    <cellStyle name="60% - Акцент6 2 10" xfId="2265"/>
    <cellStyle name="60% - Акцент6 2 11" xfId="4877"/>
    <cellStyle name="60% - Акцент6 2 11 2" xfId="9954"/>
    <cellStyle name="60% - Акцент6 2 11 3" xfId="5233"/>
    <cellStyle name="60% - Акцент6 2 12" xfId="4931"/>
    <cellStyle name="60% - Акцент6 2 12 2" xfId="9955"/>
    <cellStyle name="60% - Акцент6 2 13" xfId="4986"/>
    <cellStyle name="60% - Акцент6 2 14" xfId="6826"/>
    <cellStyle name="60% - Акцент6 2 15" xfId="6827"/>
    <cellStyle name="60% - Акцент6 2 16" xfId="6828"/>
    <cellStyle name="60% - Акцент6 2 17" xfId="6829"/>
    <cellStyle name="60% - Акцент6 2 17 2" xfId="9956"/>
    <cellStyle name="60% - Акцент6 2 18" xfId="9957"/>
    <cellStyle name="60% - Акцент6 2 19" xfId="9958"/>
    <cellStyle name="60% - Акцент6 2 2" xfId="2266"/>
    <cellStyle name="60% - Акцент6 2 2 2" xfId="2267"/>
    <cellStyle name="60% - Акцент6 2 2 2 2" xfId="6830"/>
    <cellStyle name="60% - Акцент6 2 2 2 3" xfId="5234"/>
    <cellStyle name="60% - Акцент6 2 20" xfId="9959"/>
    <cellStyle name="60% - Акцент6 2 21" xfId="5232"/>
    <cellStyle name="60% - Акцент6 2 3" xfId="2268"/>
    <cellStyle name="60% - Акцент6 2 3 2" xfId="6831"/>
    <cellStyle name="60% - Акцент6 2 4" xfId="2269"/>
    <cellStyle name="60% - Акцент6 2 4 2" xfId="6832"/>
    <cellStyle name="60% - Акцент6 2 5" xfId="2270"/>
    <cellStyle name="60% - Акцент6 2 6" xfId="2271"/>
    <cellStyle name="60% - Акцент6 2 7" xfId="2272"/>
    <cellStyle name="60% - Акцент6 2 8" xfId="2273"/>
    <cellStyle name="60% - Акцент6 2 9" xfId="2274"/>
    <cellStyle name="60% - Акцент6 2_МФ тепловой баланс 2015 дубль 3" xfId="2275"/>
    <cellStyle name="60% — акцент6 20" xfId="2276"/>
    <cellStyle name="60% — акцент6 21" xfId="2277"/>
    <cellStyle name="60% - Акцент6 3" xfId="2278"/>
    <cellStyle name="60% — акцент6 3" xfId="2279"/>
    <cellStyle name="60% - Акцент6 3 10" xfId="2280"/>
    <cellStyle name="60% - Акцент6 3 11" xfId="2281"/>
    <cellStyle name="60% - Акцент6 3 11 2" xfId="6833"/>
    <cellStyle name="60% - Акцент6 3 12" xfId="4878"/>
    <cellStyle name="60% - Акцент6 3 12 2" xfId="9960"/>
    <cellStyle name="60% - Акцент6 3 13" xfId="4930"/>
    <cellStyle name="60% - Акцент6 3 14" xfId="4985"/>
    <cellStyle name="60% - Акцент6 3 15" xfId="5235"/>
    <cellStyle name="60% - Акцент6 3 2" xfId="2282"/>
    <cellStyle name="60% - Акцент6 3 2 2" xfId="6834"/>
    <cellStyle name="60% - Акцент6 3 2 3" xfId="9961"/>
    <cellStyle name="60% - Акцент6 3 3" xfId="2283"/>
    <cellStyle name="60% - Акцент6 3 3 2" xfId="6835"/>
    <cellStyle name="60% - Акцент6 3 3 2 2" xfId="6836"/>
    <cellStyle name="60% - Акцент6 3 4" xfId="2284"/>
    <cellStyle name="60% - Акцент6 3 5" xfId="2285"/>
    <cellStyle name="60% - Акцент6 3 6" xfId="2286"/>
    <cellStyle name="60% - Акцент6 3 7" xfId="2287"/>
    <cellStyle name="60% - Акцент6 3 8" xfId="2288"/>
    <cellStyle name="60% - Акцент6 3 9" xfId="2289"/>
    <cellStyle name="60% - Акцент6 3_МФ тепловой баланс 2015 дубль 3" xfId="2290"/>
    <cellStyle name="60% - Акцент6 4" xfId="2291"/>
    <cellStyle name="60% — акцент6 4" xfId="2292"/>
    <cellStyle name="60% - Акцент6 4 2" xfId="2293"/>
    <cellStyle name="60% - Акцент6 4 3" xfId="5236"/>
    <cellStyle name="60% - Акцент6 4 3 2" xfId="6837"/>
    <cellStyle name="60% - Акцент6 4 3 3" xfId="6838"/>
    <cellStyle name="60% - Акцент6 4_МФ тепловой баланс 2015 дубль 3" xfId="2294"/>
    <cellStyle name="60% - Акцент6 5" xfId="2295"/>
    <cellStyle name="60% — акцент6 5" xfId="2296"/>
    <cellStyle name="60% - Акцент6 5 2" xfId="2297"/>
    <cellStyle name="60% - Акцент6 5 3" xfId="5237"/>
    <cellStyle name="60% - Акцент6 5 3 2" xfId="6839"/>
    <cellStyle name="60% - Акцент6 5 3 3" xfId="6840"/>
    <cellStyle name="60% - Акцент6 5_МФ тепловой баланс 2015 дубль 3" xfId="2298"/>
    <cellStyle name="60% - Акцент6 6" xfId="2299"/>
    <cellStyle name="60% — акцент6 6" xfId="2300"/>
    <cellStyle name="60% - Акцент6 6 2" xfId="2301"/>
    <cellStyle name="60% - Акцент6 6 3" xfId="5238"/>
    <cellStyle name="60% - Акцент6 6 3 2" xfId="6841"/>
    <cellStyle name="60% - Акцент6 6 3 3" xfId="6842"/>
    <cellStyle name="60% - Акцент6 6_МФ тепловой баланс 2015 дубль 3" xfId="2302"/>
    <cellStyle name="60% - Акцент6 7" xfId="2303"/>
    <cellStyle name="60% — акцент6 7" xfId="2304"/>
    <cellStyle name="60% - Акцент6 7 2" xfId="2305"/>
    <cellStyle name="60% - Акцент6 7 3" xfId="5239"/>
    <cellStyle name="60% - Акцент6 7 3 2" xfId="6843"/>
    <cellStyle name="60% - Акцент6 7 3 3" xfId="6844"/>
    <cellStyle name="60% - Акцент6 7_МФ тепловой баланс 2015 дубль 3" xfId="2306"/>
    <cellStyle name="60% - Акцент6 8" xfId="2307"/>
    <cellStyle name="60% — акцент6 8" xfId="2308"/>
    <cellStyle name="60% - Акцент6 8 2" xfId="2309"/>
    <cellStyle name="60% - Акцент6 8 3" xfId="6845"/>
    <cellStyle name="60% - Акцент6 8 4" xfId="6846"/>
    <cellStyle name="60% - Акцент6 9" xfId="2310"/>
    <cellStyle name="60% — акцент6 9" xfId="2311"/>
    <cellStyle name="60% - Акцент6 9 2" xfId="2312"/>
    <cellStyle name="60% - Акцент6 9 3" xfId="6847"/>
    <cellStyle name="8pt" xfId="6848"/>
    <cellStyle name="Aaia?iue [0]_vaqduGfTSN7qyUJNWHRlcWo3H" xfId="6849"/>
    <cellStyle name="Aaia?iue_vaqduGfTSN7qyUJNWHRlcWo3H" xfId="6850"/>
    <cellStyle name="Äåíåæíûé [0]_vaqduGfTSN7qyUJNWHRlcWo3H" xfId="6851"/>
    <cellStyle name="Äåíåæíûé_vaqduGfTSN7qyUJNWHRlcWo3H" xfId="6852"/>
    <cellStyle name="Accent1" xfId="2313"/>
    <cellStyle name="Accent1 - 20%" xfId="6853"/>
    <cellStyle name="Accent1 - 20% 2" xfId="6854"/>
    <cellStyle name="Accent1 - 20% 3" xfId="6855"/>
    <cellStyle name="Accent1 - 20% 4" xfId="6856"/>
    <cellStyle name="Accent1 - 20% 5" xfId="6857"/>
    <cellStyle name="Accent1 - 20% 6" xfId="6858"/>
    <cellStyle name="Accent1 - 40%" xfId="6859"/>
    <cellStyle name="Accent1 - 40% 2" xfId="6860"/>
    <cellStyle name="Accent1 - 40% 3" xfId="6861"/>
    <cellStyle name="Accent1 - 40% 4" xfId="6862"/>
    <cellStyle name="Accent1 - 40% 5" xfId="6863"/>
    <cellStyle name="Accent1 - 40% 6" xfId="6864"/>
    <cellStyle name="Accent1 - 60%" xfId="6865"/>
    <cellStyle name="Accent1 - 60% 2" xfId="6866"/>
    <cellStyle name="Accent1 - 60% 3" xfId="6867"/>
    <cellStyle name="Accent1 - 60% 4" xfId="6868"/>
    <cellStyle name="Accent1 - 60% 5" xfId="6869"/>
    <cellStyle name="Accent1 - 60% 6" xfId="6870"/>
    <cellStyle name="Accent1 1" xfId="6871"/>
    <cellStyle name="Accent1 2" xfId="6872"/>
    <cellStyle name="Accent1 3" xfId="6873"/>
    <cellStyle name="Accent1 4" xfId="6874"/>
    <cellStyle name="Accent1_акции по годам 2009-2012" xfId="6875"/>
    <cellStyle name="Accent2" xfId="2314"/>
    <cellStyle name="Accent2 - 20%" xfId="6876"/>
    <cellStyle name="Accent2 - 20% 2" xfId="6877"/>
    <cellStyle name="Accent2 - 20% 3" xfId="6878"/>
    <cellStyle name="Accent2 - 20% 4" xfId="6879"/>
    <cellStyle name="Accent2 - 20% 5" xfId="6880"/>
    <cellStyle name="Accent2 - 20% 6" xfId="6881"/>
    <cellStyle name="Accent2 - 40%" xfId="6882"/>
    <cellStyle name="Accent2 - 40% 2" xfId="6883"/>
    <cellStyle name="Accent2 - 40% 3" xfId="6884"/>
    <cellStyle name="Accent2 - 40% 4" xfId="6885"/>
    <cellStyle name="Accent2 - 40% 5" xfId="6886"/>
    <cellStyle name="Accent2 - 40% 6" xfId="6887"/>
    <cellStyle name="Accent2 - 60%" xfId="6888"/>
    <cellStyle name="Accent2 - 60% 2" xfId="6889"/>
    <cellStyle name="Accent2 - 60% 3" xfId="6890"/>
    <cellStyle name="Accent2 - 60% 4" xfId="6891"/>
    <cellStyle name="Accent2 - 60% 5" xfId="6892"/>
    <cellStyle name="Accent2 - 60% 6" xfId="6893"/>
    <cellStyle name="Accent2 1" xfId="6894"/>
    <cellStyle name="Accent2 2" xfId="6895"/>
    <cellStyle name="Accent2 2 2" xfId="6896"/>
    <cellStyle name="Accent2 3" xfId="6897"/>
    <cellStyle name="Accent2 4" xfId="6898"/>
    <cellStyle name="Accent2_акции по годам 2009-2012" xfId="6899"/>
    <cellStyle name="Accent3" xfId="2315"/>
    <cellStyle name="Accent3 - 20%" xfId="6900"/>
    <cellStyle name="Accent3 - 20% 2" xfId="6901"/>
    <cellStyle name="Accent3 - 20% 3" xfId="6902"/>
    <cellStyle name="Accent3 - 20% 4" xfId="6903"/>
    <cellStyle name="Accent3 - 20% 5" xfId="6904"/>
    <cellStyle name="Accent3 - 20% 6" xfId="6905"/>
    <cellStyle name="Accent3 - 40%" xfId="6906"/>
    <cellStyle name="Accent3 - 40% 2" xfId="6907"/>
    <cellStyle name="Accent3 - 40% 3" xfId="6908"/>
    <cellStyle name="Accent3 - 40% 4" xfId="6909"/>
    <cellStyle name="Accent3 - 40% 5" xfId="6910"/>
    <cellStyle name="Accent3 - 40% 6" xfId="6911"/>
    <cellStyle name="Accent3 - 60%" xfId="6912"/>
    <cellStyle name="Accent3 - 60% 2" xfId="6913"/>
    <cellStyle name="Accent3 - 60% 3" xfId="6914"/>
    <cellStyle name="Accent3 - 60% 4" xfId="6915"/>
    <cellStyle name="Accent3 - 60% 5" xfId="6916"/>
    <cellStyle name="Accent3 - 60% 6" xfId="6917"/>
    <cellStyle name="Accent3 1" xfId="6918"/>
    <cellStyle name="Accent3 2" xfId="6919"/>
    <cellStyle name="Accent3 3" xfId="6920"/>
    <cellStyle name="Accent3 4" xfId="6921"/>
    <cellStyle name="Accent3_7-р" xfId="6922"/>
    <cellStyle name="Accent4" xfId="2316"/>
    <cellStyle name="Accent4 - 20%" xfId="6923"/>
    <cellStyle name="Accent4 - 20% 2" xfId="6924"/>
    <cellStyle name="Accent4 - 20% 3" xfId="6925"/>
    <cellStyle name="Accent4 - 20% 4" xfId="6926"/>
    <cellStyle name="Accent4 - 20% 5" xfId="6927"/>
    <cellStyle name="Accent4 - 20% 6" xfId="6928"/>
    <cellStyle name="Accent4 - 40%" xfId="6929"/>
    <cellStyle name="Accent4 - 40% 2" xfId="6930"/>
    <cellStyle name="Accent4 - 40% 3" xfId="6931"/>
    <cellStyle name="Accent4 - 40% 4" xfId="6932"/>
    <cellStyle name="Accent4 - 40% 5" xfId="6933"/>
    <cellStyle name="Accent4 - 40% 6" xfId="6934"/>
    <cellStyle name="Accent4 - 60%" xfId="6935"/>
    <cellStyle name="Accent4 - 60% 2" xfId="6936"/>
    <cellStyle name="Accent4 - 60% 3" xfId="6937"/>
    <cellStyle name="Accent4 - 60% 4" xfId="6938"/>
    <cellStyle name="Accent4 - 60% 5" xfId="6939"/>
    <cellStyle name="Accent4 - 60% 6" xfId="6940"/>
    <cellStyle name="Accent4 1" xfId="6941"/>
    <cellStyle name="Accent4 2" xfId="6942"/>
    <cellStyle name="Accent4 3" xfId="6943"/>
    <cellStyle name="Accent4 4" xfId="6944"/>
    <cellStyle name="Accent4_7-р" xfId="6945"/>
    <cellStyle name="Accent5" xfId="2317"/>
    <cellStyle name="Accent5 - 20%" xfId="6946"/>
    <cellStyle name="Accent5 - 20% 2" xfId="6947"/>
    <cellStyle name="Accent5 - 20% 3" xfId="6948"/>
    <cellStyle name="Accent5 - 20% 4" xfId="6949"/>
    <cellStyle name="Accent5 - 20% 5" xfId="6950"/>
    <cellStyle name="Accent5 - 20% 6" xfId="6951"/>
    <cellStyle name="Accent5 - 40%" xfId="6952"/>
    <cellStyle name="Accent5 - 60%" xfId="6953"/>
    <cellStyle name="Accent5 - 60% 2" xfId="6954"/>
    <cellStyle name="Accent5 - 60% 3" xfId="6955"/>
    <cellStyle name="Accent5 - 60% 4" xfId="6956"/>
    <cellStyle name="Accent5 - 60% 5" xfId="6957"/>
    <cellStyle name="Accent5 - 60% 6" xfId="6958"/>
    <cellStyle name="Accent5 1" xfId="6959"/>
    <cellStyle name="Accent5 2" xfId="6960"/>
    <cellStyle name="Accent5 3" xfId="6961"/>
    <cellStyle name="Accent5 4" xfId="6962"/>
    <cellStyle name="Accent5_7-р" xfId="6963"/>
    <cellStyle name="Accent6" xfId="2318"/>
    <cellStyle name="Accent6 - 20%" xfId="6964"/>
    <cellStyle name="Accent6 - 40%" xfId="6965"/>
    <cellStyle name="Accent6 - 40% 2" xfId="6966"/>
    <cellStyle name="Accent6 - 40% 3" xfId="6967"/>
    <cellStyle name="Accent6 - 40% 4" xfId="6968"/>
    <cellStyle name="Accent6 - 40% 5" xfId="6969"/>
    <cellStyle name="Accent6 - 40% 6" xfId="6970"/>
    <cellStyle name="Accent6 - 60%" xfId="6971"/>
    <cellStyle name="Accent6 - 60% 2" xfId="6972"/>
    <cellStyle name="Accent6 - 60% 3" xfId="6973"/>
    <cellStyle name="Accent6 - 60% 4" xfId="6974"/>
    <cellStyle name="Accent6 - 60% 5" xfId="6975"/>
    <cellStyle name="Accent6 - 60% 6" xfId="6976"/>
    <cellStyle name="Accent6 1" xfId="6977"/>
    <cellStyle name="Accent6 2" xfId="6978"/>
    <cellStyle name="Accent6 3" xfId="6979"/>
    <cellStyle name="Accent6 4" xfId="6980"/>
    <cellStyle name="Accent6_7-р" xfId="6981"/>
    <cellStyle name="acct" xfId="6982"/>
    <cellStyle name="Ăčďĺđńńűëęŕ" xfId="2319"/>
    <cellStyle name="Action" xfId="2320"/>
    <cellStyle name="AeE­ [0]_?A°??µAoC?" xfId="6983"/>
    <cellStyle name="AeE­_?A°??µAoC?" xfId="6984"/>
    <cellStyle name="AFE" xfId="2321"/>
    <cellStyle name="Áĺççŕůčňíűé" xfId="2322"/>
    <cellStyle name="Äĺíĺćíűé [0]_(ňŕá 3č)" xfId="2323"/>
    <cellStyle name="Äĺíĺćíűé_(ňŕá 3č)" xfId="2324"/>
    <cellStyle name="Annotations Cell - PerformancePoint" xfId="6985"/>
    <cellStyle name="Arial 10" xfId="6986"/>
    <cellStyle name="Arial 12" xfId="6987"/>
    <cellStyle name="Arial007000001514155735" xfId="6988"/>
    <cellStyle name="Arial007000001514155735 2" xfId="6989"/>
    <cellStyle name="Arial0070000015536870911" xfId="6990"/>
    <cellStyle name="Arial0070000015536870911 2" xfId="6991"/>
    <cellStyle name="Arial007000001565535" xfId="6992"/>
    <cellStyle name="Arial007000001565535 2" xfId="6993"/>
    <cellStyle name="Arial0110010000536870911" xfId="6994"/>
    <cellStyle name="Arial01101000015536870911" xfId="6995"/>
    <cellStyle name="Arial017010000536870911" xfId="6996"/>
    <cellStyle name="Arial018000000536870911" xfId="6997"/>
    <cellStyle name="Arial10170100015536870911" xfId="6998"/>
    <cellStyle name="Arial10170100015536870911 2" xfId="6999"/>
    <cellStyle name="Arial107000000536870911" xfId="7000"/>
    <cellStyle name="Arial107000001514155735" xfId="7001"/>
    <cellStyle name="Arial107000001514155735 2" xfId="7002"/>
    <cellStyle name="Arial107000001514155735FMT" xfId="7003"/>
    <cellStyle name="Arial107000001514155735FMT 2" xfId="7004"/>
    <cellStyle name="Arial1070000015536870911" xfId="7005"/>
    <cellStyle name="Arial1070000015536870911 2" xfId="7006"/>
    <cellStyle name="Arial1070000015536870911FMT" xfId="7007"/>
    <cellStyle name="Arial1070000015536870911FMT 2" xfId="7008"/>
    <cellStyle name="Arial107000001565535" xfId="7009"/>
    <cellStyle name="Arial107000001565535 2" xfId="7010"/>
    <cellStyle name="Arial107000001565535FMT" xfId="7011"/>
    <cellStyle name="Arial107000001565535FMT 2" xfId="7012"/>
    <cellStyle name="Arial117100000536870911" xfId="7013"/>
    <cellStyle name="Arial118000000536870911" xfId="7014"/>
    <cellStyle name="Arial2110100000536870911" xfId="7015"/>
    <cellStyle name="Arial21101000015536870911" xfId="7016"/>
    <cellStyle name="Arial2170000015536870911" xfId="7017"/>
    <cellStyle name="Arial2170000015536870911 2" xfId="7018"/>
    <cellStyle name="Arial2170000015536870911FMT" xfId="7019"/>
    <cellStyle name="Arial2170000015536870911FMT 2" xfId="7020"/>
    <cellStyle name="Bad" xfId="2325"/>
    <cellStyle name="Bad 1" xfId="7021"/>
    <cellStyle name="Bad 2" xfId="7022"/>
    <cellStyle name="Bad 3" xfId="7023"/>
    <cellStyle name="Bad 4" xfId="7024"/>
    <cellStyle name="BLACK" xfId="7025"/>
    <cellStyle name="Blue" xfId="2326"/>
    <cellStyle name="Body" xfId="7026"/>
    <cellStyle name="British Pound" xfId="7027"/>
    <cellStyle name="C?AO_?A°??µAoC?" xfId="7028"/>
    <cellStyle name="Calc Currency (0)" xfId="7029"/>
    <cellStyle name="Calc Currency (2)" xfId="7030"/>
    <cellStyle name="Calc Percent (0)" xfId="7031"/>
    <cellStyle name="Calc Percent (1)" xfId="7032"/>
    <cellStyle name="Calc Percent (2)" xfId="7033"/>
    <cellStyle name="Calc Units (0)" xfId="7034"/>
    <cellStyle name="Calc Units (1)" xfId="7035"/>
    <cellStyle name="Calc Units (2)" xfId="7036"/>
    <cellStyle name="Calculation" xfId="2327"/>
    <cellStyle name="Calculation 1" xfId="7037"/>
    <cellStyle name="Calculation 2" xfId="7038"/>
    <cellStyle name="Calculation 3" xfId="7039"/>
    <cellStyle name="Calculation 4" xfId="7040"/>
    <cellStyle name="Case" xfId="7041"/>
    <cellStyle name="Cells" xfId="2328"/>
    <cellStyle name="Cells 2" xfId="2329"/>
    <cellStyle name="Cells 2 2" xfId="2330"/>
    <cellStyle name="Cells 3" xfId="2331"/>
    <cellStyle name="Center Across" xfId="7042"/>
    <cellStyle name="Check" xfId="7043"/>
    <cellStyle name="Check Cell" xfId="2332"/>
    <cellStyle name="Check Cell 1" xfId="7044"/>
    <cellStyle name="Check Cell 2" xfId="7045"/>
    <cellStyle name="Check Cell 3" xfId="7046"/>
    <cellStyle name="Check Cell 4" xfId="7047"/>
    <cellStyle name="Chek" xfId="2333"/>
    <cellStyle name="Column Heading" xfId="7048"/>
    <cellStyle name="Comma [0]_0_Cash" xfId="2334"/>
    <cellStyle name="Comma [00]" xfId="7049"/>
    <cellStyle name="Comma [1]" xfId="7050"/>
    <cellStyle name="Comma 0" xfId="2335"/>
    <cellStyle name="Comma 0*" xfId="2336"/>
    <cellStyle name="Comma 2" xfId="2337"/>
    <cellStyle name="Comma 2 2" xfId="7051"/>
    <cellStyle name="Comma 3" xfId="7052"/>
    <cellStyle name="Comma 3*" xfId="2338"/>
    <cellStyle name="Comma_0_Cash" xfId="2339"/>
    <cellStyle name="Comma0" xfId="2340"/>
    <cellStyle name="Çŕůčňíűé" xfId="2341"/>
    <cellStyle name="Currency [0]" xfId="2342"/>
    <cellStyle name="Currency [0] 2" xfId="2343"/>
    <cellStyle name="Currency [0] 2 10" xfId="5240"/>
    <cellStyle name="Currency [0] 2 11" xfId="5241"/>
    <cellStyle name="Currency [0] 2 2" xfId="2344"/>
    <cellStyle name="Currency [0] 2 2 2" xfId="5242"/>
    <cellStyle name="Currency [0] 2 2 3" xfId="5243"/>
    <cellStyle name="Currency [0] 2 2 4" xfId="5244"/>
    <cellStyle name="Currency [0] 2 3" xfId="2345"/>
    <cellStyle name="Currency [0] 2 3 2" xfId="5245"/>
    <cellStyle name="Currency [0] 2 3 3" xfId="5246"/>
    <cellStyle name="Currency [0] 2 3 4" xfId="5247"/>
    <cellStyle name="Currency [0] 2 4" xfId="2346"/>
    <cellStyle name="Currency [0] 2 4 2" xfId="5248"/>
    <cellStyle name="Currency [0] 2 4 3" xfId="5249"/>
    <cellStyle name="Currency [0] 2 4 4" xfId="5250"/>
    <cellStyle name="Currency [0] 2 5" xfId="2347"/>
    <cellStyle name="Currency [0] 2 5 2" xfId="5251"/>
    <cellStyle name="Currency [0] 2 5 3" xfId="5252"/>
    <cellStyle name="Currency [0] 2 5 4" xfId="5253"/>
    <cellStyle name="Currency [0] 2 6" xfId="2348"/>
    <cellStyle name="Currency [0] 2 6 2" xfId="5254"/>
    <cellStyle name="Currency [0] 2 6 3" xfId="5255"/>
    <cellStyle name="Currency [0] 2 6 4" xfId="5256"/>
    <cellStyle name="Currency [0] 2 7" xfId="2349"/>
    <cellStyle name="Currency [0] 2 7 2" xfId="5257"/>
    <cellStyle name="Currency [0] 2 7 3" xfId="5258"/>
    <cellStyle name="Currency [0] 2 7 4" xfId="5259"/>
    <cellStyle name="Currency [0] 2 8" xfId="2350"/>
    <cellStyle name="Currency [0] 2 8 2" xfId="5260"/>
    <cellStyle name="Currency [0] 2 8 3" xfId="5261"/>
    <cellStyle name="Currency [0] 2 8 4" xfId="5262"/>
    <cellStyle name="Currency [0] 2 9" xfId="2351"/>
    <cellStyle name="Currency [0] 3" xfId="2352"/>
    <cellStyle name="Currency [0] 3 10" xfId="5263"/>
    <cellStyle name="Currency [0] 3 11" xfId="5264"/>
    <cellStyle name="Currency [0] 3 2" xfId="2353"/>
    <cellStyle name="Currency [0] 3 2 2" xfId="5265"/>
    <cellStyle name="Currency [0] 3 2 3" xfId="5266"/>
    <cellStyle name="Currency [0] 3 2 4" xfId="5267"/>
    <cellStyle name="Currency [0] 3 3" xfId="2354"/>
    <cellStyle name="Currency [0] 3 3 2" xfId="5268"/>
    <cellStyle name="Currency [0] 3 3 3" xfId="5269"/>
    <cellStyle name="Currency [0] 3 3 4" xfId="5270"/>
    <cellStyle name="Currency [0] 3 4" xfId="2355"/>
    <cellStyle name="Currency [0] 3 4 2" xfId="5271"/>
    <cellStyle name="Currency [0] 3 4 3" xfId="5272"/>
    <cellStyle name="Currency [0] 3 4 4" xfId="5273"/>
    <cellStyle name="Currency [0] 3 5" xfId="2356"/>
    <cellStyle name="Currency [0] 3 5 2" xfId="5274"/>
    <cellStyle name="Currency [0] 3 5 3" xfId="5275"/>
    <cellStyle name="Currency [0] 3 5 4" xfId="5276"/>
    <cellStyle name="Currency [0] 3 6" xfId="2357"/>
    <cellStyle name="Currency [0] 3 6 2" xfId="5277"/>
    <cellStyle name="Currency [0] 3 6 3" xfId="5278"/>
    <cellStyle name="Currency [0] 3 6 4" xfId="5279"/>
    <cellStyle name="Currency [0] 3 7" xfId="2358"/>
    <cellStyle name="Currency [0] 3 7 2" xfId="5280"/>
    <cellStyle name="Currency [0] 3 7 3" xfId="5281"/>
    <cellStyle name="Currency [0] 3 7 4" xfId="5282"/>
    <cellStyle name="Currency [0] 3 8" xfId="2359"/>
    <cellStyle name="Currency [0] 3 8 2" xfId="5283"/>
    <cellStyle name="Currency [0] 3 8 3" xfId="5284"/>
    <cellStyle name="Currency [0] 3 8 4" xfId="5285"/>
    <cellStyle name="Currency [0] 3 9" xfId="2360"/>
    <cellStyle name="Currency [0] 4" xfId="2361"/>
    <cellStyle name="Currency [0] 4 10" xfId="5286"/>
    <cellStyle name="Currency [0] 4 11" xfId="5287"/>
    <cellStyle name="Currency [0] 4 2" xfId="2362"/>
    <cellStyle name="Currency [0] 4 2 2" xfId="5288"/>
    <cellStyle name="Currency [0] 4 2 3" xfId="5289"/>
    <cellStyle name="Currency [0] 4 2 4" xfId="5290"/>
    <cellStyle name="Currency [0] 4 3" xfId="2363"/>
    <cellStyle name="Currency [0] 4 3 2" xfId="5291"/>
    <cellStyle name="Currency [0] 4 3 3" xfId="5292"/>
    <cellStyle name="Currency [0] 4 3 4" xfId="5293"/>
    <cellStyle name="Currency [0] 4 4" xfId="2364"/>
    <cellStyle name="Currency [0] 4 4 2" xfId="5294"/>
    <cellStyle name="Currency [0] 4 4 3" xfId="5295"/>
    <cellStyle name="Currency [0] 4 4 4" xfId="5296"/>
    <cellStyle name="Currency [0] 4 5" xfId="2365"/>
    <cellStyle name="Currency [0] 4 5 2" xfId="5297"/>
    <cellStyle name="Currency [0] 4 5 3" xfId="5298"/>
    <cellStyle name="Currency [0] 4 5 4" xfId="5299"/>
    <cellStyle name="Currency [0] 4 6" xfId="2366"/>
    <cellStyle name="Currency [0] 4 6 2" xfId="5300"/>
    <cellStyle name="Currency [0] 4 6 3" xfId="5301"/>
    <cellStyle name="Currency [0] 4 6 4" xfId="5302"/>
    <cellStyle name="Currency [0] 4 7" xfId="2367"/>
    <cellStyle name="Currency [0] 4 7 2" xfId="5303"/>
    <cellStyle name="Currency [0] 4 7 3" xfId="5304"/>
    <cellStyle name="Currency [0] 4 7 4" xfId="5305"/>
    <cellStyle name="Currency [0] 4 8" xfId="2368"/>
    <cellStyle name="Currency [0] 4 8 2" xfId="5306"/>
    <cellStyle name="Currency [0] 4 8 3" xfId="5307"/>
    <cellStyle name="Currency [0] 4 8 4" xfId="5308"/>
    <cellStyle name="Currency [0] 4 9" xfId="2369"/>
    <cellStyle name="Currency [0] 5" xfId="2370"/>
    <cellStyle name="Currency [0] 5 10" xfId="5309"/>
    <cellStyle name="Currency [0] 5 11" xfId="5310"/>
    <cellStyle name="Currency [0] 5 2" xfId="2371"/>
    <cellStyle name="Currency [0] 5 2 2" xfId="5311"/>
    <cellStyle name="Currency [0] 5 2 3" xfId="5312"/>
    <cellStyle name="Currency [0] 5 2 4" xfId="5313"/>
    <cellStyle name="Currency [0] 5 3" xfId="2372"/>
    <cellStyle name="Currency [0] 5 3 2" xfId="5314"/>
    <cellStyle name="Currency [0] 5 3 3" xfId="5315"/>
    <cellStyle name="Currency [0] 5 3 4" xfId="5316"/>
    <cellStyle name="Currency [0] 5 4" xfId="2373"/>
    <cellStyle name="Currency [0] 5 4 2" xfId="5317"/>
    <cellStyle name="Currency [0] 5 4 3" xfId="5318"/>
    <cellStyle name="Currency [0] 5 4 4" xfId="5319"/>
    <cellStyle name="Currency [0] 5 5" xfId="2374"/>
    <cellStyle name="Currency [0] 5 5 2" xfId="5320"/>
    <cellStyle name="Currency [0] 5 5 3" xfId="5321"/>
    <cellStyle name="Currency [0] 5 5 4" xfId="5322"/>
    <cellStyle name="Currency [0] 5 6" xfId="2375"/>
    <cellStyle name="Currency [0] 5 6 2" xfId="5323"/>
    <cellStyle name="Currency [0] 5 6 3" xfId="5324"/>
    <cellStyle name="Currency [0] 5 6 4" xfId="5325"/>
    <cellStyle name="Currency [0] 5 7" xfId="2376"/>
    <cellStyle name="Currency [0] 5 7 2" xfId="5326"/>
    <cellStyle name="Currency [0] 5 7 3" xfId="5327"/>
    <cellStyle name="Currency [0] 5 7 4" xfId="5328"/>
    <cellStyle name="Currency [0] 5 8" xfId="2377"/>
    <cellStyle name="Currency [0] 5 8 2" xfId="5329"/>
    <cellStyle name="Currency [0] 5 8 3" xfId="5330"/>
    <cellStyle name="Currency [0] 5 8 4" xfId="5331"/>
    <cellStyle name="Currency [0] 5 9" xfId="2378"/>
    <cellStyle name="Currency [0] 6" xfId="2379"/>
    <cellStyle name="Currency [0] 6 2" xfId="2380"/>
    <cellStyle name="Currency [0] 6 3" xfId="2381"/>
    <cellStyle name="Currency [0] 6 4" xfId="5332"/>
    <cellStyle name="Currency [0] 7" xfId="2382"/>
    <cellStyle name="Currency [0] 7 2" xfId="2383"/>
    <cellStyle name="Currency [0] 7 3" xfId="2384"/>
    <cellStyle name="Currency [0] 7 4" xfId="5333"/>
    <cellStyle name="Currency [0] 8" xfId="2385"/>
    <cellStyle name="Currency [0] 8 2" xfId="2386"/>
    <cellStyle name="Currency [0] 8 3" xfId="2387"/>
    <cellStyle name="Currency [0] 8 4" xfId="5334"/>
    <cellStyle name="Currency [0] 9" xfId="7053"/>
    <cellStyle name="Currency [0]_Приложения ЛФ корр" xfId="2388"/>
    <cellStyle name="Currency [00]" xfId="7054"/>
    <cellStyle name="Currency [1]" xfId="7055"/>
    <cellStyle name="Currency 0" xfId="2389"/>
    <cellStyle name="Currency 2" xfId="2390"/>
    <cellStyle name="Currency_0_Cash" xfId="2391"/>
    <cellStyle name="Currency0" xfId="2392"/>
    <cellStyle name="currency1" xfId="2393"/>
    <cellStyle name="Currency2" xfId="2394"/>
    <cellStyle name="currency3" xfId="2395"/>
    <cellStyle name="currency4" xfId="2396"/>
    <cellStyle name="Đ_x0010_" xfId="4905"/>
    <cellStyle name="Data Cell - PerformancePoint" xfId="7056"/>
    <cellStyle name="Data Entry Cell - PerformancePoint" xfId="7057"/>
    <cellStyle name="Date" xfId="2397"/>
    <cellStyle name="Date 10" xfId="7058"/>
    <cellStyle name="date 11" xfId="9962"/>
    <cellStyle name="date 12" xfId="9963"/>
    <cellStyle name="date 13" xfId="9964"/>
    <cellStyle name="date 2" xfId="4919"/>
    <cellStyle name="Date 2 2" xfId="7059"/>
    <cellStyle name="Date 3" xfId="7060"/>
    <cellStyle name="Date 4" xfId="7061"/>
    <cellStyle name="Date 5" xfId="7062"/>
    <cellStyle name="Date 6" xfId="7063"/>
    <cellStyle name="Date 7" xfId="7064"/>
    <cellStyle name="Date 8" xfId="7065"/>
    <cellStyle name="Date 9" xfId="7066"/>
    <cellStyle name="Date Aligned" xfId="2398"/>
    <cellStyle name="Date Short" xfId="7067"/>
    <cellStyle name="Date_LRP Model (13.05.02)" xfId="7068"/>
    <cellStyle name="Dates" xfId="2399"/>
    <cellStyle name="DblClick" xfId="2400"/>
    <cellStyle name="DblClick 2" xfId="2401"/>
    <cellStyle name="Dec_0" xfId="7069"/>
    <cellStyle name="Default" xfId="7070"/>
    <cellStyle name="Dezimal [0]_NEGS" xfId="2402"/>
    <cellStyle name="Dezimal_NEGS" xfId="2403"/>
    <cellStyle name="Dollars" xfId="7071"/>
    <cellStyle name="Dotted Line" xfId="2404"/>
    <cellStyle name="Double Accounting" xfId="7072"/>
    <cellStyle name="E&amp;Y House" xfId="2405"/>
    <cellStyle name="E-mail" xfId="2406"/>
    <cellStyle name="E-mail 2" xfId="2407"/>
    <cellStyle name="E-mail 2 2" xfId="7073"/>
    <cellStyle name="E-mail 3" xfId="7074"/>
    <cellStyle name="E-mail 3 2" xfId="7075"/>
    <cellStyle name="E-mail 4" xfId="7076"/>
    <cellStyle name="E-mail 5" xfId="9965"/>
    <cellStyle name="E-mail_46EP.2011(v2.0)" xfId="2408"/>
    <cellStyle name="Emphasis 1" xfId="7077"/>
    <cellStyle name="Emphasis 1 2" xfId="7078"/>
    <cellStyle name="Emphasis 1 3" xfId="7079"/>
    <cellStyle name="Emphasis 1 4" xfId="7080"/>
    <cellStyle name="Emphasis 1 5" xfId="7081"/>
    <cellStyle name="Emphasis 1 6" xfId="7082"/>
    <cellStyle name="Emphasis 2" xfId="7083"/>
    <cellStyle name="Emphasis 2 2" xfId="7084"/>
    <cellStyle name="Emphasis 2 3" xfId="7085"/>
    <cellStyle name="Emphasis 2 4" xfId="7086"/>
    <cellStyle name="Emphasis 2 5" xfId="7087"/>
    <cellStyle name="Emphasis 2 6" xfId="7088"/>
    <cellStyle name="Emphasis 3" xfId="7089"/>
    <cellStyle name="Enter Currency (0)" xfId="7090"/>
    <cellStyle name="Enter Currency (2)" xfId="7091"/>
    <cellStyle name="Enter Units (0)" xfId="7092"/>
    <cellStyle name="Enter Units (1)" xfId="7093"/>
    <cellStyle name="Enter Units (2)" xfId="7094"/>
    <cellStyle name="Euro" xfId="2409"/>
    <cellStyle name="Euro 2" xfId="2410"/>
    <cellStyle name="Euro 2 2" xfId="9966"/>
    <cellStyle name="Euro 3" xfId="2411"/>
    <cellStyle name="Euro 3 2" xfId="9967"/>
    <cellStyle name="Euro 4" xfId="2412"/>
    <cellStyle name="Euro 4 2" xfId="9968"/>
    <cellStyle name="Euro 5" xfId="4920"/>
    <cellStyle name="Euro 5 2" xfId="7095"/>
    <cellStyle name="Euro 5 3" xfId="7096"/>
    <cellStyle name="Euro 6" xfId="7097"/>
    <cellStyle name="Euro 7" xfId="7098"/>
    <cellStyle name="ew" xfId="2413"/>
    <cellStyle name="ew 2" xfId="7099"/>
    <cellStyle name="Excel Built-in Normal" xfId="2414"/>
    <cellStyle name="Excel Built-in Normal 1" xfId="2415"/>
    <cellStyle name="Excel Built-in Normal 2" xfId="2416"/>
    <cellStyle name="Excel Built-in Normal 2 2" xfId="9969"/>
    <cellStyle name="Excel Built-in Normal 2 3" xfId="9970"/>
    <cellStyle name="Excel Built-in Normal 2 4" xfId="5335"/>
    <cellStyle name="Excel Built-in Normal 3" xfId="7100"/>
    <cellStyle name="Excel Built-in Normal 4" xfId="7101"/>
    <cellStyle name="Explanatory Text" xfId="2417"/>
    <cellStyle name="Explanatory Text 1" xfId="7102"/>
    <cellStyle name="Explanatory Text 2" xfId="7103"/>
    <cellStyle name="Explanatory Text 3" xfId="7104"/>
    <cellStyle name="Ezres [0]_Document" xfId="7105"/>
    <cellStyle name="Ezres_Document" xfId="7106"/>
    <cellStyle name="F2" xfId="2418"/>
    <cellStyle name="F3" xfId="2419"/>
    <cellStyle name="F4" xfId="2420"/>
    <cellStyle name="F5" xfId="2421"/>
    <cellStyle name="F6" xfId="2422"/>
    <cellStyle name="F7" xfId="2423"/>
    <cellStyle name="F8" xfId="2424"/>
    <cellStyle name="Fixed" xfId="2425"/>
    <cellStyle name="fo]_x000d__x000a_UserName=Murat Zelef_x000d__x000a_UserCompany=Bumerang_x000d__x000a__x000d__x000a_[File Paths]_x000d__x000a_WorkingDirectory=C:\EQUIS\DLWIN_x000d__x000a_DownLoader=C" xfId="2426"/>
    <cellStyle name="Followed Hyperlink" xfId="2427"/>
    <cellStyle name="footer" xfId="7107"/>
    <cellStyle name="Footnote" xfId="2428"/>
    <cellStyle name="Formuls" xfId="2429"/>
    <cellStyle name="Formuls 2" xfId="2430"/>
    <cellStyle name="Good" xfId="2431"/>
    <cellStyle name="Good 1" xfId="7108"/>
    <cellStyle name="Good 2" xfId="7109"/>
    <cellStyle name="Good 2 2" xfId="7110"/>
    <cellStyle name="Good 3" xfId="7111"/>
    <cellStyle name="Good 3 2" xfId="7112"/>
    <cellStyle name="Good 4" xfId="7113"/>
    <cellStyle name="Good 5" xfId="7114"/>
    <cellStyle name="Good_7-р_Из_Системы" xfId="7115"/>
    <cellStyle name="Green" xfId="7116"/>
    <cellStyle name="Green 2" xfId="7117"/>
    <cellStyle name="hard no" xfId="2432"/>
    <cellStyle name="Hard Percent" xfId="2433"/>
    <cellStyle name="hardno" xfId="2434"/>
    <cellStyle name="Head 1" xfId="2435"/>
    <cellStyle name="Header" xfId="2436"/>
    <cellStyle name="Header 3" xfId="2437"/>
    <cellStyle name="Header 3 2" xfId="2438"/>
    <cellStyle name="header1" xfId="2439"/>
    <cellStyle name="Header1 2" xfId="7118"/>
    <cellStyle name="header2" xfId="2440"/>
    <cellStyle name="Header2 2" xfId="7119"/>
    <cellStyle name="Heading" xfId="2441"/>
    <cellStyle name="Heading 1" xfId="2442"/>
    <cellStyle name="Heading 1 1" xfId="7120"/>
    <cellStyle name="Heading 1 2" xfId="2443"/>
    <cellStyle name="Heading 1 2 2" xfId="7121"/>
    <cellStyle name="Heading 1 2 3" xfId="5336"/>
    <cellStyle name="Heading 1 3" xfId="4879"/>
    <cellStyle name="Heading 1 3 2" xfId="7122"/>
    <cellStyle name="Heading 1 4" xfId="9971"/>
    <cellStyle name="Heading 2" xfId="2444"/>
    <cellStyle name="Heading 2 1" xfId="7123"/>
    <cellStyle name="Heading 2 2" xfId="2445"/>
    <cellStyle name="Heading 2 2 2" xfId="7124"/>
    <cellStyle name="Heading 2 2 3" xfId="5337"/>
    <cellStyle name="Heading 2 3" xfId="4880"/>
    <cellStyle name="Heading 2 3 2" xfId="7125"/>
    <cellStyle name="Heading 2 4" xfId="9972"/>
    <cellStyle name="Heading 3" xfId="2446"/>
    <cellStyle name="Heading 3 1" xfId="7126"/>
    <cellStyle name="Heading 3 2" xfId="7127"/>
    <cellStyle name="Heading 3 3" xfId="7128"/>
    <cellStyle name="Heading 4" xfId="2447"/>
    <cellStyle name="Heading 4 1" xfId="7129"/>
    <cellStyle name="Heading 4 2" xfId="7130"/>
    <cellStyle name="Heading 4 3" xfId="7131"/>
    <cellStyle name="heading_a2" xfId="7132"/>
    <cellStyle name="Heading2" xfId="2448"/>
    <cellStyle name="Heading2 2" xfId="2449"/>
    <cellStyle name="Heading2 2 2" xfId="7133"/>
    <cellStyle name="Heading2 3" xfId="7134"/>
    <cellStyle name="Heading2 3 2" xfId="7135"/>
    <cellStyle name="Heading2 4" xfId="7136"/>
    <cellStyle name="Heading2 5" xfId="9973"/>
    <cellStyle name="Heading2_46EP.2011(v2.0)" xfId="2450"/>
    <cellStyle name="HeadingS" xfId="7137"/>
    <cellStyle name="Headline I" xfId="2451"/>
    <cellStyle name="Headline II" xfId="2452"/>
    <cellStyle name="Headline III" xfId="2453"/>
    <cellStyle name="Hide" xfId="7138"/>
    <cellStyle name="Hyperlink" xfId="2454"/>
    <cellStyle name="Hyperlink1" xfId="7139"/>
    <cellStyle name="Hyperlink2" xfId="7140"/>
    <cellStyle name="Hyperlink3" xfId="7141"/>
    <cellStyle name="Iau?iue_130 nnd. are." xfId="2455"/>
    <cellStyle name="Îáű÷íűé__FES" xfId="2456"/>
    <cellStyle name="Îáû÷íûé_cogs" xfId="2457"/>
    <cellStyle name="Îňęđűâŕâřŕ˙ń˙ ăčďĺđńńűëęŕ" xfId="2458"/>
    <cellStyle name="Info" xfId="2459"/>
    <cellStyle name="Input" xfId="2460"/>
    <cellStyle name="Input 1" xfId="7142"/>
    <cellStyle name="Input 2" xfId="7143"/>
    <cellStyle name="Input 3" xfId="7144"/>
    <cellStyle name="Input 4" xfId="7145"/>
    <cellStyle name="InputCurrency" xfId="2461"/>
    <cellStyle name="InputCurrency2" xfId="2462"/>
    <cellStyle name="InputMultiple1" xfId="2463"/>
    <cellStyle name="InputPercent1" xfId="2464"/>
    <cellStyle name="Inputs" xfId="2465"/>
    <cellStyle name="Inputs (const)" xfId="2466"/>
    <cellStyle name="Inputs (const) 2" xfId="2467"/>
    <cellStyle name="Inputs (const) 2 2" xfId="7146"/>
    <cellStyle name="Inputs (const) 3" xfId="7147"/>
    <cellStyle name="Inputs (const) 3 2" xfId="7148"/>
    <cellStyle name="Inputs (const) 4" xfId="7149"/>
    <cellStyle name="Inputs (const) 5" xfId="9974"/>
    <cellStyle name="Inputs (const)_46EP.2011(v2.0)" xfId="2468"/>
    <cellStyle name="Inputs 10" xfId="7150"/>
    <cellStyle name="Inputs 11" xfId="7151"/>
    <cellStyle name="Inputs 12" xfId="7152"/>
    <cellStyle name="Inputs 13" xfId="7153"/>
    <cellStyle name="Inputs 14" xfId="7154"/>
    <cellStyle name="Inputs 15" xfId="7155"/>
    <cellStyle name="Inputs 16" xfId="7156"/>
    <cellStyle name="Inputs 17" xfId="7157"/>
    <cellStyle name="Inputs 18" xfId="7158"/>
    <cellStyle name="Inputs 19" xfId="7159"/>
    <cellStyle name="Inputs 2" xfId="2469"/>
    <cellStyle name="Inputs 2 2" xfId="7160"/>
    <cellStyle name="Inputs 20" xfId="7161"/>
    <cellStyle name="Inputs 21" xfId="9975"/>
    <cellStyle name="Inputs 22" xfId="9976"/>
    <cellStyle name="Inputs 23" xfId="9977"/>
    <cellStyle name="Inputs 24" xfId="9978"/>
    <cellStyle name="Inputs 25" xfId="5338"/>
    <cellStyle name="Inputs 3" xfId="4921"/>
    <cellStyle name="Inputs 3 2" xfId="7162"/>
    <cellStyle name="Inputs 4" xfId="4917"/>
    <cellStyle name="Inputs 5" xfId="4918"/>
    <cellStyle name="Inputs 6" xfId="7163"/>
    <cellStyle name="Inputs 7" xfId="7164"/>
    <cellStyle name="Inputs 8" xfId="7165"/>
    <cellStyle name="Inputs 9" xfId="7166"/>
    <cellStyle name="Inputs Co" xfId="2470"/>
    <cellStyle name="Inputs_46EE.2011(v1.0)" xfId="2471"/>
    <cellStyle name="Komma [0]_Arcen" xfId="7167"/>
    <cellStyle name="Komma_Arcen" xfId="7168"/>
    <cellStyle name="Link Currency (0)" xfId="7169"/>
    <cellStyle name="Link Currency (2)" xfId="7170"/>
    <cellStyle name="Link Units (0)" xfId="7171"/>
    <cellStyle name="Link Units (1)" xfId="7172"/>
    <cellStyle name="Link Units (2)" xfId="7173"/>
    <cellStyle name="Linked Cell" xfId="2472"/>
    <cellStyle name="Linked Cell 1" xfId="7174"/>
    <cellStyle name="Linked Cell 2" xfId="7175"/>
    <cellStyle name="Linked Cell 3" xfId="7176"/>
    <cellStyle name="Locked Cell - PerformancePoint" xfId="7177"/>
    <cellStyle name="Millares [0]_CARAT SAPIC" xfId="7178"/>
    <cellStyle name="Millares_CARAT SAPIC" xfId="7179"/>
    <cellStyle name="Milliers [0]_BUDGET" xfId="7180"/>
    <cellStyle name="Milliers_BUDGET" xfId="7181"/>
    <cellStyle name="mnb" xfId="2473"/>
    <cellStyle name="Moneda [0]_CARAT SAPIC" xfId="7182"/>
    <cellStyle name="Moneda_CARAT SAPIC" xfId="7183"/>
    <cellStyle name="Monétaire [0]_BUDGET" xfId="7184"/>
    <cellStyle name="Monétaire_BUDGET" xfId="7185"/>
    <cellStyle name="Multiple" xfId="2474"/>
    <cellStyle name="Multiple [0]" xfId="7186"/>
    <cellStyle name="Multiple [1]" xfId="7187"/>
    <cellStyle name="Multiple_1 Dec" xfId="7188"/>
    <cellStyle name="Multiple1" xfId="2475"/>
    <cellStyle name="MultipleBelow" xfId="2476"/>
    <cellStyle name="namber" xfId="2477"/>
    <cellStyle name="namber 2" xfId="9979"/>
    <cellStyle name="Neutral" xfId="2478"/>
    <cellStyle name="Neutral 1" xfId="7189"/>
    <cellStyle name="Neutral 2" xfId="7190"/>
    <cellStyle name="Neutral 2 2" xfId="7191"/>
    <cellStyle name="Neutral 3" xfId="7192"/>
    <cellStyle name="Neutral 3 2" xfId="7193"/>
    <cellStyle name="Neutral 4" xfId="7194"/>
    <cellStyle name="Neutral 5" xfId="7195"/>
    <cellStyle name="Neutral_7-р_Из_Системы" xfId="7196"/>
    <cellStyle name="no dec" xfId="7197"/>
    <cellStyle name="Norma11l" xfId="2479"/>
    <cellStyle name="Norma11l 2" xfId="7198"/>
    <cellStyle name="Norma11l 3" xfId="7199"/>
    <cellStyle name="normal" xfId="2480"/>
    <cellStyle name="Normal - Style1" xfId="2481"/>
    <cellStyle name="Normal - Style1 2" xfId="9980"/>
    <cellStyle name="Normal [0]" xfId="7200"/>
    <cellStyle name="Normal [0] 2" xfId="7201"/>
    <cellStyle name="normal 10" xfId="2482"/>
    <cellStyle name="normal 11" xfId="5339"/>
    <cellStyle name="normal 12" xfId="5340"/>
    <cellStyle name="normal 13" xfId="5341"/>
    <cellStyle name="normal 14" xfId="5342"/>
    <cellStyle name="normal 15" xfId="5343"/>
    <cellStyle name="normal 16" xfId="5344"/>
    <cellStyle name="normal 17" xfId="5345"/>
    <cellStyle name="normal 18" xfId="5346"/>
    <cellStyle name="normal 19" xfId="5347"/>
    <cellStyle name="Normal 2" xfId="2483"/>
    <cellStyle name="Normal 2 2" xfId="2484"/>
    <cellStyle name="Normal 2 2 2" xfId="7202"/>
    <cellStyle name="Normal 2 3" xfId="2485"/>
    <cellStyle name="Normal 2 3 2" xfId="9981"/>
    <cellStyle name="Normal 2 4" xfId="5348"/>
    <cellStyle name="Normal 2 4 2" xfId="7203"/>
    <cellStyle name="Normal 2_БВП" xfId="7204"/>
    <cellStyle name="normal 20" xfId="5349"/>
    <cellStyle name="normal 21" xfId="5350"/>
    <cellStyle name="normal 22" xfId="5351"/>
    <cellStyle name="normal 23" xfId="5352"/>
    <cellStyle name="normal 24" xfId="5353"/>
    <cellStyle name="normal 25" xfId="5354"/>
    <cellStyle name="normal 26" xfId="5355"/>
    <cellStyle name="normal 3" xfId="2486"/>
    <cellStyle name="Normal 3 2" xfId="7205"/>
    <cellStyle name="Normal 3 3" xfId="7206"/>
    <cellStyle name="normal 4" xfId="2487"/>
    <cellStyle name="Normal 4 2" xfId="7207"/>
    <cellStyle name="normal 5" xfId="2488"/>
    <cellStyle name="Normal 5 2" xfId="7208"/>
    <cellStyle name="normal 6" xfId="2489"/>
    <cellStyle name="normal 7" xfId="2490"/>
    <cellStyle name="normal 8" xfId="2491"/>
    <cellStyle name="normal 9" xfId="2492"/>
    <cellStyle name="Normal." xfId="2493"/>
    <cellStyle name="Normal_06_9m" xfId="2494"/>
    <cellStyle name="Normál_1." xfId="7209"/>
    <cellStyle name="Normal_38" xfId="7210"/>
    <cellStyle name="Normal1" xfId="2495"/>
    <cellStyle name="Normal2" xfId="2496"/>
    <cellStyle name="NormalGB" xfId="2497"/>
    <cellStyle name="Normalny_24. 02. 97." xfId="2498"/>
    <cellStyle name="normбlnм_laroux" xfId="2499"/>
    <cellStyle name="Note" xfId="2500"/>
    <cellStyle name="Note 1" xfId="7211"/>
    <cellStyle name="Note 2" xfId="2501"/>
    <cellStyle name="Note 2 2" xfId="7212"/>
    <cellStyle name="Note 2 3" xfId="7213"/>
    <cellStyle name="Note 2 4" xfId="7214"/>
    <cellStyle name="Note 3" xfId="2502"/>
    <cellStyle name="Note 3 2" xfId="7215"/>
    <cellStyle name="Note 3 2 2" xfId="7216"/>
    <cellStyle name="Note 3 3" xfId="7217"/>
    <cellStyle name="Note 3 4" xfId="7218"/>
    <cellStyle name="Note 4" xfId="7219"/>
    <cellStyle name="Note 5" xfId="7220"/>
    <cellStyle name="Note 6" xfId="7221"/>
    <cellStyle name="Note_7-р_Из_Системы" xfId="7222"/>
    <cellStyle name="number" xfId="2503"/>
    <cellStyle name="number 2" xfId="9982"/>
    <cellStyle name="Ôčíŕíńîâűé [0]_(ňŕá 3č)" xfId="2504"/>
    <cellStyle name="Ôčíŕíńîâűé_(ňŕá 3č)" xfId="2505"/>
    <cellStyle name="Option" xfId="2506"/>
    <cellStyle name="Òûñÿ÷è [0]_cogs" xfId="2507"/>
    <cellStyle name="Òûñÿ÷è_cogs" xfId="2508"/>
    <cellStyle name="Output" xfId="2509"/>
    <cellStyle name="Output 1" xfId="7223"/>
    <cellStyle name="Output 2" xfId="7224"/>
    <cellStyle name="Output 3" xfId="7225"/>
    <cellStyle name="Output 4" xfId="7226"/>
    <cellStyle name="Output Amounts" xfId="7227"/>
    <cellStyle name="Output Column Headings" xfId="7228"/>
    <cellStyle name="Output Line Items" xfId="7229"/>
    <cellStyle name="Output Report Heading" xfId="7230"/>
    <cellStyle name="Output Report Title" xfId="7231"/>
    <cellStyle name="Outputtitle" xfId="7232"/>
    <cellStyle name="Page Number" xfId="2510"/>
    <cellStyle name="pb_page_heading_LS" xfId="2511"/>
    <cellStyle name="Pénznem [0]_Document" xfId="7233"/>
    <cellStyle name="Pénznem_Document" xfId="7234"/>
    <cellStyle name="Percent [0]" xfId="7235"/>
    <cellStyle name="Percent [0] 2" xfId="7236"/>
    <cellStyle name="Percent [00]" xfId="7237"/>
    <cellStyle name="Percent [1]" xfId="7238"/>
    <cellStyle name="Percent 2" xfId="7239"/>
    <cellStyle name="Percent 3" xfId="7240"/>
    <cellStyle name="Percent_RS_Lianozovo-Samara_9m01" xfId="2512"/>
    <cellStyle name="Percent1" xfId="2513"/>
    <cellStyle name="Piug" xfId="2514"/>
    <cellStyle name="Plug" xfId="2515"/>
    <cellStyle name="Porcentual_PROVBRID (2)" xfId="7241"/>
    <cellStyle name="PrePop Currency (0)" xfId="7242"/>
    <cellStyle name="PrePop Currency (2)" xfId="7243"/>
    <cellStyle name="PrePop Units (0)" xfId="7244"/>
    <cellStyle name="PrePop Units (1)" xfId="7245"/>
    <cellStyle name="PrePop Units (2)" xfId="7246"/>
    <cellStyle name="Price_Body" xfId="2516"/>
    <cellStyle name="prochrek" xfId="2517"/>
    <cellStyle name="Protected" xfId="2518"/>
    <cellStyle name="Red" xfId="7247"/>
    <cellStyle name="S0" xfId="7248"/>
    <cellStyle name="S1" xfId="7249"/>
    <cellStyle name="S10" xfId="7250"/>
    <cellStyle name="S2" xfId="7251"/>
    <cellStyle name="S3" xfId="7252"/>
    <cellStyle name="S4" xfId="7253"/>
    <cellStyle name="S5" xfId="7254"/>
    <cellStyle name="S6" xfId="7255"/>
    <cellStyle name="S7" xfId="7256"/>
    <cellStyle name="S8" xfId="7257"/>
    <cellStyle name="S9" xfId="7258"/>
    <cellStyle name="Salomon Logo" xfId="2519"/>
    <cellStyle name="SAPBEXaggData" xfId="2520"/>
    <cellStyle name="SAPBEXaggData 2" xfId="7259"/>
    <cellStyle name="SAPBEXaggData 3" xfId="7260"/>
    <cellStyle name="SAPBEXaggData 4" xfId="7261"/>
    <cellStyle name="SAPBEXaggData 5" xfId="7262"/>
    <cellStyle name="SAPBEXaggData 6" xfId="7263"/>
    <cellStyle name="SAPBEXaggDataEmph" xfId="2521"/>
    <cellStyle name="SAPBEXaggDataEmph 2" xfId="7264"/>
    <cellStyle name="SAPBEXaggDataEmph 3" xfId="7265"/>
    <cellStyle name="SAPBEXaggDataEmph 4" xfId="7266"/>
    <cellStyle name="SAPBEXaggDataEmph 5" xfId="7267"/>
    <cellStyle name="SAPBEXaggDataEmph 6" xfId="7268"/>
    <cellStyle name="SAPBEXaggItem" xfId="2522"/>
    <cellStyle name="SAPBEXaggItem 2" xfId="7269"/>
    <cellStyle name="SAPBEXaggItem 3" xfId="7270"/>
    <cellStyle name="SAPBEXaggItem 4" xfId="7271"/>
    <cellStyle name="SAPBEXaggItem 5" xfId="7272"/>
    <cellStyle name="SAPBEXaggItem 6" xfId="7273"/>
    <cellStyle name="SAPBEXaggItemX" xfId="2523"/>
    <cellStyle name="SAPBEXaggItemX 2" xfId="7274"/>
    <cellStyle name="SAPBEXaggItemX 3" xfId="7275"/>
    <cellStyle name="SAPBEXaggItemX 4" xfId="7276"/>
    <cellStyle name="SAPBEXaggItemX 5" xfId="7277"/>
    <cellStyle name="SAPBEXaggItemX 6" xfId="7278"/>
    <cellStyle name="SAPBEXchaText" xfId="2524"/>
    <cellStyle name="SAPBEXchaText 2" xfId="7279"/>
    <cellStyle name="SAPBEXchaText 3" xfId="7280"/>
    <cellStyle name="SAPBEXchaText 4" xfId="7281"/>
    <cellStyle name="SAPBEXchaText 5" xfId="7282"/>
    <cellStyle name="SAPBEXchaText 6" xfId="7283"/>
    <cellStyle name="SAPBEXchaText 7" xfId="7284"/>
    <cellStyle name="SAPBEXchaText_Приложение_1_к_7-у-о_2009_Кв_1_ФСТ" xfId="7285"/>
    <cellStyle name="SAPBEXexcBad7" xfId="2525"/>
    <cellStyle name="SAPBEXexcBad7 2" xfId="7286"/>
    <cellStyle name="SAPBEXexcBad7 3" xfId="7287"/>
    <cellStyle name="SAPBEXexcBad7 4" xfId="7288"/>
    <cellStyle name="SAPBEXexcBad7 5" xfId="7289"/>
    <cellStyle name="SAPBEXexcBad7 6" xfId="7290"/>
    <cellStyle name="SAPBEXexcBad8" xfId="2526"/>
    <cellStyle name="SAPBEXexcBad8 2" xfId="7291"/>
    <cellStyle name="SAPBEXexcBad8 3" xfId="7292"/>
    <cellStyle name="SAPBEXexcBad8 4" xfId="7293"/>
    <cellStyle name="SAPBEXexcBad8 5" xfId="7294"/>
    <cellStyle name="SAPBEXexcBad8 6" xfId="7295"/>
    <cellStyle name="SAPBEXexcBad9" xfId="2527"/>
    <cellStyle name="SAPBEXexcBad9 2" xfId="7296"/>
    <cellStyle name="SAPBEXexcBad9 3" xfId="7297"/>
    <cellStyle name="SAPBEXexcBad9 4" xfId="7298"/>
    <cellStyle name="SAPBEXexcBad9 5" xfId="7299"/>
    <cellStyle name="SAPBEXexcBad9 6" xfId="7300"/>
    <cellStyle name="SAPBEXexcCritical4" xfId="2528"/>
    <cellStyle name="SAPBEXexcCritical4 2" xfId="7301"/>
    <cellStyle name="SAPBEXexcCritical4 3" xfId="7302"/>
    <cellStyle name="SAPBEXexcCritical4 4" xfId="7303"/>
    <cellStyle name="SAPBEXexcCritical4 5" xfId="7304"/>
    <cellStyle name="SAPBEXexcCritical4 6" xfId="7305"/>
    <cellStyle name="SAPBEXexcCritical5" xfId="2529"/>
    <cellStyle name="SAPBEXexcCritical5 2" xfId="7306"/>
    <cellStyle name="SAPBEXexcCritical5 3" xfId="7307"/>
    <cellStyle name="SAPBEXexcCritical5 4" xfId="7308"/>
    <cellStyle name="SAPBEXexcCritical5 5" xfId="7309"/>
    <cellStyle name="SAPBEXexcCritical5 6" xfId="7310"/>
    <cellStyle name="SAPBEXexcCritical6" xfId="2530"/>
    <cellStyle name="SAPBEXexcCritical6 2" xfId="7311"/>
    <cellStyle name="SAPBEXexcCritical6 3" xfId="7312"/>
    <cellStyle name="SAPBEXexcCritical6 4" xfId="7313"/>
    <cellStyle name="SAPBEXexcCritical6 5" xfId="7314"/>
    <cellStyle name="SAPBEXexcCritical6 6" xfId="7315"/>
    <cellStyle name="SAPBEXexcGood1" xfId="2531"/>
    <cellStyle name="SAPBEXexcGood1 2" xfId="7316"/>
    <cellStyle name="SAPBEXexcGood1 3" xfId="7317"/>
    <cellStyle name="SAPBEXexcGood1 4" xfId="7318"/>
    <cellStyle name="SAPBEXexcGood1 5" xfId="7319"/>
    <cellStyle name="SAPBEXexcGood1 6" xfId="7320"/>
    <cellStyle name="SAPBEXexcGood2" xfId="2532"/>
    <cellStyle name="SAPBEXexcGood2 2" xfId="7321"/>
    <cellStyle name="SAPBEXexcGood2 3" xfId="7322"/>
    <cellStyle name="SAPBEXexcGood2 4" xfId="7323"/>
    <cellStyle name="SAPBEXexcGood2 5" xfId="7324"/>
    <cellStyle name="SAPBEXexcGood2 6" xfId="7325"/>
    <cellStyle name="SAPBEXexcGood3" xfId="2533"/>
    <cellStyle name="SAPBEXexcGood3 2" xfId="7326"/>
    <cellStyle name="SAPBEXexcGood3 3" xfId="7327"/>
    <cellStyle name="SAPBEXexcGood3 4" xfId="7328"/>
    <cellStyle name="SAPBEXexcGood3 5" xfId="7329"/>
    <cellStyle name="SAPBEXexcGood3 6" xfId="7330"/>
    <cellStyle name="SAPBEXfilterDrill" xfId="2534"/>
    <cellStyle name="SAPBEXfilterDrill 2" xfId="7331"/>
    <cellStyle name="SAPBEXfilterDrill 3" xfId="7332"/>
    <cellStyle name="SAPBEXfilterDrill 4" xfId="7333"/>
    <cellStyle name="SAPBEXfilterDrill 5" xfId="7334"/>
    <cellStyle name="SAPBEXfilterDrill 6" xfId="7335"/>
    <cellStyle name="SAPBEXfilterItem" xfId="2535"/>
    <cellStyle name="SAPBEXfilterItem 2" xfId="7336"/>
    <cellStyle name="SAPBEXfilterItem 3" xfId="7337"/>
    <cellStyle name="SAPBEXfilterItem 4" xfId="7338"/>
    <cellStyle name="SAPBEXfilterItem 5" xfId="7339"/>
    <cellStyle name="SAPBEXfilterItem 6" xfId="7340"/>
    <cellStyle name="SAPBEXfilterText" xfId="2536"/>
    <cellStyle name="SAPBEXfilterText 2" xfId="7341"/>
    <cellStyle name="SAPBEXfilterText 3" xfId="7342"/>
    <cellStyle name="SAPBEXfilterText 4" xfId="7343"/>
    <cellStyle name="SAPBEXfilterText 5" xfId="7344"/>
    <cellStyle name="SAPBEXfilterText 6" xfId="7345"/>
    <cellStyle name="SAPBEXformats" xfId="2537"/>
    <cellStyle name="SAPBEXformats 2" xfId="7346"/>
    <cellStyle name="SAPBEXformats 3" xfId="7347"/>
    <cellStyle name="SAPBEXformats 4" xfId="7348"/>
    <cellStyle name="SAPBEXformats 5" xfId="7349"/>
    <cellStyle name="SAPBEXformats 6" xfId="7350"/>
    <cellStyle name="SAPBEXformats 7" xfId="7351"/>
    <cellStyle name="SAPBEXheaderItem" xfId="2538"/>
    <cellStyle name="SAPBEXheaderItem 2" xfId="7352"/>
    <cellStyle name="SAPBEXheaderItem 3" xfId="7353"/>
    <cellStyle name="SAPBEXheaderItem 4" xfId="7354"/>
    <cellStyle name="SAPBEXheaderItem 5" xfId="7355"/>
    <cellStyle name="SAPBEXheaderItem 6" xfId="7356"/>
    <cellStyle name="SAPBEXheaderItem 7" xfId="7357"/>
    <cellStyle name="SAPBEXheaderText" xfId="2539"/>
    <cellStyle name="SAPBEXheaderText 2" xfId="7358"/>
    <cellStyle name="SAPBEXheaderText 3" xfId="7359"/>
    <cellStyle name="SAPBEXheaderText 4" xfId="7360"/>
    <cellStyle name="SAPBEXheaderText 5" xfId="7361"/>
    <cellStyle name="SAPBEXheaderText 6" xfId="7362"/>
    <cellStyle name="SAPBEXheaderText 7" xfId="7363"/>
    <cellStyle name="SAPBEXHLevel0" xfId="2540"/>
    <cellStyle name="SAPBEXHLevel0 2" xfId="7364"/>
    <cellStyle name="SAPBEXHLevel0 3" xfId="7365"/>
    <cellStyle name="SAPBEXHLevel0 4" xfId="7366"/>
    <cellStyle name="SAPBEXHLevel0 5" xfId="7367"/>
    <cellStyle name="SAPBEXHLevel0 6" xfId="7368"/>
    <cellStyle name="SAPBEXHLevel0 7" xfId="7369"/>
    <cellStyle name="SAPBEXHLevel0 8" xfId="7370"/>
    <cellStyle name="SAPBEXHLevel0_7y-отчетная_РЖД_2009_04" xfId="7371"/>
    <cellStyle name="SAPBEXHLevel0X" xfId="2541"/>
    <cellStyle name="SAPBEXHLevel0X 10" xfId="7372"/>
    <cellStyle name="SAPBEXHLevel0X 2" xfId="7373"/>
    <cellStyle name="SAPBEXHLevel0X 3" xfId="7374"/>
    <cellStyle name="SAPBEXHLevel0X 4" xfId="7375"/>
    <cellStyle name="SAPBEXHLevel0X 5" xfId="7376"/>
    <cellStyle name="SAPBEXHLevel0X 6" xfId="7377"/>
    <cellStyle name="SAPBEXHLevel0X 7" xfId="7378"/>
    <cellStyle name="SAPBEXHLevel0X 8" xfId="7379"/>
    <cellStyle name="SAPBEXHLevel0X 9" xfId="7380"/>
    <cellStyle name="SAPBEXHLevel0X_7-р_Из_Системы" xfId="7381"/>
    <cellStyle name="SAPBEXHLevel1" xfId="2542"/>
    <cellStyle name="SAPBEXHLevel1 2" xfId="7382"/>
    <cellStyle name="SAPBEXHLevel1 3" xfId="7383"/>
    <cellStyle name="SAPBEXHLevel1 4" xfId="7384"/>
    <cellStyle name="SAPBEXHLevel1 5" xfId="7385"/>
    <cellStyle name="SAPBEXHLevel1 6" xfId="7386"/>
    <cellStyle name="SAPBEXHLevel1 7" xfId="7387"/>
    <cellStyle name="SAPBEXHLevel1 8" xfId="7388"/>
    <cellStyle name="SAPBEXHLevel1_7y-отчетная_РЖД_2009_04" xfId="7389"/>
    <cellStyle name="SAPBEXHLevel1X" xfId="2543"/>
    <cellStyle name="SAPBEXHLevel1X 10" xfId="7390"/>
    <cellStyle name="SAPBEXHLevel1X 2" xfId="7391"/>
    <cellStyle name="SAPBEXHLevel1X 3" xfId="7392"/>
    <cellStyle name="SAPBEXHLevel1X 4" xfId="7393"/>
    <cellStyle name="SAPBEXHLevel1X 5" xfId="7394"/>
    <cellStyle name="SAPBEXHLevel1X 6" xfId="7395"/>
    <cellStyle name="SAPBEXHLevel1X 7" xfId="7396"/>
    <cellStyle name="SAPBEXHLevel1X 8" xfId="7397"/>
    <cellStyle name="SAPBEXHLevel1X 9" xfId="7398"/>
    <cellStyle name="SAPBEXHLevel1X_7-р_Из_Системы" xfId="7399"/>
    <cellStyle name="SAPBEXHLevel2" xfId="2544"/>
    <cellStyle name="SAPBEXHLevel2 2" xfId="7400"/>
    <cellStyle name="SAPBEXHLevel2 3" xfId="7401"/>
    <cellStyle name="SAPBEXHLevel2 4" xfId="7402"/>
    <cellStyle name="SAPBEXHLevel2 5" xfId="7403"/>
    <cellStyle name="SAPBEXHLevel2 6" xfId="7404"/>
    <cellStyle name="SAPBEXHLevel2 7" xfId="7405"/>
    <cellStyle name="SAPBEXHLevel2_Приложение_1_к_7-у-о_2009_Кв_1_ФСТ" xfId="7406"/>
    <cellStyle name="SAPBEXHLevel2X" xfId="2545"/>
    <cellStyle name="SAPBEXHLevel2X 2" xfId="7407"/>
    <cellStyle name="SAPBEXHLevel2X 3" xfId="7408"/>
    <cellStyle name="SAPBEXHLevel2X 4" xfId="7409"/>
    <cellStyle name="SAPBEXHLevel2X 5" xfId="7410"/>
    <cellStyle name="SAPBEXHLevel2X 6" xfId="7411"/>
    <cellStyle name="SAPBEXHLevel2X 7" xfId="7412"/>
    <cellStyle name="SAPBEXHLevel2X 8" xfId="7413"/>
    <cellStyle name="SAPBEXHLevel2X 9" xfId="7414"/>
    <cellStyle name="SAPBEXHLevel2X_7-р_Из_Системы" xfId="7415"/>
    <cellStyle name="SAPBEXHLevel3" xfId="2546"/>
    <cellStyle name="SAPBEXHLevel3 2" xfId="7416"/>
    <cellStyle name="SAPBEXHLevel3 3" xfId="7417"/>
    <cellStyle name="SAPBEXHLevel3 4" xfId="7418"/>
    <cellStyle name="SAPBEXHLevel3 5" xfId="7419"/>
    <cellStyle name="SAPBEXHLevel3 6" xfId="7420"/>
    <cellStyle name="SAPBEXHLevel3 7" xfId="7421"/>
    <cellStyle name="SAPBEXHLevel3_Приложение_1_к_7-у-о_2009_Кв_1_ФСТ" xfId="7422"/>
    <cellStyle name="SAPBEXHLevel3X" xfId="2547"/>
    <cellStyle name="SAPBEXHLevel3X 2" xfId="7423"/>
    <cellStyle name="SAPBEXHLevel3X 3" xfId="7424"/>
    <cellStyle name="SAPBEXHLevel3X 4" xfId="7425"/>
    <cellStyle name="SAPBEXHLevel3X 5" xfId="7426"/>
    <cellStyle name="SAPBEXHLevel3X 6" xfId="7427"/>
    <cellStyle name="SAPBEXHLevel3X 7" xfId="7428"/>
    <cellStyle name="SAPBEXHLevel3X 8" xfId="7429"/>
    <cellStyle name="SAPBEXHLevel3X 9" xfId="7430"/>
    <cellStyle name="SAPBEXHLevel3X_7-р_Из_Системы" xfId="7431"/>
    <cellStyle name="SAPBEXinputData" xfId="2548"/>
    <cellStyle name="SAPBEXinputData 10" xfId="7432"/>
    <cellStyle name="SAPBEXinputData 11" xfId="7433"/>
    <cellStyle name="SAPBEXinputData 2" xfId="5356"/>
    <cellStyle name="SAPBEXinputData 2 2" xfId="7434"/>
    <cellStyle name="SAPBEXinputData 3" xfId="5357"/>
    <cellStyle name="SAPBEXinputData 3 2" xfId="7435"/>
    <cellStyle name="SAPBEXinputData 4" xfId="5358"/>
    <cellStyle name="SAPBEXinputData 4 2" xfId="7436"/>
    <cellStyle name="SAPBEXinputData 5" xfId="7437"/>
    <cellStyle name="SAPBEXinputData 6" xfId="7438"/>
    <cellStyle name="SAPBEXinputData 7" xfId="7439"/>
    <cellStyle name="SAPBEXinputData 8" xfId="7440"/>
    <cellStyle name="SAPBEXinputData 9" xfId="7441"/>
    <cellStyle name="SAPBEXinputData_7-р_Из_Системы" xfId="7442"/>
    <cellStyle name="SAPBEXItemHeader" xfId="7443"/>
    <cellStyle name="SAPBEXresData" xfId="2549"/>
    <cellStyle name="SAPBEXresData 2" xfId="7444"/>
    <cellStyle name="SAPBEXresData 3" xfId="7445"/>
    <cellStyle name="SAPBEXresData 4" xfId="7446"/>
    <cellStyle name="SAPBEXresData 5" xfId="7447"/>
    <cellStyle name="SAPBEXresData 6" xfId="7448"/>
    <cellStyle name="SAPBEXresDataEmph" xfId="2550"/>
    <cellStyle name="SAPBEXresDataEmph 2" xfId="7449"/>
    <cellStyle name="SAPBEXresDataEmph 2 2" xfId="7450"/>
    <cellStyle name="SAPBEXresDataEmph 3" xfId="7451"/>
    <cellStyle name="SAPBEXresDataEmph 3 2" xfId="7452"/>
    <cellStyle name="SAPBEXresDataEmph 4" xfId="7453"/>
    <cellStyle name="SAPBEXresDataEmph 4 2" xfId="7454"/>
    <cellStyle name="SAPBEXresDataEmph 5" xfId="7455"/>
    <cellStyle name="SAPBEXresDataEmph 5 2" xfId="7456"/>
    <cellStyle name="SAPBEXresDataEmph 6" xfId="7457"/>
    <cellStyle name="SAPBEXresDataEmph 6 2" xfId="7458"/>
    <cellStyle name="SAPBEXresItem" xfId="2551"/>
    <cellStyle name="SAPBEXresItem 2" xfId="7459"/>
    <cellStyle name="SAPBEXresItem 3" xfId="7460"/>
    <cellStyle name="SAPBEXresItem 4" xfId="7461"/>
    <cellStyle name="SAPBEXresItem 5" xfId="7462"/>
    <cellStyle name="SAPBEXresItem 6" xfId="7463"/>
    <cellStyle name="SAPBEXresItemX" xfId="2552"/>
    <cellStyle name="SAPBEXresItemX 2" xfId="7464"/>
    <cellStyle name="SAPBEXresItemX 3" xfId="7465"/>
    <cellStyle name="SAPBEXresItemX 4" xfId="7466"/>
    <cellStyle name="SAPBEXresItemX 5" xfId="7467"/>
    <cellStyle name="SAPBEXresItemX 6" xfId="7468"/>
    <cellStyle name="SAPBEXstdData" xfId="2553"/>
    <cellStyle name="SAPBEXstdData 2" xfId="7469"/>
    <cellStyle name="SAPBEXstdData 3" xfId="7470"/>
    <cellStyle name="SAPBEXstdData 4" xfId="7471"/>
    <cellStyle name="SAPBEXstdData 5" xfId="7472"/>
    <cellStyle name="SAPBEXstdData 6" xfId="7473"/>
    <cellStyle name="SAPBEXstdData_Приложение_1_к_7-у-о_2009_Кв_1_ФСТ" xfId="7474"/>
    <cellStyle name="SAPBEXstdDataEmph" xfId="2554"/>
    <cellStyle name="SAPBEXstdDataEmph 2" xfId="7475"/>
    <cellStyle name="SAPBEXstdDataEmph 3" xfId="7476"/>
    <cellStyle name="SAPBEXstdDataEmph 4" xfId="7477"/>
    <cellStyle name="SAPBEXstdDataEmph 5" xfId="7478"/>
    <cellStyle name="SAPBEXstdDataEmph 6" xfId="7479"/>
    <cellStyle name="SAPBEXstdItem" xfId="2555"/>
    <cellStyle name="SAPBEXstdItem 2" xfId="7480"/>
    <cellStyle name="SAPBEXstdItem 3" xfId="7481"/>
    <cellStyle name="SAPBEXstdItem 4" xfId="7482"/>
    <cellStyle name="SAPBEXstdItem 5" xfId="7483"/>
    <cellStyle name="SAPBEXstdItem 6" xfId="7484"/>
    <cellStyle name="SAPBEXstdItem 7" xfId="7485"/>
    <cellStyle name="SAPBEXstdItem 8" xfId="7486"/>
    <cellStyle name="SAPBEXstdItem_7-р" xfId="7487"/>
    <cellStyle name="SAPBEXstdItemX" xfId="2556"/>
    <cellStyle name="SAPBEXstdItemX 2" xfId="7488"/>
    <cellStyle name="SAPBEXstdItemX 3" xfId="7489"/>
    <cellStyle name="SAPBEXstdItemX 4" xfId="7490"/>
    <cellStyle name="SAPBEXstdItemX 5" xfId="7491"/>
    <cellStyle name="SAPBEXstdItemX 6" xfId="7492"/>
    <cellStyle name="SAPBEXstdItemX 7" xfId="7493"/>
    <cellStyle name="SAPBEXtitle" xfId="2557"/>
    <cellStyle name="SAPBEXtitle 2" xfId="7494"/>
    <cellStyle name="SAPBEXtitle 3" xfId="7495"/>
    <cellStyle name="SAPBEXtitle 4" xfId="7496"/>
    <cellStyle name="SAPBEXtitle 5" xfId="7497"/>
    <cellStyle name="SAPBEXtitle 6" xfId="7498"/>
    <cellStyle name="SAPBEXtitle 7" xfId="7499"/>
    <cellStyle name="SAPBEXunassignedItem" xfId="7500"/>
    <cellStyle name="SAPBEXunassignedItem 2" xfId="7501"/>
    <cellStyle name="SAPBEXundefined" xfId="2558"/>
    <cellStyle name="SAPBEXundefined 2" xfId="7502"/>
    <cellStyle name="SAPBEXundefined 3" xfId="7503"/>
    <cellStyle name="SAPBEXundefined 4" xfId="7504"/>
    <cellStyle name="SAPBEXundefined 5" xfId="7505"/>
    <cellStyle name="SAPBEXundefined 6" xfId="7506"/>
    <cellStyle name="ScotchRule" xfId="7507"/>
    <cellStyle name="Sheet Title" xfId="7508"/>
    <cellStyle name="Single Accounting" xfId="7509"/>
    <cellStyle name="small" xfId="7510"/>
    <cellStyle name="st1" xfId="2559"/>
    <cellStyle name="stand_bord" xfId="2560"/>
    <cellStyle name="Standard_NEGS" xfId="2561"/>
    <cellStyle name="Style 1" xfId="2562"/>
    <cellStyle name="Style 1 2" xfId="7511"/>
    <cellStyle name="styleColumnTitles" xfId="2563"/>
    <cellStyle name="styleDateRange" xfId="2564"/>
    <cellStyle name="styleHidden" xfId="2565"/>
    <cellStyle name="styleNormal" xfId="2566"/>
    <cellStyle name="styleSeriesAttributes" xfId="2567"/>
    <cellStyle name="styleSeriesData" xfId="2568"/>
    <cellStyle name="styleSeriesDataForecast" xfId="2569"/>
    <cellStyle name="styleSeriesDataForecastNA" xfId="2570"/>
    <cellStyle name="styleSeriesDataNA" xfId="2571"/>
    <cellStyle name="Subtitle" xfId="7512"/>
    <cellStyle name="Table Head" xfId="2572"/>
    <cellStyle name="Table Head Aligned" xfId="2573"/>
    <cellStyle name="Table Head Blue" xfId="2574"/>
    <cellStyle name="Table Head Green" xfId="2575"/>
    <cellStyle name="Table Head_Val_Sum_Graph" xfId="2576"/>
    <cellStyle name="Table Heading" xfId="2577"/>
    <cellStyle name="Table Heading 2" xfId="2578"/>
    <cellStyle name="Table Heading 2 2" xfId="7513"/>
    <cellStyle name="Table Heading 3" xfId="7514"/>
    <cellStyle name="Table Heading 3 2" xfId="7515"/>
    <cellStyle name="Table Heading 4" xfId="7516"/>
    <cellStyle name="Table Heading 5" xfId="9983"/>
    <cellStyle name="Table Heading_46EP.2011(v2.0)" xfId="2579"/>
    <cellStyle name="Table Text" xfId="2580"/>
    <cellStyle name="Table Title" xfId="2581"/>
    <cellStyle name="Table Units" xfId="2582"/>
    <cellStyle name="Table_Header" xfId="2583"/>
    <cellStyle name="TableStyleLight1" xfId="2584"/>
    <cellStyle name="TableStyleLight1 2" xfId="2585"/>
    <cellStyle name="TableStyleLight1 2 2" xfId="7517"/>
    <cellStyle name="TableStyleLight1 3" xfId="9984"/>
    <cellStyle name="Text" xfId="2586"/>
    <cellStyle name="Text 1" xfId="2587"/>
    <cellStyle name="Text Head" xfId="2588"/>
    <cellStyle name="Text Head 1" xfId="2589"/>
    <cellStyle name="Text Indent A" xfId="7518"/>
    <cellStyle name="Text Indent B" xfId="7519"/>
    <cellStyle name="Text Indent C" xfId="7520"/>
    <cellStyle name="Times 10" xfId="7521"/>
    <cellStyle name="Times 12" xfId="7522"/>
    <cellStyle name="Times New Roman0181000015536870911" xfId="7523"/>
    <cellStyle name="Title" xfId="2590"/>
    <cellStyle name="Title 1" xfId="7524"/>
    <cellStyle name="Title 2" xfId="2591"/>
    <cellStyle name="Title 2 2" xfId="7525"/>
    <cellStyle name="Title 2 3" xfId="7526"/>
    <cellStyle name="Title 3" xfId="7527"/>
    <cellStyle name="Title 4" xfId="2592"/>
    <cellStyle name="Total" xfId="2593"/>
    <cellStyle name="Total 1" xfId="7528"/>
    <cellStyle name="Total 2" xfId="2594"/>
    <cellStyle name="Total 2 2" xfId="7529"/>
    <cellStyle name="Total 2 3" xfId="5359"/>
    <cellStyle name="Total 3" xfId="4881"/>
    <cellStyle name="Total 3 2" xfId="7530"/>
    <cellStyle name="Total 4" xfId="9985"/>
    <cellStyle name="TotalCurrency" xfId="2595"/>
    <cellStyle name="Underline_Single" xfId="2596"/>
    <cellStyle name="Unit" xfId="2597"/>
    <cellStyle name="Valuta [0]_Arcen" xfId="7531"/>
    <cellStyle name="Valuta_Arcen" xfId="7532"/>
    <cellStyle name="Warning Text" xfId="2598"/>
    <cellStyle name="Warning Text 1" xfId="7533"/>
    <cellStyle name="Warning Text 2" xfId="7534"/>
    <cellStyle name="Warning Text 3" xfId="7535"/>
    <cellStyle name="year" xfId="2599"/>
    <cellStyle name="Yen" xfId="7536"/>
    <cellStyle name="Акцент1 10" xfId="2600"/>
    <cellStyle name="Акцент1 10 2" xfId="7537"/>
    <cellStyle name="Акцент1 10 3" xfId="7538"/>
    <cellStyle name="Акцент1 11" xfId="7539"/>
    <cellStyle name="Акцент1 11 2" xfId="7540"/>
    <cellStyle name="Акцент1 11 3" xfId="7541"/>
    <cellStyle name="Акцент1 11 4" xfId="7542"/>
    <cellStyle name="Акцент1 12" xfId="7543"/>
    <cellStyle name="Акцент1 12 2" xfId="7544"/>
    <cellStyle name="Акцент1 12 3" xfId="7545"/>
    <cellStyle name="Акцент1 12 4" xfId="7546"/>
    <cellStyle name="Акцент1 13" xfId="7547"/>
    <cellStyle name="Акцент1 13 2" xfId="7548"/>
    <cellStyle name="Акцент1 13 3" xfId="7549"/>
    <cellStyle name="Акцент1 14" xfId="7550"/>
    <cellStyle name="Акцент1 14 2" xfId="7551"/>
    <cellStyle name="Акцент1 14 3" xfId="7552"/>
    <cellStyle name="Акцент1 15" xfId="7553"/>
    <cellStyle name="Акцент1 15 2" xfId="7554"/>
    <cellStyle name="Акцент1 15 3" xfId="7555"/>
    <cellStyle name="Акцент1 16" xfId="7556"/>
    <cellStyle name="Акцент1 16 2" xfId="7557"/>
    <cellStyle name="Акцент1 16 3" xfId="7558"/>
    <cellStyle name="Акцент1 17" xfId="7559"/>
    <cellStyle name="Акцент1 18" xfId="7560"/>
    <cellStyle name="Акцент1 2" xfId="2601"/>
    <cellStyle name="Акцент1 2 1" xfId="7561"/>
    <cellStyle name="Акцент1 2 10" xfId="2602"/>
    <cellStyle name="Акцент1 2 11" xfId="7562"/>
    <cellStyle name="Акцент1 2 12" xfId="9986"/>
    <cellStyle name="Акцент1 2 2" xfId="2603"/>
    <cellStyle name="Акцент1 2 2 2" xfId="2604"/>
    <cellStyle name="Акцент1 2 2 2 2" xfId="7563"/>
    <cellStyle name="Акцент1 2 2 2 3" xfId="5360"/>
    <cellStyle name="Акцент1 2 3" xfId="2605"/>
    <cellStyle name="Акцент1 2 3 2" xfId="7564"/>
    <cellStyle name="Акцент1 2 4" xfId="2606"/>
    <cellStyle name="Акцент1 2 4 2" xfId="7565"/>
    <cellStyle name="Акцент1 2 5" xfId="2607"/>
    <cellStyle name="Акцент1 2 6" xfId="2608"/>
    <cellStyle name="Акцент1 2 7" xfId="2609"/>
    <cellStyle name="Акцент1 2 8" xfId="2610"/>
    <cellStyle name="Акцент1 2 9" xfId="2611"/>
    <cellStyle name="Акцент1 2_МФ тепловой баланс 2015 дубль 3" xfId="2612"/>
    <cellStyle name="Акцент1 3" xfId="2613"/>
    <cellStyle name="Акцент1 3 10" xfId="2614"/>
    <cellStyle name="Акцент1 3 11" xfId="2615"/>
    <cellStyle name="Акцент1 3 11 2" xfId="7566"/>
    <cellStyle name="Акцент1 3 12" xfId="9987"/>
    <cellStyle name="Акцент1 3 2" xfId="2616"/>
    <cellStyle name="Акцент1 3 2 2" xfId="7567"/>
    <cellStyle name="Акцент1 3 2 3" xfId="9988"/>
    <cellStyle name="Акцент1 3 3" xfId="2617"/>
    <cellStyle name="Акцент1 3 3 2" xfId="7568"/>
    <cellStyle name="Акцент1 3 3 2 2" xfId="7569"/>
    <cellStyle name="Акцент1 3 4" xfId="2618"/>
    <cellStyle name="Акцент1 3 5" xfId="2619"/>
    <cellStyle name="Акцент1 3 6" xfId="2620"/>
    <cellStyle name="Акцент1 3 7" xfId="2621"/>
    <cellStyle name="Акцент1 3 8" xfId="2622"/>
    <cellStyle name="Акцент1 3 9" xfId="2623"/>
    <cellStyle name="Акцент1 3_МФ тепловой баланс 2015 дубль 3" xfId="2624"/>
    <cellStyle name="Акцент1 4" xfId="2625"/>
    <cellStyle name="Акцент1 4 2" xfId="2626"/>
    <cellStyle name="Акцент1 4 3" xfId="5361"/>
    <cellStyle name="Акцент1 4 3 2" xfId="7570"/>
    <cellStyle name="Акцент1 4 3 3" xfId="7571"/>
    <cellStyle name="Акцент1 4_МФ тепловой баланс 2015 дубль 3" xfId="2627"/>
    <cellStyle name="Акцент1 5" xfId="2628"/>
    <cellStyle name="Акцент1 5 2" xfId="2629"/>
    <cellStyle name="Акцент1 5 3" xfId="5362"/>
    <cellStyle name="Акцент1 5 3 2" xfId="7572"/>
    <cellStyle name="Акцент1 5 3 3" xfId="7573"/>
    <cellStyle name="Акцент1 5_МФ тепловой баланс 2015 дубль 3" xfId="2630"/>
    <cellStyle name="Акцент1 6" xfId="2631"/>
    <cellStyle name="Акцент1 6 2" xfId="2632"/>
    <cellStyle name="Акцент1 6 3" xfId="5363"/>
    <cellStyle name="Акцент1 6 3 2" xfId="7574"/>
    <cellStyle name="Акцент1 6 3 3" xfId="7575"/>
    <cellStyle name="Акцент1 6_МФ тепловой баланс 2015 дубль 3" xfId="2633"/>
    <cellStyle name="Акцент1 7" xfId="2634"/>
    <cellStyle name="Акцент1 7 2" xfId="2635"/>
    <cellStyle name="Акцент1 7 3" xfId="5364"/>
    <cellStyle name="Акцент1 7 3 2" xfId="7576"/>
    <cellStyle name="Акцент1 7 3 3" xfId="7577"/>
    <cellStyle name="Акцент1 7_МФ тепловой баланс 2015 дубль 3" xfId="2636"/>
    <cellStyle name="Акцент1 8" xfId="2637"/>
    <cellStyle name="Акцент1 8 2" xfId="2638"/>
    <cellStyle name="Акцент1 8 3" xfId="7578"/>
    <cellStyle name="Акцент1 8 4" xfId="7579"/>
    <cellStyle name="Акцент1 9" xfId="2639"/>
    <cellStyle name="Акцент1 9 2" xfId="2640"/>
    <cellStyle name="Акцент1 9 3" xfId="7580"/>
    <cellStyle name="Акцент2 10" xfId="2641"/>
    <cellStyle name="Акцент2 10 2" xfId="7581"/>
    <cellStyle name="Акцент2 10 3" xfId="7582"/>
    <cellStyle name="Акцент2 11" xfId="7583"/>
    <cellStyle name="Акцент2 11 2" xfId="7584"/>
    <cellStyle name="Акцент2 11 3" xfId="7585"/>
    <cellStyle name="Акцент2 11 4" xfId="7586"/>
    <cellStyle name="Акцент2 12" xfId="7587"/>
    <cellStyle name="Акцент2 12 2" xfId="7588"/>
    <cellStyle name="Акцент2 12 3" xfId="7589"/>
    <cellStyle name="Акцент2 12 4" xfId="7590"/>
    <cellStyle name="Акцент2 13" xfId="7591"/>
    <cellStyle name="Акцент2 13 2" xfId="7592"/>
    <cellStyle name="Акцент2 13 3" xfId="7593"/>
    <cellStyle name="Акцент2 14" xfId="7594"/>
    <cellStyle name="Акцент2 14 2" xfId="7595"/>
    <cellStyle name="Акцент2 14 3" xfId="7596"/>
    <cellStyle name="Акцент2 15" xfId="7597"/>
    <cellStyle name="Акцент2 15 2" xfId="7598"/>
    <cellStyle name="Акцент2 15 3" xfId="7599"/>
    <cellStyle name="Акцент2 16" xfId="7600"/>
    <cellStyle name="Акцент2 16 2" xfId="7601"/>
    <cellStyle name="Акцент2 16 3" xfId="7602"/>
    <cellStyle name="Акцент2 17" xfId="7603"/>
    <cellStyle name="Акцент2 18" xfId="7604"/>
    <cellStyle name="Акцент2 2" xfId="2642"/>
    <cellStyle name="Акцент2 2 1" xfId="7605"/>
    <cellStyle name="Акцент2 2 10" xfId="2643"/>
    <cellStyle name="Акцент2 2 11" xfId="7606"/>
    <cellStyle name="Акцент2 2 12" xfId="9989"/>
    <cellStyle name="Акцент2 2 2" xfId="2644"/>
    <cellStyle name="Акцент2 2 2 2" xfId="2645"/>
    <cellStyle name="Акцент2 2 2 2 2" xfId="7607"/>
    <cellStyle name="Акцент2 2 2 2 3" xfId="5365"/>
    <cellStyle name="Акцент2 2 3" xfId="2646"/>
    <cellStyle name="Акцент2 2 3 2" xfId="7608"/>
    <cellStyle name="Акцент2 2 4" xfId="2647"/>
    <cellStyle name="Акцент2 2 4 2" xfId="7609"/>
    <cellStyle name="Акцент2 2 5" xfId="2648"/>
    <cellStyle name="Акцент2 2 6" xfId="2649"/>
    <cellStyle name="Акцент2 2 7" xfId="2650"/>
    <cellStyle name="Акцент2 2 8" xfId="2651"/>
    <cellStyle name="Акцент2 2 9" xfId="2652"/>
    <cellStyle name="Акцент2 2_МФ тепловой баланс 2015 дубль 3" xfId="2653"/>
    <cellStyle name="Акцент2 3" xfId="2654"/>
    <cellStyle name="Акцент2 3 10" xfId="2655"/>
    <cellStyle name="Акцент2 3 11" xfId="2656"/>
    <cellStyle name="Акцент2 3 11 2" xfId="7610"/>
    <cellStyle name="Акцент2 3 12" xfId="9990"/>
    <cellStyle name="Акцент2 3 2" xfId="2657"/>
    <cellStyle name="Акцент2 3 2 2" xfId="7611"/>
    <cellStyle name="Акцент2 3 2 3" xfId="9991"/>
    <cellStyle name="Акцент2 3 3" xfId="2658"/>
    <cellStyle name="Акцент2 3 3 2" xfId="7612"/>
    <cellStyle name="Акцент2 3 3 2 2" xfId="7613"/>
    <cellStyle name="Акцент2 3 4" xfId="2659"/>
    <cellStyle name="Акцент2 3 5" xfId="2660"/>
    <cellStyle name="Акцент2 3 6" xfId="2661"/>
    <cellStyle name="Акцент2 3 7" xfId="2662"/>
    <cellStyle name="Акцент2 3 8" xfId="2663"/>
    <cellStyle name="Акцент2 3 9" xfId="2664"/>
    <cellStyle name="Акцент2 3_МФ тепловой баланс 2015 дубль 3" xfId="2665"/>
    <cellStyle name="Акцент2 4" xfId="2666"/>
    <cellStyle name="Акцент2 4 2" xfId="2667"/>
    <cellStyle name="Акцент2 4 3" xfId="5366"/>
    <cellStyle name="Акцент2 4 3 2" xfId="7614"/>
    <cellStyle name="Акцент2 4 3 3" xfId="7615"/>
    <cellStyle name="Акцент2 4_МФ тепловой баланс 2015 дубль 3" xfId="2668"/>
    <cellStyle name="Акцент2 5" xfId="2669"/>
    <cellStyle name="Акцент2 5 2" xfId="2670"/>
    <cellStyle name="Акцент2 5 3" xfId="5367"/>
    <cellStyle name="Акцент2 5 3 2" xfId="7616"/>
    <cellStyle name="Акцент2 5 3 3" xfId="7617"/>
    <cellStyle name="Акцент2 5_МФ тепловой баланс 2015 дубль 3" xfId="2671"/>
    <cellStyle name="Акцент2 6" xfId="2672"/>
    <cellStyle name="Акцент2 6 2" xfId="2673"/>
    <cellStyle name="Акцент2 6 3" xfId="5368"/>
    <cellStyle name="Акцент2 6 3 2" xfId="7618"/>
    <cellStyle name="Акцент2 6 3 3" xfId="7619"/>
    <cellStyle name="Акцент2 6_МФ тепловой баланс 2015 дубль 3" xfId="2674"/>
    <cellStyle name="Акцент2 7" xfId="2675"/>
    <cellStyle name="Акцент2 7 2" xfId="2676"/>
    <cellStyle name="Акцент2 7 3" xfId="5369"/>
    <cellStyle name="Акцент2 7 3 2" xfId="7620"/>
    <cellStyle name="Акцент2 7 3 3" xfId="7621"/>
    <cellStyle name="Акцент2 7_МФ тепловой баланс 2015 дубль 3" xfId="2677"/>
    <cellStyle name="Акцент2 8" xfId="2678"/>
    <cellStyle name="Акцент2 8 2" xfId="2679"/>
    <cellStyle name="Акцент2 8 3" xfId="7622"/>
    <cellStyle name="Акцент2 8 4" xfId="7623"/>
    <cellStyle name="Акцент2 9" xfId="2680"/>
    <cellStyle name="Акцент2 9 2" xfId="2681"/>
    <cellStyle name="Акцент2 9 3" xfId="7624"/>
    <cellStyle name="Акцент3 10" xfId="2682"/>
    <cellStyle name="Акцент3 10 2" xfId="7625"/>
    <cellStyle name="Акцент3 10 3" xfId="7626"/>
    <cellStyle name="Акцент3 11" xfId="7627"/>
    <cellStyle name="Акцент3 11 2" xfId="7628"/>
    <cellStyle name="Акцент3 11 3" xfId="7629"/>
    <cellStyle name="Акцент3 11 4" xfId="7630"/>
    <cellStyle name="Акцент3 12" xfId="7631"/>
    <cellStyle name="Акцент3 12 2" xfId="7632"/>
    <cellStyle name="Акцент3 12 3" xfId="7633"/>
    <cellStyle name="Акцент3 12 4" xfId="7634"/>
    <cellStyle name="Акцент3 13" xfId="7635"/>
    <cellStyle name="Акцент3 13 2" xfId="7636"/>
    <cellStyle name="Акцент3 13 3" xfId="7637"/>
    <cellStyle name="Акцент3 14" xfId="7638"/>
    <cellStyle name="Акцент3 14 2" xfId="7639"/>
    <cellStyle name="Акцент3 14 3" xfId="7640"/>
    <cellStyle name="Акцент3 15" xfId="7641"/>
    <cellStyle name="Акцент3 15 2" xfId="7642"/>
    <cellStyle name="Акцент3 15 3" xfId="7643"/>
    <cellStyle name="Акцент3 16" xfId="7644"/>
    <cellStyle name="Акцент3 16 2" xfId="7645"/>
    <cellStyle name="Акцент3 16 3" xfId="7646"/>
    <cellStyle name="Акцент3 17" xfId="7647"/>
    <cellStyle name="Акцент3 18" xfId="7648"/>
    <cellStyle name="Акцент3 2" xfId="2683"/>
    <cellStyle name="Акцент3 2 1" xfId="7649"/>
    <cellStyle name="Акцент3 2 10" xfId="2684"/>
    <cellStyle name="Акцент3 2 11" xfId="7650"/>
    <cellStyle name="Акцент3 2 12" xfId="9992"/>
    <cellStyle name="Акцент3 2 2" xfId="2685"/>
    <cellStyle name="Акцент3 2 2 2" xfId="2686"/>
    <cellStyle name="Акцент3 2 2 2 2" xfId="7651"/>
    <cellStyle name="Акцент3 2 2 2 3" xfId="5370"/>
    <cellStyle name="Акцент3 2 3" xfId="2687"/>
    <cellStyle name="Акцент3 2 3 2" xfId="7652"/>
    <cellStyle name="Акцент3 2 4" xfId="2688"/>
    <cellStyle name="Акцент3 2 4 2" xfId="7653"/>
    <cellStyle name="Акцент3 2 5" xfId="2689"/>
    <cellStyle name="Акцент3 2 6" xfId="2690"/>
    <cellStyle name="Акцент3 2 7" xfId="2691"/>
    <cellStyle name="Акцент3 2 8" xfId="2692"/>
    <cellStyle name="Акцент3 2 9" xfId="2693"/>
    <cellStyle name="Акцент3 2_МФ тепловой баланс 2015 дубль 3" xfId="2694"/>
    <cellStyle name="Акцент3 3" xfId="2695"/>
    <cellStyle name="Акцент3 3 10" xfId="2696"/>
    <cellStyle name="Акцент3 3 11" xfId="2697"/>
    <cellStyle name="Акцент3 3 11 2" xfId="7654"/>
    <cellStyle name="Акцент3 3 12" xfId="9993"/>
    <cellStyle name="Акцент3 3 2" xfId="2698"/>
    <cellStyle name="Акцент3 3 2 2" xfId="7655"/>
    <cellStyle name="Акцент3 3 2 3" xfId="9994"/>
    <cellStyle name="Акцент3 3 3" xfId="2699"/>
    <cellStyle name="Акцент3 3 3 2" xfId="7656"/>
    <cellStyle name="Акцент3 3 3 2 2" xfId="7657"/>
    <cellStyle name="Акцент3 3 4" xfId="2700"/>
    <cellStyle name="Акцент3 3 5" xfId="2701"/>
    <cellStyle name="Акцент3 3 6" xfId="2702"/>
    <cellStyle name="Акцент3 3 7" xfId="2703"/>
    <cellStyle name="Акцент3 3 8" xfId="2704"/>
    <cellStyle name="Акцент3 3 9" xfId="2705"/>
    <cellStyle name="Акцент3 3_МФ тепловой баланс 2015 дубль 3" xfId="2706"/>
    <cellStyle name="Акцент3 4" xfId="2707"/>
    <cellStyle name="Акцент3 4 2" xfId="2708"/>
    <cellStyle name="Акцент3 4 3" xfId="5371"/>
    <cellStyle name="Акцент3 4 3 2" xfId="7658"/>
    <cellStyle name="Акцент3 4 3 3" xfId="7659"/>
    <cellStyle name="Акцент3 4_МФ тепловой баланс 2015 дубль 3" xfId="2709"/>
    <cellStyle name="Акцент3 5" xfId="2710"/>
    <cellStyle name="Акцент3 5 2" xfId="2711"/>
    <cellStyle name="Акцент3 5 3" xfId="5372"/>
    <cellStyle name="Акцент3 5 3 2" xfId="7660"/>
    <cellStyle name="Акцент3 5 3 3" xfId="7661"/>
    <cellStyle name="Акцент3 5_МФ тепловой баланс 2015 дубль 3" xfId="2712"/>
    <cellStyle name="Акцент3 6" xfId="2713"/>
    <cellStyle name="Акцент3 6 2" xfId="2714"/>
    <cellStyle name="Акцент3 6 3" xfId="5373"/>
    <cellStyle name="Акцент3 6 3 2" xfId="7662"/>
    <cellStyle name="Акцент3 6 3 3" xfId="7663"/>
    <cellStyle name="Акцент3 6_МФ тепловой баланс 2015 дубль 3" xfId="2715"/>
    <cellStyle name="Акцент3 7" xfId="2716"/>
    <cellStyle name="Акцент3 7 2" xfId="2717"/>
    <cellStyle name="Акцент3 7 3" xfId="5374"/>
    <cellStyle name="Акцент3 7 3 2" xfId="7664"/>
    <cellStyle name="Акцент3 7 3 3" xfId="7665"/>
    <cellStyle name="Акцент3 7_МФ тепловой баланс 2015 дубль 3" xfId="2718"/>
    <cellStyle name="Акцент3 8" xfId="2719"/>
    <cellStyle name="Акцент3 8 2" xfId="2720"/>
    <cellStyle name="Акцент3 8 3" xfId="7666"/>
    <cellStyle name="Акцент3 8 4" xfId="7667"/>
    <cellStyle name="Акцент3 9" xfId="2721"/>
    <cellStyle name="Акцент3 9 2" xfId="2722"/>
    <cellStyle name="Акцент3 9 3" xfId="7668"/>
    <cellStyle name="Акцент4 10" xfId="2723"/>
    <cellStyle name="Акцент4 10 2" xfId="7669"/>
    <cellStyle name="Акцент4 10 3" xfId="7670"/>
    <cellStyle name="Акцент4 11" xfId="7671"/>
    <cellStyle name="Акцент4 11 2" xfId="7672"/>
    <cellStyle name="Акцент4 11 3" xfId="7673"/>
    <cellStyle name="Акцент4 11 4" xfId="7674"/>
    <cellStyle name="Акцент4 12" xfId="7675"/>
    <cellStyle name="Акцент4 12 2" xfId="7676"/>
    <cellStyle name="Акцент4 12 3" xfId="7677"/>
    <cellStyle name="Акцент4 12 4" xfId="7678"/>
    <cellStyle name="Акцент4 13" xfId="7679"/>
    <cellStyle name="Акцент4 13 2" xfId="7680"/>
    <cellStyle name="Акцент4 13 3" xfId="7681"/>
    <cellStyle name="Акцент4 14" xfId="7682"/>
    <cellStyle name="Акцент4 14 2" xfId="7683"/>
    <cellStyle name="Акцент4 14 3" xfId="7684"/>
    <cellStyle name="Акцент4 15" xfId="7685"/>
    <cellStyle name="Акцент4 15 2" xfId="7686"/>
    <cellStyle name="Акцент4 15 3" xfId="7687"/>
    <cellStyle name="Акцент4 16" xfId="7688"/>
    <cellStyle name="Акцент4 16 2" xfId="7689"/>
    <cellStyle name="Акцент4 16 3" xfId="7690"/>
    <cellStyle name="Акцент4 17" xfId="7691"/>
    <cellStyle name="Акцент4 18" xfId="7692"/>
    <cellStyle name="Акцент4 2" xfId="2724"/>
    <cellStyle name="Акцент4 2 1" xfId="7693"/>
    <cellStyle name="Акцент4 2 10" xfId="2725"/>
    <cellStyle name="Акцент4 2 11" xfId="7694"/>
    <cellStyle name="Акцент4 2 12" xfId="9995"/>
    <cellStyle name="Акцент4 2 2" xfId="2726"/>
    <cellStyle name="Акцент4 2 2 2" xfId="2727"/>
    <cellStyle name="Акцент4 2 2 2 2" xfId="7695"/>
    <cellStyle name="Акцент4 2 2 2 3" xfId="5375"/>
    <cellStyle name="Акцент4 2 3" xfId="2728"/>
    <cellStyle name="Акцент4 2 3 2" xfId="7696"/>
    <cellStyle name="Акцент4 2 4" xfId="2729"/>
    <cellStyle name="Акцент4 2 4 2" xfId="7697"/>
    <cellStyle name="Акцент4 2 5" xfId="2730"/>
    <cellStyle name="Акцент4 2 6" xfId="2731"/>
    <cellStyle name="Акцент4 2 7" xfId="2732"/>
    <cellStyle name="Акцент4 2 8" xfId="2733"/>
    <cellStyle name="Акцент4 2 9" xfId="2734"/>
    <cellStyle name="Акцент4 2_МФ тепловой баланс 2015 дубль 3" xfId="2735"/>
    <cellStyle name="Акцент4 3" xfId="2736"/>
    <cellStyle name="Акцент4 3 10" xfId="2737"/>
    <cellStyle name="Акцент4 3 11" xfId="2738"/>
    <cellStyle name="Акцент4 3 11 2" xfId="7698"/>
    <cellStyle name="Акцент4 3 12" xfId="9996"/>
    <cellStyle name="Акцент4 3 2" xfId="2739"/>
    <cellStyle name="Акцент4 3 2 2" xfId="7699"/>
    <cellStyle name="Акцент4 3 2 3" xfId="9997"/>
    <cellStyle name="Акцент4 3 3" xfId="2740"/>
    <cellStyle name="Акцент4 3 3 2" xfId="7700"/>
    <cellStyle name="Акцент4 3 3 2 2" xfId="7701"/>
    <cellStyle name="Акцент4 3 4" xfId="2741"/>
    <cellStyle name="Акцент4 3 5" xfId="2742"/>
    <cellStyle name="Акцент4 3 6" xfId="2743"/>
    <cellStyle name="Акцент4 3 7" xfId="2744"/>
    <cellStyle name="Акцент4 3 8" xfId="2745"/>
    <cellStyle name="Акцент4 3 9" xfId="2746"/>
    <cellStyle name="Акцент4 3_МФ тепловой баланс 2015 дубль 3" xfId="2747"/>
    <cellStyle name="Акцент4 4" xfId="2748"/>
    <cellStyle name="Акцент4 4 2" xfId="2749"/>
    <cellStyle name="Акцент4 4 3" xfId="5376"/>
    <cellStyle name="Акцент4 4 3 2" xfId="7702"/>
    <cellStyle name="Акцент4 4 3 3" xfId="7703"/>
    <cellStyle name="Акцент4 4_МФ тепловой баланс 2015 дубль 3" xfId="2750"/>
    <cellStyle name="Акцент4 5" xfId="2751"/>
    <cellStyle name="Акцент4 5 2" xfId="2752"/>
    <cellStyle name="Акцент4 5 3" xfId="5377"/>
    <cellStyle name="Акцент4 5 3 2" xfId="7704"/>
    <cellStyle name="Акцент4 5 3 3" xfId="7705"/>
    <cellStyle name="Акцент4 5_МФ тепловой баланс 2015 дубль 3" xfId="2753"/>
    <cellStyle name="Акцент4 6" xfId="2754"/>
    <cellStyle name="Акцент4 6 2" xfId="2755"/>
    <cellStyle name="Акцент4 6 3" xfId="5378"/>
    <cellStyle name="Акцент4 6 3 2" xfId="7706"/>
    <cellStyle name="Акцент4 6 3 3" xfId="7707"/>
    <cellStyle name="Акцент4 6_МФ тепловой баланс 2015 дубль 3" xfId="2756"/>
    <cellStyle name="Акцент4 7" xfId="2757"/>
    <cellStyle name="Акцент4 7 2" xfId="2758"/>
    <cellStyle name="Акцент4 7 3" xfId="5379"/>
    <cellStyle name="Акцент4 7 3 2" xfId="7708"/>
    <cellStyle name="Акцент4 7 3 3" xfId="7709"/>
    <cellStyle name="Акцент4 7_МФ тепловой баланс 2015 дубль 3" xfId="2759"/>
    <cellStyle name="Акцент4 8" xfId="2760"/>
    <cellStyle name="Акцент4 8 2" xfId="2761"/>
    <cellStyle name="Акцент4 8 3" xfId="7710"/>
    <cellStyle name="Акцент4 8 4" xfId="7711"/>
    <cellStyle name="Акцент4 9" xfId="2762"/>
    <cellStyle name="Акцент4 9 2" xfId="2763"/>
    <cellStyle name="Акцент4 9 3" xfId="7712"/>
    <cellStyle name="Акцент5 10" xfId="2764"/>
    <cellStyle name="Акцент5 10 2" xfId="7713"/>
    <cellStyle name="Акцент5 10 3" xfId="7714"/>
    <cellStyle name="Акцент5 11" xfId="7715"/>
    <cellStyle name="Акцент5 11 2" xfId="7716"/>
    <cellStyle name="Акцент5 11 3" xfId="7717"/>
    <cellStyle name="Акцент5 11 4" xfId="7718"/>
    <cellStyle name="Акцент5 12" xfId="7719"/>
    <cellStyle name="Акцент5 12 2" xfId="7720"/>
    <cellStyle name="Акцент5 12 3" xfId="7721"/>
    <cellStyle name="Акцент5 12 4" xfId="7722"/>
    <cellStyle name="Акцент5 13" xfId="7723"/>
    <cellStyle name="Акцент5 13 2" xfId="7724"/>
    <cellStyle name="Акцент5 13 3" xfId="7725"/>
    <cellStyle name="Акцент5 14" xfId="7726"/>
    <cellStyle name="Акцент5 14 2" xfId="7727"/>
    <cellStyle name="Акцент5 14 3" xfId="7728"/>
    <cellStyle name="Акцент5 15" xfId="7729"/>
    <cellStyle name="Акцент5 15 2" xfId="7730"/>
    <cellStyle name="Акцент5 15 3" xfId="7731"/>
    <cellStyle name="Акцент5 16" xfId="7732"/>
    <cellStyle name="Акцент5 16 2" xfId="7733"/>
    <cellStyle name="Акцент5 16 3" xfId="7734"/>
    <cellStyle name="Акцент5 17" xfId="7735"/>
    <cellStyle name="Акцент5 18" xfId="7736"/>
    <cellStyle name="Акцент5 2" xfId="2765"/>
    <cellStyle name="Акцент5 2 1" xfId="7737"/>
    <cellStyle name="Акцент5 2 10" xfId="2766"/>
    <cellStyle name="Акцент5 2 11" xfId="7738"/>
    <cellStyle name="Акцент5 2 12" xfId="9998"/>
    <cellStyle name="Акцент5 2 2" xfId="2767"/>
    <cellStyle name="Акцент5 2 2 2" xfId="2768"/>
    <cellStyle name="Акцент5 2 2 2 2" xfId="7739"/>
    <cellStyle name="Акцент5 2 2 2 3" xfId="5380"/>
    <cellStyle name="Акцент5 2 3" xfId="2769"/>
    <cellStyle name="Акцент5 2 3 2" xfId="7740"/>
    <cellStyle name="Акцент5 2 4" xfId="2770"/>
    <cellStyle name="Акцент5 2 4 2" xfId="7741"/>
    <cellStyle name="Акцент5 2 5" xfId="2771"/>
    <cellStyle name="Акцент5 2 6" xfId="2772"/>
    <cellStyle name="Акцент5 2 7" xfId="2773"/>
    <cellStyle name="Акцент5 2 8" xfId="2774"/>
    <cellStyle name="Акцент5 2 9" xfId="2775"/>
    <cellStyle name="Акцент5 2_МФ тепловой баланс 2015 дубль 3" xfId="2776"/>
    <cellStyle name="Акцент5 3" xfId="2777"/>
    <cellStyle name="Акцент5 3 10" xfId="2778"/>
    <cellStyle name="Акцент5 3 11" xfId="2779"/>
    <cellStyle name="Акцент5 3 11 2" xfId="7742"/>
    <cellStyle name="Акцент5 3 12" xfId="9999"/>
    <cellStyle name="Акцент5 3 2" xfId="2780"/>
    <cellStyle name="Акцент5 3 2 2" xfId="7743"/>
    <cellStyle name="Акцент5 3 2 3" xfId="10000"/>
    <cellStyle name="Акцент5 3 3" xfId="2781"/>
    <cellStyle name="Акцент5 3 3 2" xfId="7744"/>
    <cellStyle name="Акцент5 3 3 2 2" xfId="7745"/>
    <cellStyle name="Акцент5 3 4" xfId="2782"/>
    <cellStyle name="Акцент5 3 5" xfId="2783"/>
    <cellStyle name="Акцент5 3 6" xfId="2784"/>
    <cellStyle name="Акцент5 3 7" xfId="2785"/>
    <cellStyle name="Акцент5 3 8" xfId="2786"/>
    <cellStyle name="Акцент5 3 9" xfId="2787"/>
    <cellStyle name="Акцент5 3_МФ тепловой баланс 2015 дубль 3" xfId="2788"/>
    <cellStyle name="Акцент5 4" xfId="2789"/>
    <cellStyle name="Акцент5 4 2" xfId="2790"/>
    <cellStyle name="Акцент5 4 3" xfId="5381"/>
    <cellStyle name="Акцент5 4 3 2" xfId="7746"/>
    <cellStyle name="Акцент5 4 3 3" xfId="7747"/>
    <cellStyle name="Акцент5 4_МФ тепловой баланс 2015 дубль 3" xfId="2791"/>
    <cellStyle name="Акцент5 5" xfId="2792"/>
    <cellStyle name="Акцент5 5 2" xfId="2793"/>
    <cellStyle name="Акцент5 5 3" xfId="5382"/>
    <cellStyle name="Акцент5 5 3 2" xfId="7748"/>
    <cellStyle name="Акцент5 5 3 3" xfId="7749"/>
    <cellStyle name="Акцент5 5_МФ тепловой баланс 2015 дубль 3" xfId="2794"/>
    <cellStyle name="Акцент5 6" xfId="2795"/>
    <cellStyle name="Акцент5 6 2" xfId="2796"/>
    <cellStyle name="Акцент5 6 3" xfId="5383"/>
    <cellStyle name="Акцент5 6 3 2" xfId="7750"/>
    <cellStyle name="Акцент5 6 3 3" xfId="7751"/>
    <cellStyle name="Акцент5 6_МФ тепловой баланс 2015 дубль 3" xfId="2797"/>
    <cellStyle name="Акцент5 7" xfId="2798"/>
    <cellStyle name="Акцент5 7 2" xfId="2799"/>
    <cellStyle name="Акцент5 7 3" xfId="5384"/>
    <cellStyle name="Акцент5 7 3 2" xfId="7752"/>
    <cellStyle name="Акцент5 7 3 3" xfId="7753"/>
    <cellStyle name="Акцент5 7_МФ тепловой баланс 2015 дубль 3" xfId="2800"/>
    <cellStyle name="Акцент5 8" xfId="2801"/>
    <cellStyle name="Акцент5 8 2" xfId="2802"/>
    <cellStyle name="Акцент5 8 3" xfId="7754"/>
    <cellStyle name="Акцент5 8 4" xfId="7755"/>
    <cellStyle name="Акцент5 9" xfId="2803"/>
    <cellStyle name="Акцент5 9 2" xfId="2804"/>
    <cellStyle name="Акцент5 9 3" xfId="7756"/>
    <cellStyle name="Акцент6 10" xfId="2805"/>
    <cellStyle name="Акцент6 10 2" xfId="7757"/>
    <cellStyle name="Акцент6 10 3" xfId="7758"/>
    <cellStyle name="Акцент6 11" xfId="7759"/>
    <cellStyle name="Акцент6 11 2" xfId="7760"/>
    <cellStyle name="Акцент6 11 3" xfId="7761"/>
    <cellStyle name="Акцент6 11 4" xfId="7762"/>
    <cellStyle name="Акцент6 12" xfId="7763"/>
    <cellStyle name="Акцент6 12 2" xfId="7764"/>
    <cellStyle name="Акцент6 12 3" xfId="7765"/>
    <cellStyle name="Акцент6 12 4" xfId="7766"/>
    <cellStyle name="Акцент6 13" xfId="7767"/>
    <cellStyle name="Акцент6 13 2" xfId="7768"/>
    <cellStyle name="Акцент6 13 3" xfId="7769"/>
    <cellStyle name="Акцент6 14" xfId="7770"/>
    <cellStyle name="Акцент6 14 2" xfId="7771"/>
    <cellStyle name="Акцент6 14 3" xfId="7772"/>
    <cellStyle name="Акцент6 15" xfId="7773"/>
    <cellStyle name="Акцент6 15 2" xfId="7774"/>
    <cellStyle name="Акцент6 15 3" xfId="7775"/>
    <cellStyle name="Акцент6 16" xfId="7776"/>
    <cellStyle name="Акцент6 16 2" xfId="7777"/>
    <cellStyle name="Акцент6 16 3" xfId="7778"/>
    <cellStyle name="Акцент6 17" xfId="7779"/>
    <cellStyle name="Акцент6 18" xfId="7780"/>
    <cellStyle name="Акцент6 2" xfId="2806"/>
    <cellStyle name="Акцент6 2 1" xfId="7781"/>
    <cellStyle name="Акцент6 2 10" xfId="2807"/>
    <cellStyle name="Акцент6 2 11" xfId="7782"/>
    <cellStyle name="Акцент6 2 12" xfId="10001"/>
    <cellStyle name="Акцент6 2 2" xfId="2808"/>
    <cellStyle name="Акцент6 2 2 2" xfId="2809"/>
    <cellStyle name="Акцент6 2 2 2 2" xfId="7783"/>
    <cellStyle name="Акцент6 2 2 2 3" xfId="5385"/>
    <cellStyle name="Акцент6 2 3" xfId="2810"/>
    <cellStyle name="Акцент6 2 3 2" xfId="7784"/>
    <cellStyle name="Акцент6 2 4" xfId="2811"/>
    <cellStyle name="Акцент6 2 4 2" xfId="7785"/>
    <cellStyle name="Акцент6 2 5" xfId="2812"/>
    <cellStyle name="Акцент6 2 6" xfId="2813"/>
    <cellStyle name="Акцент6 2 7" xfId="2814"/>
    <cellStyle name="Акцент6 2 8" xfId="2815"/>
    <cellStyle name="Акцент6 2 9" xfId="2816"/>
    <cellStyle name="Акцент6 2_МФ тепловой баланс 2015 дубль 3" xfId="2817"/>
    <cellStyle name="Акцент6 3" xfId="2818"/>
    <cellStyle name="Акцент6 3 10" xfId="2819"/>
    <cellStyle name="Акцент6 3 11" xfId="2820"/>
    <cellStyle name="Акцент6 3 11 2" xfId="7786"/>
    <cellStyle name="Акцент6 3 12" xfId="10002"/>
    <cellStyle name="Акцент6 3 2" xfId="2821"/>
    <cellStyle name="Акцент6 3 2 2" xfId="7787"/>
    <cellStyle name="Акцент6 3 2 3" xfId="10003"/>
    <cellStyle name="Акцент6 3 3" xfId="2822"/>
    <cellStyle name="Акцент6 3 3 2" xfId="7788"/>
    <cellStyle name="Акцент6 3 3 2 2" xfId="7789"/>
    <cellStyle name="Акцент6 3 4" xfId="2823"/>
    <cellStyle name="Акцент6 3 5" xfId="2824"/>
    <cellStyle name="Акцент6 3 6" xfId="2825"/>
    <cellStyle name="Акцент6 3 7" xfId="2826"/>
    <cellStyle name="Акцент6 3 8" xfId="2827"/>
    <cellStyle name="Акцент6 3 9" xfId="2828"/>
    <cellStyle name="Акцент6 3_МФ тепловой баланс 2015 дубль 3" xfId="2829"/>
    <cellStyle name="Акцент6 4" xfId="2830"/>
    <cellStyle name="Акцент6 4 2" xfId="2831"/>
    <cellStyle name="Акцент6 4 3" xfId="5386"/>
    <cellStyle name="Акцент6 4 3 2" xfId="7790"/>
    <cellStyle name="Акцент6 4 3 3" xfId="7791"/>
    <cellStyle name="Акцент6 4_МФ тепловой баланс 2015 дубль 3" xfId="2832"/>
    <cellStyle name="Акцент6 5" xfId="2833"/>
    <cellStyle name="Акцент6 5 2" xfId="2834"/>
    <cellStyle name="Акцент6 5 3" xfId="5387"/>
    <cellStyle name="Акцент6 5 3 2" xfId="7792"/>
    <cellStyle name="Акцент6 5 3 3" xfId="7793"/>
    <cellStyle name="Акцент6 5_МФ тепловой баланс 2015 дубль 3" xfId="2835"/>
    <cellStyle name="Акцент6 6" xfId="2836"/>
    <cellStyle name="Акцент6 6 2" xfId="2837"/>
    <cellStyle name="Акцент6 6 3" xfId="5388"/>
    <cellStyle name="Акцент6 6 3 2" xfId="7794"/>
    <cellStyle name="Акцент6 6 3 3" xfId="7795"/>
    <cellStyle name="Акцент6 6_МФ тепловой баланс 2015 дубль 3" xfId="2838"/>
    <cellStyle name="Акцент6 7" xfId="2839"/>
    <cellStyle name="Акцент6 7 2" xfId="2840"/>
    <cellStyle name="Акцент6 7 3" xfId="5389"/>
    <cellStyle name="Акцент6 7 3 2" xfId="7796"/>
    <cellStyle name="Акцент6 7 3 3" xfId="7797"/>
    <cellStyle name="Акцент6 7_МФ тепловой баланс 2015 дубль 3" xfId="2841"/>
    <cellStyle name="Акцент6 8" xfId="2842"/>
    <cellStyle name="Акцент6 8 2" xfId="2843"/>
    <cellStyle name="Акцент6 8 3" xfId="7798"/>
    <cellStyle name="Акцент6 8 4" xfId="7799"/>
    <cellStyle name="Акцент6 9" xfId="2844"/>
    <cellStyle name="Акцент6 9 2" xfId="2845"/>
    <cellStyle name="Акцент6 9 3" xfId="7800"/>
    <cellStyle name="Беззащитный" xfId="2846"/>
    <cellStyle name="Ввод  10" xfId="2847"/>
    <cellStyle name="Ввод  10 2" xfId="2848"/>
    <cellStyle name="Ввод  10 3" xfId="7801"/>
    <cellStyle name="Ввод  11" xfId="2849"/>
    <cellStyle name="Ввод  11 2" xfId="7802"/>
    <cellStyle name="Ввод  11 3" xfId="7803"/>
    <cellStyle name="Ввод  12" xfId="2850"/>
    <cellStyle name="Ввод  12 2" xfId="7804"/>
    <cellStyle name="Ввод  12 3" xfId="7805"/>
    <cellStyle name="Ввод  13" xfId="2851"/>
    <cellStyle name="Ввод  13 2" xfId="7806"/>
    <cellStyle name="Ввод  13 3" xfId="7807"/>
    <cellStyle name="Ввод  14" xfId="2852"/>
    <cellStyle name="Ввод  14 2" xfId="7808"/>
    <cellStyle name="Ввод  14 3" xfId="7809"/>
    <cellStyle name="Ввод  15" xfId="2853"/>
    <cellStyle name="Ввод  15 2" xfId="7810"/>
    <cellStyle name="Ввод  15 3" xfId="7811"/>
    <cellStyle name="Ввод  16" xfId="2854"/>
    <cellStyle name="Ввод  16 2" xfId="7812"/>
    <cellStyle name="Ввод  16 3" xfId="7813"/>
    <cellStyle name="Ввод  17" xfId="2855"/>
    <cellStyle name="Ввод  18" xfId="7814"/>
    <cellStyle name="Ввод  18 2" xfId="7815"/>
    <cellStyle name="Ввод  2" xfId="2856"/>
    <cellStyle name="Ввод  2 1" xfId="7816"/>
    <cellStyle name="Ввод  2 10" xfId="2857"/>
    <cellStyle name="Ввод  2 11" xfId="7817"/>
    <cellStyle name="Ввод  2 12" xfId="10004"/>
    <cellStyle name="Ввод  2 2" xfId="2858"/>
    <cellStyle name="Ввод  2 2 2" xfId="2859"/>
    <cellStyle name="Ввод  2 2 2 2" xfId="7818"/>
    <cellStyle name="Ввод  2 2 2 3" xfId="5390"/>
    <cellStyle name="Ввод  2 3" xfId="2860"/>
    <cellStyle name="Ввод  2 3 2" xfId="7819"/>
    <cellStyle name="Ввод  2 4" xfId="2861"/>
    <cellStyle name="Ввод  2 4 2" xfId="7820"/>
    <cellStyle name="Ввод  2 5" xfId="2862"/>
    <cellStyle name="Ввод  2 6" xfId="2863"/>
    <cellStyle name="Ввод  2 7" xfId="2864"/>
    <cellStyle name="Ввод  2 8" xfId="2865"/>
    <cellStyle name="Ввод  2 9" xfId="2866"/>
    <cellStyle name="Ввод  2_46EE.2011(v1.0)" xfId="2867"/>
    <cellStyle name="Ввод  3" xfId="2868"/>
    <cellStyle name="Ввод  3 10" xfId="2869"/>
    <cellStyle name="Ввод  3 11" xfId="2870"/>
    <cellStyle name="Ввод  3 11 2" xfId="7821"/>
    <cellStyle name="Ввод  3 12" xfId="10005"/>
    <cellStyle name="Ввод  3 12 2" xfId="10006"/>
    <cellStyle name="Ввод  3 2" xfId="2871"/>
    <cellStyle name="Ввод  3 2 2" xfId="7822"/>
    <cellStyle name="Ввод  3 2 3" xfId="10007"/>
    <cellStyle name="Ввод  3 3" xfId="2872"/>
    <cellStyle name="Ввод  3 3 2" xfId="2873"/>
    <cellStyle name="Ввод  3 3 2 2" xfId="7823"/>
    <cellStyle name="Ввод  3 3 2 3" xfId="5391"/>
    <cellStyle name="Ввод  3 3 3" xfId="7824"/>
    <cellStyle name="Ввод  3 4" xfId="2874"/>
    <cellStyle name="Ввод  3 4 2" xfId="7825"/>
    <cellStyle name="Ввод  3 5" xfId="2875"/>
    <cellStyle name="Ввод  3 6" xfId="2876"/>
    <cellStyle name="Ввод  3 7" xfId="2877"/>
    <cellStyle name="Ввод  3 8" xfId="2878"/>
    <cellStyle name="Ввод  3 9" xfId="2879"/>
    <cellStyle name="Ввод  3_46EE.2011(v1.0)" xfId="2880"/>
    <cellStyle name="Ввод  4" xfId="2881"/>
    <cellStyle name="Ввод  4 2" xfId="2882"/>
    <cellStyle name="Ввод  4 3" xfId="2883"/>
    <cellStyle name="Ввод  4 4" xfId="7826"/>
    <cellStyle name="Ввод  4 5" xfId="10008"/>
    <cellStyle name="Ввод  4_46EE.2011(v1.0)" xfId="2884"/>
    <cellStyle name="Ввод  5" xfId="2885"/>
    <cellStyle name="Ввод  5 2" xfId="2886"/>
    <cellStyle name="Ввод  5 3" xfId="2887"/>
    <cellStyle name="Ввод  5 4" xfId="7827"/>
    <cellStyle name="Ввод  5 5" xfId="10009"/>
    <cellStyle name="Ввод  5_46EE.2011(v1.0)" xfId="2888"/>
    <cellStyle name="Ввод  6" xfId="2889"/>
    <cellStyle name="Ввод  6 2" xfId="2890"/>
    <cellStyle name="Ввод  6 3" xfId="2891"/>
    <cellStyle name="Ввод  6 4" xfId="7828"/>
    <cellStyle name="Ввод  6 5" xfId="10010"/>
    <cellStyle name="Ввод  6_46EE.2011(v1.0)" xfId="2892"/>
    <cellStyle name="Ввод  7" xfId="2893"/>
    <cellStyle name="Ввод  7 2" xfId="2894"/>
    <cellStyle name="Ввод  7 3" xfId="2895"/>
    <cellStyle name="Ввод  7 4" xfId="7829"/>
    <cellStyle name="Ввод  7 5" xfId="10011"/>
    <cellStyle name="Ввод  7_46EE.2011(v1.0)" xfId="2896"/>
    <cellStyle name="Ввод  8" xfId="2897"/>
    <cellStyle name="Ввод  8 2" xfId="2898"/>
    <cellStyle name="Ввод  8 3" xfId="2899"/>
    <cellStyle name="Ввод  8 4" xfId="7830"/>
    <cellStyle name="Ввод  8 5" xfId="7831"/>
    <cellStyle name="Ввод  8_46EE.2011(v1.0)" xfId="2900"/>
    <cellStyle name="Ввод  9" xfId="2901"/>
    <cellStyle name="Ввод  9 2" xfId="2902"/>
    <cellStyle name="Ввод  9 3" xfId="2903"/>
    <cellStyle name="Ввод  9_46EE.2011(v1.0)" xfId="2904"/>
    <cellStyle name="Ввод данных" xfId="7832"/>
    <cellStyle name="Верт. заголовок" xfId="2905"/>
    <cellStyle name="Вес_продукта" xfId="2906"/>
    <cellStyle name="Вывод 10" xfId="2907"/>
    <cellStyle name="Вывод 10 2" xfId="7833"/>
    <cellStyle name="Вывод 10 3" xfId="7834"/>
    <cellStyle name="Вывод 11" xfId="7835"/>
    <cellStyle name="Вывод 11 2" xfId="7836"/>
    <cellStyle name="Вывод 11 3" xfId="7837"/>
    <cellStyle name="Вывод 11 4" xfId="7838"/>
    <cellStyle name="Вывод 12" xfId="7839"/>
    <cellStyle name="Вывод 12 2" xfId="7840"/>
    <cellStyle name="Вывод 12 3" xfId="7841"/>
    <cellStyle name="Вывод 12 4" xfId="7842"/>
    <cellStyle name="Вывод 13" xfId="7843"/>
    <cellStyle name="Вывод 13 2" xfId="7844"/>
    <cellStyle name="Вывод 13 3" xfId="7845"/>
    <cellStyle name="Вывод 14" xfId="7846"/>
    <cellStyle name="Вывод 14 2" xfId="7847"/>
    <cellStyle name="Вывод 14 3" xfId="7848"/>
    <cellStyle name="Вывод 15" xfId="7849"/>
    <cellStyle name="Вывод 15 2" xfId="7850"/>
    <cellStyle name="Вывод 15 3" xfId="7851"/>
    <cellStyle name="Вывод 16" xfId="7852"/>
    <cellStyle name="Вывод 16 2" xfId="7853"/>
    <cellStyle name="Вывод 16 3" xfId="7854"/>
    <cellStyle name="Вывод 17" xfId="7855"/>
    <cellStyle name="Вывод 18" xfId="7856"/>
    <cellStyle name="Вывод 2" xfId="2908"/>
    <cellStyle name="Вывод 2 1" xfId="7857"/>
    <cellStyle name="Вывод 2 10" xfId="2909"/>
    <cellStyle name="Вывод 2 11" xfId="7858"/>
    <cellStyle name="Вывод 2 12" xfId="10012"/>
    <cellStyle name="Вывод 2 2" xfId="2910"/>
    <cellStyle name="Вывод 2 2 2" xfId="2911"/>
    <cellStyle name="Вывод 2 2 2 2" xfId="7859"/>
    <cellStyle name="Вывод 2 2 2 3" xfId="5392"/>
    <cellStyle name="Вывод 2 3" xfId="2912"/>
    <cellStyle name="Вывод 2 3 2" xfId="7860"/>
    <cellStyle name="Вывод 2 4" xfId="2913"/>
    <cellStyle name="Вывод 2 4 2" xfId="7861"/>
    <cellStyle name="Вывод 2 5" xfId="2914"/>
    <cellStyle name="Вывод 2 6" xfId="2915"/>
    <cellStyle name="Вывод 2 7" xfId="2916"/>
    <cellStyle name="Вывод 2 8" xfId="2917"/>
    <cellStyle name="Вывод 2 9" xfId="2918"/>
    <cellStyle name="Вывод 2_46EE.2011(v1.0)" xfId="2919"/>
    <cellStyle name="Вывод 3" xfId="2920"/>
    <cellStyle name="Вывод 3 10" xfId="2921"/>
    <cellStyle name="Вывод 3 11" xfId="2922"/>
    <cellStyle name="Вывод 3 11 2" xfId="7862"/>
    <cellStyle name="Вывод 3 12" xfId="10013"/>
    <cellStyle name="Вывод 3 2" xfId="2923"/>
    <cellStyle name="Вывод 3 2 2" xfId="7863"/>
    <cellStyle name="Вывод 3 2 3" xfId="10014"/>
    <cellStyle name="Вывод 3 3" xfId="2924"/>
    <cellStyle name="Вывод 3 3 2" xfId="7864"/>
    <cellStyle name="Вывод 3 3 2 2" xfId="7865"/>
    <cellStyle name="Вывод 3 4" xfId="2925"/>
    <cellStyle name="Вывод 3 5" xfId="2926"/>
    <cellStyle name="Вывод 3 6" xfId="2927"/>
    <cellStyle name="Вывод 3 7" xfId="2928"/>
    <cellStyle name="Вывод 3 8" xfId="2929"/>
    <cellStyle name="Вывод 3 9" xfId="2930"/>
    <cellStyle name="Вывод 3_46EE.2011(v1.0)" xfId="2931"/>
    <cellStyle name="Вывод 4" xfId="2932"/>
    <cellStyle name="Вывод 4 2" xfId="2933"/>
    <cellStyle name="Вывод 4 3" xfId="5393"/>
    <cellStyle name="Вывод 4 3 2" xfId="7866"/>
    <cellStyle name="Вывод 4 3 3" xfId="7867"/>
    <cellStyle name="Вывод 4_46EE.2011(v1.0)" xfId="2934"/>
    <cellStyle name="Вывод 5" xfId="2935"/>
    <cellStyle name="Вывод 5 2" xfId="2936"/>
    <cellStyle name="Вывод 5 3" xfId="5394"/>
    <cellStyle name="Вывод 5 3 2" xfId="7868"/>
    <cellStyle name="Вывод 5 3 3" xfId="7869"/>
    <cellStyle name="Вывод 5_46EE.2011(v1.0)" xfId="2937"/>
    <cellStyle name="Вывод 6" xfId="2938"/>
    <cellStyle name="Вывод 6 2" xfId="2939"/>
    <cellStyle name="Вывод 6 3" xfId="5395"/>
    <cellStyle name="Вывод 6 3 2" xfId="7870"/>
    <cellStyle name="Вывод 6 3 3" xfId="7871"/>
    <cellStyle name="Вывод 6_46EE.2011(v1.0)" xfId="2940"/>
    <cellStyle name="Вывод 7" xfId="2941"/>
    <cellStyle name="Вывод 7 2" xfId="2942"/>
    <cellStyle name="Вывод 7 3" xfId="5396"/>
    <cellStyle name="Вывод 7 3 2" xfId="7872"/>
    <cellStyle name="Вывод 7 3 3" xfId="7873"/>
    <cellStyle name="Вывод 7_46EE.2011(v1.0)" xfId="2943"/>
    <cellStyle name="Вывод 8" xfId="2944"/>
    <cellStyle name="Вывод 8 2" xfId="2945"/>
    <cellStyle name="Вывод 8 3" xfId="7874"/>
    <cellStyle name="Вывод 8 4" xfId="7875"/>
    <cellStyle name="Вывод 8_46EE.2011(v1.0)" xfId="2946"/>
    <cellStyle name="Вывод 9" xfId="2947"/>
    <cellStyle name="Вывод 9 2" xfId="2948"/>
    <cellStyle name="Вывод 9 3" xfId="7876"/>
    <cellStyle name="Вывод 9_46EE.2011(v1.0)" xfId="2949"/>
    <cellStyle name="Вычисление 10" xfId="2950"/>
    <cellStyle name="Вычисление 10 2" xfId="7877"/>
    <cellStyle name="Вычисление 10 3" xfId="7878"/>
    <cellStyle name="Вычисление 11" xfId="7879"/>
    <cellStyle name="Вычисление 11 2" xfId="7880"/>
    <cellStyle name="Вычисление 11 3" xfId="7881"/>
    <cellStyle name="Вычисление 11 4" xfId="7882"/>
    <cellStyle name="Вычисление 12" xfId="7883"/>
    <cellStyle name="Вычисление 12 2" xfId="7884"/>
    <cellStyle name="Вычисление 12 3" xfId="7885"/>
    <cellStyle name="Вычисление 12 4" xfId="7886"/>
    <cellStyle name="Вычисление 13" xfId="7887"/>
    <cellStyle name="Вычисление 13 2" xfId="7888"/>
    <cellStyle name="Вычисление 13 3" xfId="7889"/>
    <cellStyle name="Вычисление 14" xfId="7890"/>
    <cellStyle name="Вычисление 14 2" xfId="7891"/>
    <cellStyle name="Вычисление 14 3" xfId="7892"/>
    <cellStyle name="Вычисление 15" xfId="7893"/>
    <cellStyle name="Вычисление 15 2" xfId="7894"/>
    <cellStyle name="Вычисление 15 3" xfId="7895"/>
    <cellStyle name="Вычисление 16" xfId="7896"/>
    <cellStyle name="Вычисление 16 2" xfId="7897"/>
    <cellStyle name="Вычисление 16 3" xfId="7898"/>
    <cellStyle name="Вычисление 17" xfId="7899"/>
    <cellStyle name="Вычисление 18" xfId="7900"/>
    <cellStyle name="Вычисление 2" xfId="2951"/>
    <cellStyle name="Вычисление 2 1" xfId="7901"/>
    <cellStyle name="Вычисление 2 10" xfId="2952"/>
    <cellStyle name="Вычисление 2 11" xfId="7902"/>
    <cellStyle name="Вычисление 2 12" xfId="10015"/>
    <cellStyle name="Вычисление 2 2" xfId="2953"/>
    <cellStyle name="Вычисление 2 2 2" xfId="2954"/>
    <cellStyle name="Вычисление 2 2 2 2" xfId="7903"/>
    <cellStyle name="Вычисление 2 2 2 3" xfId="5397"/>
    <cellStyle name="Вычисление 2 3" xfId="2955"/>
    <cellStyle name="Вычисление 2 3 2" xfId="7904"/>
    <cellStyle name="Вычисление 2 4" xfId="2956"/>
    <cellStyle name="Вычисление 2 4 2" xfId="7905"/>
    <cellStyle name="Вычисление 2 5" xfId="2957"/>
    <cellStyle name="Вычисление 2 6" xfId="2958"/>
    <cellStyle name="Вычисление 2 7" xfId="2959"/>
    <cellStyle name="Вычисление 2 8" xfId="2960"/>
    <cellStyle name="Вычисление 2 9" xfId="2961"/>
    <cellStyle name="Вычисление 2_46EE.2011(v1.0)" xfId="2962"/>
    <cellStyle name="Вычисление 3" xfId="2963"/>
    <cellStyle name="Вычисление 3 10" xfId="2964"/>
    <cellStyle name="Вычисление 3 11" xfId="2965"/>
    <cellStyle name="Вычисление 3 11 2" xfId="7906"/>
    <cellStyle name="Вычисление 3 12" xfId="10016"/>
    <cellStyle name="Вычисление 3 2" xfId="2966"/>
    <cellStyle name="Вычисление 3 2 2" xfId="7907"/>
    <cellStyle name="Вычисление 3 2 3" xfId="10017"/>
    <cellStyle name="Вычисление 3 3" xfId="2967"/>
    <cellStyle name="Вычисление 3 3 2" xfId="7908"/>
    <cellStyle name="Вычисление 3 3 2 2" xfId="7909"/>
    <cellStyle name="Вычисление 3 4" xfId="2968"/>
    <cellStyle name="Вычисление 3 5" xfId="2969"/>
    <cellStyle name="Вычисление 3 6" xfId="2970"/>
    <cellStyle name="Вычисление 3 7" xfId="2971"/>
    <cellStyle name="Вычисление 3 8" xfId="2972"/>
    <cellStyle name="Вычисление 3 9" xfId="2973"/>
    <cellStyle name="Вычисление 3_46EE.2011(v1.0)" xfId="2974"/>
    <cellStyle name="Вычисление 4" xfId="2975"/>
    <cellStyle name="Вычисление 4 2" xfId="2976"/>
    <cellStyle name="Вычисление 4 3" xfId="5398"/>
    <cellStyle name="Вычисление 4 3 2" xfId="7910"/>
    <cellStyle name="Вычисление 4 3 3" xfId="7911"/>
    <cellStyle name="Вычисление 4_46EE.2011(v1.0)" xfId="2977"/>
    <cellStyle name="Вычисление 5" xfId="2978"/>
    <cellStyle name="Вычисление 5 2" xfId="2979"/>
    <cellStyle name="Вычисление 5 3" xfId="5399"/>
    <cellStyle name="Вычисление 5 3 2" xfId="7912"/>
    <cellStyle name="Вычисление 5 3 3" xfId="7913"/>
    <cellStyle name="Вычисление 5_46EE.2011(v1.0)" xfId="2980"/>
    <cellStyle name="Вычисление 6" xfId="2981"/>
    <cellStyle name="Вычисление 6 2" xfId="2982"/>
    <cellStyle name="Вычисление 6 3" xfId="5400"/>
    <cellStyle name="Вычисление 6 3 2" xfId="7914"/>
    <cellStyle name="Вычисление 6 3 3" xfId="7915"/>
    <cellStyle name="Вычисление 6_46EE.2011(v1.0)" xfId="2983"/>
    <cellStyle name="Вычисление 7" xfId="2984"/>
    <cellStyle name="Вычисление 7 2" xfId="2985"/>
    <cellStyle name="Вычисление 7 3" xfId="5401"/>
    <cellStyle name="Вычисление 7 3 2" xfId="7916"/>
    <cellStyle name="Вычисление 7 3 3" xfId="7917"/>
    <cellStyle name="Вычисление 7_46EE.2011(v1.0)" xfId="2986"/>
    <cellStyle name="Вычисление 8" xfId="2987"/>
    <cellStyle name="Вычисление 8 2" xfId="2988"/>
    <cellStyle name="Вычисление 8 3" xfId="7918"/>
    <cellStyle name="Вычисление 8 4" xfId="7919"/>
    <cellStyle name="Вычисление 8_46EE.2011(v1.0)" xfId="2989"/>
    <cellStyle name="Вычисление 9" xfId="2990"/>
    <cellStyle name="Вычисление 9 2" xfId="2991"/>
    <cellStyle name="Вычисление 9 3" xfId="7920"/>
    <cellStyle name="Вычисление 9_46EE.2011(v1.0)" xfId="2992"/>
    <cellStyle name="Гиперссылка 2" xfId="2993"/>
    <cellStyle name="Гиперссылка 2 10" xfId="2994"/>
    <cellStyle name="Гиперссылка 2 11" xfId="2995"/>
    <cellStyle name="Гиперссылка 2 12" xfId="2996"/>
    <cellStyle name="Гиперссылка 2 13" xfId="2997"/>
    <cellStyle name="Гиперссылка 2 14" xfId="2998"/>
    <cellStyle name="Гиперссылка 2 15" xfId="2999"/>
    <cellStyle name="Гиперссылка 2 16" xfId="3000"/>
    <cellStyle name="Гиперссылка 2 17" xfId="3001"/>
    <cellStyle name="Гиперссылка 2 18" xfId="5689"/>
    <cellStyle name="Гиперссылка 2 2" xfId="3002"/>
    <cellStyle name="Гиперссылка 2 2 10" xfId="3003"/>
    <cellStyle name="Гиперссылка 2 2 11" xfId="3004"/>
    <cellStyle name="Гиперссылка 2 2 12" xfId="3005"/>
    <cellStyle name="Гиперссылка 2 2 13" xfId="3006"/>
    <cellStyle name="Гиперссылка 2 2 14" xfId="3007"/>
    <cellStyle name="Гиперссылка 2 2 15" xfId="3008"/>
    <cellStyle name="Гиперссылка 2 2 16" xfId="3009"/>
    <cellStyle name="Гиперссылка 2 2 17" xfId="3010"/>
    <cellStyle name="Гиперссылка 2 2 18" xfId="7921"/>
    <cellStyle name="Гиперссылка 2 2 19" xfId="7922"/>
    <cellStyle name="Гиперссылка 2 2 2" xfId="3011"/>
    <cellStyle name="Гиперссылка 2 2 2 2" xfId="3012"/>
    <cellStyle name="Гиперссылка 2 2 2 3" xfId="3013"/>
    <cellStyle name="Гиперссылка 2 2 20" xfId="10018"/>
    <cellStyle name="Гиперссылка 2 2 3" xfId="3014"/>
    <cellStyle name="Гиперссылка 2 2 4" xfId="3015"/>
    <cellStyle name="Гиперссылка 2 2 5" xfId="3016"/>
    <cellStyle name="Гиперссылка 2 2 6" xfId="3017"/>
    <cellStyle name="Гиперссылка 2 2 7" xfId="3018"/>
    <cellStyle name="Гиперссылка 2 2 8" xfId="3019"/>
    <cellStyle name="Гиперссылка 2 2 9" xfId="3020"/>
    <cellStyle name="Гиперссылка 2 3" xfId="3021"/>
    <cellStyle name="Гиперссылка 2 4" xfId="3022"/>
    <cellStyle name="Гиперссылка 2 5" xfId="3023"/>
    <cellStyle name="Гиперссылка 2 6" xfId="3024"/>
    <cellStyle name="Гиперссылка 2 7" xfId="3025"/>
    <cellStyle name="Гиперссылка 2 8" xfId="3026"/>
    <cellStyle name="Гиперссылка 2 9" xfId="3027"/>
    <cellStyle name="Гиперссылка 3" xfId="3028"/>
    <cellStyle name="Гиперссылка 3 2" xfId="3029"/>
    <cellStyle name="Гиперссылка 3 3" xfId="7923"/>
    <cellStyle name="Гиперссылка 4" xfId="3030"/>
    <cellStyle name="Гиперссылка 4 2" xfId="3031"/>
    <cellStyle name="Гиперссылка 5" xfId="5402"/>
    <cellStyle name="Гиперссылка 5 2" xfId="10019"/>
    <cellStyle name="Гиперссылка 6" xfId="5403"/>
    <cellStyle name="Гиперссылка 7" xfId="5404"/>
    <cellStyle name="Гиперссылка 7 2" xfId="7924"/>
    <cellStyle name="Группа" xfId="3032"/>
    <cellStyle name="Группа 0" xfId="3033"/>
    <cellStyle name="Группа 1" xfId="3034"/>
    <cellStyle name="Группа 2" xfId="3035"/>
    <cellStyle name="Группа 3" xfId="3036"/>
    <cellStyle name="Группа 4" xfId="3037"/>
    <cellStyle name="Группа 5" xfId="3038"/>
    <cellStyle name="Группа 6" xfId="3039"/>
    <cellStyle name="Группа 7" xfId="3040"/>
    <cellStyle name="Группа 8" xfId="3041"/>
    <cellStyle name="Группа_4DNS.UPDATE.EXAMPLE" xfId="3042"/>
    <cellStyle name="ДАТА" xfId="3043"/>
    <cellStyle name="ДАТА 2" xfId="3044"/>
    <cellStyle name="ДАТА 3" xfId="3045"/>
    <cellStyle name="ДАТА 4" xfId="3046"/>
    <cellStyle name="ДАТА 5" xfId="3047"/>
    <cellStyle name="ДАТА 6" xfId="3048"/>
    <cellStyle name="ДАТА 7" xfId="3049"/>
    <cellStyle name="ДАТА 8" xfId="3050"/>
    <cellStyle name="ДАТА 9" xfId="3051"/>
    <cellStyle name="ДАТА_1" xfId="3052"/>
    <cellStyle name="Денежный 2" xfId="3053"/>
    <cellStyle name="Денежный 2 2" xfId="3054"/>
    <cellStyle name="Денежный 2 2 2" xfId="3055"/>
    <cellStyle name="Денежный 2 2 2 2" xfId="7926"/>
    <cellStyle name="Денежный 2 2 2 3" xfId="7927"/>
    <cellStyle name="Денежный 2 2 2 4" xfId="7925"/>
    <cellStyle name="Денежный 2 2 3" xfId="7928"/>
    <cellStyle name="Денежный 2 3" xfId="5406"/>
    <cellStyle name="Денежный 2 3 2" xfId="7929"/>
    <cellStyle name="Денежный 2 4" xfId="5407"/>
    <cellStyle name="Денежный 2 5" xfId="5408"/>
    <cellStyle name="Денежный 2 6" xfId="7930"/>
    <cellStyle name="Денежный 2 7" xfId="7931"/>
    <cellStyle name="Денежный 2 8" xfId="10020"/>
    <cellStyle name="Денежный 2 9" xfId="5405"/>
    <cellStyle name="Денежный 2_INDEX.STATION.2012(v1.0)_" xfId="3056"/>
    <cellStyle name="Денежный 3" xfId="7932"/>
    <cellStyle name="Денежный 3 2" xfId="7933"/>
    <cellStyle name="Денежный 3 3" xfId="7934"/>
    <cellStyle name="Денежный 4" xfId="7935"/>
    <cellStyle name="Денежный 4 2" xfId="7936"/>
    <cellStyle name="Денежный 5" xfId="7937"/>
    <cellStyle name="Денежный 6" xfId="7938"/>
    <cellStyle name="Є_x0004_ЄЄЄЄ_x0004_ЄЄ_x0004_" xfId="3057"/>
    <cellStyle name="Є_x0004_ЄЄЄЄ_x0004_ЄЄ_x0004_ 2" xfId="3058"/>
    <cellStyle name="Є_x0004_ЄЄЄЄ_x0004_ЄЄ_x0004_ 2 2" xfId="7939"/>
    <cellStyle name="Є_x0004_ЄЄЄЄ_x0004_ЄЄ_x0004_ 3" xfId="7940"/>
    <cellStyle name="Заголовок" xfId="3059"/>
    <cellStyle name="Заголовок 1 10" xfId="3060"/>
    <cellStyle name="Заголовок 1 10 2" xfId="7941"/>
    <cellStyle name="Заголовок 1 10 3" xfId="7942"/>
    <cellStyle name="Заголовок 1 11" xfId="7943"/>
    <cellStyle name="Заголовок 1 11 2" xfId="7944"/>
    <cellStyle name="Заголовок 1 11 3" xfId="7945"/>
    <cellStyle name="Заголовок 1 11 4" xfId="7946"/>
    <cellStyle name="Заголовок 1 12" xfId="7947"/>
    <cellStyle name="Заголовок 1 12 2" xfId="7948"/>
    <cellStyle name="Заголовок 1 12 3" xfId="7949"/>
    <cellStyle name="Заголовок 1 12 4" xfId="7950"/>
    <cellStyle name="Заголовок 1 13" xfId="7951"/>
    <cellStyle name="Заголовок 1 13 2" xfId="7952"/>
    <cellStyle name="Заголовок 1 13 3" xfId="7953"/>
    <cellStyle name="Заголовок 1 14" xfId="7954"/>
    <cellStyle name="Заголовок 1 14 2" xfId="7955"/>
    <cellStyle name="Заголовок 1 14 3" xfId="7956"/>
    <cellStyle name="Заголовок 1 15" xfId="7957"/>
    <cellStyle name="Заголовок 1 15 2" xfId="7958"/>
    <cellStyle name="Заголовок 1 15 3" xfId="7959"/>
    <cellStyle name="Заголовок 1 16" xfId="7960"/>
    <cellStyle name="Заголовок 1 16 2" xfId="7961"/>
    <cellStyle name="Заголовок 1 16 3" xfId="7962"/>
    <cellStyle name="Заголовок 1 17" xfId="7963"/>
    <cellStyle name="Заголовок 1 18" xfId="7964"/>
    <cellStyle name="Заголовок 1 2" xfId="3061"/>
    <cellStyle name="Заголовок 1 2 1" xfId="7965"/>
    <cellStyle name="Заголовок 1 2 10" xfId="3062"/>
    <cellStyle name="Заголовок 1 2 11" xfId="7966"/>
    <cellStyle name="Заголовок 1 2 12" xfId="10021"/>
    <cellStyle name="Заголовок 1 2 2" xfId="3063"/>
    <cellStyle name="Заголовок 1 2 2 2" xfId="3064"/>
    <cellStyle name="Заголовок 1 2 2 2 2" xfId="7967"/>
    <cellStyle name="Заголовок 1 2 2 2 3" xfId="5409"/>
    <cellStyle name="Заголовок 1 2 3" xfId="3065"/>
    <cellStyle name="Заголовок 1 2 3 2" xfId="7968"/>
    <cellStyle name="Заголовок 1 2 4" xfId="3066"/>
    <cellStyle name="Заголовок 1 2 5" xfId="3067"/>
    <cellStyle name="Заголовок 1 2 6" xfId="3068"/>
    <cellStyle name="Заголовок 1 2 7" xfId="3069"/>
    <cellStyle name="Заголовок 1 2 8" xfId="3070"/>
    <cellStyle name="Заголовок 1 2 9" xfId="3071"/>
    <cellStyle name="Заголовок 1 2_46EE.2011(v1.0)" xfId="3072"/>
    <cellStyle name="Заголовок 1 3" xfId="3073"/>
    <cellStyle name="Заголовок 1 3 10" xfId="3074"/>
    <cellStyle name="Заголовок 1 3 11" xfId="3075"/>
    <cellStyle name="Заголовок 1 3 11 2" xfId="7969"/>
    <cellStyle name="Заголовок 1 3 2" xfId="3076"/>
    <cellStyle name="Заголовок 1 3 2 2" xfId="7970"/>
    <cellStyle name="Заголовок 1 3 2 3" xfId="10022"/>
    <cellStyle name="Заголовок 1 3 3" xfId="3077"/>
    <cellStyle name="Заголовок 1 3 3 2" xfId="7971"/>
    <cellStyle name="Заголовок 1 3 4" xfId="3078"/>
    <cellStyle name="Заголовок 1 3 5" xfId="3079"/>
    <cellStyle name="Заголовок 1 3 6" xfId="3080"/>
    <cellStyle name="Заголовок 1 3 7" xfId="3081"/>
    <cellStyle name="Заголовок 1 3 8" xfId="3082"/>
    <cellStyle name="Заголовок 1 3 9" xfId="3083"/>
    <cellStyle name="Заголовок 1 3_46EE.2011(v1.0)" xfId="3084"/>
    <cellStyle name="Заголовок 1 4" xfId="3085"/>
    <cellStyle name="Заголовок 1 4 2" xfId="3086"/>
    <cellStyle name="Заголовок 1 4 3" xfId="5410"/>
    <cellStyle name="Заголовок 1 4 3 2" xfId="7972"/>
    <cellStyle name="Заголовок 1 4_46EE.2011(v1.0)" xfId="3087"/>
    <cellStyle name="Заголовок 1 5" xfId="3088"/>
    <cellStyle name="Заголовок 1 5 2" xfId="3089"/>
    <cellStyle name="Заголовок 1 5 3" xfId="5411"/>
    <cellStyle name="Заголовок 1 5 3 2" xfId="7973"/>
    <cellStyle name="Заголовок 1 5_46EE.2011(v1.0)" xfId="3090"/>
    <cellStyle name="Заголовок 1 6" xfId="3091"/>
    <cellStyle name="Заголовок 1 6 2" xfId="3092"/>
    <cellStyle name="Заголовок 1 6 3" xfId="5412"/>
    <cellStyle name="Заголовок 1 6 3 2" xfId="7974"/>
    <cellStyle name="Заголовок 1 6_46EE.2011(v1.0)" xfId="3093"/>
    <cellStyle name="Заголовок 1 7" xfId="3094"/>
    <cellStyle name="Заголовок 1 7 2" xfId="3095"/>
    <cellStyle name="Заголовок 1 7 3" xfId="5413"/>
    <cellStyle name="Заголовок 1 7 3 2" xfId="7975"/>
    <cellStyle name="Заголовок 1 7_46EE.2011(v1.0)" xfId="3096"/>
    <cellStyle name="Заголовок 1 8" xfId="3097"/>
    <cellStyle name="Заголовок 1 8 2" xfId="3098"/>
    <cellStyle name="Заголовок 1 8 3" xfId="7976"/>
    <cellStyle name="Заголовок 1 8_46EE.2011(v1.0)" xfId="3099"/>
    <cellStyle name="Заголовок 1 9" xfId="3100"/>
    <cellStyle name="Заголовок 1 9 2" xfId="3101"/>
    <cellStyle name="Заголовок 1 9 3" xfId="7977"/>
    <cellStyle name="Заголовок 1 9_46EE.2011(v1.0)" xfId="3102"/>
    <cellStyle name="Заголовок 10" xfId="7978"/>
    <cellStyle name="Заголовок 2 10" xfId="3103"/>
    <cellStyle name="Заголовок 2 10 2" xfId="7979"/>
    <cellStyle name="Заголовок 2 10 3" xfId="7980"/>
    <cellStyle name="Заголовок 2 11" xfId="3104"/>
    <cellStyle name="Заголовок 2 11 2" xfId="7981"/>
    <cellStyle name="Заголовок 2 11 3" xfId="7982"/>
    <cellStyle name="Заголовок 2 12" xfId="7983"/>
    <cellStyle name="Заголовок 2 12 2" xfId="7984"/>
    <cellStyle name="Заголовок 2 12 3" xfId="7985"/>
    <cellStyle name="Заголовок 2 12 4" xfId="7986"/>
    <cellStyle name="Заголовок 2 13" xfId="7987"/>
    <cellStyle name="Заголовок 2 13 2" xfId="7988"/>
    <cellStyle name="Заголовок 2 13 3" xfId="7989"/>
    <cellStyle name="Заголовок 2 13 4" xfId="7990"/>
    <cellStyle name="Заголовок 2 14" xfId="7991"/>
    <cellStyle name="Заголовок 2 14 2" xfId="7992"/>
    <cellStyle name="Заголовок 2 14 3" xfId="7993"/>
    <cellStyle name="Заголовок 2 15" xfId="7994"/>
    <cellStyle name="Заголовок 2 15 2" xfId="7995"/>
    <cellStyle name="Заголовок 2 15 3" xfId="7996"/>
    <cellStyle name="Заголовок 2 16" xfId="7997"/>
    <cellStyle name="Заголовок 2 16 2" xfId="7998"/>
    <cellStyle name="Заголовок 2 16 3" xfId="7999"/>
    <cellStyle name="Заголовок 2 17" xfId="8000"/>
    <cellStyle name="Заголовок 2 18" xfId="8001"/>
    <cellStyle name="Заголовок 2 2" xfId="3105"/>
    <cellStyle name="Заголовок 2 2 1" xfId="8002"/>
    <cellStyle name="Заголовок 2 2 10" xfId="3106"/>
    <cellStyle name="Заголовок 2 2 11" xfId="8003"/>
    <cellStyle name="Заголовок 2 2 12" xfId="10023"/>
    <cellStyle name="Заголовок 2 2 2" xfId="3107"/>
    <cellStyle name="Заголовок 2 2 2 2" xfId="3108"/>
    <cellStyle name="Заголовок 2 2 2 2 2" xfId="8004"/>
    <cellStyle name="Заголовок 2 2 2 2 3" xfId="5414"/>
    <cellStyle name="Заголовок 2 2 3" xfId="3109"/>
    <cellStyle name="Заголовок 2 2 3 2" xfId="8005"/>
    <cellStyle name="Заголовок 2 2 4" xfId="3110"/>
    <cellStyle name="Заголовок 2 2 5" xfId="3111"/>
    <cellStyle name="Заголовок 2 2 6" xfId="3112"/>
    <cellStyle name="Заголовок 2 2 7" xfId="3113"/>
    <cellStyle name="Заголовок 2 2 8" xfId="3114"/>
    <cellStyle name="Заголовок 2 2 9" xfId="3115"/>
    <cellStyle name="Заголовок 2 2_46EE.2011(v1.0)" xfId="3116"/>
    <cellStyle name="Заголовок 2 3" xfId="3117"/>
    <cellStyle name="Заголовок 2 3 10" xfId="3118"/>
    <cellStyle name="Заголовок 2 3 11" xfId="3119"/>
    <cellStyle name="Заголовок 2 3 11 2" xfId="8006"/>
    <cellStyle name="Заголовок 2 3 2" xfId="3120"/>
    <cellStyle name="Заголовок 2 3 2 2" xfId="8007"/>
    <cellStyle name="Заголовок 2 3 2 3" xfId="10024"/>
    <cellStyle name="Заголовок 2 3 3" xfId="3121"/>
    <cellStyle name="Заголовок 2 3 3 2" xfId="8008"/>
    <cellStyle name="Заголовок 2 3 4" xfId="3122"/>
    <cellStyle name="Заголовок 2 3 5" xfId="3123"/>
    <cellStyle name="Заголовок 2 3 6" xfId="3124"/>
    <cellStyle name="Заголовок 2 3 7" xfId="3125"/>
    <cellStyle name="Заголовок 2 3 8" xfId="3126"/>
    <cellStyle name="Заголовок 2 3 9" xfId="3127"/>
    <cellStyle name="Заголовок 2 3_46EE.2011(v1.0)" xfId="3128"/>
    <cellStyle name="Заголовок 2 4" xfId="3129"/>
    <cellStyle name="Заголовок 2 4 2" xfId="3130"/>
    <cellStyle name="Заголовок 2 4 3" xfId="5415"/>
    <cellStyle name="Заголовок 2 4 3 2" xfId="8009"/>
    <cellStyle name="Заголовок 2 4_46EE.2011(v1.0)" xfId="3131"/>
    <cellStyle name="Заголовок 2 5" xfId="3132"/>
    <cellStyle name="Заголовок 2 5 2" xfId="3133"/>
    <cellStyle name="Заголовок 2 5 3" xfId="5416"/>
    <cellStyle name="Заголовок 2 5 3 2" xfId="8010"/>
    <cellStyle name="Заголовок 2 5_46EE.2011(v1.0)" xfId="3134"/>
    <cellStyle name="Заголовок 2 6" xfId="3135"/>
    <cellStyle name="Заголовок 2 6 2" xfId="3136"/>
    <cellStyle name="Заголовок 2 6 3" xfId="5417"/>
    <cellStyle name="Заголовок 2 6 3 2" xfId="8011"/>
    <cellStyle name="Заголовок 2 6_46EE.2011(v1.0)" xfId="3137"/>
    <cellStyle name="Заголовок 2 7" xfId="3138"/>
    <cellStyle name="Заголовок 2 7 2" xfId="3139"/>
    <cellStyle name="Заголовок 2 7 3" xfId="5418"/>
    <cellStyle name="Заголовок 2 7 3 2" xfId="8012"/>
    <cellStyle name="Заголовок 2 7_46EE.2011(v1.0)" xfId="3140"/>
    <cellStyle name="Заголовок 2 8" xfId="3141"/>
    <cellStyle name="Заголовок 2 8 2" xfId="3142"/>
    <cellStyle name="Заголовок 2 8 3" xfId="8013"/>
    <cellStyle name="Заголовок 2 8_46EE.2011(v1.0)" xfId="3143"/>
    <cellStyle name="Заголовок 2 9" xfId="3144"/>
    <cellStyle name="Заголовок 2 9 2" xfId="3145"/>
    <cellStyle name="Заголовок 2 9 3" xfId="8014"/>
    <cellStyle name="Заголовок 2 9_46EE.2011(v1.0)" xfId="3146"/>
    <cellStyle name="Заголовок 3 10" xfId="3147"/>
    <cellStyle name="Заголовок 3 10 2" xfId="8015"/>
    <cellStyle name="Заголовок 3 10 3" xfId="8016"/>
    <cellStyle name="Заголовок 3 11" xfId="3148"/>
    <cellStyle name="Заголовок 3 11 2" xfId="8017"/>
    <cellStyle name="Заголовок 3 11 3" xfId="8018"/>
    <cellStyle name="Заголовок 3 12" xfId="8019"/>
    <cellStyle name="Заголовок 3 12 2" xfId="8020"/>
    <cellStyle name="Заголовок 3 12 3" xfId="8021"/>
    <cellStyle name="Заголовок 3 12 4" xfId="8022"/>
    <cellStyle name="Заголовок 3 13" xfId="8023"/>
    <cellStyle name="Заголовок 3 13 2" xfId="8024"/>
    <cellStyle name="Заголовок 3 13 3" xfId="8025"/>
    <cellStyle name="Заголовок 3 13 4" xfId="8026"/>
    <cellStyle name="Заголовок 3 14" xfId="8027"/>
    <cellStyle name="Заголовок 3 14 2" xfId="8028"/>
    <cellStyle name="Заголовок 3 14 3" xfId="8029"/>
    <cellStyle name="Заголовок 3 15" xfId="8030"/>
    <cellStyle name="Заголовок 3 15 2" xfId="8031"/>
    <cellStyle name="Заголовок 3 15 3" xfId="8032"/>
    <cellStyle name="Заголовок 3 16" xfId="8033"/>
    <cellStyle name="Заголовок 3 16 2" xfId="8034"/>
    <cellStyle name="Заголовок 3 16 3" xfId="8035"/>
    <cellStyle name="Заголовок 3 17" xfId="8036"/>
    <cellStyle name="Заголовок 3 18" xfId="8037"/>
    <cellStyle name="Заголовок 3 2" xfId="3149"/>
    <cellStyle name="Заголовок 3 2 1" xfId="8038"/>
    <cellStyle name="Заголовок 3 2 10" xfId="3150"/>
    <cellStyle name="Заголовок 3 2 11" xfId="8039"/>
    <cellStyle name="Заголовок 3 2 12" xfId="10025"/>
    <cellStyle name="Заголовок 3 2 2" xfId="3151"/>
    <cellStyle name="Заголовок 3 2 2 2" xfId="3152"/>
    <cellStyle name="Заголовок 3 2 2 2 2" xfId="8040"/>
    <cellStyle name="Заголовок 3 2 2 2 3" xfId="5419"/>
    <cellStyle name="Заголовок 3 2 3" xfId="3153"/>
    <cellStyle name="Заголовок 3 2 3 2" xfId="8041"/>
    <cellStyle name="Заголовок 3 2 4" xfId="3154"/>
    <cellStyle name="Заголовок 3 2 5" xfId="3155"/>
    <cellStyle name="Заголовок 3 2 6" xfId="3156"/>
    <cellStyle name="Заголовок 3 2 7" xfId="3157"/>
    <cellStyle name="Заголовок 3 2 8" xfId="3158"/>
    <cellStyle name="Заголовок 3 2 9" xfId="3159"/>
    <cellStyle name="Заголовок 3 2_46EE.2011(v1.0)" xfId="3160"/>
    <cellStyle name="Заголовок 3 3" xfId="3161"/>
    <cellStyle name="Заголовок 3 3 10" xfId="3162"/>
    <cellStyle name="Заголовок 3 3 11" xfId="3163"/>
    <cellStyle name="Заголовок 3 3 11 2" xfId="8042"/>
    <cellStyle name="Заголовок 3 3 2" xfId="3164"/>
    <cellStyle name="Заголовок 3 3 2 2" xfId="8043"/>
    <cellStyle name="Заголовок 3 3 2 3" xfId="10026"/>
    <cellStyle name="Заголовок 3 3 3" xfId="3165"/>
    <cellStyle name="Заголовок 3 3 3 2" xfId="8044"/>
    <cellStyle name="Заголовок 3 3 4" xfId="3166"/>
    <cellStyle name="Заголовок 3 3 5" xfId="3167"/>
    <cellStyle name="Заголовок 3 3 6" xfId="3168"/>
    <cellStyle name="Заголовок 3 3 7" xfId="3169"/>
    <cellStyle name="Заголовок 3 3 8" xfId="3170"/>
    <cellStyle name="Заголовок 3 3 9" xfId="3171"/>
    <cellStyle name="Заголовок 3 3_46EE.2011(v1.0)" xfId="3172"/>
    <cellStyle name="Заголовок 3 4" xfId="3173"/>
    <cellStyle name="Заголовок 3 4 2" xfId="3174"/>
    <cellStyle name="Заголовок 3 4 3" xfId="5420"/>
    <cellStyle name="Заголовок 3 4 3 2" xfId="8045"/>
    <cellStyle name="Заголовок 3 4_46EE.2011(v1.0)" xfId="3175"/>
    <cellStyle name="Заголовок 3 5" xfId="3176"/>
    <cellStyle name="Заголовок 3 5 2" xfId="3177"/>
    <cellStyle name="Заголовок 3 5 3" xfId="5421"/>
    <cellStyle name="Заголовок 3 5 3 2" xfId="8046"/>
    <cellStyle name="Заголовок 3 5_46EE.2011(v1.0)" xfId="3178"/>
    <cellStyle name="Заголовок 3 6" xfId="3179"/>
    <cellStyle name="Заголовок 3 6 2" xfId="3180"/>
    <cellStyle name="Заголовок 3 6 3" xfId="5422"/>
    <cellStyle name="Заголовок 3 6 3 2" xfId="8047"/>
    <cellStyle name="Заголовок 3 6_46EE.2011(v1.0)" xfId="3181"/>
    <cellStyle name="Заголовок 3 7" xfId="3182"/>
    <cellStyle name="Заголовок 3 7 2" xfId="3183"/>
    <cellStyle name="Заголовок 3 7 3" xfId="5423"/>
    <cellStyle name="Заголовок 3 7 3 2" xfId="8048"/>
    <cellStyle name="Заголовок 3 7_46EE.2011(v1.0)" xfId="3184"/>
    <cellStyle name="Заголовок 3 8" xfId="3185"/>
    <cellStyle name="Заголовок 3 8 2" xfId="3186"/>
    <cellStyle name="Заголовок 3 8 3" xfId="8049"/>
    <cellStyle name="Заголовок 3 8_46EE.2011(v1.0)" xfId="3187"/>
    <cellStyle name="Заголовок 3 9" xfId="3188"/>
    <cellStyle name="Заголовок 3 9 2" xfId="3189"/>
    <cellStyle name="Заголовок 3 9 3" xfId="8050"/>
    <cellStyle name="Заголовок 3 9_46EE.2011(v1.0)" xfId="3190"/>
    <cellStyle name="Заголовок 4 10" xfId="3191"/>
    <cellStyle name="Заголовок 4 10 2" xfId="8051"/>
    <cellStyle name="Заголовок 4 10 3" xfId="8052"/>
    <cellStyle name="Заголовок 4 11" xfId="8053"/>
    <cellStyle name="Заголовок 4 11 2" xfId="8054"/>
    <cellStyle name="Заголовок 4 11 3" xfId="8055"/>
    <cellStyle name="Заголовок 4 11 4" xfId="8056"/>
    <cellStyle name="Заголовок 4 12" xfId="8057"/>
    <cellStyle name="Заголовок 4 12 2" xfId="8058"/>
    <cellStyle name="Заголовок 4 12 3" xfId="8059"/>
    <cellStyle name="Заголовок 4 12 4" xfId="8060"/>
    <cellStyle name="Заголовок 4 13" xfId="8061"/>
    <cellStyle name="Заголовок 4 13 2" xfId="8062"/>
    <cellStyle name="Заголовок 4 13 3" xfId="8063"/>
    <cellStyle name="Заголовок 4 14" xfId="8064"/>
    <cellStyle name="Заголовок 4 14 2" xfId="8065"/>
    <cellStyle name="Заголовок 4 14 3" xfId="8066"/>
    <cellStyle name="Заголовок 4 15" xfId="8067"/>
    <cellStyle name="Заголовок 4 15 2" xfId="8068"/>
    <cellStyle name="Заголовок 4 15 3" xfId="8069"/>
    <cellStyle name="Заголовок 4 16" xfId="8070"/>
    <cellStyle name="Заголовок 4 16 2" xfId="8071"/>
    <cellStyle name="Заголовок 4 16 3" xfId="8072"/>
    <cellStyle name="Заголовок 4 17" xfId="8073"/>
    <cellStyle name="Заголовок 4 18" xfId="8074"/>
    <cellStyle name="Заголовок 4 2" xfId="3192"/>
    <cellStyle name="Заголовок 4 2 1" xfId="8075"/>
    <cellStyle name="Заголовок 4 2 10" xfId="3193"/>
    <cellStyle name="Заголовок 4 2 11" xfId="8076"/>
    <cellStyle name="Заголовок 4 2 12" xfId="10027"/>
    <cellStyle name="Заголовок 4 2 2" xfId="3194"/>
    <cellStyle name="Заголовок 4 2 2 2" xfId="3195"/>
    <cellStyle name="Заголовок 4 2 2 2 2" xfId="8077"/>
    <cellStyle name="Заголовок 4 2 2 2 3" xfId="5424"/>
    <cellStyle name="Заголовок 4 2 3" xfId="3196"/>
    <cellStyle name="Заголовок 4 2 3 2" xfId="8078"/>
    <cellStyle name="Заголовок 4 2 4" xfId="3197"/>
    <cellStyle name="Заголовок 4 2 5" xfId="3198"/>
    <cellStyle name="Заголовок 4 2 6" xfId="3199"/>
    <cellStyle name="Заголовок 4 2 7" xfId="3200"/>
    <cellStyle name="Заголовок 4 2 8" xfId="3201"/>
    <cellStyle name="Заголовок 4 2 9" xfId="3202"/>
    <cellStyle name="Заголовок 4 2_МФ тепловой баланс 2015 дубль 3" xfId="3203"/>
    <cellStyle name="Заголовок 4 3" xfId="3204"/>
    <cellStyle name="Заголовок 4 3 10" xfId="3205"/>
    <cellStyle name="Заголовок 4 3 11" xfId="3206"/>
    <cellStyle name="Заголовок 4 3 11 2" xfId="8079"/>
    <cellStyle name="Заголовок 4 3 2" xfId="3207"/>
    <cellStyle name="Заголовок 4 3 2 2" xfId="8080"/>
    <cellStyle name="Заголовок 4 3 2 3" xfId="10028"/>
    <cellStyle name="Заголовок 4 3 3" xfId="3208"/>
    <cellStyle name="Заголовок 4 3 3 2" xfId="8081"/>
    <cellStyle name="Заголовок 4 3 4" xfId="3209"/>
    <cellStyle name="Заголовок 4 3 5" xfId="3210"/>
    <cellStyle name="Заголовок 4 3 6" xfId="3211"/>
    <cellStyle name="Заголовок 4 3 7" xfId="3212"/>
    <cellStyle name="Заголовок 4 3 8" xfId="3213"/>
    <cellStyle name="Заголовок 4 3 9" xfId="3214"/>
    <cellStyle name="Заголовок 4 3_МФ тепловой баланс 2015 дубль 3" xfId="3215"/>
    <cellStyle name="Заголовок 4 4" xfId="3216"/>
    <cellStyle name="Заголовок 4 4 2" xfId="3217"/>
    <cellStyle name="Заголовок 4 4 3" xfId="5425"/>
    <cellStyle name="Заголовок 4 4 3 2" xfId="8082"/>
    <cellStyle name="Заголовок 4 4_МФ тепловой баланс 2015 дубль 3" xfId="3218"/>
    <cellStyle name="Заголовок 4 5" xfId="3219"/>
    <cellStyle name="Заголовок 4 5 2" xfId="3220"/>
    <cellStyle name="Заголовок 4 5 3" xfId="5426"/>
    <cellStyle name="Заголовок 4 5 3 2" xfId="8083"/>
    <cellStyle name="Заголовок 4 5_МФ тепловой баланс 2015 дубль 3" xfId="3221"/>
    <cellStyle name="Заголовок 4 6" xfId="3222"/>
    <cellStyle name="Заголовок 4 6 2" xfId="3223"/>
    <cellStyle name="Заголовок 4 6 3" xfId="5427"/>
    <cellStyle name="Заголовок 4 6 3 2" xfId="8084"/>
    <cellStyle name="Заголовок 4 6_МФ тепловой баланс 2015 дубль 3" xfId="3224"/>
    <cellStyle name="Заголовок 4 7" xfId="3225"/>
    <cellStyle name="Заголовок 4 7 2" xfId="3226"/>
    <cellStyle name="Заголовок 4 7 3" xfId="5428"/>
    <cellStyle name="Заголовок 4 7 3 2" xfId="8085"/>
    <cellStyle name="Заголовок 4 7_МФ тепловой баланс 2015 дубль 3" xfId="3227"/>
    <cellStyle name="Заголовок 4 8" xfId="3228"/>
    <cellStyle name="Заголовок 4 8 2" xfId="3229"/>
    <cellStyle name="Заголовок 4 8 3" xfId="8086"/>
    <cellStyle name="Заголовок 4 9" xfId="3230"/>
    <cellStyle name="Заголовок 4 9 2" xfId="3231"/>
    <cellStyle name="Заголовок 4 9 3" xfId="8087"/>
    <cellStyle name="Заголовок 5" xfId="3232"/>
    <cellStyle name="Заголовок 5 2" xfId="8088"/>
    <cellStyle name="Заголовок 6" xfId="3233"/>
    <cellStyle name="Заголовок 7" xfId="5429"/>
    <cellStyle name="Заголовок 7 2" xfId="8089"/>
    <cellStyle name="Заголовок 8" xfId="5430"/>
    <cellStyle name="Заголовок 9" xfId="8090"/>
    <cellStyle name="ЗАГОЛОВОК1" xfId="3234"/>
    <cellStyle name="ЗАГОЛОВОК2" xfId="3235"/>
    <cellStyle name="ЗаголовокСтолбца" xfId="3236"/>
    <cellStyle name="Защитный" xfId="3237"/>
    <cellStyle name="Значение" xfId="3238"/>
    <cellStyle name="Зоголовок" xfId="3239"/>
    <cellStyle name="Итог 10" xfId="3240"/>
    <cellStyle name="Итог 10 2" xfId="8091"/>
    <cellStyle name="Итог 10 3" xfId="8092"/>
    <cellStyle name="Итог 11" xfId="8093"/>
    <cellStyle name="Итог 11 2" xfId="8094"/>
    <cellStyle name="Итог 11 3" xfId="8095"/>
    <cellStyle name="Итог 11 4" xfId="8096"/>
    <cellStyle name="Итог 12" xfId="8097"/>
    <cellStyle name="Итог 12 2" xfId="8098"/>
    <cellStyle name="Итог 12 3" xfId="8099"/>
    <cellStyle name="Итог 12 4" xfId="8100"/>
    <cellStyle name="Итог 13" xfId="8101"/>
    <cellStyle name="Итог 13 2" xfId="8102"/>
    <cellStyle name="Итог 13 3" xfId="8103"/>
    <cellStyle name="Итог 14" xfId="8104"/>
    <cellStyle name="Итог 14 2" xfId="8105"/>
    <cellStyle name="Итог 14 3" xfId="8106"/>
    <cellStyle name="Итог 15" xfId="8107"/>
    <cellStyle name="Итог 15 2" xfId="8108"/>
    <cellStyle name="Итог 15 3" xfId="8109"/>
    <cellStyle name="Итог 16" xfId="8110"/>
    <cellStyle name="Итог 16 2" xfId="8111"/>
    <cellStyle name="Итог 16 3" xfId="8112"/>
    <cellStyle name="Итог 17" xfId="8113"/>
    <cellStyle name="Итог 18" xfId="8114"/>
    <cellStyle name="Итог 2" xfId="3241"/>
    <cellStyle name="Итог 2 1" xfId="8115"/>
    <cellStyle name="Итог 2 10" xfId="3242"/>
    <cellStyle name="Итог 2 11" xfId="8116"/>
    <cellStyle name="Итог 2 12" xfId="10029"/>
    <cellStyle name="Итог 2 2" xfId="3243"/>
    <cellStyle name="Итог 2 2 2" xfId="3244"/>
    <cellStyle name="Итог 2 2 2 2" xfId="8117"/>
    <cellStyle name="Итог 2 2 2 3" xfId="5431"/>
    <cellStyle name="Итог 2 3" xfId="3245"/>
    <cellStyle name="Итог 2 3 2" xfId="8118"/>
    <cellStyle name="Итог 2 4" xfId="3246"/>
    <cellStyle name="Итог 2 5" xfId="3247"/>
    <cellStyle name="Итог 2 6" xfId="3248"/>
    <cellStyle name="Итог 2 7" xfId="3249"/>
    <cellStyle name="Итог 2 8" xfId="3250"/>
    <cellStyle name="Итог 2 8 2" xfId="8119"/>
    <cellStyle name="Итог 2 9" xfId="3251"/>
    <cellStyle name="Итог 2 9 2" xfId="8120"/>
    <cellStyle name="Итог 2_46EE.2011(v1.0)" xfId="3252"/>
    <cellStyle name="Итог 3" xfId="3253"/>
    <cellStyle name="Итог 3 10" xfId="3254"/>
    <cellStyle name="Итог 3 10 2" xfId="8121"/>
    <cellStyle name="Итог 3 11" xfId="3255"/>
    <cellStyle name="Итог 3 11 2" xfId="8123"/>
    <cellStyle name="Итог 3 11 3" xfId="8122"/>
    <cellStyle name="Итог 3 12" xfId="8124"/>
    <cellStyle name="Итог 3 2" xfId="3256"/>
    <cellStyle name="Итог 3 2 2" xfId="8125"/>
    <cellStyle name="Итог 3 2 3" xfId="8126"/>
    <cellStyle name="Итог 3 3" xfId="3257"/>
    <cellStyle name="Итог 3 3 2" xfId="8127"/>
    <cellStyle name="Итог 3 3 2 2" xfId="8128"/>
    <cellStyle name="Итог 3 3 3" xfId="8129"/>
    <cellStyle name="Итог 3 4" xfId="3258"/>
    <cellStyle name="Итог 3 4 2" xfId="8130"/>
    <cellStyle name="Итог 3 5" xfId="3259"/>
    <cellStyle name="Итог 3 5 2" xfId="8131"/>
    <cellStyle name="Итог 3 6" xfId="3260"/>
    <cellStyle name="Итог 3 6 2" xfId="8132"/>
    <cellStyle name="Итог 3 7" xfId="3261"/>
    <cellStyle name="Итог 3 7 2" xfId="8133"/>
    <cellStyle name="Итог 3 8" xfId="3262"/>
    <cellStyle name="Итог 3 8 2" xfId="8134"/>
    <cellStyle name="Итог 3 9" xfId="3263"/>
    <cellStyle name="Итог 3 9 2" xfId="8135"/>
    <cellStyle name="Итог 3_46EE.2011(v1.0)" xfId="3264"/>
    <cellStyle name="Итог 4" xfId="3265"/>
    <cellStyle name="Итог 4 2" xfId="3266"/>
    <cellStyle name="Итог 4 2 2" xfId="8136"/>
    <cellStyle name="Итог 4 3" xfId="5432"/>
    <cellStyle name="Итог 4 3 2" xfId="8137"/>
    <cellStyle name="Итог 4 4" xfId="8138"/>
    <cellStyle name="Итог 4_46EE.2011(v1.0)" xfId="3267"/>
    <cellStyle name="Итог 5" xfId="3268"/>
    <cellStyle name="Итог 5 2" xfId="3269"/>
    <cellStyle name="Итог 5 2 2" xfId="8139"/>
    <cellStyle name="Итог 5 3" xfId="5433"/>
    <cellStyle name="Итог 5 3 2" xfId="8140"/>
    <cellStyle name="Итог 5 4" xfId="8141"/>
    <cellStyle name="Итог 5_46EE.2011(v1.0)" xfId="3270"/>
    <cellStyle name="Итог 6" xfId="3271"/>
    <cellStyle name="Итог 6 2" xfId="3272"/>
    <cellStyle name="Итог 6 2 2" xfId="8142"/>
    <cellStyle name="Итог 6 3" xfId="5434"/>
    <cellStyle name="Итог 6 3 2" xfId="8143"/>
    <cellStyle name="Итог 6 4" xfId="8144"/>
    <cellStyle name="Итог 6_46EE.2011(v1.0)" xfId="3273"/>
    <cellStyle name="Итог 7" xfId="3274"/>
    <cellStyle name="Итог 7 2" xfId="3275"/>
    <cellStyle name="Итог 7 2 2" xfId="8145"/>
    <cellStyle name="Итог 7 3" xfId="5435"/>
    <cellStyle name="Итог 7 3 2" xfId="8146"/>
    <cellStyle name="Итог 7 4" xfId="8147"/>
    <cellStyle name="Итог 7_46EE.2011(v1.0)" xfId="3276"/>
    <cellStyle name="Итог 8" xfId="3277"/>
    <cellStyle name="Итог 8 2" xfId="3278"/>
    <cellStyle name="Итог 8 2 2" xfId="8148"/>
    <cellStyle name="Итог 8 3" xfId="8149"/>
    <cellStyle name="Итог 8 3 2" xfId="8150"/>
    <cellStyle name="Итог 8 4" xfId="8151"/>
    <cellStyle name="Итог 8_46EE.2011(v1.0)" xfId="3279"/>
    <cellStyle name="Итог 9" xfId="3280"/>
    <cellStyle name="Итог 9 2" xfId="3281"/>
    <cellStyle name="Итог 9 2 2" xfId="8152"/>
    <cellStyle name="Итог 9 3" xfId="8153"/>
    <cellStyle name="Итог 9 3 2" xfId="8154"/>
    <cellStyle name="Итог 9 4" xfId="8155"/>
    <cellStyle name="Итог 9_46EE.2011(v1.0)" xfId="3282"/>
    <cellStyle name="Итого" xfId="3283"/>
    <cellStyle name="Итого 2" xfId="8156"/>
    <cellStyle name="ИТОГОВЫЙ" xfId="3284"/>
    <cellStyle name="ИТОГОВЫЙ 10" xfId="8157"/>
    <cellStyle name="ИТОГОВЫЙ 2" xfId="3285"/>
    <cellStyle name="ИТОГОВЫЙ 2 2" xfId="8158"/>
    <cellStyle name="ИТОГОВЫЙ 3" xfId="3286"/>
    <cellStyle name="ИТОГОВЫЙ 3 2" xfId="8159"/>
    <cellStyle name="ИТОГОВЫЙ 4" xfId="3287"/>
    <cellStyle name="ИТОГОВЫЙ 4 2" xfId="8160"/>
    <cellStyle name="ИТОГОВЫЙ 5" xfId="3288"/>
    <cellStyle name="ИТОГОВЫЙ 5 2" xfId="8161"/>
    <cellStyle name="ИТОГОВЫЙ 6" xfId="3289"/>
    <cellStyle name="ИТОГОВЫЙ 6 2" xfId="8162"/>
    <cellStyle name="ИТОГОВЫЙ 7" xfId="3290"/>
    <cellStyle name="ИТОГОВЫЙ 7 2" xfId="8163"/>
    <cellStyle name="ИТОГОВЫЙ 8" xfId="3291"/>
    <cellStyle name="ИТОГОВЫЙ 8 2" xfId="8164"/>
    <cellStyle name="ИТОГОВЫЙ 9" xfId="3292"/>
    <cellStyle name="ИТОГОВЫЙ 9 2" xfId="8165"/>
    <cellStyle name="ИТОГОВЫЙ_1" xfId="3293"/>
    <cellStyle name="Контрольная ячейка 10" xfId="3294"/>
    <cellStyle name="Контрольная ячейка 10 2" xfId="8166"/>
    <cellStyle name="Контрольная ячейка 10 2 2" xfId="8167"/>
    <cellStyle name="Контрольная ячейка 10 3" xfId="8168"/>
    <cellStyle name="Контрольная ячейка 10 3 2" xfId="8169"/>
    <cellStyle name="Контрольная ячейка 10 4" xfId="8170"/>
    <cellStyle name="Контрольная ячейка 11" xfId="8171"/>
    <cellStyle name="Контрольная ячейка 11 2" xfId="8172"/>
    <cellStyle name="Контрольная ячейка 11 2 2" xfId="8173"/>
    <cellStyle name="Контрольная ячейка 11 3" xfId="8174"/>
    <cellStyle name="Контрольная ячейка 11 3 2" xfId="8175"/>
    <cellStyle name="Контрольная ячейка 11 4" xfId="8176"/>
    <cellStyle name="Контрольная ячейка 12" xfId="8177"/>
    <cellStyle name="Контрольная ячейка 12 2" xfId="8178"/>
    <cellStyle name="Контрольная ячейка 12 2 2" xfId="8179"/>
    <cellStyle name="Контрольная ячейка 12 3" xfId="8180"/>
    <cellStyle name="Контрольная ячейка 12 3 2" xfId="8181"/>
    <cellStyle name="Контрольная ячейка 12 4" xfId="8182"/>
    <cellStyle name="Контрольная ячейка 13" xfId="8183"/>
    <cellStyle name="Контрольная ячейка 13 2" xfId="8184"/>
    <cellStyle name="Контрольная ячейка 13 2 2" xfId="8185"/>
    <cellStyle name="Контрольная ячейка 13 3" xfId="8186"/>
    <cellStyle name="Контрольная ячейка 13 3 2" xfId="8187"/>
    <cellStyle name="Контрольная ячейка 13 4" xfId="8188"/>
    <cellStyle name="Контрольная ячейка 14" xfId="8189"/>
    <cellStyle name="Контрольная ячейка 14 2" xfId="8190"/>
    <cellStyle name="Контрольная ячейка 14 2 2" xfId="8191"/>
    <cellStyle name="Контрольная ячейка 14 3" xfId="8192"/>
    <cellStyle name="Контрольная ячейка 14 3 2" xfId="8193"/>
    <cellStyle name="Контрольная ячейка 14 4" xfId="8194"/>
    <cellStyle name="Контрольная ячейка 15" xfId="8195"/>
    <cellStyle name="Контрольная ячейка 15 2" xfId="8196"/>
    <cellStyle name="Контрольная ячейка 15 2 2" xfId="8197"/>
    <cellStyle name="Контрольная ячейка 15 3" xfId="8198"/>
    <cellStyle name="Контрольная ячейка 15 3 2" xfId="8199"/>
    <cellStyle name="Контрольная ячейка 15 4" xfId="8200"/>
    <cellStyle name="Контрольная ячейка 16" xfId="8201"/>
    <cellStyle name="Контрольная ячейка 16 2" xfId="8202"/>
    <cellStyle name="Контрольная ячейка 16 2 2" xfId="8203"/>
    <cellStyle name="Контрольная ячейка 16 3" xfId="8204"/>
    <cellStyle name="Контрольная ячейка 16 3 2" xfId="8205"/>
    <cellStyle name="Контрольная ячейка 16 4" xfId="8206"/>
    <cellStyle name="Контрольная ячейка 17" xfId="8207"/>
    <cellStyle name="Контрольная ячейка 17 2" xfId="8208"/>
    <cellStyle name="Контрольная ячейка 18" xfId="8209"/>
    <cellStyle name="Контрольная ячейка 18 2" xfId="8210"/>
    <cellStyle name="Контрольная ячейка 2" xfId="3295"/>
    <cellStyle name="Контрольная ячейка 2 1" xfId="8211"/>
    <cellStyle name="Контрольная ячейка 2 1 2" xfId="8212"/>
    <cellStyle name="Контрольная ячейка 2 10" xfId="3296"/>
    <cellStyle name="Контрольная ячейка 2 10 2" xfId="8213"/>
    <cellStyle name="Контрольная ячейка 2 11" xfId="8214"/>
    <cellStyle name="Контрольная ячейка 2 12" xfId="8215"/>
    <cellStyle name="Контрольная ячейка 2 2" xfId="3297"/>
    <cellStyle name="Контрольная ячейка 2 2 2" xfId="3298"/>
    <cellStyle name="Контрольная ячейка 2 2 2 2" xfId="8216"/>
    <cellStyle name="Контрольная ячейка 2 2 2 2 2" xfId="8217"/>
    <cellStyle name="Контрольная ячейка 2 2 2 3" xfId="8218"/>
    <cellStyle name="Контрольная ячейка 2 2 2 4" xfId="5436"/>
    <cellStyle name="Контрольная ячейка 2 2 3" xfId="8219"/>
    <cellStyle name="Контрольная ячейка 2 3" xfId="3299"/>
    <cellStyle name="Контрольная ячейка 2 3 2" xfId="8220"/>
    <cellStyle name="Контрольная ячейка 2 3 3" xfId="8221"/>
    <cellStyle name="Контрольная ячейка 2 4" xfId="3300"/>
    <cellStyle name="Контрольная ячейка 2 4 2" xfId="8222"/>
    <cellStyle name="Контрольная ячейка 2 4 3" xfId="8223"/>
    <cellStyle name="Контрольная ячейка 2 5" xfId="3301"/>
    <cellStyle name="Контрольная ячейка 2 5 2" xfId="8224"/>
    <cellStyle name="Контрольная ячейка 2 6" xfId="3302"/>
    <cellStyle name="Контрольная ячейка 2 6 2" xfId="8225"/>
    <cellStyle name="Контрольная ячейка 2 7" xfId="3303"/>
    <cellStyle name="Контрольная ячейка 2 7 2" xfId="8226"/>
    <cellStyle name="Контрольная ячейка 2 8" xfId="3304"/>
    <cellStyle name="Контрольная ячейка 2 8 2" xfId="8227"/>
    <cellStyle name="Контрольная ячейка 2 9" xfId="3305"/>
    <cellStyle name="Контрольная ячейка 2 9 2" xfId="8228"/>
    <cellStyle name="Контрольная ячейка 2_46EE.2011(v1.0)" xfId="3306"/>
    <cellStyle name="Контрольная ячейка 3" xfId="3307"/>
    <cellStyle name="Контрольная ячейка 3 10" xfId="3308"/>
    <cellStyle name="Контрольная ячейка 3 10 2" xfId="8229"/>
    <cellStyle name="Контрольная ячейка 3 11" xfId="3309"/>
    <cellStyle name="Контрольная ячейка 3 11 2" xfId="8231"/>
    <cellStyle name="Контрольная ячейка 3 11 3" xfId="8230"/>
    <cellStyle name="Контрольная ячейка 3 12" xfId="8232"/>
    <cellStyle name="Контрольная ячейка 3 2" xfId="3310"/>
    <cellStyle name="Контрольная ячейка 3 2 2" xfId="8233"/>
    <cellStyle name="Контрольная ячейка 3 2 3" xfId="8234"/>
    <cellStyle name="Контрольная ячейка 3 3" xfId="3311"/>
    <cellStyle name="Контрольная ячейка 3 3 2" xfId="8235"/>
    <cellStyle name="Контрольная ячейка 3 3 2 2" xfId="8236"/>
    <cellStyle name="Контрольная ячейка 3 3 3" xfId="8237"/>
    <cellStyle name="Контрольная ячейка 3 4" xfId="3312"/>
    <cellStyle name="Контрольная ячейка 3 4 2" xfId="8238"/>
    <cellStyle name="Контрольная ячейка 3 5" xfId="3313"/>
    <cellStyle name="Контрольная ячейка 3 5 2" xfId="8239"/>
    <cellStyle name="Контрольная ячейка 3 6" xfId="3314"/>
    <cellStyle name="Контрольная ячейка 3 6 2" xfId="8240"/>
    <cellStyle name="Контрольная ячейка 3 7" xfId="3315"/>
    <cellStyle name="Контрольная ячейка 3 7 2" xfId="8241"/>
    <cellStyle name="Контрольная ячейка 3 8" xfId="3316"/>
    <cellStyle name="Контрольная ячейка 3 8 2" xfId="8242"/>
    <cellStyle name="Контрольная ячейка 3 9" xfId="3317"/>
    <cellStyle name="Контрольная ячейка 3 9 2" xfId="8243"/>
    <cellStyle name="Контрольная ячейка 3_46EE.2011(v1.0)" xfId="3318"/>
    <cellStyle name="Контрольная ячейка 4" xfId="3319"/>
    <cellStyle name="Контрольная ячейка 4 2" xfId="3320"/>
    <cellStyle name="Контрольная ячейка 4 2 2" xfId="8244"/>
    <cellStyle name="Контрольная ячейка 4 3" xfId="5437"/>
    <cellStyle name="Контрольная ячейка 4 3 2" xfId="8245"/>
    <cellStyle name="Контрольная ячейка 4 3 3" xfId="8246"/>
    <cellStyle name="Контрольная ячейка 4 4" xfId="8247"/>
    <cellStyle name="Контрольная ячейка 4_46EE.2011(v1.0)" xfId="3321"/>
    <cellStyle name="Контрольная ячейка 5" xfId="3322"/>
    <cellStyle name="Контрольная ячейка 5 2" xfId="3323"/>
    <cellStyle name="Контрольная ячейка 5 2 2" xfId="8248"/>
    <cellStyle name="Контрольная ячейка 5 3" xfId="5438"/>
    <cellStyle name="Контрольная ячейка 5 3 2" xfId="8249"/>
    <cellStyle name="Контрольная ячейка 5 3 3" xfId="8250"/>
    <cellStyle name="Контрольная ячейка 5 4" xfId="8251"/>
    <cellStyle name="Контрольная ячейка 5_46EE.2011(v1.0)" xfId="3324"/>
    <cellStyle name="Контрольная ячейка 6" xfId="3325"/>
    <cellStyle name="Контрольная ячейка 6 2" xfId="3326"/>
    <cellStyle name="Контрольная ячейка 6 2 2" xfId="8252"/>
    <cellStyle name="Контрольная ячейка 6 3" xfId="5439"/>
    <cellStyle name="Контрольная ячейка 6 3 2" xfId="8253"/>
    <cellStyle name="Контрольная ячейка 6 3 3" xfId="8254"/>
    <cellStyle name="Контрольная ячейка 6 4" xfId="8255"/>
    <cellStyle name="Контрольная ячейка 6_46EE.2011(v1.0)" xfId="3327"/>
    <cellStyle name="Контрольная ячейка 7" xfId="3328"/>
    <cellStyle name="Контрольная ячейка 7 2" xfId="3329"/>
    <cellStyle name="Контрольная ячейка 7 2 2" xfId="8256"/>
    <cellStyle name="Контрольная ячейка 7 3" xfId="5440"/>
    <cellStyle name="Контрольная ячейка 7 3 2" xfId="8257"/>
    <cellStyle name="Контрольная ячейка 7 3 3" xfId="8258"/>
    <cellStyle name="Контрольная ячейка 7 4" xfId="8259"/>
    <cellStyle name="Контрольная ячейка 7_46EE.2011(v1.0)" xfId="3330"/>
    <cellStyle name="Контрольная ячейка 8" xfId="3331"/>
    <cellStyle name="Контрольная ячейка 8 2" xfId="3332"/>
    <cellStyle name="Контрольная ячейка 8 2 2" xfId="8260"/>
    <cellStyle name="Контрольная ячейка 8 3" xfId="8261"/>
    <cellStyle name="Контрольная ячейка 8 3 2" xfId="8262"/>
    <cellStyle name="Контрольная ячейка 8 4" xfId="8263"/>
    <cellStyle name="Контрольная ячейка 8_46EE.2011(v1.0)" xfId="3333"/>
    <cellStyle name="Контрольная ячейка 9" xfId="3334"/>
    <cellStyle name="Контрольная ячейка 9 2" xfId="3335"/>
    <cellStyle name="Контрольная ячейка 9 2 2" xfId="8264"/>
    <cellStyle name="Контрольная ячейка 9 3" xfId="8265"/>
    <cellStyle name="Контрольная ячейка 9 3 2" xfId="8266"/>
    <cellStyle name="Контрольная ячейка 9 4" xfId="8267"/>
    <cellStyle name="Контрольная ячейка 9_46EE.2011(v1.0)" xfId="3336"/>
    <cellStyle name="Миша (бланки отчетности)" xfId="3337"/>
    <cellStyle name="Миша (бланки отчетности) 2" xfId="8268"/>
    <cellStyle name="Мои наименования показателей" xfId="3338"/>
    <cellStyle name="Мои наименования показателей 10" xfId="5441"/>
    <cellStyle name="Мои наименования показателей 10 2" xfId="8272"/>
    <cellStyle name="Мои наименования показателей 11" xfId="5442"/>
    <cellStyle name="Мои наименования показателей 11 2" xfId="8273"/>
    <cellStyle name="Мои наименования показателей 12" xfId="8274"/>
    <cellStyle name="Мои наименования показателей 2" xfId="3339"/>
    <cellStyle name="Мои наименования показателей 2 10" xfId="8275"/>
    <cellStyle name="Мои наименования показателей 2 2" xfId="3340"/>
    <cellStyle name="Мои наименования показателей 2 2 2" xfId="8276"/>
    <cellStyle name="Мои наименования показателей 2 3" xfId="3341"/>
    <cellStyle name="Мои наименования показателей 2 3 2" xfId="8277"/>
    <cellStyle name="Мои наименования показателей 2 4" xfId="3342"/>
    <cellStyle name="Мои наименования показателей 2 4 2" xfId="8278"/>
    <cellStyle name="Мои наименования показателей 2 5" xfId="3343"/>
    <cellStyle name="Мои наименования показателей 2 5 2" xfId="8279"/>
    <cellStyle name="Мои наименования показателей 2 6" xfId="3344"/>
    <cellStyle name="Мои наименования показателей 2 6 2" xfId="8280"/>
    <cellStyle name="Мои наименования показателей 2 7" xfId="3345"/>
    <cellStyle name="Мои наименования показателей 2 7 2" xfId="8281"/>
    <cellStyle name="Мои наименования показателей 2 8" xfId="3346"/>
    <cellStyle name="Мои наименования показателей 2 8 2" xfId="8282"/>
    <cellStyle name="Мои наименования показателей 2 9" xfId="3347"/>
    <cellStyle name="Мои наименования показателей 2 9 2" xfId="8283"/>
    <cellStyle name="Мои наименования показателей 2_1" xfId="3348"/>
    <cellStyle name="Мои наименования показателей 3" xfId="3349"/>
    <cellStyle name="Мои наименования показателей 3 10" xfId="8284"/>
    <cellStyle name="Мои наименования показателей 3 2" xfId="3350"/>
    <cellStyle name="Мои наименования показателей 3 2 2" xfId="8285"/>
    <cellStyle name="Мои наименования показателей 3 3" xfId="3351"/>
    <cellStyle name="Мои наименования показателей 3 3 2" xfId="8286"/>
    <cellStyle name="Мои наименования показателей 3 4" xfId="3352"/>
    <cellStyle name="Мои наименования показателей 3 4 2" xfId="8287"/>
    <cellStyle name="Мои наименования показателей 3 5" xfId="3353"/>
    <cellStyle name="Мои наименования показателей 3 5 2" xfId="8288"/>
    <cellStyle name="Мои наименования показателей 3 6" xfId="3354"/>
    <cellStyle name="Мои наименования показателей 3 6 2" xfId="8289"/>
    <cellStyle name="Мои наименования показателей 3 7" xfId="3355"/>
    <cellStyle name="Мои наименования показателей 3 7 2" xfId="8290"/>
    <cellStyle name="Мои наименования показателей 3 8" xfId="3356"/>
    <cellStyle name="Мои наименования показателей 3 8 2" xfId="8291"/>
    <cellStyle name="Мои наименования показателей 3 9" xfId="3357"/>
    <cellStyle name="Мои наименования показателей 3 9 2" xfId="8292"/>
    <cellStyle name="Мои наименования показателей 3_1" xfId="3358"/>
    <cellStyle name="Мои наименования показателей 4" xfId="3359"/>
    <cellStyle name="Мои наименования показателей 4 10" xfId="8293"/>
    <cellStyle name="Мои наименования показателей 4 2" xfId="3360"/>
    <cellStyle name="Мои наименования показателей 4 2 2" xfId="8294"/>
    <cellStyle name="Мои наименования показателей 4 3" xfId="3361"/>
    <cellStyle name="Мои наименования показателей 4 3 2" xfId="8295"/>
    <cellStyle name="Мои наименования показателей 4 4" xfId="3362"/>
    <cellStyle name="Мои наименования показателей 4 4 2" xfId="8296"/>
    <cellStyle name="Мои наименования показателей 4 5" xfId="3363"/>
    <cellStyle name="Мои наименования показателей 4 5 2" xfId="8297"/>
    <cellStyle name="Мои наименования показателей 4 6" xfId="3364"/>
    <cellStyle name="Мои наименования показателей 4 6 2" xfId="8298"/>
    <cellStyle name="Мои наименования показателей 4 7" xfId="3365"/>
    <cellStyle name="Мои наименования показателей 4 7 2" xfId="8299"/>
    <cellStyle name="Мои наименования показателей 4 8" xfId="3366"/>
    <cellStyle name="Мои наименования показателей 4 8 2" xfId="8300"/>
    <cellStyle name="Мои наименования показателей 4 9" xfId="3367"/>
    <cellStyle name="Мои наименования показателей 4 9 2" xfId="8301"/>
    <cellStyle name="Мои наименования показателей 4_1" xfId="3368"/>
    <cellStyle name="Мои наименования показателей 5" xfId="3369"/>
    <cellStyle name="Мои наименования показателей 5 10" xfId="8302"/>
    <cellStyle name="Мои наименования показателей 5 2" xfId="3370"/>
    <cellStyle name="Мои наименования показателей 5 2 2" xfId="8303"/>
    <cellStyle name="Мои наименования показателей 5 3" xfId="3371"/>
    <cellStyle name="Мои наименования показателей 5 3 2" xfId="8304"/>
    <cellStyle name="Мои наименования показателей 5 4" xfId="3372"/>
    <cellStyle name="Мои наименования показателей 5 4 2" xfId="8305"/>
    <cellStyle name="Мои наименования показателей 5 5" xfId="3373"/>
    <cellStyle name="Мои наименования показателей 5 5 2" xfId="8306"/>
    <cellStyle name="Мои наименования показателей 5 6" xfId="3374"/>
    <cellStyle name="Мои наименования показателей 5 6 2" xfId="8307"/>
    <cellStyle name="Мои наименования показателей 5 7" xfId="3375"/>
    <cellStyle name="Мои наименования показателей 5 7 2" xfId="8308"/>
    <cellStyle name="Мои наименования показателей 5 8" xfId="3376"/>
    <cellStyle name="Мои наименования показателей 5 8 2" xfId="8309"/>
    <cellStyle name="Мои наименования показателей 5 9" xfId="3377"/>
    <cellStyle name="Мои наименования показателей 5 9 2" xfId="8310"/>
    <cellStyle name="Мои наименования показателей 5_1" xfId="3378"/>
    <cellStyle name="Мои наименования показателей 6" xfId="3379"/>
    <cellStyle name="Мои наименования показателей 6 2" xfId="3380"/>
    <cellStyle name="Мои наименования показателей 6 2 2" xfId="8311"/>
    <cellStyle name="Мои наименования показателей 6 3" xfId="3381"/>
    <cellStyle name="Мои наименования показателей 6 3 2" xfId="8312"/>
    <cellStyle name="Мои наименования показателей 6 4" xfId="8313"/>
    <cellStyle name="Мои наименования показателей 6_46EE.2011(v1.0)" xfId="3382"/>
    <cellStyle name="Мои наименования показателей 7" xfId="3383"/>
    <cellStyle name="Мои наименования показателей 7 2" xfId="3384"/>
    <cellStyle name="Мои наименования показателей 7 2 2" xfId="8314"/>
    <cellStyle name="Мои наименования показателей 7 3" xfId="3385"/>
    <cellStyle name="Мои наименования показателей 7 3 2" xfId="8315"/>
    <cellStyle name="Мои наименования показателей 7 4" xfId="8316"/>
    <cellStyle name="Мои наименования показателей 7_46EE.2011(v1.0)" xfId="3386"/>
    <cellStyle name="Мои наименования показателей 8" xfId="3387"/>
    <cellStyle name="Мои наименования показателей 8 2" xfId="3388"/>
    <cellStyle name="Мои наименования показателей 8 2 2" xfId="8317"/>
    <cellStyle name="Мои наименования показателей 8 3" xfId="3389"/>
    <cellStyle name="Мои наименования показателей 8 3 2" xfId="8318"/>
    <cellStyle name="Мои наименования показателей 8 4" xfId="8319"/>
    <cellStyle name="Мои наименования показателей 8_46EE.2011(v1.0)" xfId="3390"/>
    <cellStyle name="Мои наименования показателей 9" xfId="5443"/>
    <cellStyle name="Мои наименования показателей 9 2" xfId="8320"/>
    <cellStyle name="Мои наименования показателей_46EE.2011" xfId="3391"/>
    <cellStyle name="Мой заголовок" xfId="3392"/>
    <cellStyle name="Мой заголовок 2" xfId="8269"/>
    <cellStyle name="Мой заголовок листа" xfId="3393"/>
    <cellStyle name="Мой заголовок листа 2" xfId="3394"/>
    <cellStyle name="Мой заголовок листа 2 2" xfId="8270"/>
    <cellStyle name="Мой заголовок листа 2 3" xfId="5444"/>
    <cellStyle name="Мой заголовок листа 3" xfId="4882"/>
    <cellStyle name="Мой заголовок листа 3 2" xfId="8271"/>
    <cellStyle name="Мой заголовок_Новая инструкция1_фст" xfId="3395"/>
    <cellStyle name="назв фил" xfId="3396"/>
    <cellStyle name="назв фил 2" xfId="8321"/>
    <cellStyle name="Название 10" xfId="3397"/>
    <cellStyle name="Название 10 2" xfId="8322"/>
    <cellStyle name="Название 10 2 2" xfId="8323"/>
    <cellStyle name="Название 10 3" xfId="8324"/>
    <cellStyle name="Название 10 3 2" xfId="8325"/>
    <cellStyle name="Название 10 4" xfId="8326"/>
    <cellStyle name="Название 11" xfId="5690" hidden="1"/>
    <cellStyle name="Название 11" xfId="8327"/>
    <cellStyle name="Название 11 2" xfId="8328"/>
    <cellStyle name="Название 11 2 2" xfId="8329"/>
    <cellStyle name="Название 11 3" xfId="8330"/>
    <cellStyle name="Название 11 3 2" xfId="8331"/>
    <cellStyle name="Название 11 4" xfId="8332"/>
    <cellStyle name="Название 11 5" xfId="10072"/>
    <cellStyle name="Название 12" xfId="8333"/>
    <cellStyle name="Название 12 2" xfId="8334"/>
    <cellStyle name="Название 12 2 2" xfId="8335"/>
    <cellStyle name="Название 12 3" xfId="8336"/>
    <cellStyle name="Название 12 3 2" xfId="8337"/>
    <cellStyle name="Название 12 4" xfId="8338"/>
    <cellStyle name="Название 13" xfId="8339"/>
    <cellStyle name="Название 13 2" xfId="8340"/>
    <cellStyle name="Название 13 2 2" xfId="8341"/>
    <cellStyle name="Название 13 3" xfId="8342"/>
    <cellStyle name="Название 13 3 2" xfId="8343"/>
    <cellStyle name="Название 13 4" xfId="8344"/>
    <cellStyle name="Название 14" xfId="8345"/>
    <cellStyle name="Название 14 2" xfId="8346"/>
    <cellStyle name="Название 14 2 2" xfId="8347"/>
    <cellStyle name="Название 14 3" xfId="8348"/>
    <cellStyle name="Название 14 3 2" xfId="8349"/>
    <cellStyle name="Название 14 4" xfId="8350"/>
    <cellStyle name="Название 15" xfId="8351"/>
    <cellStyle name="Название 15 2" xfId="8352"/>
    <cellStyle name="Название 15 2 2" xfId="8353"/>
    <cellStyle name="Название 15 3" xfId="8354"/>
    <cellStyle name="Название 15 3 2" xfId="8355"/>
    <cellStyle name="Название 15 4" xfId="8356"/>
    <cellStyle name="Название 16" xfId="8357"/>
    <cellStyle name="Название 16 2" xfId="8358"/>
    <cellStyle name="Название 16 2 2" xfId="8359"/>
    <cellStyle name="Название 16 3" xfId="8360"/>
    <cellStyle name="Название 16 3 2" xfId="8361"/>
    <cellStyle name="Название 16 4" xfId="8362"/>
    <cellStyle name="Название 17" xfId="8363"/>
    <cellStyle name="Название 17 2" xfId="8364"/>
    <cellStyle name="Название 18" xfId="8365"/>
    <cellStyle name="Название 18 2" xfId="8366"/>
    <cellStyle name="Название 2" xfId="3398"/>
    <cellStyle name="Название 2 1" xfId="8367"/>
    <cellStyle name="Название 2 1 2" xfId="8368"/>
    <cellStyle name="Название 2 10" xfId="3399"/>
    <cellStyle name="Название 2 10 2" xfId="8369"/>
    <cellStyle name="Название 2 11" xfId="8370"/>
    <cellStyle name="Название 2 2" xfId="3400"/>
    <cellStyle name="Название 2 2 2" xfId="8371"/>
    <cellStyle name="Название 2 3" xfId="3401"/>
    <cellStyle name="Название 2 3 2" xfId="8372"/>
    <cellStyle name="Название 2 4" xfId="3402"/>
    <cellStyle name="Название 2 4 2" xfId="8373"/>
    <cellStyle name="Название 2 5" xfId="3403"/>
    <cellStyle name="Название 2 5 2" xfId="8374"/>
    <cellStyle name="Название 2 6" xfId="3404"/>
    <cellStyle name="Название 2 6 2" xfId="8375"/>
    <cellStyle name="Название 2 7" xfId="3405"/>
    <cellStyle name="Название 2 7 2" xfId="8376"/>
    <cellStyle name="Название 2 8" xfId="3406"/>
    <cellStyle name="Название 2 8 2" xfId="8377"/>
    <cellStyle name="Название 2 9" xfId="3407"/>
    <cellStyle name="Название 2 9 2" xfId="8378"/>
    <cellStyle name="Название 3" xfId="3408"/>
    <cellStyle name="Название 3 10" xfId="3409"/>
    <cellStyle name="Название 3 10 2" xfId="8379"/>
    <cellStyle name="Название 3 11" xfId="8380"/>
    <cellStyle name="Название 3 2" xfId="3410"/>
    <cellStyle name="Название 3 2 2" xfId="8381"/>
    <cellStyle name="Название 3 3" xfId="3411"/>
    <cellStyle name="Название 3 3 2" xfId="8382"/>
    <cellStyle name="Название 3 4" xfId="3412"/>
    <cellStyle name="Название 3 4 2" xfId="8383"/>
    <cellStyle name="Название 3 5" xfId="3413"/>
    <cellStyle name="Название 3 5 2" xfId="8384"/>
    <cellStyle name="Название 3 6" xfId="3414"/>
    <cellStyle name="Название 3 6 2" xfId="8385"/>
    <cellStyle name="Название 3 7" xfId="3415"/>
    <cellStyle name="Название 3 7 2" xfId="8386"/>
    <cellStyle name="Название 3 8" xfId="3416"/>
    <cellStyle name="Название 3 8 2" xfId="8387"/>
    <cellStyle name="Название 3 9" xfId="3417"/>
    <cellStyle name="Название 3 9 2" xfId="8388"/>
    <cellStyle name="Название 4" xfId="3418"/>
    <cellStyle name="Название 4 2" xfId="3419"/>
    <cellStyle name="Название 4 2 2" xfId="8389"/>
    <cellStyle name="Название 4 3" xfId="8390"/>
    <cellStyle name="Название 4 3 2" xfId="8391"/>
    <cellStyle name="Название 4 4" xfId="8392"/>
    <cellStyle name="Название 5" xfId="3420"/>
    <cellStyle name="Название 5 2" xfId="3421"/>
    <cellStyle name="Название 5 2 2" xfId="8393"/>
    <cellStyle name="Название 5 3" xfId="8394"/>
    <cellStyle name="Название 5 3 2" xfId="8395"/>
    <cellStyle name="Название 5 4" xfId="8396"/>
    <cellStyle name="Название 6" xfId="3422"/>
    <cellStyle name="Название 6 2" xfId="3423"/>
    <cellStyle name="Название 6 2 2" xfId="8397"/>
    <cellStyle name="Название 6 3" xfId="8398"/>
    <cellStyle name="Название 6 3 2" xfId="8399"/>
    <cellStyle name="Название 6 4" xfId="8400"/>
    <cellStyle name="Название 7" xfId="3424"/>
    <cellStyle name="Название 7 2" xfId="3425"/>
    <cellStyle name="Название 7 2 2" xfId="8401"/>
    <cellStyle name="Название 7 3" xfId="8402"/>
    <cellStyle name="Название 7 3 2" xfId="8403"/>
    <cellStyle name="Название 7 4" xfId="8404"/>
    <cellStyle name="Название 8" xfId="3426"/>
    <cellStyle name="Название 8 2" xfId="3427"/>
    <cellStyle name="Название 8 2 2" xfId="8405"/>
    <cellStyle name="Название 8 3" xfId="8406"/>
    <cellStyle name="Название 8 3 2" xfId="8407"/>
    <cellStyle name="Название 8 4" xfId="8408"/>
    <cellStyle name="Название 9" xfId="3428"/>
    <cellStyle name="Название 9 2" xfId="3429"/>
    <cellStyle name="Название 9 2 2" xfId="8409"/>
    <cellStyle name="Название 9 3" xfId="8410"/>
    <cellStyle name="Название 9 3 2" xfId="8411"/>
    <cellStyle name="Название 9 4" xfId="8412"/>
    <cellStyle name="Невидимый" xfId="3430"/>
    <cellStyle name="Невидимый 2" xfId="8413"/>
    <cellStyle name="Нейтральный 10" xfId="3431"/>
    <cellStyle name="Нейтральный 10 2" xfId="8414"/>
    <cellStyle name="Нейтральный 10 2 2" xfId="8415"/>
    <cellStyle name="Нейтральный 10 3" xfId="8416"/>
    <cellStyle name="Нейтральный 10 3 2" xfId="8417"/>
    <cellStyle name="Нейтральный 10 4" xfId="8418"/>
    <cellStyle name="Нейтральный 11" xfId="8419"/>
    <cellStyle name="Нейтральный 11 2" xfId="8420"/>
    <cellStyle name="Нейтральный 11 2 2" xfId="8421"/>
    <cellStyle name="Нейтральный 11 3" xfId="8422"/>
    <cellStyle name="Нейтральный 11 3 2" xfId="8423"/>
    <cellStyle name="Нейтральный 11 4" xfId="8424"/>
    <cellStyle name="Нейтральный 12" xfId="8425"/>
    <cellStyle name="Нейтральный 12 2" xfId="8426"/>
    <cellStyle name="Нейтральный 12 2 2" xfId="8427"/>
    <cellStyle name="Нейтральный 12 3" xfId="8428"/>
    <cellStyle name="Нейтральный 12 3 2" xfId="8429"/>
    <cellStyle name="Нейтральный 12 4" xfId="8430"/>
    <cellStyle name="Нейтральный 13" xfId="8431"/>
    <cellStyle name="Нейтральный 13 2" xfId="8432"/>
    <cellStyle name="Нейтральный 13 2 2" xfId="8433"/>
    <cellStyle name="Нейтральный 13 3" xfId="8434"/>
    <cellStyle name="Нейтральный 13 3 2" xfId="8435"/>
    <cellStyle name="Нейтральный 13 4" xfId="8436"/>
    <cellStyle name="Нейтральный 14" xfId="8437"/>
    <cellStyle name="Нейтральный 14 2" xfId="8438"/>
    <cellStyle name="Нейтральный 14 2 2" xfId="8439"/>
    <cellStyle name="Нейтральный 14 3" xfId="8440"/>
    <cellStyle name="Нейтральный 14 3 2" xfId="8441"/>
    <cellStyle name="Нейтральный 14 4" xfId="8442"/>
    <cellStyle name="Нейтральный 15" xfId="8443"/>
    <cellStyle name="Нейтральный 15 2" xfId="8444"/>
    <cellStyle name="Нейтральный 15 2 2" xfId="8445"/>
    <cellStyle name="Нейтральный 15 3" xfId="8446"/>
    <cellStyle name="Нейтральный 15 3 2" xfId="8447"/>
    <cellStyle name="Нейтральный 15 4" xfId="8448"/>
    <cellStyle name="Нейтральный 16" xfId="8449"/>
    <cellStyle name="Нейтральный 16 2" xfId="8450"/>
    <cellStyle name="Нейтральный 16 2 2" xfId="8451"/>
    <cellStyle name="Нейтральный 16 3" xfId="8452"/>
    <cellStyle name="Нейтральный 16 3 2" xfId="8453"/>
    <cellStyle name="Нейтральный 16 4" xfId="8454"/>
    <cellStyle name="Нейтральный 17" xfId="8455"/>
    <cellStyle name="Нейтральный 17 2" xfId="8456"/>
    <cellStyle name="Нейтральный 18" xfId="8457"/>
    <cellStyle name="Нейтральный 18 2" xfId="8458"/>
    <cellStyle name="Нейтральный 2" xfId="3432"/>
    <cellStyle name="Нейтральный 2 1" xfId="8459"/>
    <cellStyle name="Нейтральный 2 1 2" xfId="8460"/>
    <cellStyle name="Нейтральный 2 10" xfId="3433"/>
    <cellStyle name="Нейтральный 2 10 2" xfId="8461"/>
    <cellStyle name="Нейтральный 2 11" xfId="8462"/>
    <cellStyle name="Нейтральный 2 12" xfId="8463"/>
    <cellStyle name="Нейтральный 2 2" xfId="3434"/>
    <cellStyle name="Нейтральный 2 2 2" xfId="3435"/>
    <cellStyle name="Нейтральный 2 2 2 2" xfId="8464"/>
    <cellStyle name="Нейтральный 2 2 2 2 2" xfId="8465"/>
    <cellStyle name="Нейтральный 2 2 2 3" xfId="8466"/>
    <cellStyle name="Нейтральный 2 2 2 4" xfId="5445"/>
    <cellStyle name="Нейтральный 2 2 3" xfId="8467"/>
    <cellStyle name="Нейтральный 2 3" xfId="3436"/>
    <cellStyle name="Нейтральный 2 3 2" xfId="8468"/>
    <cellStyle name="Нейтральный 2 3 3" xfId="8469"/>
    <cellStyle name="Нейтральный 2 4" xfId="3437"/>
    <cellStyle name="Нейтральный 2 4 2" xfId="8470"/>
    <cellStyle name="Нейтральный 2 4 3" xfId="8471"/>
    <cellStyle name="Нейтральный 2 5" xfId="3438"/>
    <cellStyle name="Нейтральный 2 5 2" xfId="8472"/>
    <cellStyle name="Нейтральный 2 6" xfId="3439"/>
    <cellStyle name="Нейтральный 2 6 2" xfId="8473"/>
    <cellStyle name="Нейтральный 2 7" xfId="3440"/>
    <cellStyle name="Нейтральный 2 7 2" xfId="8474"/>
    <cellStyle name="Нейтральный 2 8" xfId="3441"/>
    <cellStyle name="Нейтральный 2 8 2" xfId="8475"/>
    <cellStyle name="Нейтральный 2 9" xfId="3442"/>
    <cellStyle name="Нейтральный 2 9 2" xfId="8476"/>
    <cellStyle name="Нейтральный 2_МФ тепловой баланс 2015 дубль 3" xfId="3443"/>
    <cellStyle name="Нейтральный 3" xfId="3444"/>
    <cellStyle name="Нейтральный 3 10" xfId="3445"/>
    <cellStyle name="Нейтральный 3 10 2" xfId="8477"/>
    <cellStyle name="Нейтральный 3 11" xfId="3446"/>
    <cellStyle name="Нейтральный 3 11 2" xfId="8479"/>
    <cellStyle name="Нейтральный 3 11 3" xfId="8478"/>
    <cellStyle name="Нейтральный 3 12" xfId="8480"/>
    <cellStyle name="Нейтральный 3 2" xfId="3447"/>
    <cellStyle name="Нейтральный 3 2 2" xfId="8481"/>
    <cellStyle name="Нейтральный 3 2 3" xfId="8482"/>
    <cellStyle name="Нейтральный 3 3" xfId="3448"/>
    <cellStyle name="Нейтральный 3 3 2" xfId="8483"/>
    <cellStyle name="Нейтральный 3 3 2 2" xfId="8484"/>
    <cellStyle name="Нейтральный 3 3 3" xfId="8485"/>
    <cellStyle name="Нейтральный 3 4" xfId="3449"/>
    <cellStyle name="Нейтральный 3 4 2" xfId="8486"/>
    <cellStyle name="Нейтральный 3 5" xfId="3450"/>
    <cellStyle name="Нейтральный 3 5 2" xfId="8487"/>
    <cellStyle name="Нейтральный 3 6" xfId="3451"/>
    <cellStyle name="Нейтральный 3 6 2" xfId="8488"/>
    <cellStyle name="Нейтральный 3 7" xfId="3452"/>
    <cellStyle name="Нейтральный 3 7 2" xfId="8489"/>
    <cellStyle name="Нейтральный 3 8" xfId="3453"/>
    <cellStyle name="Нейтральный 3 8 2" xfId="8490"/>
    <cellStyle name="Нейтральный 3 9" xfId="3454"/>
    <cellStyle name="Нейтральный 3 9 2" xfId="8491"/>
    <cellStyle name="Нейтральный 3_МФ тепловой баланс 2015 дубль 3" xfId="3455"/>
    <cellStyle name="Нейтральный 4" xfId="3456"/>
    <cellStyle name="Нейтральный 4 2" xfId="3457"/>
    <cellStyle name="Нейтральный 4 2 2" xfId="8492"/>
    <cellStyle name="Нейтральный 4 3" xfId="5446"/>
    <cellStyle name="Нейтральный 4 3 2" xfId="8493"/>
    <cellStyle name="Нейтральный 4 3 3" xfId="8494"/>
    <cellStyle name="Нейтральный 4 4" xfId="8495"/>
    <cellStyle name="Нейтральный 4_МФ тепловой баланс 2015 дубль 3" xfId="3458"/>
    <cellStyle name="Нейтральный 5" xfId="3459"/>
    <cellStyle name="Нейтральный 5 2" xfId="3460"/>
    <cellStyle name="Нейтральный 5 2 2" xfId="8496"/>
    <cellStyle name="Нейтральный 5 3" xfId="5447"/>
    <cellStyle name="Нейтральный 5 3 2" xfId="8497"/>
    <cellStyle name="Нейтральный 5 3 3" xfId="8498"/>
    <cellStyle name="Нейтральный 5 4" xfId="8499"/>
    <cellStyle name="Нейтральный 5_МФ тепловой баланс 2015 дубль 3" xfId="3461"/>
    <cellStyle name="Нейтральный 6" xfId="3462"/>
    <cellStyle name="Нейтральный 6 2" xfId="3463"/>
    <cellStyle name="Нейтральный 6 2 2" xfId="8500"/>
    <cellStyle name="Нейтральный 6 3" xfId="5448"/>
    <cellStyle name="Нейтральный 6 3 2" xfId="8501"/>
    <cellStyle name="Нейтральный 6 3 3" xfId="8502"/>
    <cellStyle name="Нейтральный 6 4" xfId="8503"/>
    <cellStyle name="Нейтральный 6_МФ тепловой баланс 2015 дубль 3" xfId="3464"/>
    <cellStyle name="Нейтральный 7" xfId="3465"/>
    <cellStyle name="Нейтральный 7 2" xfId="3466"/>
    <cellStyle name="Нейтральный 7 2 2" xfId="8504"/>
    <cellStyle name="Нейтральный 7 3" xfId="5449"/>
    <cellStyle name="Нейтральный 7 3 2" xfId="8505"/>
    <cellStyle name="Нейтральный 7 3 3" xfId="8506"/>
    <cellStyle name="Нейтральный 7 4" xfId="8507"/>
    <cellStyle name="Нейтральный 7_МФ тепловой баланс 2015 дубль 3" xfId="3467"/>
    <cellStyle name="Нейтральный 8" xfId="3468"/>
    <cellStyle name="Нейтральный 8 2" xfId="3469"/>
    <cellStyle name="Нейтральный 8 2 2" xfId="8508"/>
    <cellStyle name="Нейтральный 8 3" xfId="8509"/>
    <cellStyle name="Нейтральный 8 3 2" xfId="8510"/>
    <cellStyle name="Нейтральный 8 4" xfId="8511"/>
    <cellStyle name="Нейтральный 9" xfId="3470"/>
    <cellStyle name="Нейтральный 9 2" xfId="3471"/>
    <cellStyle name="Нейтральный 9 2 2" xfId="8512"/>
    <cellStyle name="Нейтральный 9 3" xfId="8513"/>
    <cellStyle name="Нейтральный 9 3 2" xfId="8514"/>
    <cellStyle name="Нейтральный 9 4" xfId="8515"/>
    <cellStyle name="Низ1" xfId="3472"/>
    <cellStyle name="Низ1 2" xfId="8516"/>
    <cellStyle name="Низ2" xfId="3473"/>
    <cellStyle name="Низ2 2" xfId="8517"/>
    <cellStyle name="Обычный" xfId="0" builtinId="0"/>
    <cellStyle name="Обычный 10" xfId="2"/>
    <cellStyle name="Обычный 10 2" xfId="3474"/>
    <cellStyle name="Обычный 10 2 2" xfId="3475"/>
    <cellStyle name="Обычный 10 2 2 2" xfId="3476"/>
    <cellStyle name="Обычный 10 2 2 3" xfId="8518"/>
    <cellStyle name="Обычный 10 2 2 4" xfId="5450"/>
    <cellStyle name="Обычный 10 2 3" xfId="3477"/>
    <cellStyle name="Обычный 10 2 3 2" xfId="8520"/>
    <cellStyle name="Обычный 10 2 3 3" xfId="8519"/>
    <cellStyle name="Обычный 10 2 4" xfId="3478"/>
    <cellStyle name="Обычный 10 2 4 2" xfId="4"/>
    <cellStyle name="Обычный 10 2 4 3" xfId="8521"/>
    <cellStyle name="Обычный 10 2 5" xfId="3479"/>
    <cellStyle name="Обычный 10 3" xfId="3480"/>
    <cellStyle name="Обычный 10 3 2" xfId="3481"/>
    <cellStyle name="Обычный 10 3 3" xfId="4564"/>
    <cellStyle name="Обычный 10 4" xfId="3482"/>
    <cellStyle name="Обычный 10 4 2" xfId="4565"/>
    <cellStyle name="Обычный 10 4 2 2" xfId="4983"/>
    <cellStyle name="Обычный 10 4 3" xfId="4965"/>
    <cellStyle name="Обычный 10 4 3 2" xfId="8522"/>
    <cellStyle name="Обычный 10 4 4" xfId="8523"/>
    <cellStyle name="Обычный 10 4 5" xfId="5451"/>
    <cellStyle name="Обычный 10 5" xfId="3483"/>
    <cellStyle name="Обычный 10 5 2" xfId="8524"/>
    <cellStyle name="Обычный 10 5 3" xfId="8525"/>
    <cellStyle name="Обычный 10 5 4" xfId="5452"/>
    <cellStyle name="Обычный 10 6" xfId="3484"/>
    <cellStyle name="Обычный 10 6 2" xfId="3485"/>
    <cellStyle name="Обычный 10 6 2 2" xfId="8526"/>
    <cellStyle name="Обычный 10 6 3" xfId="5453"/>
    <cellStyle name="Обычный 10 6 4" xfId="4840"/>
    <cellStyle name="Обычный 10 7" xfId="3486"/>
    <cellStyle name="Обычный 10 7 2" xfId="8528"/>
    <cellStyle name="Обычный 10 7 3" xfId="8527"/>
    <cellStyle name="Обычный 10 8" xfId="8529"/>
    <cellStyle name="Обычный 11" xfId="3487"/>
    <cellStyle name="Обычный 11 2" xfId="3488"/>
    <cellStyle name="Обычный 11 2 2" xfId="8530"/>
    <cellStyle name="Обычный 11 2 3" xfId="4981"/>
    <cellStyle name="Обычный 11 3" xfId="3489"/>
    <cellStyle name="Обычный 11 3 2" xfId="4566"/>
    <cellStyle name="Обычный 11 4" xfId="3490"/>
    <cellStyle name="Обычный 11 4 2" xfId="3491"/>
    <cellStyle name="Обычный 11 5" xfId="3492"/>
    <cellStyle name="Обычный 11 5 2" xfId="3493"/>
    <cellStyle name="Обычный 11 6" xfId="3494"/>
    <cellStyle name="Обычный 11 6 2" xfId="8531"/>
    <cellStyle name="Обычный 11 6 3" xfId="8532"/>
    <cellStyle name="Обычный 11 6 4" xfId="5454"/>
    <cellStyle name="Обычный 11 7" xfId="3495"/>
    <cellStyle name="Обычный 11 7 2" xfId="8533"/>
    <cellStyle name="Обычный 11 8" xfId="3496"/>
    <cellStyle name="Обычный 11_46EE.2011(v1.2)" xfId="3497"/>
    <cellStyle name="Обычный 12" xfId="3498"/>
    <cellStyle name="Обычный 12 2" xfId="3499"/>
    <cellStyle name="Обычный 12 2 2" xfId="3500"/>
    <cellStyle name="Обычный 12 2 2 2" xfId="3501"/>
    <cellStyle name="Обычный 12 2 2 3" xfId="8534"/>
    <cellStyle name="Обычный 12 2 3" xfId="3502"/>
    <cellStyle name="Обычный 12 2 4" xfId="8535"/>
    <cellStyle name="Обычный 12 3" xfId="3503"/>
    <cellStyle name="Обычный 12 3 2" xfId="3504"/>
    <cellStyle name="Обычный 12 3 2 2" xfId="3505"/>
    <cellStyle name="Обычный 12 3 2 3" xfId="8536"/>
    <cellStyle name="Обычный 12 3 3" xfId="8537"/>
    <cellStyle name="Обычный 12 4" xfId="3506"/>
    <cellStyle name="Обычный 12 4 2" xfId="8538"/>
    <cellStyle name="Обычный 12 4 3" xfId="8539"/>
    <cellStyle name="Обычный 12 5" xfId="3507"/>
    <cellStyle name="Обычный 12 5 2" xfId="3508"/>
    <cellStyle name="Обычный 12 5 2 2" xfId="3509"/>
    <cellStyle name="Обычный 12 5 3" xfId="3510"/>
    <cellStyle name="Обычный 12 5 4" xfId="5455"/>
    <cellStyle name="Обычный 12 6" xfId="3511"/>
    <cellStyle name="Обычный 12 6 2" xfId="10030"/>
    <cellStyle name="Обычный 12 7" xfId="4906"/>
    <cellStyle name="Обычный 12 7 2" xfId="8540"/>
    <cellStyle name="Обычный 12 8" xfId="8541"/>
    <cellStyle name="Обычный 12 9" xfId="10031"/>
    <cellStyle name="Обычный 12_амортизация2017" xfId="10032"/>
    <cellStyle name="Обычный 13" xfId="3512"/>
    <cellStyle name="Обычный 13 2" xfId="3513"/>
    <cellStyle name="Обычный 13 2 2" xfId="8542"/>
    <cellStyle name="Обычный 13 2 3" xfId="8543"/>
    <cellStyle name="Обычный 13 2 4" xfId="10033"/>
    <cellStyle name="Обычный 13 3" xfId="4567"/>
    <cellStyle name="Обычный 13 3 2" xfId="8545"/>
    <cellStyle name="Обычный 13 3 3" xfId="8546"/>
    <cellStyle name="Обычный 13 3 4" xfId="8544"/>
    <cellStyle name="Обычный 13 4" xfId="4839"/>
    <cellStyle name="Обычный 13 4 2" xfId="8547"/>
    <cellStyle name="Обычный 13 5" xfId="8548"/>
    <cellStyle name="Обычный 13 6" xfId="8549"/>
    <cellStyle name="Обычный 13 7" xfId="5456"/>
    <cellStyle name="Обычный 14" xfId="3514"/>
    <cellStyle name="Обычный 14 2" xfId="3515"/>
    <cellStyle name="Обычный 14 2 2" xfId="8550"/>
    <cellStyle name="Обычный 14 2 3" xfId="8551"/>
    <cellStyle name="Обычный 14 2 4" xfId="8552"/>
    <cellStyle name="Обычный 14 2 5" xfId="10034"/>
    <cellStyle name="Обычный 14 3" xfId="4568"/>
    <cellStyle name="Обычный 14 3 2" xfId="8554"/>
    <cellStyle name="Обычный 14 3 3" xfId="8555"/>
    <cellStyle name="Обычный 14 3 4" xfId="8553"/>
    <cellStyle name="Обычный 14 4" xfId="8556"/>
    <cellStyle name="Обычный 14 5" xfId="8557"/>
    <cellStyle name="Обычный 14 6" xfId="8558"/>
    <cellStyle name="Обычный 15" xfId="3516"/>
    <cellStyle name="Обычный 15 2" xfId="3517"/>
    <cellStyle name="Обычный 15 2 2" xfId="3518"/>
    <cellStyle name="Обычный 15 2 3" xfId="8559"/>
    <cellStyle name="Обычный 15 3" xfId="3519"/>
    <cellStyle name="Обычный 15 3 2" xfId="8560"/>
    <cellStyle name="Обычный 15 4" xfId="4569"/>
    <cellStyle name="Обычный 15 4 2" xfId="8561"/>
    <cellStyle name="Обычный 15 5" xfId="4967"/>
    <cellStyle name="Обычный 15 5 2" xfId="8562"/>
    <cellStyle name="Обычный 15 6" xfId="8563"/>
    <cellStyle name="Обычный 16" xfId="3520"/>
    <cellStyle name="Обычный 16 2" xfId="3521"/>
    <cellStyle name="Обычный 16 2 2" xfId="8564"/>
    <cellStyle name="Обычный 16 3" xfId="3522"/>
    <cellStyle name="Обычный 16 3 2" xfId="8565"/>
    <cellStyle name="Обычный 16 4" xfId="4966"/>
    <cellStyle name="Обычный 16 4 2" xfId="8566"/>
    <cellStyle name="Обычный 16 5" xfId="8567"/>
    <cellStyle name="Обычный 16 6" xfId="5457"/>
    <cellStyle name="Обычный 17" xfId="3523"/>
    <cellStyle name="Обычный 17 2" xfId="3524"/>
    <cellStyle name="Обычный 17 2 2" xfId="8568"/>
    <cellStyle name="Обычный 17 3" xfId="3525"/>
    <cellStyle name="Обычный 17 3 2" xfId="8569"/>
    <cellStyle name="Обычный 17 4" xfId="8570"/>
    <cellStyle name="Обычный 17 5" xfId="5458"/>
    <cellStyle name="Обычный 18" xfId="3526"/>
    <cellStyle name="Обычный 18 2" xfId="3527"/>
    <cellStyle name="Обычный 18 2 2" xfId="8571"/>
    <cellStyle name="Обычный 18 3" xfId="8572"/>
    <cellStyle name="Обычный 18 3 2" xfId="8573"/>
    <cellStyle name="Обычный 18 4" xfId="5459"/>
    <cellStyle name="Обычный 19" xfId="4492"/>
    <cellStyle name="Обычный 19 2" xfId="3528"/>
    <cellStyle name="Обычный 19 2 2" xfId="8574"/>
    <cellStyle name="Обычный 19 3" xfId="4799"/>
    <cellStyle name="Обычный 19 3 2" xfId="8576"/>
    <cellStyle name="Обычный 19 3 3" xfId="8575"/>
    <cellStyle name="Обычный 19 4" xfId="5460"/>
    <cellStyle name="Обычный 2" xfId="3"/>
    <cellStyle name="Обычный 2 1" xfId="8577"/>
    <cellStyle name="Обычный 2 1 2" xfId="8578"/>
    <cellStyle name="Обычный 2 10" xfId="3529"/>
    <cellStyle name="Обычный 2 10 2" xfId="3530"/>
    <cellStyle name="Обычный 2 10 2 2" xfId="8579"/>
    <cellStyle name="Обычный 2 10 3" xfId="3531"/>
    <cellStyle name="Обычный 2 10 3 2" xfId="8581"/>
    <cellStyle name="Обычный 2 10 3 3" xfId="8580"/>
    <cellStyle name="Обычный 2 10 4" xfId="8582"/>
    <cellStyle name="Обычный 2 11" xfId="3532"/>
    <cellStyle name="Обычный 2 11 2" xfId="3533"/>
    <cellStyle name="Обычный 2 11 2 2" xfId="8583"/>
    <cellStyle name="Обычный 2 11 2 2 2" xfId="8584"/>
    <cellStyle name="Обычный 2 11 2 3" xfId="8585"/>
    <cellStyle name="Обычный 2 11 2 4" xfId="5461"/>
    <cellStyle name="Обычный 2 11 3" xfId="8586"/>
    <cellStyle name="Обычный 2 11 3 2" xfId="8587"/>
    <cellStyle name="Обычный 2 11 4" xfId="8588"/>
    <cellStyle name="Обычный 2 11_Т-НахВТО-газ-28.09.12" xfId="8589"/>
    <cellStyle name="Обычный 2 12" xfId="3534"/>
    <cellStyle name="Обычный 2 12 2" xfId="3535"/>
    <cellStyle name="Обычный 2 12 2 2" xfId="8590"/>
    <cellStyle name="Обычный 2 12 2 3" xfId="8591"/>
    <cellStyle name="Обычный 2 12 3" xfId="5462"/>
    <cellStyle name="Обычный 2 12 3 2" xfId="8592"/>
    <cellStyle name="Обычный 2 12 3 3" xfId="8593"/>
    <cellStyle name="Обычный 2 12 4" xfId="8594"/>
    <cellStyle name="Обычный 2 12 5" xfId="8595"/>
    <cellStyle name="Обычный 2 12_Т-НахВТО-газ-28.09.12" xfId="8596"/>
    <cellStyle name="Обычный 2 13" xfId="3536"/>
    <cellStyle name="Обычный 2 13 2" xfId="3537"/>
    <cellStyle name="Обычный 2 13 2 2" xfId="8597"/>
    <cellStyle name="Обычный 2 13 2 2 2" xfId="8598"/>
    <cellStyle name="Обычный 2 13 2 3" xfId="8599"/>
    <cellStyle name="Обычный 2 13 2 4" xfId="5463"/>
    <cellStyle name="Обычный 2 13 3" xfId="8600"/>
    <cellStyle name="Обычный 2 13 4" xfId="8601"/>
    <cellStyle name="Обычный 2 14" xfId="3538"/>
    <cellStyle name="Обычный 2 14 2" xfId="8602"/>
    <cellStyle name="Обычный 2 14 2 2" xfId="8603"/>
    <cellStyle name="Обычный 2 14 3" xfId="8604"/>
    <cellStyle name="Обычный 2 14 4" xfId="8605"/>
    <cellStyle name="Обычный 2 15" xfId="3539"/>
    <cellStyle name="Обычный 2 15 2" xfId="4964"/>
    <cellStyle name="Обычный 2 15 2 2" xfId="8606"/>
    <cellStyle name="Обычный 2 15 3" xfId="8607"/>
    <cellStyle name="Обычный 2 15 4" xfId="8608"/>
    <cellStyle name="Обычный 2 16" xfId="3540"/>
    <cellStyle name="Обычный 2 16 2" xfId="8609"/>
    <cellStyle name="Обычный 2 17" xfId="4502"/>
    <cellStyle name="Обычный 2 17 2" xfId="4532"/>
    <cellStyle name="Обычный 2 17 2 2" xfId="8610"/>
    <cellStyle name="Обычный 2 18" xfId="8611"/>
    <cellStyle name="Обычный 2 2" xfId="3541"/>
    <cellStyle name="Обычный 2 2 1" xfId="8612"/>
    <cellStyle name="Обычный 2 2 1 2" xfId="8613"/>
    <cellStyle name="Обычный 2 2 10" xfId="8614"/>
    <cellStyle name="Обычный 2 2 11" xfId="8615"/>
    <cellStyle name="Обычный 2 2 12" xfId="8616"/>
    <cellStyle name="Обычный 2 2 2" xfId="3542"/>
    <cellStyle name="Обычный 2 2 2 2" xfId="3543"/>
    <cellStyle name="Обычный 2 2 2 2 2" xfId="5464"/>
    <cellStyle name="Обычный 2 2 2 2 2 2" xfId="8617"/>
    <cellStyle name="Обычный 2 2 2 2 3" xfId="8618"/>
    <cellStyle name="Обычный 2 2 2 2 4" xfId="8619"/>
    <cellStyle name="Обычный 2 2 2 2 5" xfId="10035"/>
    <cellStyle name="Обычный 2 2 2 3" xfId="4907"/>
    <cellStyle name="Обычный 2 2 2 3 2" xfId="8620"/>
    <cellStyle name="Обычный 2 2 2 3 2 2" xfId="8621"/>
    <cellStyle name="Обычный 2 2 2 3 3" xfId="8622"/>
    <cellStyle name="Обычный 2 2 2 3 3 2" xfId="8623"/>
    <cellStyle name="Обычный 2 2 2 3 4" xfId="8624"/>
    <cellStyle name="Обычный 2 2 2 3 5" xfId="5465"/>
    <cellStyle name="Обычный 2 2 2 4" xfId="5466"/>
    <cellStyle name="Обычный 2 2 2 4 2" xfId="8625"/>
    <cellStyle name="Обычный 2 2 2 4 2 2" xfId="8626"/>
    <cellStyle name="Обычный 2 2 2 5" xfId="5467"/>
    <cellStyle name="Обычный 2 2 2 5 2" xfId="8627"/>
    <cellStyle name="Обычный 2 2 2 6" xfId="5468"/>
    <cellStyle name="Обычный 2 2 2 6 2" xfId="8628"/>
    <cellStyle name="Обычный 2 2 2 7" xfId="8629"/>
    <cellStyle name="Обычный 2 2 2 7 2" xfId="8630"/>
    <cellStyle name="Обычный 2 2 2 8" xfId="8631"/>
    <cellStyle name="Обычный 2 2 2 8 2" xfId="10036"/>
    <cellStyle name="Обычный 2 2 2_Расчет тарифа 2016 тепло МО Шилегское" xfId="5469"/>
    <cellStyle name="Обычный 2 2 3" xfId="3544"/>
    <cellStyle name="Обычный 2 2 3 2" xfId="5470"/>
    <cellStyle name="Обычный 2 2 3 2 2" xfId="8632"/>
    <cellStyle name="Обычный 2 2 3 2 2 2" xfId="8633"/>
    <cellStyle name="Обычный 2 2 3 2 3" xfId="8634"/>
    <cellStyle name="Обычный 2 2 3 3" xfId="8635"/>
    <cellStyle name="Обычный 2 2 3 4" xfId="8636"/>
    <cellStyle name="Обычный 2 2 4" xfId="3545"/>
    <cellStyle name="Обычный 2 2 4 2" xfId="3546"/>
    <cellStyle name="Обычный 2 2 4 3" xfId="8637"/>
    <cellStyle name="Обычный 2 2 5" xfId="3547"/>
    <cellStyle name="Обычный 2 2 5 2" xfId="8638"/>
    <cellStyle name="Обычный 2 2 6" xfId="3548"/>
    <cellStyle name="Обычный 2 2 6 2" xfId="8639"/>
    <cellStyle name="Обычный 2 2 7" xfId="3549"/>
    <cellStyle name="Обычный 2 2 7 2" xfId="8640"/>
    <cellStyle name="Обычный 2 2 8" xfId="3550"/>
    <cellStyle name="Обычный 2 2 8 2" xfId="4968"/>
    <cellStyle name="Обычный 2 2 8 2 2" xfId="8641"/>
    <cellStyle name="Обычный 2 2 8 3" xfId="8642"/>
    <cellStyle name="Обычный 2 2 8 4" xfId="8643"/>
    <cellStyle name="Обычный 2 2 8 5" xfId="5694"/>
    <cellStyle name="Обычный 2 2 9" xfId="8644"/>
    <cellStyle name="Обычный 2 2_!!!!!ТАРИФ на 2013 ТеплоСнаб" xfId="8645"/>
    <cellStyle name="Обычный 2 3" xfId="3551"/>
    <cellStyle name="Обычный 2 3 2" xfId="3552"/>
    <cellStyle name="Обычный 2 3 2 2" xfId="5471"/>
    <cellStyle name="Обычный 2 3 2 2 2" xfId="8646"/>
    <cellStyle name="Обычный 2 3 2 3" xfId="8647"/>
    <cellStyle name="Обычный 2 3 2 3 2" xfId="8648"/>
    <cellStyle name="Обычный 2 3 2 4" xfId="8649"/>
    <cellStyle name="Обычный 2 3 2 5" xfId="8650"/>
    <cellStyle name="Обычный 2 3 3" xfId="3553"/>
    <cellStyle name="Обычный 2 3 3 2" xfId="3554"/>
    <cellStyle name="Обычный 2 3 3 3" xfId="8651"/>
    <cellStyle name="Обычный 2 3 4" xfId="3555"/>
    <cellStyle name="Обычный 2 3 4 2" xfId="8652"/>
    <cellStyle name="Обычный 2 3 5" xfId="3556"/>
    <cellStyle name="Обычный 2 3 5 2" xfId="3557"/>
    <cellStyle name="Обычный 2 3 5 2 2" xfId="8653"/>
    <cellStyle name="Обычный 2 3 5 3" xfId="10037"/>
    <cellStyle name="Обычный 2 3 6" xfId="3558"/>
    <cellStyle name="Обычный 2 3 6 2" xfId="8654"/>
    <cellStyle name="Обычный 2 3 6 3" xfId="5472"/>
    <cellStyle name="Обычный 2 3 7" xfId="8655"/>
    <cellStyle name="Обычный 2 3 8" xfId="8656"/>
    <cellStyle name="Обычный 2 3 9" xfId="8657"/>
    <cellStyle name="Обычный 2 3_46EE.2011(v1.0)" xfId="3559"/>
    <cellStyle name="Обычный 2 4" xfId="3560"/>
    <cellStyle name="Обычный 2 4 2" xfId="3561"/>
    <cellStyle name="Обычный 2 4 2 2" xfId="3562"/>
    <cellStyle name="Обычный 2 4 2 2 2" xfId="3563"/>
    <cellStyle name="Обычный 2 4 2 2 3" xfId="8658"/>
    <cellStyle name="Обычный 2 4 2 3" xfId="5473"/>
    <cellStyle name="Обычный 2 4 2 3 2" xfId="8659"/>
    <cellStyle name="Обычный 2 4 2 4" xfId="8660"/>
    <cellStyle name="Обычный 2 4 3" xfId="3564"/>
    <cellStyle name="Обычный 2 4 3 2" xfId="3565"/>
    <cellStyle name="Обычный 2 4 3 3" xfId="8661"/>
    <cellStyle name="Обычный 2 4 4" xfId="3566"/>
    <cellStyle name="Обычный 2 4 4 2" xfId="8662"/>
    <cellStyle name="Обычный 2 4 4 3" xfId="10038"/>
    <cellStyle name="Обычный 2 4 4 4" xfId="5474"/>
    <cellStyle name="Обычный 2 4 5" xfId="5475"/>
    <cellStyle name="Обычный 2 4 5 2" xfId="8663"/>
    <cellStyle name="Обычный 2 4 5 3" xfId="8664"/>
    <cellStyle name="Обычный 2 4 6" xfId="8665"/>
    <cellStyle name="Обычный 2 4 7" xfId="8666"/>
    <cellStyle name="Обычный 2 4_46EE.2011(v1.0)" xfId="3567"/>
    <cellStyle name="Обычный 2 5" xfId="3568"/>
    <cellStyle name="Обычный 2 5 2" xfId="3569"/>
    <cellStyle name="Обычный 2 5 2 2" xfId="3570"/>
    <cellStyle name="Обычный 2 5 2 3" xfId="8667"/>
    <cellStyle name="Обычный 2 5 3" xfId="3571"/>
    <cellStyle name="Обычный 2 5 3 2" xfId="3572"/>
    <cellStyle name="Обычный 2 5 3 3" xfId="8668"/>
    <cellStyle name="Обычный 2 5 4" xfId="3573"/>
    <cellStyle name="Обычный 2 5 4 2" xfId="8669"/>
    <cellStyle name="Обычный 2 5 4 3" xfId="10039"/>
    <cellStyle name="Обычный 2 5 4 4" xfId="5476"/>
    <cellStyle name="Обычный 2 5 5" xfId="3574"/>
    <cellStyle name="Обычный 2 5 5 2" xfId="8671"/>
    <cellStyle name="Обычный 2 5 5 3" xfId="8672"/>
    <cellStyle name="Обычный 2 5 5 4" xfId="8670"/>
    <cellStyle name="Обычный 2 5 6" xfId="4908"/>
    <cellStyle name="Обычный 2 5 6 2" xfId="8673"/>
    <cellStyle name="Обычный 2 5 7" xfId="8674"/>
    <cellStyle name="Обычный 2 5_46EE.2011(v1.0)" xfId="3575"/>
    <cellStyle name="Обычный 2 6" xfId="3576"/>
    <cellStyle name="Обычный 2 6 2" xfId="3577"/>
    <cellStyle name="Обычный 2 6 2 2" xfId="3578"/>
    <cellStyle name="Обычный 2 6 2 2 2" xfId="3579"/>
    <cellStyle name="Обычный 2 6 2 2 3" xfId="8675"/>
    <cellStyle name="Обычный 2 6 2 3" xfId="5477"/>
    <cellStyle name="Обычный 2 6 2 3 2" xfId="8676"/>
    <cellStyle name="Обычный 2 6 2 4" xfId="8677"/>
    <cellStyle name="Обычный 2 6 3" xfId="3580"/>
    <cellStyle name="Обычный 2 6 3 2" xfId="3581"/>
    <cellStyle name="Обычный 2 6 3 3" xfId="8678"/>
    <cellStyle name="Обычный 2 6 4" xfId="5478"/>
    <cellStyle name="Обычный 2 6 4 2" xfId="8679"/>
    <cellStyle name="Обычный 2 6 4 3" xfId="8680"/>
    <cellStyle name="Обычный 2 6 4 4" xfId="8681"/>
    <cellStyle name="Обычный 2 6 5" xfId="8682"/>
    <cellStyle name="Обычный 2 6_46EE.2011(v1.0)" xfId="3582"/>
    <cellStyle name="Обычный 2 7" xfId="3583"/>
    <cellStyle name="Обычный 2 7 2" xfId="3584"/>
    <cellStyle name="Обычный 2 7 2 2" xfId="3585"/>
    <cellStyle name="Обычный 2 7 2 2 2" xfId="8683"/>
    <cellStyle name="Обычный 2 7 2 2 3" xfId="5481"/>
    <cellStyle name="Обычный 2 7 2 3" xfId="8684"/>
    <cellStyle name="Обычный 2 7 2 4" xfId="8685"/>
    <cellStyle name="Обычный 2 7 2 5" xfId="5480"/>
    <cellStyle name="Обычный 2 7 3" xfId="3586"/>
    <cellStyle name="Обычный 2 7 3 2" xfId="8687"/>
    <cellStyle name="Обычный 2 7 3 3" xfId="8686"/>
    <cellStyle name="Обычный 2 7 4" xfId="8688"/>
    <cellStyle name="Обычный 2 7 4 2" xfId="10040"/>
    <cellStyle name="Обычный 2 7 5" xfId="10041"/>
    <cellStyle name="Обычный 2 7 6" xfId="5479"/>
    <cellStyle name="Обычный 2 8" xfId="3587"/>
    <cellStyle name="Обычный 2 8 2" xfId="3588"/>
    <cellStyle name="Обычный 2 8 2 2" xfId="8689"/>
    <cellStyle name="Обычный 2 8 2 3" xfId="8690"/>
    <cellStyle name="Обычный 2 8 2 4" xfId="5482"/>
    <cellStyle name="Обычный 2 8 3" xfId="8691"/>
    <cellStyle name="Обычный 2 8 4" xfId="8692"/>
    <cellStyle name="Обычный 2 9" xfId="3589"/>
    <cellStyle name="Обычный 2 9 2" xfId="3590"/>
    <cellStyle name="Обычный 2 9 2 2" xfId="8693"/>
    <cellStyle name="Обычный 2 9 2 3" xfId="8694"/>
    <cellStyle name="Обычный 2 9 2 4" xfId="5483"/>
    <cellStyle name="Обычный 2 9 3" xfId="8695"/>
    <cellStyle name="Обычный 2 9 4" xfId="8696"/>
    <cellStyle name="Обычный 2_!!!!!ТАРИФ на 2013 ТеплоСнаб" xfId="8697"/>
    <cellStyle name="Обычный 20" xfId="3591"/>
    <cellStyle name="Обычный 20 2" xfId="3592"/>
    <cellStyle name="Обычный 20 2 2" xfId="8698"/>
    <cellStyle name="Обычный 20 3" xfId="3593"/>
    <cellStyle name="Обычный 20 3 2" xfId="8700"/>
    <cellStyle name="Обычный 20 3 3" xfId="8699"/>
    <cellStyle name="Обычный 20 4" xfId="8701"/>
    <cellStyle name="Обычный 21" xfId="3594"/>
    <cellStyle name="Обычный 21 2" xfId="3595"/>
    <cellStyle name="Обычный 21 2 2" xfId="8702"/>
    <cellStyle name="Обычный 21 3" xfId="3596"/>
    <cellStyle name="Обычный 21 3 2" xfId="8704"/>
    <cellStyle name="Обычный 21 3 3" xfId="8703"/>
    <cellStyle name="Обычный 21 4" xfId="8705"/>
    <cellStyle name="Обычный 22" xfId="3597"/>
    <cellStyle name="Обычный 22 2" xfId="3598"/>
    <cellStyle name="Обычный 22 2 2" xfId="8706"/>
    <cellStyle name="Обычный 22 3" xfId="3599"/>
    <cellStyle name="Обычный 22 3 2" xfId="8708"/>
    <cellStyle name="Обычный 22 3 3" xfId="8707"/>
    <cellStyle name="Обычный 22 4" xfId="8709"/>
    <cellStyle name="Обычный 23" xfId="3600"/>
    <cellStyle name="Обычный 23 2" xfId="3601"/>
    <cellStyle name="Обычный 23 2 2" xfId="8711"/>
    <cellStyle name="Обычный 23 2 3" xfId="8710"/>
    <cellStyle name="Обычный 23 3" xfId="8712"/>
    <cellStyle name="Обычный 24" xfId="3602"/>
    <cellStyle name="Обычный 24 2" xfId="3603"/>
    <cellStyle name="Обычный 24 2 2" xfId="8713"/>
    <cellStyle name="Обычный 24 3" xfId="8714"/>
    <cellStyle name="Обычный 24 4" xfId="5484"/>
    <cellStyle name="Обычный 25" xfId="4494"/>
    <cellStyle name="Обычный 25 2" xfId="4505"/>
    <cellStyle name="Обычный 25 2 2" xfId="8715"/>
    <cellStyle name="Обычный 25 3" xfId="4800"/>
    <cellStyle name="Обычный 25 3 2" xfId="8716"/>
    <cellStyle name="Обычный 25 4" xfId="5485"/>
    <cellStyle name="Обычный 26" xfId="4499"/>
    <cellStyle name="Обычный 26 2" xfId="4504"/>
    <cellStyle name="Обычный 26 2 2" xfId="8717"/>
    <cellStyle name="Обычный 26 3" xfId="8718"/>
    <cellStyle name="Обычный 26 4" xfId="5486"/>
    <cellStyle name="Обычный 27" xfId="3604"/>
    <cellStyle name="Обычный 27 2" xfId="8719"/>
    <cellStyle name="Обычный 28" xfId="4500"/>
    <cellStyle name="Обычный 28 2" xfId="8720"/>
    <cellStyle name="Обычный 28 3" xfId="8721"/>
    <cellStyle name="Обычный 28 4" xfId="5487"/>
    <cellStyle name="Обычный 29" xfId="4501"/>
    <cellStyle name="Обычный 29 2" xfId="4503"/>
    <cellStyle name="Обычный 29 2 2" xfId="8722"/>
    <cellStyle name="Обычный 29 3" xfId="5488"/>
    <cellStyle name="Обычный 3" xfId="3605"/>
    <cellStyle name="Обычный 3 10" xfId="8723"/>
    <cellStyle name="Обычный 3 11" xfId="10042"/>
    <cellStyle name="Обычный 3 2" xfId="3606"/>
    <cellStyle name="Обычный 3 2 2" xfId="3607"/>
    <cellStyle name="Обычный 3 2 2 2" xfId="8724"/>
    <cellStyle name="Обычный 3 2 2 3" xfId="8725"/>
    <cellStyle name="Обычный 3 2 3" xfId="3608"/>
    <cellStyle name="Обычный 3 2 3 2" xfId="5489"/>
    <cellStyle name="Обычный 3 2 3 2 2" xfId="8726"/>
    <cellStyle name="Обычный 3 2 3 3" xfId="8727"/>
    <cellStyle name="Обычный 3 2 4" xfId="3609"/>
    <cellStyle name="Обычный 3 2 5" xfId="8728"/>
    <cellStyle name="Обычный 3 2 6" xfId="8729"/>
    <cellStyle name="Обычный 3 3" xfId="3610"/>
    <cellStyle name="Обычный 3 3 2" xfId="3611"/>
    <cellStyle name="Обычный 3 3 2 2" xfId="3612"/>
    <cellStyle name="Обычный 3 3 2 2 2" xfId="8730"/>
    <cellStyle name="Обычный 3 3 2 3" xfId="3613"/>
    <cellStyle name="Обычный 3 3 2 3 2" xfId="8731"/>
    <cellStyle name="Обычный 3 3 2 4" xfId="8732"/>
    <cellStyle name="Обычный 3 3 2 5" xfId="8733"/>
    <cellStyle name="Обычный 3 3 3" xfId="3614"/>
    <cellStyle name="Обычный 3 3 3 2" xfId="8734"/>
    <cellStyle name="Обычный 3 3 4" xfId="3615"/>
    <cellStyle name="Обычный 3 3 4 2" xfId="8735"/>
    <cellStyle name="Обычный 3 3 5" xfId="5491"/>
    <cellStyle name="Обычный 3 3 5 2" xfId="5492"/>
    <cellStyle name="Обычный 3 3 5 3" xfId="8736"/>
    <cellStyle name="Обычный 3 3 6" xfId="8737"/>
    <cellStyle name="Обычный 3 3 7" xfId="8738"/>
    <cellStyle name="Обычный 3 3 8" xfId="5490"/>
    <cellStyle name="Обычный 3 4" xfId="3616"/>
    <cellStyle name="Обычный 3 4 2" xfId="3617"/>
    <cellStyle name="Обычный 3 4 2 2" xfId="8739"/>
    <cellStyle name="Обычный 3 4 2 3" xfId="8740"/>
    <cellStyle name="Обычный 3 4 3" xfId="3618"/>
    <cellStyle name="Обычный 3 4 3 2" xfId="8742"/>
    <cellStyle name="Обычный 3 4 3 3" xfId="8741"/>
    <cellStyle name="Обычный 3 4 4" xfId="8743"/>
    <cellStyle name="Обычный 3 4 5" xfId="10043"/>
    <cellStyle name="Обычный 3 5" xfId="3619"/>
    <cellStyle name="Обычный 3 5 2" xfId="3620"/>
    <cellStyle name="Обычный 3 5 2 2" xfId="8744"/>
    <cellStyle name="Обычный 3 5 2 2 2" xfId="8745"/>
    <cellStyle name="Обычный 3 5 2 3" xfId="8746"/>
    <cellStyle name="Обычный 3 5 2 4" xfId="5493"/>
    <cellStyle name="Обычный 3 5 3" xfId="4910"/>
    <cellStyle name="Обычный 3 5 3 2" xfId="8747"/>
    <cellStyle name="Обычный 3 5 4" xfId="8748"/>
    <cellStyle name="Обычный 3 5 5" xfId="10044"/>
    <cellStyle name="Обычный 3 6" xfId="3621"/>
    <cellStyle name="Обычный 3 6 2" xfId="3622"/>
    <cellStyle name="Обычный 3 6 2 2" xfId="3623"/>
    <cellStyle name="Обычный 3 6 3" xfId="8749"/>
    <cellStyle name="Обычный 3 7" xfId="3624"/>
    <cellStyle name="Обычный 3 7 2" xfId="8750"/>
    <cellStyle name="Обычный 3 8" xfId="3625"/>
    <cellStyle name="Обычный 3 8 2" xfId="4570"/>
    <cellStyle name="Обычный 3 8 2 2" xfId="8751"/>
    <cellStyle name="Обычный 3 8 3" xfId="5494"/>
    <cellStyle name="Обычный 3 9" xfId="3626"/>
    <cellStyle name="Обычный 3 9 2" xfId="10045"/>
    <cellStyle name="Обычный 3 9 3" xfId="8752"/>
    <cellStyle name="Обычный 3___Тариф ТЭ 2012 Мезенский филиал 26.04.11" xfId="3627"/>
    <cellStyle name="Обычный 30" xfId="5495"/>
    <cellStyle name="Обычный 30 2" xfId="8753"/>
    <cellStyle name="Обычный 31" xfId="5496"/>
    <cellStyle name="Обычный 31 2" xfId="8754"/>
    <cellStyle name="Обычный 32" xfId="5497"/>
    <cellStyle name="Обычный 32 2" xfId="8755"/>
    <cellStyle name="Обычный 32 3" xfId="8756"/>
    <cellStyle name="Обычный 33" xfId="5498"/>
    <cellStyle name="Обычный 33 2" xfId="8757"/>
    <cellStyle name="Обычный 34" xfId="5499"/>
    <cellStyle name="Обычный 34 2" xfId="8758"/>
    <cellStyle name="Обычный 35" xfId="5500"/>
    <cellStyle name="Обычный 35 2" xfId="8759"/>
    <cellStyle name="Обычный 36" xfId="5501"/>
    <cellStyle name="Обычный 36 2" xfId="8760"/>
    <cellStyle name="Обычный 37" xfId="5502"/>
    <cellStyle name="Обычный 37 2" xfId="8761"/>
    <cellStyle name="Обычный 38" xfId="5503"/>
    <cellStyle name="Обычный 38 2" xfId="8762"/>
    <cellStyle name="Обычный 39" xfId="5504"/>
    <cellStyle name="Обычный 39 2" xfId="8763"/>
    <cellStyle name="Обычный 4" xfId="3628"/>
    <cellStyle name="Обычный 4 10" xfId="3629"/>
    <cellStyle name="Обычный 4 10 2" xfId="4571"/>
    <cellStyle name="Обычный 4 10 2 2" xfId="8765"/>
    <cellStyle name="Обычный 4 10 2 3" xfId="8764"/>
    <cellStyle name="Обычный 4 10 3" xfId="4836"/>
    <cellStyle name="Обычный 4 10 3 2" xfId="8766"/>
    <cellStyle name="Обычный 4 10 4" xfId="5505"/>
    <cellStyle name="Обычный 4 11" xfId="3630"/>
    <cellStyle name="Обычный 4 11 2" xfId="3631"/>
    <cellStyle name="Обычный 4 11 2 2" xfId="8767"/>
    <cellStyle name="Обычный 4 11 3" xfId="8768"/>
    <cellStyle name="Обычный 4 11 4" xfId="5506"/>
    <cellStyle name="Обычный 4 12" xfId="8769"/>
    <cellStyle name="Обычный 4 13" xfId="8770"/>
    <cellStyle name="Обычный 4 2" xfId="3632"/>
    <cellStyle name="Обычный 4 2 2" xfId="3633"/>
    <cellStyle name="Обычный 4 2 2 2" xfId="3634"/>
    <cellStyle name="Обычный 4 2 2 2 2" xfId="3635"/>
    <cellStyle name="Обычный 4 2 2 2 3" xfId="8771"/>
    <cellStyle name="Обычный 4 2 2 3" xfId="3636"/>
    <cellStyle name="Обычный 4 2 2 3 2" xfId="3637"/>
    <cellStyle name="Обычный 4 2 2 3 3" xfId="8772"/>
    <cellStyle name="Обычный 4 2 2 4" xfId="5507"/>
    <cellStyle name="Обычный 4 2 2 4 2" xfId="8773"/>
    <cellStyle name="Обычный 4 2 2 5" xfId="8774"/>
    <cellStyle name="Обычный 4 2 3" xfId="3638"/>
    <cellStyle name="Обычный 4 2 3 2" xfId="3639"/>
    <cellStyle name="Обычный 4 2 3 3" xfId="8775"/>
    <cellStyle name="Обычный 4 2 4" xfId="3640"/>
    <cellStyle name="Обычный 4 2 4 2" xfId="8776"/>
    <cellStyle name="Обычный 4 2 5" xfId="4925"/>
    <cellStyle name="Обычный 4 2 5 2" xfId="8777"/>
    <cellStyle name="Обычный 4 2 6" xfId="8778"/>
    <cellStyle name="Обычный 4 2 6 2" xfId="8779"/>
    <cellStyle name="Обычный 4 2 7" xfId="8780"/>
    <cellStyle name="Обычный 4 2 8" xfId="8781"/>
    <cellStyle name="Обычный 4 2 8 2" xfId="10046"/>
    <cellStyle name="Обычный 4 2_46EP.2012(v0.1)" xfId="3641"/>
    <cellStyle name="Обычный 4 3" xfId="3642"/>
    <cellStyle name="Обычный 4 3 2" xfId="3643"/>
    <cellStyle name="Обычный 4 3 2 2" xfId="8782"/>
    <cellStyle name="Обычный 4 3 2 3" xfId="8783"/>
    <cellStyle name="Обычный 4 3 2 4" xfId="5508"/>
    <cellStyle name="Обычный 4 3 3" xfId="8784"/>
    <cellStyle name="Обычный 4 3 3 2" xfId="8785"/>
    <cellStyle name="Обычный 4 3 4" xfId="8786"/>
    <cellStyle name="Обычный 4 4" xfId="3644"/>
    <cellStyle name="Обычный 4 4 2" xfId="3645"/>
    <cellStyle name="Обычный 4 4 2 2" xfId="8787"/>
    <cellStyle name="Обычный 4 4 2 3" xfId="8788"/>
    <cellStyle name="Обычный 4 4 2 4" xfId="5509"/>
    <cellStyle name="Обычный 4 4 3" xfId="8789"/>
    <cellStyle name="Обычный 4 4 3 2" xfId="8790"/>
    <cellStyle name="Обычный 4 4 4" xfId="8791"/>
    <cellStyle name="Обычный 4 5" xfId="3646"/>
    <cellStyle name="Обычный 4 5 2" xfId="3647"/>
    <cellStyle name="Обычный 4 5 2 2" xfId="8792"/>
    <cellStyle name="Обычный 4 5 2 3" xfId="8793"/>
    <cellStyle name="Обычный 4 5 2 4" xfId="5510"/>
    <cellStyle name="Обычный 4 5 3" xfId="8794"/>
    <cellStyle name="Обычный 4 5 4" xfId="8795"/>
    <cellStyle name="Обычный 4 6" xfId="3648"/>
    <cellStyle name="Обычный 4 6 10" xfId="3649"/>
    <cellStyle name="Обычный 4 6 10 2" xfId="3650"/>
    <cellStyle name="Обычный 4 6 11" xfId="3651"/>
    <cellStyle name="Обычный 4 6 11 2" xfId="3652"/>
    <cellStyle name="Обычный 4 6 11 2 2" xfId="8796"/>
    <cellStyle name="Обычный 4 6 11 3" xfId="4572"/>
    <cellStyle name="Обычный 4 6 12" xfId="3653"/>
    <cellStyle name="Обычный 4 6 12 2" xfId="3654"/>
    <cellStyle name="Обычный 4 6 12 3" xfId="8797"/>
    <cellStyle name="Обычный 4 6 13" xfId="3655"/>
    <cellStyle name="Обычный 4 6 13 2" xfId="10047"/>
    <cellStyle name="Обычный 4 6 2" xfId="3656"/>
    <cellStyle name="Обычный 4 6 2 2" xfId="3657"/>
    <cellStyle name="Обычный 4 6 2 2 2" xfId="3658"/>
    <cellStyle name="Обычный 4 6 2 3" xfId="3659"/>
    <cellStyle name="Обычный 4 6 3" xfId="3660"/>
    <cellStyle name="Обычный 4 6 3 2" xfId="3661"/>
    <cellStyle name="Обычный 4 6 3 2 2" xfId="3662"/>
    <cellStyle name="Обычный 4 6 3 3" xfId="3663"/>
    <cellStyle name="Обычный 4 6 4" xfId="3664"/>
    <cellStyle name="Обычный 4 6 4 2" xfId="3665"/>
    <cellStyle name="Обычный 4 6 4 2 2" xfId="3666"/>
    <cellStyle name="Обычный 4 6 4 3" xfId="3667"/>
    <cellStyle name="Обычный 4 6 5" xfId="3668"/>
    <cellStyle name="Обычный 4 6 5 2" xfId="3669"/>
    <cellStyle name="Обычный 4 6 5 2 2" xfId="3670"/>
    <cellStyle name="Обычный 4 6 5 3" xfId="3671"/>
    <cellStyle name="Обычный 4 6 6" xfId="3672"/>
    <cellStyle name="Обычный 4 6 6 2" xfId="3673"/>
    <cellStyle name="Обычный 4 6 6 2 2" xfId="3674"/>
    <cellStyle name="Обычный 4 6 6 3" xfId="3675"/>
    <cellStyle name="Обычный 4 6 7" xfId="3676"/>
    <cellStyle name="Обычный 4 6 7 2" xfId="3677"/>
    <cellStyle name="Обычный 4 6 7 2 2" xfId="3678"/>
    <cellStyle name="Обычный 4 6 7 3" xfId="3679"/>
    <cellStyle name="Обычный 4 6 8" xfId="3680"/>
    <cellStyle name="Обычный 4 6 8 2" xfId="3681"/>
    <cellStyle name="Обычный 4 6 8 2 2" xfId="3682"/>
    <cellStyle name="Обычный 4 6 8 3" xfId="3683"/>
    <cellStyle name="Обычный 4 6 9" xfId="3684"/>
    <cellStyle name="Обычный 4 6 9 2" xfId="3685"/>
    <cellStyle name="Обычный 4 6 9 2 2" xfId="3686"/>
    <cellStyle name="Обычный 4 6 9 3" xfId="3687"/>
    <cellStyle name="Обычный 4 7" xfId="3688"/>
    <cellStyle name="Обычный 4 7 10" xfId="3689"/>
    <cellStyle name="Обычный 4 7 10 2" xfId="3690"/>
    <cellStyle name="Обычный 4 7 11" xfId="3691"/>
    <cellStyle name="Обычный 4 7 11 2" xfId="3692"/>
    <cellStyle name="Обычный 4 7 12" xfId="3693"/>
    <cellStyle name="Обычный 4 7 2" xfId="3694"/>
    <cellStyle name="Обычный 4 7 2 2" xfId="3695"/>
    <cellStyle name="Обычный 4 7 2 2 2" xfId="3696"/>
    <cellStyle name="Обычный 4 7 2 3" xfId="3697"/>
    <cellStyle name="Обычный 4 7 3" xfId="3698"/>
    <cellStyle name="Обычный 4 7 3 2" xfId="3699"/>
    <cellStyle name="Обычный 4 7 3 2 2" xfId="3700"/>
    <cellStyle name="Обычный 4 7 3 3" xfId="3701"/>
    <cellStyle name="Обычный 4 7 4" xfId="3702"/>
    <cellStyle name="Обычный 4 7 4 2" xfId="3703"/>
    <cellStyle name="Обычный 4 7 4 2 2" xfId="3704"/>
    <cellStyle name="Обычный 4 7 4 3" xfId="3705"/>
    <cellStyle name="Обычный 4 7 5" xfId="3706"/>
    <cellStyle name="Обычный 4 7 5 2" xfId="3707"/>
    <cellStyle name="Обычный 4 7 5 2 2" xfId="3708"/>
    <cellStyle name="Обычный 4 7 5 3" xfId="3709"/>
    <cellStyle name="Обычный 4 7 6" xfId="3710"/>
    <cellStyle name="Обычный 4 7 6 2" xfId="3711"/>
    <cellStyle name="Обычный 4 7 6 2 2" xfId="3712"/>
    <cellStyle name="Обычный 4 7 6 3" xfId="3713"/>
    <cellStyle name="Обычный 4 7 7" xfId="3714"/>
    <cellStyle name="Обычный 4 7 7 2" xfId="3715"/>
    <cellStyle name="Обычный 4 7 7 2 2" xfId="3716"/>
    <cellStyle name="Обычный 4 7 7 3" xfId="3717"/>
    <cellStyle name="Обычный 4 7 8" xfId="3718"/>
    <cellStyle name="Обычный 4 7 8 2" xfId="3719"/>
    <cellStyle name="Обычный 4 7 8 2 2" xfId="3720"/>
    <cellStyle name="Обычный 4 7 8 3" xfId="3721"/>
    <cellStyle name="Обычный 4 7 9" xfId="3722"/>
    <cellStyle name="Обычный 4 7 9 2" xfId="3723"/>
    <cellStyle name="Обычный 4 7 9 2 2" xfId="3724"/>
    <cellStyle name="Обычный 4 7 9 3" xfId="3725"/>
    <cellStyle name="Обычный 4 8" xfId="3726"/>
    <cellStyle name="Обычный 4 8 10" xfId="3727"/>
    <cellStyle name="Обычный 4 8 10 2" xfId="3728"/>
    <cellStyle name="Обычный 4 8 11" xfId="3729"/>
    <cellStyle name="Обычный 4 8 11 2" xfId="3730"/>
    <cellStyle name="Обычный 4 8 12" xfId="3731"/>
    <cellStyle name="Обычный 4 8 2" xfId="3732"/>
    <cellStyle name="Обычный 4 8 2 2" xfId="3733"/>
    <cellStyle name="Обычный 4 8 2 2 2" xfId="3734"/>
    <cellStyle name="Обычный 4 8 2 3" xfId="3735"/>
    <cellStyle name="Обычный 4 8 3" xfId="3736"/>
    <cellStyle name="Обычный 4 8 3 2" xfId="3737"/>
    <cellStyle name="Обычный 4 8 3 2 2" xfId="3738"/>
    <cellStyle name="Обычный 4 8 3 3" xfId="3739"/>
    <cellStyle name="Обычный 4 8 4" xfId="3740"/>
    <cellStyle name="Обычный 4 8 4 2" xfId="3741"/>
    <cellStyle name="Обычный 4 8 4 2 2" xfId="3742"/>
    <cellStyle name="Обычный 4 8 4 3" xfId="3743"/>
    <cellStyle name="Обычный 4 8 5" xfId="3744"/>
    <cellStyle name="Обычный 4 8 5 2" xfId="3745"/>
    <cellStyle name="Обычный 4 8 5 2 2" xfId="3746"/>
    <cellStyle name="Обычный 4 8 5 3" xfId="3747"/>
    <cellStyle name="Обычный 4 8 6" xfId="3748"/>
    <cellStyle name="Обычный 4 8 6 2" xfId="3749"/>
    <cellStyle name="Обычный 4 8 6 2 2" xfId="3750"/>
    <cellStyle name="Обычный 4 8 6 3" xfId="3751"/>
    <cellStyle name="Обычный 4 8 7" xfId="3752"/>
    <cellStyle name="Обычный 4 8 7 2" xfId="3753"/>
    <cellStyle name="Обычный 4 8 7 2 2" xfId="3754"/>
    <cellStyle name="Обычный 4 8 7 3" xfId="3755"/>
    <cellStyle name="Обычный 4 8 8" xfId="3756"/>
    <cellStyle name="Обычный 4 8 8 2" xfId="3757"/>
    <cellStyle name="Обычный 4 8 8 2 2" xfId="3758"/>
    <cellStyle name="Обычный 4 8 8 3" xfId="3759"/>
    <cellStyle name="Обычный 4 8 9" xfId="3760"/>
    <cellStyle name="Обычный 4 8 9 2" xfId="3761"/>
    <cellStyle name="Обычный 4 8 9 2 2" xfId="3762"/>
    <cellStyle name="Обычный 4 8 9 3" xfId="3763"/>
    <cellStyle name="Обычный 4 9" xfId="3764"/>
    <cellStyle name="Обычный 4 9 10" xfId="3765"/>
    <cellStyle name="Обычный 4 9 10 2" xfId="3766"/>
    <cellStyle name="Обычный 4 9 11" xfId="3767"/>
    <cellStyle name="Обычный 4 9 11 2" xfId="3768"/>
    <cellStyle name="Обычный 4 9 11 2 2" xfId="8799"/>
    <cellStyle name="Обычный 4 9 11 3" xfId="8798"/>
    <cellStyle name="Обычный 4 9 12" xfId="3769"/>
    <cellStyle name="Обычный 4 9 12 2" xfId="8800"/>
    <cellStyle name="Обычный 4 9 13" xfId="8801"/>
    <cellStyle name="Обычный 4 9 14" xfId="5511"/>
    <cellStyle name="Обычный 4 9 2" xfId="3770"/>
    <cellStyle name="Обычный 4 9 2 2" xfId="3771"/>
    <cellStyle name="Обычный 4 9 2 2 2" xfId="3772"/>
    <cellStyle name="Обычный 4 9 2 2 2 2" xfId="8802"/>
    <cellStyle name="Обычный 4 9 2 3" xfId="3773"/>
    <cellStyle name="Обычный 4 9 3" xfId="3774"/>
    <cellStyle name="Обычный 4 9 3 2" xfId="3775"/>
    <cellStyle name="Обычный 4 9 3 2 2" xfId="3776"/>
    <cellStyle name="Обычный 4 9 3 3" xfId="3777"/>
    <cellStyle name="Обычный 4 9 4" xfId="3778"/>
    <cellStyle name="Обычный 4 9 4 2" xfId="3779"/>
    <cellStyle name="Обычный 4 9 4 2 2" xfId="3780"/>
    <cellStyle name="Обычный 4 9 4 3" xfId="3781"/>
    <cellStyle name="Обычный 4 9 5" xfId="3782"/>
    <cellStyle name="Обычный 4 9 5 2" xfId="3783"/>
    <cellStyle name="Обычный 4 9 5 2 2" xfId="3784"/>
    <cellStyle name="Обычный 4 9 5 3" xfId="3785"/>
    <cellStyle name="Обычный 4 9 6" xfId="3786"/>
    <cellStyle name="Обычный 4 9 6 2" xfId="3787"/>
    <cellStyle name="Обычный 4 9 6 2 2" xfId="3788"/>
    <cellStyle name="Обычный 4 9 6 3" xfId="3789"/>
    <cellStyle name="Обычный 4 9 7" xfId="3790"/>
    <cellStyle name="Обычный 4 9 7 2" xfId="3791"/>
    <cellStyle name="Обычный 4 9 7 2 2" xfId="3792"/>
    <cellStyle name="Обычный 4 9 7 3" xfId="3793"/>
    <cellStyle name="Обычный 4 9 8" xfId="3794"/>
    <cellStyle name="Обычный 4 9 8 2" xfId="3795"/>
    <cellStyle name="Обычный 4 9 8 2 2" xfId="3796"/>
    <cellStyle name="Обычный 4 9 8 3" xfId="3797"/>
    <cellStyle name="Обычный 4 9 9" xfId="3798"/>
    <cellStyle name="Обычный 4 9 9 2" xfId="3799"/>
    <cellStyle name="Обычный 4 9 9 2 2" xfId="3800"/>
    <cellStyle name="Обычный 4 9 9 3" xfId="3801"/>
    <cellStyle name="Обычный 4_2014 АрхТепло Производственная" xfId="3802"/>
    <cellStyle name="Обычный 40" xfId="5512"/>
    <cellStyle name="Обычный 40 2" xfId="8803"/>
    <cellStyle name="Обычный 41" xfId="5513"/>
    <cellStyle name="Обычный 41 2" xfId="8804"/>
    <cellStyle name="Обычный 42" xfId="5514"/>
    <cellStyle name="Обычный 42 2" xfId="8805"/>
    <cellStyle name="Обычный 43" xfId="5515"/>
    <cellStyle name="Обычный 43 2" xfId="8806"/>
    <cellStyle name="Обычный 44" xfId="5687"/>
    <cellStyle name="Обычный 44 2" xfId="8807"/>
    <cellStyle name="Обычный 45" xfId="5693"/>
    <cellStyle name="Обычный 45 2" xfId="8808"/>
    <cellStyle name="Обычный 46" xfId="5688"/>
    <cellStyle name="Обычный 46 2" xfId="8809"/>
    <cellStyle name="Обычный 47" xfId="8810"/>
    <cellStyle name="Обычный 47 2" xfId="8811"/>
    <cellStyle name="Обычный 48" xfId="8812"/>
    <cellStyle name="Обычный 49" xfId="8813"/>
    <cellStyle name="Обычный 49 2" xfId="8814"/>
    <cellStyle name="Обычный 5" xfId="3803"/>
    <cellStyle name="Обычный 5 10" xfId="8815"/>
    <cellStyle name="Обычный 5 11" xfId="8816"/>
    <cellStyle name="Обычный 5 12" xfId="8817"/>
    <cellStyle name="Обычный 5 13" xfId="8818"/>
    <cellStyle name="Обычный 5 2" xfId="3804"/>
    <cellStyle name="Обычный 5 2 2" xfId="3805"/>
    <cellStyle name="Обычный 5 2 2 2" xfId="8819"/>
    <cellStyle name="Обычный 5 2 2 3" xfId="8820"/>
    <cellStyle name="Обычный 5 2 2 4" xfId="8821"/>
    <cellStyle name="Обычный 5 2 3" xfId="3806"/>
    <cellStyle name="Обычный 5 2 3 2" xfId="8823"/>
    <cellStyle name="Обычный 5 2 3 3" xfId="8822"/>
    <cellStyle name="Обычный 5 2 4" xfId="3807"/>
    <cellStyle name="Обычный 5 2 4 2" xfId="8824"/>
    <cellStyle name="Обычный 5 2 4 3" xfId="4926"/>
    <cellStyle name="Обычный 5 2 5" xfId="8825"/>
    <cellStyle name="Обычный 5 2_Химреагенты" xfId="8826"/>
    <cellStyle name="Обычный 5 3" xfId="3808"/>
    <cellStyle name="Обычный 5 3 2" xfId="4573"/>
    <cellStyle name="Обычный 5 3 3" xfId="8827"/>
    <cellStyle name="Обычный 5 4" xfId="3809"/>
    <cellStyle name="Обычный 5 4 2" xfId="4574"/>
    <cellStyle name="Обычный 5 4 3" xfId="8828"/>
    <cellStyle name="Обычный 5 5" xfId="3810"/>
    <cellStyle name="Обычный 5 5 2" xfId="3811"/>
    <cellStyle name="Обычный 5 5 3" xfId="8829"/>
    <cellStyle name="Обычный 5 6" xfId="3812"/>
    <cellStyle name="Обычный 5 6 2" xfId="3813"/>
    <cellStyle name="Обычный 5 6 3" xfId="8830"/>
    <cellStyle name="Обычный 5 7" xfId="3814"/>
    <cellStyle name="Обычный 5 7 2" xfId="8831"/>
    <cellStyle name="Обычный 5 7 2 2" xfId="8832"/>
    <cellStyle name="Обычный 5 7 3" xfId="8833"/>
    <cellStyle name="Обычный 5 7 4" xfId="8834"/>
    <cellStyle name="Обычный 5 7 5" xfId="5516"/>
    <cellStyle name="Обычный 5 8" xfId="3815"/>
    <cellStyle name="Обычный 5 8 2" xfId="3816"/>
    <cellStyle name="Обычный 5 8 2 2" xfId="8835"/>
    <cellStyle name="Обычный 5 8 3" xfId="8836"/>
    <cellStyle name="Обычный 5 8 4" xfId="5695"/>
    <cellStyle name="Обычный 5 9" xfId="8837"/>
    <cellStyle name="Обычный 5_Мероприятия для тарифной каипании" xfId="3817"/>
    <cellStyle name="Обычный 50" xfId="8838"/>
    <cellStyle name="Обычный 51" xfId="10071"/>
    <cellStyle name="Обычный 52" xfId="5016"/>
    <cellStyle name="Обычный 6" xfId="3818"/>
    <cellStyle name="Обычный 6 2" xfId="3819"/>
    <cellStyle name="Обычный 6 2 2" xfId="3820"/>
    <cellStyle name="Обычный 6 2 2 2" xfId="8839"/>
    <cellStyle name="Обычный 6 2 3" xfId="3821"/>
    <cellStyle name="Обычный 6 2 3 2" xfId="8840"/>
    <cellStyle name="Обычный 6 2 3 3" xfId="8841"/>
    <cellStyle name="Обычный 6 2 3 4" xfId="5517"/>
    <cellStyle name="Обычный 6 2 4" xfId="8842"/>
    <cellStyle name="Обычный 6 2 4 2" xfId="10048"/>
    <cellStyle name="Обычный 6 2 5" xfId="8843"/>
    <cellStyle name="Обычный 6 2 6" xfId="8844"/>
    <cellStyle name="Обычный 6 2 7" xfId="8845"/>
    <cellStyle name="Обычный 6 3" xfId="3822"/>
    <cellStyle name="Обычный 6 3 2" xfId="3823"/>
    <cellStyle name="Обычный 6 3 2 2" xfId="8846"/>
    <cellStyle name="Обычный 6 3 2 3" xfId="5518"/>
    <cellStyle name="Обычный 6 3 3" xfId="4927"/>
    <cellStyle name="Обычный 6 3 3 2" xfId="8847"/>
    <cellStyle name="Обычный 6 3 3 3" xfId="5519"/>
    <cellStyle name="Обычный 6 3 4" xfId="8848"/>
    <cellStyle name="Обычный 6 3 5" xfId="8849"/>
    <cellStyle name="Обычный 6 3 6" xfId="8850"/>
    <cellStyle name="Обычный 6 3 7" xfId="8851"/>
    <cellStyle name="Обычный 6 4" xfId="3824"/>
    <cellStyle name="Обычный 6 4 2" xfId="3825"/>
    <cellStyle name="Обычный 6 4 3" xfId="8852"/>
    <cellStyle name="Обычный 6 5" xfId="3826"/>
    <cellStyle name="Обычный 6 5 2" xfId="3827"/>
    <cellStyle name="Обычный 6 6" xfId="3828"/>
    <cellStyle name="Обычный 6 6 2" xfId="3829"/>
    <cellStyle name="Обычный 6 7" xfId="3830"/>
    <cellStyle name="Обычный 6 7 2" xfId="8853"/>
    <cellStyle name="Обычный 6 7 2 2" xfId="8854"/>
    <cellStyle name="Обычный 6 7 3" xfId="8855"/>
    <cellStyle name="Обычный 6 7 4" xfId="5520"/>
    <cellStyle name="Обычный 6 8" xfId="8856"/>
    <cellStyle name="Обычный 6 9" xfId="8857"/>
    <cellStyle name="Обычный 6_Перерасчет тепловой энергии ООО Березниковское ТСП  на 2013" xfId="3831"/>
    <cellStyle name="Обычный 7" xfId="3832"/>
    <cellStyle name="Обычный 7 10" xfId="3833"/>
    <cellStyle name="Обычный 7 10 2" xfId="3834"/>
    <cellStyle name="Обычный 7 10 2 2" xfId="8858"/>
    <cellStyle name="Обычный 7 10 3" xfId="4575"/>
    <cellStyle name="Обычный 7 11" xfId="3835"/>
    <cellStyle name="Обычный 7 11 2" xfId="3836"/>
    <cellStyle name="Обычный 7 11 2 2" xfId="8859"/>
    <cellStyle name="Обычный 7 12" xfId="3837"/>
    <cellStyle name="Обычный 7 12 2" xfId="4884"/>
    <cellStyle name="Обычный 7 2" xfId="3838"/>
    <cellStyle name="Обычный 7 2 2" xfId="3839"/>
    <cellStyle name="Обычный 7 2 2 2" xfId="3840"/>
    <cellStyle name="Обычный 7 2 2 3" xfId="4576"/>
    <cellStyle name="Обычный 7 2 2 3 2" xfId="8860"/>
    <cellStyle name="Обычный 7 2 2 4" xfId="5521"/>
    <cellStyle name="Обычный 7 2 3" xfId="3841"/>
    <cellStyle name="Обычный 7 2 3 2" xfId="3842"/>
    <cellStyle name="Обычный 7 2 3 2 2" xfId="8861"/>
    <cellStyle name="Обычный 7 2 4" xfId="3843"/>
    <cellStyle name="Обычный 7 2 4 2" xfId="10049"/>
    <cellStyle name="Обычный 7 2 4 3" xfId="4911"/>
    <cellStyle name="Обычный 7 2 5" xfId="10050"/>
    <cellStyle name="Обычный 7 3" xfId="3844"/>
    <cellStyle name="Обычный 7 3 2" xfId="3845"/>
    <cellStyle name="Обычный 7 3 2 2" xfId="4577"/>
    <cellStyle name="Обычный 7 3 2 2 2" xfId="8862"/>
    <cellStyle name="Обычный 7 3 2 3" xfId="8863"/>
    <cellStyle name="Обычный 7 3 2 4" xfId="5522"/>
    <cellStyle name="Обычный 7 3 3" xfId="3846"/>
    <cellStyle name="Обычный 7 3 3 2" xfId="4578"/>
    <cellStyle name="Обычный 7 3 3 3" xfId="8864"/>
    <cellStyle name="Обычный 7 3 4" xfId="3847"/>
    <cellStyle name="Обычный 7 3 4 2" xfId="3848"/>
    <cellStyle name="Обычный 7 3 4 3" xfId="8865"/>
    <cellStyle name="Обычный 7 3 5" xfId="3849"/>
    <cellStyle name="Обычный 7 4" xfId="3850"/>
    <cellStyle name="Обычный 7 4 2" xfId="3851"/>
    <cellStyle name="Обычный 7 4 2 2" xfId="3852"/>
    <cellStyle name="Обычный 7 4 3" xfId="3853"/>
    <cellStyle name="Обычный 7 5" xfId="3854"/>
    <cellStyle name="Обычный 7 5 2" xfId="3855"/>
    <cellStyle name="Обычный 7 5 2 2" xfId="3856"/>
    <cellStyle name="Обычный 7 5 3" xfId="3857"/>
    <cellStyle name="Обычный 7 6" xfId="3858"/>
    <cellStyle name="Обычный 7 6 2" xfId="3859"/>
    <cellStyle name="Обычный 7 6 2 2" xfId="3860"/>
    <cellStyle name="Обычный 7 6 2 2 2" xfId="8866"/>
    <cellStyle name="Обычный 7 6 2 3" xfId="8867"/>
    <cellStyle name="Обычный 7 6 3" xfId="3861"/>
    <cellStyle name="Обычный 7 6 3 2" xfId="8868"/>
    <cellStyle name="Обычный 7 6 4" xfId="8869"/>
    <cellStyle name="Обычный 7 6 5" xfId="5523"/>
    <cellStyle name="Обычный 7 7" xfId="3862"/>
    <cellStyle name="Обычный 7 7 2" xfId="3863"/>
    <cellStyle name="Обычный 7 7 2 2" xfId="3864"/>
    <cellStyle name="Обычный 7 7 2 2 2" xfId="8870"/>
    <cellStyle name="Обычный 7 7 3" xfId="3865"/>
    <cellStyle name="Обычный 7 8" xfId="3866"/>
    <cellStyle name="Обычный 7 8 2" xfId="3867"/>
    <cellStyle name="Обычный 7 8 2 2" xfId="3868"/>
    <cellStyle name="Обычный 7 8 3" xfId="3869"/>
    <cellStyle name="Обычный 7 9" xfId="3870"/>
    <cellStyle name="Обычный 7 9 2" xfId="3871"/>
    <cellStyle name="Обычный 7 9 2 2" xfId="3872"/>
    <cellStyle name="Обычный 7 9 3" xfId="3873"/>
    <cellStyle name="Обычный 8" xfId="3874"/>
    <cellStyle name="Обычный 8 10" xfId="3875"/>
    <cellStyle name="Обычный 8 10 2" xfId="8871"/>
    <cellStyle name="Обычный 8 2" xfId="3876"/>
    <cellStyle name="Обычный 8 2 2" xfId="3877"/>
    <cellStyle name="Обычный 8 2 2 2" xfId="4579"/>
    <cellStyle name="Обычный 8 2 2 2 2" xfId="8872"/>
    <cellStyle name="Обычный 8 2 2 3" xfId="8873"/>
    <cellStyle name="Обычный 8 2 2 4" xfId="5524"/>
    <cellStyle name="Обычный 8 2 3" xfId="3878"/>
    <cellStyle name="Обычный 8 2 3 2" xfId="3879"/>
    <cellStyle name="Обычный 8 2 3 2 2" xfId="8875"/>
    <cellStyle name="Обычный 8 2 3 3" xfId="8874"/>
    <cellStyle name="Обычный 8 2 4" xfId="3880"/>
    <cellStyle name="Обычный 8 2 4 2" xfId="8876"/>
    <cellStyle name="Обычный 8 2 4 3" xfId="4915"/>
    <cellStyle name="Обычный 8 3" xfId="3881"/>
    <cellStyle name="Обычный 8 3 2" xfId="3882"/>
    <cellStyle name="Обычный 8 3 2 2" xfId="4580"/>
    <cellStyle name="Обычный 8 3 2 2 2" xfId="8877"/>
    <cellStyle name="Обычный 8 3 2 3" xfId="8878"/>
    <cellStyle name="Обычный 8 3 2 4" xfId="5525"/>
    <cellStyle name="Обычный 8 3 3" xfId="3883"/>
    <cellStyle name="Обычный 8 3 3 2" xfId="3884"/>
    <cellStyle name="Обычный 8 3 3 2 2" xfId="8880"/>
    <cellStyle name="Обычный 8 3 3 3" xfId="8879"/>
    <cellStyle name="Обычный 8 3 4" xfId="3885"/>
    <cellStyle name="Обычный 8 3 4 2" xfId="8881"/>
    <cellStyle name="Обычный 8 4" xfId="3886"/>
    <cellStyle name="Обычный 8 4 2" xfId="3887"/>
    <cellStyle name="Обычный 8 4 2 2" xfId="3888"/>
    <cellStyle name="Обычный 8 4 3" xfId="3889"/>
    <cellStyle name="Обычный 8 5" xfId="3890"/>
    <cellStyle name="Обычный 8 5 2" xfId="3891"/>
    <cellStyle name="Обычный 8 5 2 2" xfId="3892"/>
    <cellStyle name="Обычный 8 5 3" xfId="3893"/>
    <cellStyle name="Обычный 8 6" xfId="3894"/>
    <cellStyle name="Обычный 8 6 2" xfId="3895"/>
    <cellStyle name="Обычный 8 6 2 2" xfId="3896"/>
    <cellStyle name="Обычный 8 6 2 2 2" xfId="8883"/>
    <cellStyle name="Обычный 8 6 2 3" xfId="8882"/>
    <cellStyle name="Обычный 8 6 3" xfId="3897"/>
    <cellStyle name="Обычный 8 6 3 2" xfId="8884"/>
    <cellStyle name="Обычный 8 6 4" xfId="5526"/>
    <cellStyle name="Обычный 8 7" xfId="3898"/>
    <cellStyle name="Обычный 8 7 2" xfId="3899"/>
    <cellStyle name="Обычный 8 7 2 2" xfId="8885"/>
    <cellStyle name="Обычный 8 7 3" xfId="8886"/>
    <cellStyle name="Обычный 8 8" xfId="3900"/>
    <cellStyle name="Обычный 8 8 2" xfId="4581"/>
    <cellStyle name="Обычный 8 8 2 2" xfId="8888"/>
    <cellStyle name="Обычный 8 8 3" xfId="8887"/>
    <cellStyle name="Обычный 8 9" xfId="3901"/>
    <cellStyle name="Обычный 8 9 2" xfId="3902"/>
    <cellStyle name="Обычный 8 9 3" xfId="8889"/>
    <cellStyle name="Обычный 9" xfId="3903"/>
    <cellStyle name="Обычный 9 2" xfId="3904"/>
    <cellStyle name="Обычный 9 2 2" xfId="3905"/>
    <cellStyle name="Обычный 9 2 2 2" xfId="8890"/>
    <cellStyle name="Обычный 9 2 2 3" xfId="8891"/>
    <cellStyle name="Обычный 9 2 2 4" xfId="5527"/>
    <cellStyle name="Обычный 9 2 3" xfId="3906"/>
    <cellStyle name="Обычный 9 2 3 2" xfId="8893"/>
    <cellStyle name="Обычный 9 2 3 3" xfId="8892"/>
    <cellStyle name="Обычный 9 2 4" xfId="8894"/>
    <cellStyle name="Обычный 9 2 5" xfId="8895"/>
    <cellStyle name="Обычный 9 2 6" xfId="8896"/>
    <cellStyle name="Обычный 9 2 7" xfId="10051"/>
    <cellStyle name="Обычный 9 3" xfId="3907"/>
    <cellStyle name="Обычный 9 3 2" xfId="4582"/>
    <cellStyle name="Обычный 9 4" xfId="3908"/>
    <cellStyle name="Обычный 9 4 2" xfId="3909"/>
    <cellStyle name="Обычный 9 5" xfId="3910"/>
    <cellStyle name="Обычный 9 5 2" xfId="3911"/>
    <cellStyle name="Обычный 9 6" xfId="3912"/>
    <cellStyle name="Обычный 9 6 2" xfId="8897"/>
    <cellStyle name="Обычный 9 6 3" xfId="8898"/>
    <cellStyle name="Обычный 9 6 4" xfId="8899"/>
    <cellStyle name="Обычный 9 6 5" xfId="5528"/>
    <cellStyle name="Обычный 9 7" xfId="3913"/>
    <cellStyle name="Обычный 9 7 2" xfId="3914"/>
    <cellStyle name="Обычный 9 7 2 2" xfId="8901"/>
    <cellStyle name="Обычный 9 7 3" xfId="8900"/>
    <cellStyle name="Обычный 9 8" xfId="3915"/>
    <cellStyle name="Обычный 9 8 2" xfId="8902"/>
    <cellStyle name="Обычный 9 9" xfId="8903"/>
    <cellStyle name="Обычный 9 9 2" xfId="10052"/>
    <cellStyle name="Основной" xfId="8904"/>
    <cellStyle name="Ошибка" xfId="3916"/>
    <cellStyle name="Ошибка 2" xfId="8905"/>
    <cellStyle name="Плохой 10" xfId="3917"/>
    <cellStyle name="Плохой 10 2" xfId="8906"/>
    <cellStyle name="Плохой 10 3" xfId="8907"/>
    <cellStyle name="Плохой 10 4" xfId="8908"/>
    <cellStyle name="Плохой 11" xfId="8909"/>
    <cellStyle name="Плохой 11 2" xfId="8910"/>
    <cellStyle name="Плохой 11 3" xfId="8911"/>
    <cellStyle name="Плохой 11 4" xfId="8912"/>
    <cellStyle name="Плохой 12" xfId="8913"/>
    <cellStyle name="Плохой 12 2" xfId="8914"/>
    <cellStyle name="Плохой 12 3" xfId="8915"/>
    <cellStyle name="Плохой 12 4" xfId="8916"/>
    <cellStyle name="Плохой 13" xfId="8917"/>
    <cellStyle name="Плохой 13 2" xfId="8918"/>
    <cellStyle name="Плохой 13 3" xfId="8919"/>
    <cellStyle name="Плохой 14" xfId="8920"/>
    <cellStyle name="Плохой 14 2" xfId="8921"/>
    <cellStyle name="Плохой 14 3" xfId="8922"/>
    <cellStyle name="Плохой 15" xfId="8923"/>
    <cellStyle name="Плохой 15 2" xfId="8924"/>
    <cellStyle name="Плохой 15 3" xfId="8925"/>
    <cellStyle name="Плохой 16" xfId="8926"/>
    <cellStyle name="Плохой 16 2" xfId="8927"/>
    <cellStyle name="Плохой 16 3" xfId="8928"/>
    <cellStyle name="Плохой 17" xfId="8929"/>
    <cellStyle name="Плохой 18" xfId="8930"/>
    <cellStyle name="Плохой 2" xfId="3918"/>
    <cellStyle name="Плохой 2 1" xfId="8931"/>
    <cellStyle name="Плохой 2 1 2" xfId="8932"/>
    <cellStyle name="Плохой 2 10" xfId="3919"/>
    <cellStyle name="Плохой 2 10 2" xfId="8933"/>
    <cellStyle name="Плохой 2 11" xfId="8934"/>
    <cellStyle name="Плохой 2 12" xfId="8935"/>
    <cellStyle name="Плохой 2 2" xfId="3920"/>
    <cellStyle name="Плохой 2 2 2" xfId="3921"/>
    <cellStyle name="Плохой 2 2 2 2" xfId="8936"/>
    <cellStyle name="Плохой 2 2 2 3" xfId="8937"/>
    <cellStyle name="Плохой 2 2 2 4" xfId="5529"/>
    <cellStyle name="Плохой 2 2 3" xfId="8938"/>
    <cellStyle name="Плохой 2 3" xfId="3922"/>
    <cellStyle name="Плохой 2 3 2" xfId="8939"/>
    <cellStyle name="Плохой 2 3 3" xfId="8940"/>
    <cellStyle name="Плохой 2 4" xfId="3923"/>
    <cellStyle name="Плохой 2 4 2" xfId="8941"/>
    <cellStyle name="Плохой 2 4 3" xfId="8942"/>
    <cellStyle name="Плохой 2 5" xfId="3924"/>
    <cellStyle name="Плохой 2 5 2" xfId="8943"/>
    <cellStyle name="Плохой 2 6" xfId="3925"/>
    <cellStyle name="Плохой 2 6 2" xfId="8944"/>
    <cellStyle name="Плохой 2 7" xfId="3926"/>
    <cellStyle name="Плохой 2 7 2" xfId="8945"/>
    <cellStyle name="Плохой 2 8" xfId="3927"/>
    <cellStyle name="Плохой 2 8 2" xfId="8946"/>
    <cellStyle name="Плохой 2 9" xfId="3928"/>
    <cellStyle name="Плохой 2 9 2" xfId="8947"/>
    <cellStyle name="Плохой 2_МФ тепловой баланс 2015 дубль 3" xfId="3929"/>
    <cellStyle name="Плохой 3" xfId="3930"/>
    <cellStyle name="Плохой 3 10" xfId="3931"/>
    <cellStyle name="Плохой 3 10 2" xfId="8948"/>
    <cellStyle name="Плохой 3 11" xfId="3932"/>
    <cellStyle name="Плохой 3 11 2" xfId="8950"/>
    <cellStyle name="Плохой 3 11 3" xfId="8949"/>
    <cellStyle name="Плохой 3 12" xfId="8951"/>
    <cellStyle name="Плохой 3 2" xfId="3933"/>
    <cellStyle name="Плохой 3 2 2" xfId="8952"/>
    <cellStyle name="Плохой 3 2 3" xfId="8953"/>
    <cellStyle name="Плохой 3 3" xfId="3934"/>
    <cellStyle name="Плохой 3 3 2" xfId="8954"/>
    <cellStyle name="Плохой 3 3 2 2" xfId="8955"/>
    <cellStyle name="Плохой 3 3 3" xfId="8956"/>
    <cellStyle name="Плохой 3 4" xfId="3935"/>
    <cellStyle name="Плохой 3 4 2" xfId="8957"/>
    <cellStyle name="Плохой 3 5" xfId="3936"/>
    <cellStyle name="Плохой 3 5 2" xfId="8958"/>
    <cellStyle name="Плохой 3 6" xfId="3937"/>
    <cellStyle name="Плохой 3 6 2" xfId="8959"/>
    <cellStyle name="Плохой 3 7" xfId="3938"/>
    <cellStyle name="Плохой 3 7 2" xfId="8960"/>
    <cellStyle name="Плохой 3 8" xfId="3939"/>
    <cellStyle name="Плохой 3 8 2" xfId="8961"/>
    <cellStyle name="Плохой 3 9" xfId="3940"/>
    <cellStyle name="Плохой 3 9 2" xfId="8962"/>
    <cellStyle name="Плохой 3_МФ тепловой баланс 2015 дубль 3" xfId="3941"/>
    <cellStyle name="Плохой 4" xfId="3942"/>
    <cellStyle name="Плохой 4 2" xfId="3943"/>
    <cellStyle name="Плохой 4 2 2" xfId="8963"/>
    <cellStyle name="Плохой 4 3" xfId="5530"/>
    <cellStyle name="Плохой 4 3 2" xfId="8964"/>
    <cellStyle name="Плохой 4 3 3" xfId="8965"/>
    <cellStyle name="Плохой 4 4" xfId="8966"/>
    <cellStyle name="Плохой 4_МФ тепловой баланс 2015 дубль 3" xfId="3944"/>
    <cellStyle name="Плохой 5" xfId="3945"/>
    <cellStyle name="Плохой 5 2" xfId="3946"/>
    <cellStyle name="Плохой 5 2 2" xfId="8967"/>
    <cellStyle name="Плохой 5 3" xfId="5531"/>
    <cellStyle name="Плохой 5 3 2" xfId="8968"/>
    <cellStyle name="Плохой 5 3 3" xfId="8969"/>
    <cellStyle name="Плохой 5 4" xfId="8970"/>
    <cellStyle name="Плохой 5_МФ тепловой баланс 2015 дубль 3" xfId="3947"/>
    <cellStyle name="Плохой 6" xfId="3948"/>
    <cellStyle name="Плохой 6 2" xfId="3949"/>
    <cellStyle name="Плохой 6 2 2" xfId="8971"/>
    <cellStyle name="Плохой 6 3" xfId="5532"/>
    <cellStyle name="Плохой 6 3 2" xfId="8972"/>
    <cellStyle name="Плохой 6 3 3" xfId="8973"/>
    <cellStyle name="Плохой 6 4" xfId="8974"/>
    <cellStyle name="Плохой 6_МФ тепловой баланс 2015 дубль 3" xfId="3950"/>
    <cellStyle name="Плохой 7" xfId="3951"/>
    <cellStyle name="Плохой 7 2" xfId="3952"/>
    <cellStyle name="Плохой 7 2 2" xfId="8975"/>
    <cellStyle name="Плохой 7 3" xfId="5533"/>
    <cellStyle name="Плохой 7 3 2" xfId="8976"/>
    <cellStyle name="Плохой 7 3 3" xfId="8977"/>
    <cellStyle name="Плохой 7 4" xfId="8978"/>
    <cellStyle name="Плохой 7_МФ тепловой баланс 2015 дубль 3" xfId="3953"/>
    <cellStyle name="Плохой 8" xfId="3954"/>
    <cellStyle name="Плохой 8 2" xfId="3955"/>
    <cellStyle name="Плохой 8 2 2" xfId="8979"/>
    <cellStyle name="Плохой 8 3" xfId="8980"/>
    <cellStyle name="Плохой 8 4" xfId="8981"/>
    <cellStyle name="Плохой 9" xfId="3956"/>
    <cellStyle name="Плохой 9 2" xfId="3957"/>
    <cellStyle name="Плохой 9 2 2" xfId="8982"/>
    <cellStyle name="Плохой 9 3" xfId="8983"/>
    <cellStyle name="Плохой 9 4" xfId="8984"/>
    <cellStyle name="По центру с переносом" xfId="3958"/>
    <cellStyle name="По центру с переносом 2" xfId="5534"/>
    <cellStyle name="По центру с переносом 2 2" xfId="8985"/>
    <cellStyle name="По центру с переносом 3" xfId="5535"/>
    <cellStyle name="По центру с переносом 3 2" xfId="8986"/>
    <cellStyle name="По центру с переносом 4" xfId="5536"/>
    <cellStyle name="По центру с переносом 4 2" xfId="8987"/>
    <cellStyle name="По центру с переносом 5" xfId="8988"/>
    <cellStyle name="По ширине с переносом" xfId="3959"/>
    <cellStyle name="По ширине с переносом 2" xfId="5537"/>
    <cellStyle name="По ширине с переносом 2 2" xfId="8989"/>
    <cellStyle name="По ширине с переносом 3" xfId="5538"/>
    <cellStyle name="По ширине с переносом 3 2" xfId="8990"/>
    <cellStyle name="По ширине с переносом 4" xfId="5539"/>
    <cellStyle name="По ширине с переносом 4 2" xfId="8991"/>
    <cellStyle name="По ширине с переносом 5" xfId="8992"/>
    <cellStyle name="Подгруппа" xfId="3960"/>
    <cellStyle name="Подгруппа 2" xfId="8993"/>
    <cellStyle name="Поле ввода" xfId="3961"/>
    <cellStyle name="Поле ввода 2" xfId="8994"/>
    <cellStyle name="Пояснение 10" xfId="3962"/>
    <cellStyle name="Пояснение 10 2" xfId="8995"/>
    <cellStyle name="Пояснение 10 3" xfId="8996"/>
    <cellStyle name="Пояснение 10 4" xfId="8997"/>
    <cellStyle name="Пояснение 11" xfId="8998"/>
    <cellStyle name="Пояснение 11 2" xfId="8999"/>
    <cellStyle name="Пояснение 11 3" xfId="9000"/>
    <cellStyle name="Пояснение 11 4" xfId="9001"/>
    <cellStyle name="Пояснение 12" xfId="9002"/>
    <cellStyle name="Пояснение 12 2" xfId="9003"/>
    <cellStyle name="Пояснение 12 3" xfId="9004"/>
    <cellStyle name="Пояснение 13" xfId="9005"/>
    <cellStyle name="Пояснение 13 2" xfId="9006"/>
    <cellStyle name="Пояснение 13 3" xfId="9007"/>
    <cellStyle name="Пояснение 14" xfId="9008"/>
    <cellStyle name="Пояснение 14 2" xfId="9009"/>
    <cellStyle name="Пояснение 14 3" xfId="9010"/>
    <cellStyle name="Пояснение 15" xfId="9011"/>
    <cellStyle name="Пояснение 15 2" xfId="9012"/>
    <cellStyle name="Пояснение 15 3" xfId="9013"/>
    <cellStyle name="Пояснение 16" xfId="9014"/>
    <cellStyle name="Пояснение 16 2" xfId="9015"/>
    <cellStyle name="Пояснение 16 3" xfId="9016"/>
    <cellStyle name="Пояснение 17" xfId="9017"/>
    <cellStyle name="Пояснение 18" xfId="9018"/>
    <cellStyle name="Пояснение 2" xfId="3963"/>
    <cellStyle name="Пояснение 2 1" xfId="9019"/>
    <cellStyle name="Пояснение 2 1 2" xfId="9020"/>
    <cellStyle name="Пояснение 2 10" xfId="3964"/>
    <cellStyle name="Пояснение 2 10 2" xfId="9021"/>
    <cellStyle name="Пояснение 2 11" xfId="9022"/>
    <cellStyle name="Пояснение 2 12" xfId="9023"/>
    <cellStyle name="Пояснение 2 2" xfId="3965"/>
    <cellStyle name="Пояснение 2 2 2" xfId="3966"/>
    <cellStyle name="Пояснение 2 2 2 2" xfId="9024"/>
    <cellStyle name="Пояснение 2 2 2 3" xfId="9025"/>
    <cellStyle name="Пояснение 2 2 2 4" xfId="5540"/>
    <cellStyle name="Пояснение 2 2 3" xfId="9026"/>
    <cellStyle name="Пояснение 2 3" xfId="3967"/>
    <cellStyle name="Пояснение 2 3 2" xfId="9027"/>
    <cellStyle name="Пояснение 2 4" xfId="3968"/>
    <cellStyle name="Пояснение 2 4 2" xfId="9028"/>
    <cellStyle name="Пояснение 2 5" xfId="3969"/>
    <cellStyle name="Пояснение 2 5 2" xfId="9029"/>
    <cellStyle name="Пояснение 2 6" xfId="3970"/>
    <cellStyle name="Пояснение 2 6 2" xfId="9030"/>
    <cellStyle name="Пояснение 2 7" xfId="3971"/>
    <cellStyle name="Пояснение 2 7 2" xfId="9031"/>
    <cellStyle name="Пояснение 2 8" xfId="3972"/>
    <cellStyle name="Пояснение 2 8 2" xfId="9032"/>
    <cellStyle name="Пояснение 2 9" xfId="3973"/>
    <cellStyle name="Пояснение 2 9 2" xfId="9033"/>
    <cellStyle name="Пояснение 2_МФ тепловой баланс 2015 дубль 3" xfId="3974"/>
    <cellStyle name="Пояснение 3" xfId="3975"/>
    <cellStyle name="Пояснение 3 10" xfId="3976"/>
    <cellStyle name="Пояснение 3 10 2" xfId="9034"/>
    <cellStyle name="Пояснение 3 11" xfId="3977"/>
    <cellStyle name="Пояснение 3 11 2" xfId="9036"/>
    <cellStyle name="Пояснение 3 11 3" xfId="9035"/>
    <cellStyle name="Пояснение 3 12" xfId="9037"/>
    <cellStyle name="Пояснение 3 2" xfId="3978"/>
    <cellStyle name="Пояснение 3 2 2" xfId="9038"/>
    <cellStyle name="Пояснение 3 2 3" xfId="9039"/>
    <cellStyle name="Пояснение 3 3" xfId="3979"/>
    <cellStyle name="Пояснение 3 3 2" xfId="9040"/>
    <cellStyle name="Пояснение 3 3 3" xfId="9041"/>
    <cellStyle name="Пояснение 3 4" xfId="3980"/>
    <cellStyle name="Пояснение 3 4 2" xfId="9042"/>
    <cellStyle name="Пояснение 3 5" xfId="3981"/>
    <cellStyle name="Пояснение 3 5 2" xfId="9043"/>
    <cellStyle name="Пояснение 3 6" xfId="3982"/>
    <cellStyle name="Пояснение 3 6 2" xfId="9044"/>
    <cellStyle name="Пояснение 3 7" xfId="3983"/>
    <cellStyle name="Пояснение 3 7 2" xfId="9045"/>
    <cellStyle name="Пояснение 3 8" xfId="3984"/>
    <cellStyle name="Пояснение 3 8 2" xfId="9046"/>
    <cellStyle name="Пояснение 3 9" xfId="3985"/>
    <cellStyle name="Пояснение 3 9 2" xfId="9047"/>
    <cellStyle name="Пояснение 3_МФ тепловой баланс 2015 дубль 3" xfId="3986"/>
    <cellStyle name="Пояснение 4" xfId="3987"/>
    <cellStyle name="Пояснение 4 2" xfId="3988"/>
    <cellStyle name="Пояснение 4 2 2" xfId="9048"/>
    <cellStyle name="Пояснение 4 3" xfId="5541"/>
    <cellStyle name="Пояснение 4 3 2" xfId="9049"/>
    <cellStyle name="Пояснение 4 4" xfId="9050"/>
    <cellStyle name="Пояснение 4_МФ тепловой баланс 2015 дубль 3" xfId="3989"/>
    <cellStyle name="Пояснение 5" xfId="3990"/>
    <cellStyle name="Пояснение 5 2" xfId="3991"/>
    <cellStyle name="Пояснение 5 2 2" xfId="9051"/>
    <cellStyle name="Пояснение 5 3" xfId="5542"/>
    <cellStyle name="Пояснение 5 3 2" xfId="9052"/>
    <cellStyle name="Пояснение 5 4" xfId="9053"/>
    <cellStyle name="Пояснение 5_МФ тепловой баланс 2015 дубль 3" xfId="3992"/>
    <cellStyle name="Пояснение 6" xfId="3993"/>
    <cellStyle name="Пояснение 6 2" xfId="3994"/>
    <cellStyle name="Пояснение 6 2 2" xfId="9054"/>
    <cellStyle name="Пояснение 6 3" xfId="5543"/>
    <cellStyle name="Пояснение 6 3 2" xfId="9055"/>
    <cellStyle name="Пояснение 6 4" xfId="9056"/>
    <cellStyle name="Пояснение 6_МФ тепловой баланс 2015 дубль 3" xfId="3995"/>
    <cellStyle name="Пояснение 7" xfId="3996"/>
    <cellStyle name="Пояснение 7 2" xfId="3997"/>
    <cellStyle name="Пояснение 7 2 2" xfId="9057"/>
    <cellStyle name="Пояснение 7 3" xfId="5544"/>
    <cellStyle name="Пояснение 7 3 2" xfId="9058"/>
    <cellStyle name="Пояснение 7 4" xfId="9059"/>
    <cellStyle name="Пояснение 7_МФ тепловой баланс 2015 дубль 3" xfId="3998"/>
    <cellStyle name="Пояснение 8" xfId="3999"/>
    <cellStyle name="Пояснение 8 2" xfId="4000"/>
    <cellStyle name="Пояснение 8 2 2" xfId="9060"/>
    <cellStyle name="Пояснение 8 3" xfId="9061"/>
    <cellStyle name="Пояснение 8 4" xfId="9062"/>
    <cellStyle name="Пояснение 9" xfId="4001"/>
    <cellStyle name="Пояснение 9 2" xfId="4002"/>
    <cellStyle name="Пояснение 9 2 2" xfId="9063"/>
    <cellStyle name="Пояснение 9 3" xfId="9064"/>
    <cellStyle name="Пояснение 9 4" xfId="9065"/>
    <cellStyle name="Примечание 10" xfId="4003"/>
    <cellStyle name="Примечание 10 2" xfId="4004"/>
    <cellStyle name="Примечание 10 2 2" xfId="9066"/>
    <cellStyle name="Примечание 10 3" xfId="4005"/>
    <cellStyle name="Примечание 10 3 2" xfId="9067"/>
    <cellStyle name="Примечание 10 4" xfId="5545"/>
    <cellStyle name="Примечание 10 4 2" xfId="9068"/>
    <cellStyle name="Примечание 10 5" xfId="9069"/>
    <cellStyle name="Примечание 10_46EE.2011(v1.0)" xfId="4006"/>
    <cellStyle name="Примечание 11" xfId="4007"/>
    <cellStyle name="Примечание 11 2" xfId="4008"/>
    <cellStyle name="Примечание 11 2 2" xfId="9070"/>
    <cellStyle name="Примечание 11 3" xfId="4009"/>
    <cellStyle name="Примечание 11 3 2" xfId="9071"/>
    <cellStyle name="Примечание 11 4" xfId="5546"/>
    <cellStyle name="Примечание 11 4 2" xfId="9072"/>
    <cellStyle name="Примечание 11 5" xfId="9073"/>
    <cellStyle name="Примечание 11_46EE.2011(v1.0)" xfId="4010"/>
    <cellStyle name="Примечание 12" xfId="4011"/>
    <cellStyle name="Примечание 12 2" xfId="4012"/>
    <cellStyle name="Примечание 12 2 2" xfId="9074"/>
    <cellStyle name="Примечание 12 3" xfId="4013"/>
    <cellStyle name="Примечание 12 3 2" xfId="9075"/>
    <cellStyle name="Примечание 12 4" xfId="5547"/>
    <cellStyle name="Примечание 12 4 2" xfId="9076"/>
    <cellStyle name="Примечание 12 5" xfId="9077"/>
    <cellStyle name="Примечание 12_46EE.2011(v1.0)" xfId="4014"/>
    <cellStyle name="Примечание 13" xfId="4015"/>
    <cellStyle name="Примечание 13 2" xfId="9078"/>
    <cellStyle name="Примечание 13 2 2" xfId="9079"/>
    <cellStyle name="Примечание 13 3" xfId="9080"/>
    <cellStyle name="Примечание 13 4" xfId="9081"/>
    <cellStyle name="Примечание 14" xfId="4016"/>
    <cellStyle name="Примечание 14 2" xfId="4017"/>
    <cellStyle name="Примечание 14 2 2" xfId="9083"/>
    <cellStyle name="Примечание 14 2 3" xfId="9082"/>
    <cellStyle name="Примечание 14 3" xfId="9084"/>
    <cellStyle name="Примечание 14 4" xfId="9085"/>
    <cellStyle name="Примечание 15" xfId="4018"/>
    <cellStyle name="Примечание 15 2" xfId="4019"/>
    <cellStyle name="Примечание 15 2 2" xfId="9087"/>
    <cellStyle name="Примечание 15 2 3" xfId="9086"/>
    <cellStyle name="Примечание 15 3" xfId="9088"/>
    <cellStyle name="Примечание 15 4" xfId="9089"/>
    <cellStyle name="Примечание 16" xfId="4020"/>
    <cellStyle name="Примечание 16 2" xfId="9090"/>
    <cellStyle name="Примечание 16 2 2" xfId="9091"/>
    <cellStyle name="Примечание 16 3" xfId="9092"/>
    <cellStyle name="Примечание 16 4" xfId="9093"/>
    <cellStyle name="Примечание 16 5" xfId="5548"/>
    <cellStyle name="Примечание 17" xfId="4021"/>
    <cellStyle name="Примечание 17 2" xfId="9094"/>
    <cellStyle name="Примечание 17 3" xfId="9095"/>
    <cellStyle name="Примечание 17 4" xfId="5549"/>
    <cellStyle name="Примечание 18" xfId="4022"/>
    <cellStyle name="Примечание 18 2" xfId="9096"/>
    <cellStyle name="Примечание 18 3" xfId="9097"/>
    <cellStyle name="Примечание 18 4" xfId="5550"/>
    <cellStyle name="Примечание 19" xfId="4023"/>
    <cellStyle name="Примечание 19 2" xfId="9098"/>
    <cellStyle name="Примечание 19 3" xfId="5551"/>
    <cellStyle name="Примечание 2" xfId="4024"/>
    <cellStyle name="Примечание 2 1" xfId="9099"/>
    <cellStyle name="Примечание 2 1 2" xfId="9100"/>
    <cellStyle name="Примечание 2 10" xfId="4025"/>
    <cellStyle name="Примечание 2 10 2" xfId="4026"/>
    <cellStyle name="Примечание 2 10 2 2" xfId="4027"/>
    <cellStyle name="Примечание 2 10 2 2 2" xfId="9101"/>
    <cellStyle name="Примечание 2 10 3" xfId="4028"/>
    <cellStyle name="Примечание 2 11" xfId="4029"/>
    <cellStyle name="Примечание 2 11 2" xfId="4583"/>
    <cellStyle name="Примечание 2 11 2 2" xfId="9103"/>
    <cellStyle name="Примечание 2 11 3" xfId="9104"/>
    <cellStyle name="Примечание 2 11 4" xfId="9102"/>
    <cellStyle name="Примечание 2 12" xfId="4030"/>
    <cellStyle name="Примечание 2 12 2" xfId="4031"/>
    <cellStyle name="Примечание 2 12 2 2" xfId="9106"/>
    <cellStyle name="Примечание 2 12 3" xfId="9105"/>
    <cellStyle name="Примечание 2 13" xfId="4032"/>
    <cellStyle name="Примечание 2 13 2" xfId="4885"/>
    <cellStyle name="Примечание 2 2" xfId="4033"/>
    <cellStyle name="Примечание 2 2 2" xfId="4034"/>
    <cellStyle name="Примечание 2 2 2 2" xfId="4584"/>
    <cellStyle name="Примечание 2 2 2 2 2" xfId="9108"/>
    <cellStyle name="Примечание 2 2 2 2 3" xfId="9107"/>
    <cellStyle name="Примечание 2 2 2 3" xfId="9109"/>
    <cellStyle name="Примечание 2 2 2 4" xfId="5552"/>
    <cellStyle name="Примечание 2 2 3" xfId="4035"/>
    <cellStyle name="Примечание 2 2 3 2" xfId="4585"/>
    <cellStyle name="Примечание 2 2 3 2 2" xfId="9111"/>
    <cellStyle name="Примечание 2 2 3 3" xfId="9110"/>
    <cellStyle name="Примечание 2 2 4" xfId="4036"/>
    <cellStyle name="Примечание 2 2 4 2" xfId="4037"/>
    <cellStyle name="Примечание 2 2 4 2 2" xfId="9112"/>
    <cellStyle name="Примечание 2 2 4 3" xfId="4928"/>
    <cellStyle name="Примечание 2 2 5" xfId="4038"/>
    <cellStyle name="Примечание 2 3" xfId="4039"/>
    <cellStyle name="Примечание 2 3 2" xfId="4040"/>
    <cellStyle name="Примечание 2 3 2 2" xfId="4586"/>
    <cellStyle name="Примечание 2 3 2 2 2" xfId="9113"/>
    <cellStyle name="Примечание 2 3 2 3" xfId="9114"/>
    <cellStyle name="Примечание 2 3 2 4" xfId="5553"/>
    <cellStyle name="Примечание 2 3 3" xfId="4041"/>
    <cellStyle name="Примечание 2 3 3 2" xfId="4042"/>
    <cellStyle name="Примечание 2 3 3 2 2" xfId="9116"/>
    <cellStyle name="Примечание 2 3 3 3" xfId="9115"/>
    <cellStyle name="Примечание 2 3 4" xfId="4043"/>
    <cellStyle name="Примечание 2 3 4 2" xfId="9117"/>
    <cellStyle name="Примечание 2 4" xfId="4044"/>
    <cellStyle name="Примечание 2 4 2" xfId="4045"/>
    <cellStyle name="Примечание 2 4 2 2" xfId="4587"/>
    <cellStyle name="Примечание 2 4 2 2 2" xfId="9118"/>
    <cellStyle name="Примечание 2 4 2 3" xfId="9119"/>
    <cellStyle name="Примечание 2 4 2 4" xfId="5554"/>
    <cellStyle name="Примечание 2 4 3" xfId="4046"/>
    <cellStyle name="Примечание 2 4 3 2" xfId="4047"/>
    <cellStyle name="Примечание 2 4 3 2 2" xfId="9120"/>
    <cellStyle name="Примечание 2 4 4" xfId="4048"/>
    <cellStyle name="Примечание 2 4 4 2" xfId="9121"/>
    <cellStyle name="Примечание 2 5" xfId="4049"/>
    <cellStyle name="Примечание 2 5 2" xfId="4050"/>
    <cellStyle name="Примечание 2 5 2 2" xfId="4588"/>
    <cellStyle name="Примечание 2 5 2 2 2" xfId="9122"/>
    <cellStyle name="Примечание 2 5 2 3" xfId="9123"/>
    <cellStyle name="Примечание 2 5 2 4" xfId="5555"/>
    <cellStyle name="Примечание 2 5 3" xfId="4051"/>
    <cellStyle name="Примечание 2 5 3 2" xfId="4052"/>
    <cellStyle name="Примечание 2 5 3 2 2" xfId="9124"/>
    <cellStyle name="Примечание 2 5 4" xfId="4053"/>
    <cellStyle name="Примечание 2 5 4 2" xfId="9125"/>
    <cellStyle name="Примечание 2 6" xfId="4054"/>
    <cellStyle name="Примечание 2 6 2" xfId="4055"/>
    <cellStyle name="Примечание 2 6 2 2" xfId="4589"/>
    <cellStyle name="Примечание 2 6 2 2 2" xfId="9126"/>
    <cellStyle name="Примечание 2 6 2 3" xfId="9127"/>
    <cellStyle name="Примечание 2 6 2 4" xfId="5556"/>
    <cellStyle name="Примечание 2 6 3" xfId="4056"/>
    <cellStyle name="Примечание 2 6 3 2" xfId="4057"/>
    <cellStyle name="Примечание 2 6 3 2 2" xfId="9128"/>
    <cellStyle name="Примечание 2 6 4" xfId="4058"/>
    <cellStyle name="Примечание 2 6 4 2" xfId="9129"/>
    <cellStyle name="Примечание 2 7" xfId="4059"/>
    <cellStyle name="Примечание 2 7 2" xfId="4060"/>
    <cellStyle name="Примечание 2 7 2 2" xfId="4590"/>
    <cellStyle name="Примечание 2 7 2 2 2" xfId="9130"/>
    <cellStyle name="Примечание 2 7 2 3" xfId="9131"/>
    <cellStyle name="Примечание 2 7 2 4" xfId="5557"/>
    <cellStyle name="Примечание 2 7 3" xfId="4061"/>
    <cellStyle name="Примечание 2 7 3 2" xfId="4062"/>
    <cellStyle name="Примечание 2 7 3 2 2" xfId="9132"/>
    <cellStyle name="Примечание 2 7 4" xfId="4063"/>
    <cellStyle name="Примечание 2 7 4 2" xfId="9133"/>
    <cellStyle name="Примечание 2 8" xfId="4064"/>
    <cellStyle name="Примечание 2 8 2" xfId="4065"/>
    <cellStyle name="Примечание 2 8 2 2" xfId="4591"/>
    <cellStyle name="Примечание 2 8 2 2 2" xfId="9134"/>
    <cellStyle name="Примечание 2 8 2 3" xfId="9135"/>
    <cellStyle name="Примечание 2 8 2 4" xfId="5558"/>
    <cellStyle name="Примечание 2 8 3" xfId="4066"/>
    <cellStyle name="Примечание 2 8 3 2" xfId="4067"/>
    <cellStyle name="Примечание 2 8 3 2 2" xfId="9136"/>
    <cellStyle name="Примечание 2 8 4" xfId="4068"/>
    <cellStyle name="Примечание 2 8 4 2" xfId="9137"/>
    <cellStyle name="Примечание 2 9" xfId="4069"/>
    <cellStyle name="Примечание 2 9 2" xfId="4070"/>
    <cellStyle name="Примечание 2 9 2 2" xfId="4592"/>
    <cellStyle name="Примечание 2 9 2 2 2" xfId="9138"/>
    <cellStyle name="Примечание 2 9 2 3" xfId="9139"/>
    <cellStyle name="Примечание 2 9 2 4" xfId="5559"/>
    <cellStyle name="Примечание 2 9 3" xfId="4071"/>
    <cellStyle name="Примечание 2 9 3 2" xfId="4072"/>
    <cellStyle name="Примечание 2 9 3 2 2" xfId="9140"/>
    <cellStyle name="Примечание 2 9 4" xfId="4073"/>
    <cellStyle name="Примечание 2 9 4 2" xfId="9141"/>
    <cellStyle name="Примечание 2_46EE.2011(v1.0)" xfId="4074"/>
    <cellStyle name="Примечание 20" xfId="4075"/>
    <cellStyle name="Примечание 20 2" xfId="9142"/>
    <cellStyle name="Примечание 20 3" xfId="5560"/>
    <cellStyle name="Примечание 21" xfId="4076"/>
    <cellStyle name="Примечание 21 2" xfId="9143"/>
    <cellStyle name="Примечание 21 3" xfId="5561"/>
    <cellStyle name="Примечание 22" xfId="4077"/>
    <cellStyle name="Примечание 22 2" xfId="9144"/>
    <cellStyle name="Примечание 22 3" xfId="5562"/>
    <cellStyle name="Примечание 23" xfId="4078"/>
    <cellStyle name="Примечание 23 2" xfId="9145"/>
    <cellStyle name="Примечание 23 3" xfId="5563"/>
    <cellStyle name="Примечание 24" xfId="4079"/>
    <cellStyle name="Примечание 24 2" xfId="9146"/>
    <cellStyle name="Примечание 24 3" xfId="5564"/>
    <cellStyle name="Примечание 25" xfId="4080"/>
    <cellStyle name="Примечание 25 2" xfId="9147"/>
    <cellStyle name="Примечание 25 3" xfId="5565"/>
    <cellStyle name="Примечание 26" xfId="4081"/>
    <cellStyle name="Примечание 26 2" xfId="9148"/>
    <cellStyle name="Примечание 26 3" xfId="5566"/>
    <cellStyle name="Примечание 27" xfId="4082"/>
    <cellStyle name="Примечание 27 2" xfId="9149"/>
    <cellStyle name="Примечание 27 3" xfId="5567"/>
    <cellStyle name="Примечание 28" xfId="4083"/>
    <cellStyle name="Примечание 28 2" xfId="9150"/>
    <cellStyle name="Примечание 28 3" xfId="5568"/>
    <cellStyle name="Примечание 29" xfId="4084"/>
    <cellStyle name="Примечание 29 2" xfId="9151"/>
    <cellStyle name="Примечание 29 3" xfId="5569"/>
    <cellStyle name="Примечание 3" xfId="4085"/>
    <cellStyle name="Примечание 3 10" xfId="4086"/>
    <cellStyle name="Примечание 3 10 2" xfId="4087"/>
    <cellStyle name="Примечание 3 10 2 2" xfId="4088"/>
    <cellStyle name="Примечание 3 10 2 2 2" xfId="9153"/>
    <cellStyle name="Примечание 3 10 2 3" xfId="9152"/>
    <cellStyle name="Примечание 3 10 3" xfId="4089"/>
    <cellStyle name="Примечание 3 11" xfId="4090"/>
    <cellStyle name="Примечание 3 11 2" xfId="4593"/>
    <cellStyle name="Примечание 3 11 2 2" xfId="9155"/>
    <cellStyle name="Примечание 3 11 3" xfId="9154"/>
    <cellStyle name="Примечание 3 12" xfId="4091"/>
    <cellStyle name="Примечание 3 12 2" xfId="4092"/>
    <cellStyle name="Примечание 3 12 2 2" xfId="9157"/>
    <cellStyle name="Примечание 3 12 3" xfId="9156"/>
    <cellStyle name="Примечание 3 13" xfId="4093"/>
    <cellStyle name="Примечание 3 13 2" xfId="9158"/>
    <cellStyle name="Примечание 3 13 3" xfId="4886"/>
    <cellStyle name="Примечание 3 2" xfId="4094"/>
    <cellStyle name="Примечание 3 2 2" xfId="4095"/>
    <cellStyle name="Примечание 3 2 2 2" xfId="4594"/>
    <cellStyle name="Примечание 3 2 2 2 2" xfId="9159"/>
    <cellStyle name="Примечание 3 2 2 3" xfId="9160"/>
    <cellStyle name="Примечание 3 2 2 4" xfId="5570"/>
    <cellStyle name="Примечание 3 2 3" xfId="4096"/>
    <cellStyle name="Примечание 3 2 3 2" xfId="4097"/>
    <cellStyle name="Примечание 3 2 3 2 2" xfId="9161"/>
    <cellStyle name="Примечание 3 2 4" xfId="4098"/>
    <cellStyle name="Примечание 3 2 4 2" xfId="9162"/>
    <cellStyle name="Примечание 3 3" xfId="4099"/>
    <cellStyle name="Примечание 3 3 2" xfId="4100"/>
    <cellStyle name="Примечание 3 3 2 2" xfId="4595"/>
    <cellStyle name="Примечание 3 3 2 2 2" xfId="9163"/>
    <cellStyle name="Примечание 3 3 2 3" xfId="9164"/>
    <cellStyle name="Примечание 3 3 2 4" xfId="5571"/>
    <cellStyle name="Примечание 3 3 3" xfId="4101"/>
    <cellStyle name="Примечание 3 3 3 2" xfId="4102"/>
    <cellStyle name="Примечание 3 3 3 2 2" xfId="9165"/>
    <cellStyle name="Примечание 3 3 4" xfId="4103"/>
    <cellStyle name="Примечание 3 3 4 2" xfId="9166"/>
    <cellStyle name="Примечание 3 4" xfId="4104"/>
    <cellStyle name="Примечание 3 4 2" xfId="4105"/>
    <cellStyle name="Примечание 3 4 2 2" xfId="4596"/>
    <cellStyle name="Примечание 3 4 2 2 2" xfId="9167"/>
    <cellStyle name="Примечание 3 4 2 3" xfId="9168"/>
    <cellStyle name="Примечание 3 4 2 4" xfId="5572"/>
    <cellStyle name="Примечание 3 4 3" xfId="4106"/>
    <cellStyle name="Примечание 3 4 3 2" xfId="4107"/>
    <cellStyle name="Примечание 3 4 3 2 2" xfId="9169"/>
    <cellStyle name="Примечание 3 4 4" xfId="4108"/>
    <cellStyle name="Примечание 3 4 4 2" xfId="9170"/>
    <cellStyle name="Примечание 3 5" xfId="4109"/>
    <cellStyle name="Примечание 3 5 2" xfId="4110"/>
    <cellStyle name="Примечание 3 5 2 2" xfId="4597"/>
    <cellStyle name="Примечание 3 5 2 2 2" xfId="9171"/>
    <cellStyle name="Примечание 3 5 2 3" xfId="9172"/>
    <cellStyle name="Примечание 3 5 2 4" xfId="5573"/>
    <cellStyle name="Примечание 3 5 3" xfId="4111"/>
    <cellStyle name="Примечание 3 5 3 2" xfId="4112"/>
    <cellStyle name="Примечание 3 5 3 2 2" xfId="9173"/>
    <cellStyle name="Примечание 3 5 4" xfId="4113"/>
    <cellStyle name="Примечание 3 5 4 2" xfId="9174"/>
    <cellStyle name="Примечание 3 6" xfId="4114"/>
    <cellStyle name="Примечание 3 6 2" xfId="4115"/>
    <cellStyle name="Примечание 3 6 2 2" xfId="4598"/>
    <cellStyle name="Примечание 3 6 2 2 2" xfId="9175"/>
    <cellStyle name="Примечание 3 6 2 3" xfId="9176"/>
    <cellStyle name="Примечание 3 6 2 4" xfId="5574"/>
    <cellStyle name="Примечание 3 6 3" xfId="4116"/>
    <cellStyle name="Примечание 3 6 3 2" xfId="4117"/>
    <cellStyle name="Примечание 3 6 3 2 2" xfId="9177"/>
    <cellStyle name="Примечание 3 6 4" xfId="4118"/>
    <cellStyle name="Примечание 3 6 4 2" xfId="9178"/>
    <cellStyle name="Примечание 3 7" xfId="4119"/>
    <cellStyle name="Примечание 3 7 2" xfId="4120"/>
    <cellStyle name="Примечание 3 7 2 2" xfId="4599"/>
    <cellStyle name="Примечание 3 7 2 2 2" xfId="9179"/>
    <cellStyle name="Примечание 3 7 2 3" xfId="9180"/>
    <cellStyle name="Примечание 3 7 2 4" xfId="5575"/>
    <cellStyle name="Примечание 3 7 3" xfId="4121"/>
    <cellStyle name="Примечание 3 7 3 2" xfId="4122"/>
    <cellStyle name="Примечание 3 7 3 2 2" xfId="9181"/>
    <cellStyle name="Примечание 3 7 4" xfId="4123"/>
    <cellStyle name="Примечание 3 7 4 2" xfId="9182"/>
    <cellStyle name="Примечание 3 8" xfId="4124"/>
    <cellStyle name="Примечание 3 8 2" xfId="4125"/>
    <cellStyle name="Примечание 3 8 2 2" xfId="4600"/>
    <cellStyle name="Примечание 3 8 2 2 2" xfId="9183"/>
    <cellStyle name="Примечание 3 8 2 3" xfId="9184"/>
    <cellStyle name="Примечание 3 8 2 4" xfId="5576"/>
    <cellStyle name="Примечание 3 8 3" xfId="4126"/>
    <cellStyle name="Примечание 3 8 3 2" xfId="4127"/>
    <cellStyle name="Примечание 3 8 3 2 2" xfId="9185"/>
    <cellStyle name="Примечание 3 8 4" xfId="4128"/>
    <cellStyle name="Примечание 3 8 4 2" xfId="9186"/>
    <cellStyle name="Примечание 3 9" xfId="4129"/>
    <cellStyle name="Примечание 3 9 2" xfId="4130"/>
    <cellStyle name="Примечание 3 9 2 2" xfId="4601"/>
    <cellStyle name="Примечание 3 9 2 2 2" xfId="9187"/>
    <cellStyle name="Примечание 3 9 2 3" xfId="9188"/>
    <cellStyle name="Примечание 3 9 2 4" xfId="5577"/>
    <cellStyle name="Примечание 3 9 3" xfId="4131"/>
    <cellStyle name="Примечание 3 9 3 2" xfId="4132"/>
    <cellStyle name="Примечание 3 9 3 2 2" xfId="9189"/>
    <cellStyle name="Примечание 3 9 4" xfId="4133"/>
    <cellStyle name="Примечание 3 9 4 2" xfId="9190"/>
    <cellStyle name="Примечание 3_46EE.2011(v1.0)" xfId="4134"/>
    <cellStyle name="Примечание 30" xfId="4135"/>
    <cellStyle name="Примечание 30 2" xfId="9191"/>
    <cellStyle name="Примечание 30 3" xfId="5578"/>
    <cellStyle name="Примечание 31" xfId="4136"/>
    <cellStyle name="Примечание 31 2" xfId="9192"/>
    <cellStyle name="Примечание 31 3" xfId="5579"/>
    <cellStyle name="Примечание 32" xfId="4137"/>
    <cellStyle name="Примечание 32 2" xfId="9193"/>
    <cellStyle name="Примечание 32 3" xfId="5580"/>
    <cellStyle name="Примечание 33" xfId="4138"/>
    <cellStyle name="Примечание 33 2" xfId="9194"/>
    <cellStyle name="Примечание 33 3" xfId="5581"/>
    <cellStyle name="Примечание 34" xfId="4493"/>
    <cellStyle name="Примечание 34 2" xfId="9195"/>
    <cellStyle name="Примечание 34 3" xfId="5582"/>
    <cellStyle name="Примечание 35" xfId="4497"/>
    <cellStyle name="Примечание 35 2" xfId="9196"/>
    <cellStyle name="Примечание 35 3" xfId="5583"/>
    <cellStyle name="Примечание 36" xfId="4496"/>
    <cellStyle name="Примечание 36 2" xfId="9197"/>
    <cellStyle name="Примечание 36 3" xfId="5584"/>
    <cellStyle name="Примечание 37" xfId="4498"/>
    <cellStyle name="Примечание 37 2" xfId="9198"/>
    <cellStyle name="Примечание 37 3" xfId="5585"/>
    <cellStyle name="Примечание 38" xfId="4495"/>
    <cellStyle name="Примечание 38 2" xfId="9199"/>
    <cellStyle name="Примечание 38 3" xfId="5691"/>
    <cellStyle name="Примечание 39" xfId="5692"/>
    <cellStyle name="Примечание 39 2" xfId="9200"/>
    <cellStyle name="Примечание 4" xfId="4139"/>
    <cellStyle name="Примечание 4 10" xfId="4887"/>
    <cellStyle name="Примечание 4 10 2" xfId="9201"/>
    <cellStyle name="Примечание 4 10 3" xfId="9202"/>
    <cellStyle name="Примечание 4 11" xfId="9203"/>
    <cellStyle name="Примечание 4 2" xfId="4140"/>
    <cellStyle name="Примечание 4 2 2" xfId="9204"/>
    <cellStyle name="Примечание 4 3" xfId="4141"/>
    <cellStyle name="Примечание 4 3 2" xfId="9205"/>
    <cellStyle name="Примечание 4 4" xfId="4142"/>
    <cellStyle name="Примечание 4 4 2" xfId="9206"/>
    <cellStyle name="Примечание 4 5" xfId="4143"/>
    <cellStyle name="Примечание 4 5 2" xfId="9207"/>
    <cellStyle name="Примечание 4 6" xfId="4144"/>
    <cellStyle name="Примечание 4 6 2" xfId="9208"/>
    <cellStyle name="Примечание 4 7" xfId="4145"/>
    <cellStyle name="Примечание 4 7 2" xfId="9209"/>
    <cellStyle name="Примечание 4 8" xfId="4146"/>
    <cellStyle name="Примечание 4 8 2" xfId="9210"/>
    <cellStyle name="Примечание 4 9" xfId="4147"/>
    <cellStyle name="Примечание 4 9 2" xfId="9211"/>
    <cellStyle name="Примечание 4_46EE.2011(v1.0)" xfId="4148"/>
    <cellStyle name="Примечание 40" xfId="9212"/>
    <cellStyle name="Примечание 41" xfId="9213"/>
    <cellStyle name="Примечание 42" xfId="9214"/>
    <cellStyle name="Примечание 43" xfId="9215"/>
    <cellStyle name="Примечание 44" xfId="9216"/>
    <cellStyle name="Примечание 45" xfId="9217"/>
    <cellStyle name="Примечание 46" xfId="9218"/>
    <cellStyle name="Примечание 47" xfId="9219"/>
    <cellStyle name="Примечание 48" xfId="9220"/>
    <cellStyle name="Примечание 5" xfId="4149"/>
    <cellStyle name="Примечание 5 10" xfId="4888"/>
    <cellStyle name="Примечание 5 10 2" xfId="9221"/>
    <cellStyle name="Примечание 5 10 3" xfId="9222"/>
    <cellStyle name="Примечание 5 11" xfId="9223"/>
    <cellStyle name="Примечание 5 2" xfId="4150"/>
    <cellStyle name="Примечание 5 2 2" xfId="9224"/>
    <cellStyle name="Примечание 5 3" xfId="4151"/>
    <cellStyle name="Примечание 5 3 2" xfId="9225"/>
    <cellStyle name="Примечание 5 4" xfId="4152"/>
    <cellStyle name="Примечание 5 4 2" xfId="9226"/>
    <cellStyle name="Примечание 5 5" xfId="4153"/>
    <cellStyle name="Примечание 5 5 2" xfId="9227"/>
    <cellStyle name="Примечание 5 6" xfId="4154"/>
    <cellStyle name="Примечание 5 6 2" xfId="9228"/>
    <cellStyle name="Примечание 5 7" xfId="4155"/>
    <cellStyle name="Примечание 5 7 2" xfId="9229"/>
    <cellStyle name="Примечание 5 8" xfId="4156"/>
    <cellStyle name="Примечание 5 8 2" xfId="9230"/>
    <cellStyle name="Примечание 5 9" xfId="4157"/>
    <cellStyle name="Примечание 5 9 2" xfId="9231"/>
    <cellStyle name="Примечание 5_46EE.2011(v1.0)" xfId="4158"/>
    <cellStyle name="Примечание 6" xfId="4159"/>
    <cellStyle name="Примечание 6 2" xfId="4160"/>
    <cellStyle name="Примечание 6 2 2" xfId="9232"/>
    <cellStyle name="Примечание 6 3" xfId="5586"/>
    <cellStyle name="Примечание 6 3 2" xfId="9233"/>
    <cellStyle name="Примечание 6 3 3" xfId="9234"/>
    <cellStyle name="Примечание 6 4" xfId="9235"/>
    <cellStyle name="Примечание 6 5" xfId="9236"/>
    <cellStyle name="Примечание 6_46EE.2011(v1.0)" xfId="4161"/>
    <cellStyle name="Примечание 7" xfId="4162"/>
    <cellStyle name="Примечание 7 2" xfId="4163"/>
    <cellStyle name="Примечание 7 2 2" xfId="9237"/>
    <cellStyle name="Примечание 7 3" xfId="5587"/>
    <cellStyle name="Примечание 7 3 2" xfId="9238"/>
    <cellStyle name="Примечание 7 3 3" xfId="9239"/>
    <cellStyle name="Примечание 7 4" xfId="9240"/>
    <cellStyle name="Примечание 7_46EE.2011(v1.0)" xfId="4164"/>
    <cellStyle name="Примечание 8" xfId="4165"/>
    <cellStyle name="Примечание 8 2" xfId="4166"/>
    <cellStyle name="Примечание 8 2 2" xfId="9241"/>
    <cellStyle name="Примечание 8 3" xfId="9242"/>
    <cellStyle name="Примечание 8 3 2" xfId="9243"/>
    <cellStyle name="Примечание 8 4" xfId="9244"/>
    <cellStyle name="Примечание 8 5" xfId="5588"/>
    <cellStyle name="Примечание 8_46EE.2011(v1.0)" xfId="4167"/>
    <cellStyle name="Примечание 9" xfId="4168"/>
    <cellStyle name="Примечание 9 2" xfId="4169"/>
    <cellStyle name="Примечание 9 2 2" xfId="9245"/>
    <cellStyle name="Примечание 9 3" xfId="9246"/>
    <cellStyle name="Примечание 9 4" xfId="9247"/>
    <cellStyle name="Примечание 9_46EE.2011(v1.0)" xfId="4170"/>
    <cellStyle name="Продукт" xfId="4171"/>
    <cellStyle name="Продукт 2" xfId="9248"/>
    <cellStyle name="Процент_ГСМ (з)" xfId="9249"/>
    <cellStyle name="Процентный" xfId="10077" builtinId="5"/>
    <cellStyle name="Процентный 10" xfId="4172"/>
    <cellStyle name="Процентный 10 2" xfId="4173"/>
    <cellStyle name="Процентный 10 2 2" xfId="5590"/>
    <cellStyle name="Процентный 10 2 3" xfId="9250"/>
    <cellStyle name="Процентный 10 2 4" xfId="9251"/>
    <cellStyle name="Процентный 10 3" xfId="4841"/>
    <cellStyle name="Процентный 10 3 2" xfId="9253"/>
    <cellStyle name="Процентный 10 3 3" xfId="9252"/>
    <cellStyle name="Процентный 10 4" xfId="9254"/>
    <cellStyle name="Процентный 10 4 2" xfId="9255"/>
    <cellStyle name="Процентный 10 5" xfId="9256"/>
    <cellStyle name="Процентный 10 5 2" xfId="10053"/>
    <cellStyle name="Процентный 10 6" xfId="5589"/>
    <cellStyle name="Процентный 11" xfId="4174"/>
    <cellStyle name="Процентный 11 2" xfId="4175"/>
    <cellStyle name="Процентный 11 2 2" xfId="9257"/>
    <cellStyle name="Процентный 11 3" xfId="9258"/>
    <cellStyle name="Процентный 12" xfId="4176"/>
    <cellStyle name="Процентный 12 2" xfId="9259"/>
    <cellStyle name="Процентный 12 2 2" xfId="9260"/>
    <cellStyle name="Процентный 12 3" xfId="9261"/>
    <cellStyle name="Процентный 12 4" xfId="9262"/>
    <cellStyle name="Процентный 12 5" xfId="9263"/>
    <cellStyle name="Процентный 12 6" xfId="5591"/>
    <cellStyle name="Процентный 13" xfId="4177"/>
    <cellStyle name="Процентный 13 2" xfId="4970"/>
    <cellStyle name="Процентный 13 2 2" xfId="9264"/>
    <cellStyle name="Процентный 13 3" xfId="9265"/>
    <cellStyle name="Процентный 14" xfId="4178"/>
    <cellStyle name="Процентный 14 2" xfId="9267"/>
    <cellStyle name="Процентный 14 3" xfId="9268"/>
    <cellStyle name="Процентный 14 4" xfId="9266"/>
    <cellStyle name="Процентный 15" xfId="4179"/>
    <cellStyle name="Процентный 15 2" xfId="9270"/>
    <cellStyle name="Процентный 15 3" xfId="9269"/>
    <cellStyle name="Процентный 16" xfId="9271"/>
    <cellStyle name="Процентный 17" xfId="10070"/>
    <cellStyle name="Процентный 2" xfId="4180"/>
    <cellStyle name="Процентный 2 2" xfId="4181"/>
    <cellStyle name="Процентный 2 2 2" xfId="4182"/>
    <cellStyle name="Процентный 2 2 2 2" xfId="4183"/>
    <cellStyle name="Процентный 2 2 2 2 2" xfId="9272"/>
    <cellStyle name="Процентный 2 2 2 2 3" xfId="9273"/>
    <cellStyle name="Процентный 2 2 2 2 4" xfId="5592"/>
    <cellStyle name="Процентный 2 2 2 3" xfId="9274"/>
    <cellStyle name="Процентный 2 2 2 3 2" xfId="9275"/>
    <cellStyle name="Процентный 2 2 2 4" xfId="9276"/>
    <cellStyle name="Процентный 2 2 2 5" xfId="9277"/>
    <cellStyle name="Процентный 2 2 2 6" xfId="9278"/>
    <cellStyle name="Процентный 2 2 3" xfId="4184"/>
    <cellStyle name="Процентный 2 2 3 2" xfId="5594"/>
    <cellStyle name="Процентный 2 2 3 3" xfId="9279"/>
    <cellStyle name="Процентный 2 2 3 4" xfId="9280"/>
    <cellStyle name="Процентный 2 2 3 5" xfId="5593"/>
    <cellStyle name="Процентный 2 2 4" xfId="4185"/>
    <cellStyle name="Процентный 2 2 4 2" xfId="9281"/>
    <cellStyle name="Процентный 2 2 4 2 2" xfId="9282"/>
    <cellStyle name="Процентный 2 2 4 3" xfId="9283"/>
    <cellStyle name="Процентный 2 2 5" xfId="4186"/>
    <cellStyle name="Процентный 2 2 5 2" xfId="9284"/>
    <cellStyle name="Процентный 2 2 5 2 2" xfId="9285"/>
    <cellStyle name="Процентный 2 2 5 3" xfId="9286"/>
    <cellStyle name="Процентный 2 2 5 4" xfId="9287"/>
    <cellStyle name="Процентный 2 2 5 5" xfId="5595"/>
    <cellStyle name="Процентный 2 2 6" xfId="9288"/>
    <cellStyle name="Процентный 2 2 6 2" xfId="9289"/>
    <cellStyle name="Процентный 2 2 7" xfId="9290"/>
    <cellStyle name="Процентный 2 3" xfId="4187"/>
    <cellStyle name="Процентный 2 3 2" xfId="4188"/>
    <cellStyle name="Процентный 2 3 2 2" xfId="9291"/>
    <cellStyle name="Процентный 2 3 2 3" xfId="9292"/>
    <cellStyle name="Процентный 2 3 2 4" xfId="9293"/>
    <cellStyle name="Процентный 2 3 3" xfId="4602"/>
    <cellStyle name="Процентный 2 3 3 2" xfId="9294"/>
    <cellStyle name="Процентный 2 3 3 2 2" xfId="9295"/>
    <cellStyle name="Процентный 2 3 3 3" xfId="9296"/>
    <cellStyle name="Процентный 2 3 3 4" xfId="5596"/>
    <cellStyle name="Процентный 2 3 4" xfId="4837"/>
    <cellStyle name="Процентный 2 3 4 2" xfId="9297"/>
    <cellStyle name="Процентный 2 3 4 3" xfId="5597"/>
    <cellStyle name="Процентный 2 3 5" xfId="9298"/>
    <cellStyle name="Процентный 2 3 5 2" xfId="9299"/>
    <cellStyle name="Процентный 2 3 6" xfId="9300"/>
    <cellStyle name="Процентный 2 3 7" xfId="9301"/>
    <cellStyle name="Процентный 2 4" xfId="4189"/>
    <cellStyle name="Процентный 2 4 2" xfId="4190"/>
    <cellStyle name="Процентный 2 4 2 2" xfId="9303"/>
    <cellStyle name="Процентный 2 4 2 3" xfId="9304"/>
    <cellStyle name="Процентный 2 4 2 4" xfId="9302"/>
    <cellStyle name="Процентный 2 4 3" xfId="4603"/>
    <cellStyle name="Процентный 2 4 3 2" xfId="9306"/>
    <cellStyle name="Процентный 2 4 3 3" xfId="9305"/>
    <cellStyle name="Процентный 2 4 4" xfId="4838"/>
    <cellStyle name="Процентный 2 4 4 2" xfId="9307"/>
    <cellStyle name="Процентный 2 4 5" xfId="4929"/>
    <cellStyle name="Процентный 2 5" xfId="4191"/>
    <cellStyle name="Процентный 2 5 2" xfId="4971"/>
    <cellStyle name="Процентный 2 5 2 2" xfId="9308"/>
    <cellStyle name="Процентный 2 5 3" xfId="9309"/>
    <cellStyle name="Процентный 2 6" xfId="4192"/>
    <cellStyle name="Процентный 2 6 2" xfId="4982"/>
    <cellStyle name="Процентный 2 6 2 2" xfId="9310"/>
    <cellStyle name="Процентный 2 6 3" xfId="5598"/>
    <cellStyle name="Процентный 2 7" xfId="4538"/>
    <cellStyle name="Процентный 2 7 2" xfId="9311"/>
    <cellStyle name="Процентный 2 7 3" xfId="10054"/>
    <cellStyle name="Процентный 2 8" xfId="4835"/>
    <cellStyle name="Процентный 2 8 2" xfId="9312"/>
    <cellStyle name="Процентный 2_2014 АрхТепло Производственная" xfId="4193"/>
    <cellStyle name="Процентный 3" xfId="4194"/>
    <cellStyle name="Процентный 3 1" xfId="9313"/>
    <cellStyle name="Процентный 3 1 2" xfId="9314"/>
    <cellStyle name="Процентный 3 2" xfId="4195"/>
    <cellStyle name="Процентный 3 2 2" xfId="4196"/>
    <cellStyle name="Процентный 3 2 2 2" xfId="9315"/>
    <cellStyle name="Процентный 3 2 2 2 2" xfId="9316"/>
    <cellStyle name="Процентный 3 2 2 3" xfId="9317"/>
    <cellStyle name="Процентный 3 2 3" xfId="4197"/>
    <cellStyle name="Процентный 3 2 3 2" xfId="9318"/>
    <cellStyle name="Процентный 3 2 4" xfId="5599"/>
    <cellStyle name="Процентный 3 2 4 2" xfId="9319"/>
    <cellStyle name="Процентный 3 2 4 3" xfId="9320"/>
    <cellStyle name="Процентный 3 2 5" xfId="5600"/>
    <cellStyle name="Процентный 3 2 5 2" xfId="9321"/>
    <cellStyle name="Процентный 3 2 6" xfId="9322"/>
    <cellStyle name="Процентный 3 2 7" xfId="9323"/>
    <cellStyle name="Процентный 3 3" xfId="4198"/>
    <cellStyle name="Процентный 3 3 2" xfId="4842"/>
    <cellStyle name="Процентный 3 3 2 2" xfId="9324"/>
    <cellStyle name="Процентный 3 3 3" xfId="5601"/>
    <cellStyle name="Процентный 3 3 3 2" xfId="9325"/>
    <cellStyle name="Процентный 3 3 4" xfId="9326"/>
    <cellStyle name="Процентный 3 3 5" xfId="9327"/>
    <cellStyle name="Процентный 3 3 6" xfId="9328"/>
    <cellStyle name="Процентный 3 3 7" xfId="10055"/>
    <cellStyle name="Процентный 3 4" xfId="4199"/>
    <cellStyle name="Процентный 3 4 2" xfId="9329"/>
    <cellStyle name="Процентный 3 4 2 2" xfId="9330"/>
    <cellStyle name="Процентный 3 4 3" xfId="9331"/>
    <cellStyle name="Процентный 3 5" xfId="4200"/>
    <cellStyle name="Процентный 3 5 2" xfId="4973"/>
    <cellStyle name="Процентный 3 5 2 2" xfId="9332"/>
    <cellStyle name="Процентный 3 5 3" xfId="9333"/>
    <cellStyle name="Процентный 3 5 4" xfId="5602"/>
    <cellStyle name="Процентный 3 6" xfId="4201"/>
    <cellStyle name="Процентный 3 6 2" xfId="9334"/>
    <cellStyle name="Процентный 3 7" xfId="9335"/>
    <cellStyle name="Процентный 3_!!!!!ТАРИФ на 2013 ТеплоСнаб" xfId="9336"/>
    <cellStyle name="Процентный 4" xfId="4202"/>
    <cellStyle name="Процентный 4 10" xfId="10056"/>
    <cellStyle name="Процентный 4 2" xfId="4203"/>
    <cellStyle name="Процентный 4 2 2" xfId="4204"/>
    <cellStyle name="Процентный 4 2 2 2" xfId="4205"/>
    <cellStyle name="Процентный 4 2 2 2 2" xfId="9337"/>
    <cellStyle name="Процентный 4 2 2 2 3" xfId="9338"/>
    <cellStyle name="Процентный 4 2 2 3" xfId="5604"/>
    <cellStyle name="Процентный 4 2 2 4" xfId="9339"/>
    <cellStyle name="Процентный 4 2 2 5" xfId="9340"/>
    <cellStyle name="Процентный 4 2 2 6" xfId="10057"/>
    <cellStyle name="Процентный 4 2 2 7" xfId="5603"/>
    <cellStyle name="Процентный 4 2 3" xfId="4206"/>
    <cellStyle name="Процентный 4 2 3 2" xfId="4916"/>
    <cellStyle name="Процентный 4 2 3 2 2" xfId="9341"/>
    <cellStyle name="Процентный 4 2 3 3" xfId="9342"/>
    <cellStyle name="Процентный 4 2 4" xfId="4207"/>
    <cellStyle name="Процентный 4 2 4 2" xfId="9343"/>
    <cellStyle name="Процентный 4 2 4 3" xfId="9344"/>
    <cellStyle name="Процентный 4 2 4 4" xfId="5605"/>
    <cellStyle name="Процентный 4 2 5" xfId="4890"/>
    <cellStyle name="Процентный 4 2 5 2" xfId="9346"/>
    <cellStyle name="Процентный 4 2 5 3" xfId="9345"/>
    <cellStyle name="Процентный 4 2 6" xfId="9347"/>
    <cellStyle name="Процентный 4 2 7" xfId="9348"/>
    <cellStyle name="Процентный 4 2_Приложения ЛФ корр" xfId="4208"/>
    <cellStyle name="Процентный 4 3" xfId="4209"/>
    <cellStyle name="Процентный 4 3 2" xfId="4210"/>
    <cellStyle name="Процентный 4 3 2 2" xfId="9349"/>
    <cellStyle name="Процентный 4 3 2 2 2" xfId="9350"/>
    <cellStyle name="Процентный 4 3 2 3" xfId="9351"/>
    <cellStyle name="Процентный 4 3 3" xfId="4211"/>
    <cellStyle name="Процентный 4 3 3 2" xfId="9352"/>
    <cellStyle name="Процентный 4 3 3 3" xfId="9353"/>
    <cellStyle name="Процентный 4 3 3 4" xfId="5606"/>
    <cellStyle name="Процентный 4 3 4" xfId="4212"/>
    <cellStyle name="Процентный 4 3 4 2" xfId="9354"/>
    <cellStyle name="Процентный 4 3 4 3" xfId="10058"/>
    <cellStyle name="Процентный 4 3 4 4" xfId="5607"/>
    <cellStyle name="Процентный 4 3 5" xfId="5608"/>
    <cellStyle name="Процентный 4 3 5 2" xfId="9355"/>
    <cellStyle name="Процентный 4 3 5 3" xfId="9356"/>
    <cellStyle name="Процентный 4 3 6" xfId="5609"/>
    <cellStyle name="Процентный 4 3 7" xfId="9357"/>
    <cellStyle name="Процентный 4 3 8" xfId="9358"/>
    <cellStyle name="Процентный 4 4" xfId="4213"/>
    <cellStyle name="Процентный 4 4 2" xfId="4214"/>
    <cellStyle name="Процентный 4 4 2 2" xfId="4215"/>
    <cellStyle name="Процентный 4 4 2 3" xfId="9359"/>
    <cellStyle name="Процентный 4 4 3" xfId="9360"/>
    <cellStyle name="Процентный 4 5" xfId="4216"/>
    <cellStyle name="Процентный 4 5 2" xfId="4217"/>
    <cellStyle name="Процентный 4 5 3" xfId="9361"/>
    <cellStyle name="Процентный 4 6" xfId="4604"/>
    <cellStyle name="Процентный 4 6 2" xfId="9363"/>
    <cellStyle name="Процентный 4 6 3" xfId="9364"/>
    <cellStyle name="Процентный 4 6 4" xfId="9362"/>
    <cellStyle name="Процентный 4 7" xfId="4889"/>
    <cellStyle name="Процентный 4 8" xfId="9365"/>
    <cellStyle name="Процентный 4 9" xfId="9366"/>
    <cellStyle name="Процентный 4_Приложения ЛФ корр" xfId="4218"/>
    <cellStyle name="Процентный 5" xfId="4219"/>
    <cellStyle name="Процентный 5 2" xfId="4220"/>
    <cellStyle name="Процентный 5 2 2" xfId="4221"/>
    <cellStyle name="Процентный 5 2 2 2" xfId="9367"/>
    <cellStyle name="Процентный 5 2 2 3" xfId="9368"/>
    <cellStyle name="Процентный 5 2 3" xfId="4222"/>
    <cellStyle name="Процентный 5 2 3 2" xfId="9369"/>
    <cellStyle name="Процентный 5 2 4" xfId="9370"/>
    <cellStyle name="Процентный 5 2 5" xfId="9371"/>
    <cellStyle name="Процентный 5 3" xfId="4223"/>
    <cellStyle name="Процентный 5 3 2" xfId="9372"/>
    <cellStyle name="Процентный 5 3 3" xfId="9373"/>
    <cellStyle name="Процентный 5 4" xfId="4224"/>
    <cellStyle name="Процентный 5 4 2" xfId="4974"/>
    <cellStyle name="Процентный 5 4 2 2" xfId="9374"/>
    <cellStyle name="Процентный 5 4 3" xfId="9375"/>
    <cellStyle name="Процентный 5 5" xfId="4225"/>
    <cellStyle name="Процентный 5 5 2" xfId="9377"/>
    <cellStyle name="Процентный 5 5 3" xfId="9376"/>
    <cellStyle name="Процентный 5 6" xfId="4226"/>
    <cellStyle name="Процентный 5 6 2" xfId="9379"/>
    <cellStyle name="Процентный 5 6 3" xfId="9378"/>
    <cellStyle name="Процентный 5 7" xfId="4605"/>
    <cellStyle name="Процентный 6" xfId="4227"/>
    <cellStyle name="Процентный 6 2" xfId="4228"/>
    <cellStyle name="Процентный 6 2 2" xfId="9380"/>
    <cellStyle name="Процентный 6 2 3" xfId="9381"/>
    <cellStyle name="Процентный 6 3" xfId="4229"/>
    <cellStyle name="Процентный 6 3 2" xfId="4230"/>
    <cellStyle name="Процентный 6 3 3" xfId="9382"/>
    <cellStyle name="Процентный 6 4" xfId="4606"/>
    <cellStyle name="Процентный 6 4 2" xfId="9383"/>
    <cellStyle name="Процентный 6 4 3" xfId="9384"/>
    <cellStyle name="Процентный 6 5" xfId="9385"/>
    <cellStyle name="Процентный 6 6" xfId="9386"/>
    <cellStyle name="Процентный 6_Приложения ЛФ корр" xfId="4231"/>
    <cellStyle name="Процентный 7" xfId="4232"/>
    <cellStyle name="Процентный 7 2" xfId="4233"/>
    <cellStyle name="Процентный 7 2 2" xfId="9387"/>
    <cellStyle name="Процентный 7 3" xfId="4234"/>
    <cellStyle name="Процентный 7 3 2" xfId="9388"/>
    <cellStyle name="Процентный 7 3 2 2" xfId="9389"/>
    <cellStyle name="Процентный 7 3 3" xfId="9390"/>
    <cellStyle name="Процентный 7 3 4" xfId="9391"/>
    <cellStyle name="Процентный 7 3 5" xfId="5610"/>
    <cellStyle name="Процентный 7 4" xfId="4891"/>
    <cellStyle name="Процентный 7 4 2" xfId="9392"/>
    <cellStyle name="Процентный 8" xfId="4235"/>
    <cellStyle name="Процентный 8 2" xfId="4236"/>
    <cellStyle name="Процентный 8 2 2" xfId="4237"/>
    <cellStyle name="Процентный 8 2 3" xfId="9393"/>
    <cellStyle name="Процентный 8 2 4" xfId="9394"/>
    <cellStyle name="Процентный 8 2 5" xfId="10059"/>
    <cellStyle name="Процентный 8 3" xfId="4238"/>
    <cellStyle name="Процентный 8 3 2" xfId="4975"/>
    <cellStyle name="Процентный 8 3 2 2" xfId="9395"/>
    <cellStyle name="Процентный 8 3 3" xfId="9396"/>
    <cellStyle name="Процентный 8 3 4" xfId="9397"/>
    <cellStyle name="Процентный 8 4" xfId="4892"/>
    <cellStyle name="Процентный 8 4 2" xfId="9398"/>
    <cellStyle name="Процентный 8 4 3" xfId="9399"/>
    <cellStyle name="Процентный 8 4 4" xfId="5611"/>
    <cellStyle name="Процентный 8 5" xfId="9400"/>
    <cellStyle name="Процентный 8 6" xfId="9401"/>
    <cellStyle name="Процентный 8 7" xfId="9402"/>
    <cellStyle name="Процентный 9" xfId="4239"/>
    <cellStyle name="Процентный 9 2" xfId="4240"/>
    <cellStyle name="Процентный 9 2 2" xfId="9403"/>
    <cellStyle name="Процентный 9 2 3" xfId="9404"/>
    <cellStyle name="Процентный 9 2 4" xfId="5612"/>
    <cellStyle name="Процентный 9 3" xfId="4241"/>
    <cellStyle name="Процентный 9 3 2" xfId="9406"/>
    <cellStyle name="Процентный 9 3 3" xfId="9405"/>
    <cellStyle name="Процентный 9 4" xfId="9407"/>
    <cellStyle name="Разница" xfId="4242"/>
    <cellStyle name="Разница 2" xfId="9408"/>
    <cellStyle name="Рамки" xfId="4243"/>
    <cellStyle name="Рамки 2" xfId="9409"/>
    <cellStyle name="Расчетный" xfId="9410"/>
    <cellStyle name="Сверхулин" xfId="9411"/>
    <cellStyle name="Сводная таблица" xfId="4244"/>
    <cellStyle name="Сводная таблица 2" xfId="9412"/>
    <cellStyle name="Связанная ячейка 10" xfId="4245"/>
    <cellStyle name="Связанная ячейка 10 2" xfId="9413"/>
    <cellStyle name="Связанная ячейка 10 3" xfId="9414"/>
    <cellStyle name="Связанная ячейка 10 4" xfId="9415"/>
    <cellStyle name="Связанная ячейка 11" xfId="9416"/>
    <cellStyle name="Связанная ячейка 11 2" xfId="9417"/>
    <cellStyle name="Связанная ячейка 11 3" xfId="9418"/>
    <cellStyle name="Связанная ячейка 11 4" xfId="9419"/>
    <cellStyle name="Связанная ячейка 12" xfId="9420"/>
    <cellStyle name="Связанная ячейка 12 2" xfId="9421"/>
    <cellStyle name="Связанная ячейка 12 3" xfId="9422"/>
    <cellStyle name="Связанная ячейка 13" xfId="9423"/>
    <cellStyle name="Связанная ячейка 13 2" xfId="9424"/>
    <cellStyle name="Связанная ячейка 13 3" xfId="9425"/>
    <cellStyle name="Связанная ячейка 14" xfId="9426"/>
    <cellStyle name="Связанная ячейка 14 2" xfId="9427"/>
    <cellStyle name="Связанная ячейка 14 3" xfId="9428"/>
    <cellStyle name="Связанная ячейка 15" xfId="9429"/>
    <cellStyle name="Связанная ячейка 15 2" xfId="9430"/>
    <cellStyle name="Связанная ячейка 15 3" xfId="9431"/>
    <cellStyle name="Связанная ячейка 16" xfId="9432"/>
    <cellStyle name="Связанная ячейка 16 2" xfId="9433"/>
    <cellStyle name="Связанная ячейка 16 3" xfId="9434"/>
    <cellStyle name="Связанная ячейка 17" xfId="9435"/>
    <cellStyle name="Связанная ячейка 18" xfId="9436"/>
    <cellStyle name="Связанная ячейка 2" xfId="4246"/>
    <cellStyle name="Связанная ячейка 2 1" xfId="9437"/>
    <cellStyle name="Связанная ячейка 2 1 2" xfId="9438"/>
    <cellStyle name="Связанная ячейка 2 10" xfId="4247"/>
    <cellStyle name="Связанная ячейка 2 10 2" xfId="9439"/>
    <cellStyle name="Связанная ячейка 2 11" xfId="9440"/>
    <cellStyle name="Связанная ячейка 2 12" xfId="9441"/>
    <cellStyle name="Связанная ячейка 2 2" xfId="4248"/>
    <cellStyle name="Связанная ячейка 2 2 2" xfId="4249"/>
    <cellStyle name="Связанная ячейка 2 2 2 2" xfId="9442"/>
    <cellStyle name="Связанная ячейка 2 2 2 3" xfId="9443"/>
    <cellStyle name="Связанная ячейка 2 2 2 4" xfId="5613"/>
    <cellStyle name="Связанная ячейка 2 2 3" xfId="9444"/>
    <cellStyle name="Связанная ячейка 2 3" xfId="4250"/>
    <cellStyle name="Связанная ячейка 2 3 2" xfId="9445"/>
    <cellStyle name="Связанная ячейка 2 4" xfId="4251"/>
    <cellStyle name="Связанная ячейка 2 4 2" xfId="9446"/>
    <cellStyle name="Связанная ячейка 2 5" xfId="4252"/>
    <cellStyle name="Связанная ячейка 2 5 2" xfId="9447"/>
    <cellStyle name="Связанная ячейка 2 6" xfId="4253"/>
    <cellStyle name="Связанная ячейка 2 6 2" xfId="9448"/>
    <cellStyle name="Связанная ячейка 2 7" xfId="4254"/>
    <cellStyle name="Связанная ячейка 2 7 2" xfId="9449"/>
    <cellStyle name="Связанная ячейка 2 8" xfId="4255"/>
    <cellStyle name="Связанная ячейка 2 8 2" xfId="9450"/>
    <cellStyle name="Связанная ячейка 2 9" xfId="4256"/>
    <cellStyle name="Связанная ячейка 2 9 2" xfId="9451"/>
    <cellStyle name="Связанная ячейка 2_46EE.2011(v1.0)" xfId="4257"/>
    <cellStyle name="Связанная ячейка 3" xfId="4258"/>
    <cellStyle name="Связанная ячейка 3 10" xfId="4259"/>
    <cellStyle name="Связанная ячейка 3 10 2" xfId="9452"/>
    <cellStyle name="Связанная ячейка 3 11" xfId="4260"/>
    <cellStyle name="Связанная ячейка 3 11 2" xfId="9454"/>
    <cellStyle name="Связанная ячейка 3 11 3" xfId="9453"/>
    <cellStyle name="Связанная ячейка 3 12" xfId="9455"/>
    <cellStyle name="Связанная ячейка 3 2" xfId="4261"/>
    <cellStyle name="Связанная ячейка 3 2 2" xfId="9456"/>
    <cellStyle name="Связанная ячейка 3 2 3" xfId="9457"/>
    <cellStyle name="Связанная ячейка 3 3" xfId="4262"/>
    <cellStyle name="Связанная ячейка 3 3 2" xfId="9458"/>
    <cellStyle name="Связанная ячейка 3 3 3" xfId="9459"/>
    <cellStyle name="Связанная ячейка 3 4" xfId="4263"/>
    <cellStyle name="Связанная ячейка 3 4 2" xfId="9460"/>
    <cellStyle name="Связанная ячейка 3 5" xfId="4264"/>
    <cellStyle name="Связанная ячейка 3 5 2" xfId="9461"/>
    <cellStyle name="Связанная ячейка 3 6" xfId="4265"/>
    <cellStyle name="Связанная ячейка 3 6 2" xfId="9462"/>
    <cellStyle name="Связанная ячейка 3 7" xfId="4266"/>
    <cellStyle name="Связанная ячейка 3 7 2" xfId="9463"/>
    <cellStyle name="Связанная ячейка 3 8" xfId="4267"/>
    <cellStyle name="Связанная ячейка 3 8 2" xfId="9464"/>
    <cellStyle name="Связанная ячейка 3 9" xfId="4268"/>
    <cellStyle name="Связанная ячейка 3 9 2" xfId="9465"/>
    <cellStyle name="Связанная ячейка 3_46EE.2011(v1.0)" xfId="4269"/>
    <cellStyle name="Связанная ячейка 4" xfId="4270"/>
    <cellStyle name="Связанная ячейка 4 2" xfId="4271"/>
    <cellStyle name="Связанная ячейка 4 2 2" xfId="9466"/>
    <cellStyle name="Связанная ячейка 4 3" xfId="5614"/>
    <cellStyle name="Связанная ячейка 4 3 2" xfId="9467"/>
    <cellStyle name="Связанная ячейка 4 4" xfId="9468"/>
    <cellStyle name="Связанная ячейка 4_46EE.2011(v1.0)" xfId="4272"/>
    <cellStyle name="Связанная ячейка 5" xfId="4273"/>
    <cellStyle name="Связанная ячейка 5 2" xfId="4274"/>
    <cellStyle name="Связанная ячейка 5 2 2" xfId="9469"/>
    <cellStyle name="Связанная ячейка 5 3" xfId="5615"/>
    <cellStyle name="Связанная ячейка 5 3 2" xfId="9470"/>
    <cellStyle name="Связанная ячейка 5 4" xfId="9471"/>
    <cellStyle name="Связанная ячейка 5_46EE.2011(v1.0)" xfId="4275"/>
    <cellStyle name="Связанная ячейка 6" xfId="4276"/>
    <cellStyle name="Связанная ячейка 6 2" xfId="4277"/>
    <cellStyle name="Связанная ячейка 6 2 2" xfId="4607"/>
    <cellStyle name="Связанная ячейка 6 3" xfId="4608"/>
    <cellStyle name="Связанная ячейка 6 3 2" xfId="9472"/>
    <cellStyle name="Связанная ячейка 6 4" xfId="9473"/>
    <cellStyle name="Связанная ячейка 6_46EE.2011(v1.0)" xfId="4278"/>
    <cellStyle name="Связанная ячейка 7" xfId="4279"/>
    <cellStyle name="Связанная ячейка 7 2" xfId="4280"/>
    <cellStyle name="Связанная ячейка 7 2 2" xfId="4609"/>
    <cellStyle name="Связанная ячейка 7 3" xfId="4610"/>
    <cellStyle name="Связанная ячейка 7 3 2" xfId="9474"/>
    <cellStyle name="Связанная ячейка 7 4" xfId="9475"/>
    <cellStyle name="Связанная ячейка 7_46EE.2011(v1.0)" xfId="4281"/>
    <cellStyle name="Связанная ячейка 8" xfId="4282"/>
    <cellStyle name="Связанная ячейка 8 2" xfId="4283"/>
    <cellStyle name="Связанная ячейка 8 2 2" xfId="4611"/>
    <cellStyle name="Связанная ячейка 8 3" xfId="4612"/>
    <cellStyle name="Связанная ячейка 8 3 2" xfId="9476"/>
    <cellStyle name="Связанная ячейка 8 4" xfId="9477"/>
    <cellStyle name="Связанная ячейка 8_46EE.2011(v1.0)" xfId="4284"/>
    <cellStyle name="Связанная ячейка 9" xfId="4285"/>
    <cellStyle name="Связанная ячейка 9 2" xfId="4286"/>
    <cellStyle name="Связанная ячейка 9 2 2" xfId="4613"/>
    <cellStyle name="Связанная ячейка 9 3" xfId="4614"/>
    <cellStyle name="Связанная ячейка 9 3 2" xfId="9478"/>
    <cellStyle name="Связанная ячейка 9 4" xfId="9479"/>
    <cellStyle name="Связанная ячейка 9_46EE.2011(v1.0)" xfId="4287"/>
    <cellStyle name="Стиль 1" xfId="4288"/>
    <cellStyle name="Стиль 1 10" xfId="5616"/>
    <cellStyle name="Стиль 1 10 2" xfId="9480"/>
    <cellStyle name="Стиль 1 11" xfId="9481"/>
    <cellStyle name="Стиль 1 11 2" xfId="9482"/>
    <cellStyle name="Стиль 1 12" xfId="9483"/>
    <cellStyle name="Стиль 1 2" xfId="4289"/>
    <cellStyle name="Стиль 1 2 2" xfId="4290"/>
    <cellStyle name="Стиль 1 2 2 2" xfId="4615"/>
    <cellStyle name="Стиль 1 2 2 3" xfId="9484"/>
    <cellStyle name="Стиль 1 2 3" xfId="4291"/>
    <cellStyle name="Стиль 1 2 3 2" xfId="4616"/>
    <cellStyle name="Стиль 1 2 4" xfId="4617"/>
    <cellStyle name="Стиль 1 2 4 2" xfId="9485"/>
    <cellStyle name="Стиль 1 2 4 3" xfId="9486"/>
    <cellStyle name="Стиль 1 2 4 4" xfId="9487"/>
    <cellStyle name="Стиль 1 2 4 5" xfId="5617"/>
    <cellStyle name="Стиль 1 2 5" xfId="4932"/>
    <cellStyle name="Стиль 1 2 5 2" xfId="9488"/>
    <cellStyle name="Стиль 1 2 6" xfId="9489"/>
    <cellStyle name="Стиль 1 2_46EP.2011(v2.0)" xfId="4292"/>
    <cellStyle name="Стиль 1 3" xfId="4293"/>
    <cellStyle name="Стиль 1 3 2" xfId="4618"/>
    <cellStyle name="Стиль 1 3 3" xfId="9490"/>
    <cellStyle name="Стиль 1 3 4" xfId="9491"/>
    <cellStyle name="Стиль 1 4" xfId="4619"/>
    <cellStyle name="Стиль 1 4 2" xfId="9492"/>
    <cellStyle name="Стиль 1 4 3" xfId="9493"/>
    <cellStyle name="Стиль 1 5" xfId="4620"/>
    <cellStyle name="Стиль 1 5 2" xfId="9494"/>
    <cellStyle name="Стиль 1 5 3" xfId="9495"/>
    <cellStyle name="Стиль 1 6" xfId="4621"/>
    <cellStyle name="Стиль 1 6 2" xfId="9496"/>
    <cellStyle name="Стиль 1 7" xfId="4622"/>
    <cellStyle name="Стиль 1 7 2" xfId="9497"/>
    <cellStyle name="Стиль 1 8" xfId="5618"/>
    <cellStyle name="Стиль 1 8 2" xfId="9498"/>
    <cellStyle name="Стиль 1 9" xfId="5619"/>
    <cellStyle name="Стиль 1 9 2" xfId="9499"/>
    <cellStyle name="Стиль 1_Книга2" xfId="9500"/>
    <cellStyle name="Стиль 2" xfId="5620"/>
    <cellStyle name="Стиль 2 2" xfId="9501"/>
    <cellStyle name="Субсчет" xfId="4294"/>
    <cellStyle name="Субсчет 2" xfId="4623"/>
    <cellStyle name="Счет" xfId="4295"/>
    <cellStyle name="Счет 2" xfId="4624"/>
    <cellStyle name="ТаблицаТекст" xfId="9502"/>
    <cellStyle name="ТЕКСТ" xfId="4296"/>
    <cellStyle name="ТЕКСТ 10" xfId="4625"/>
    <cellStyle name="ТЕКСТ 10 2" xfId="9503"/>
    <cellStyle name="Текст 10 3" xfId="9504"/>
    <cellStyle name="Текст 10 4" xfId="5622"/>
    <cellStyle name="Текст 11" xfId="4935"/>
    <cellStyle name="ТЕКСТ 11 2" xfId="9505"/>
    <cellStyle name="Текст 12" xfId="4984"/>
    <cellStyle name="ТЕКСТ 12 2" xfId="9506"/>
    <cellStyle name="Текст 13" xfId="4922"/>
    <cellStyle name="ТЕКСТ 13 2" xfId="9507"/>
    <cellStyle name="ТЕКСТ 14" xfId="9508"/>
    <cellStyle name="ТЕКСТ 15" xfId="9509"/>
    <cellStyle name="ТЕКСТ 16" xfId="9510"/>
    <cellStyle name="ТЕКСТ 17" xfId="9511"/>
    <cellStyle name="ТЕКСТ 18" xfId="9512"/>
    <cellStyle name="ТЕКСТ 19" xfId="9513"/>
    <cellStyle name="ТЕКСТ 2" xfId="4297"/>
    <cellStyle name="ТЕКСТ 2 2" xfId="4626"/>
    <cellStyle name="ТЕКСТ 2 3" xfId="9514"/>
    <cellStyle name="ТЕКСТ 20" xfId="9515"/>
    <cellStyle name="ТЕКСТ 21" xfId="9516"/>
    <cellStyle name="ТЕКСТ 22" xfId="9517"/>
    <cellStyle name="ТЕКСТ 23" xfId="9518"/>
    <cellStyle name="ТЕКСТ 24" xfId="9519"/>
    <cellStyle name="ТЕКСТ 25" xfId="9520"/>
    <cellStyle name="ТЕКСТ 26" xfId="9521"/>
    <cellStyle name="ТЕКСТ 27" xfId="9522"/>
    <cellStyle name="Текст 28" xfId="9523"/>
    <cellStyle name="Текст 28 2" xfId="10060"/>
    <cellStyle name="ТЕКСТ 29" xfId="10061"/>
    <cellStyle name="ТЕКСТ 3" xfId="4298"/>
    <cellStyle name="ТЕКСТ 3 2" xfId="4627"/>
    <cellStyle name="Текст 30" xfId="5621"/>
    <cellStyle name="ТЕКСТ 4" xfId="4299"/>
    <cellStyle name="ТЕКСТ 4 2" xfId="4628"/>
    <cellStyle name="ТЕКСТ 5" xfId="4300"/>
    <cellStyle name="ТЕКСТ 5 2" xfId="4629"/>
    <cellStyle name="ТЕКСТ 6" xfId="4301"/>
    <cellStyle name="ТЕКСТ 6 2" xfId="4630"/>
    <cellStyle name="ТЕКСТ 7" xfId="4302"/>
    <cellStyle name="ТЕКСТ 7 2" xfId="4631"/>
    <cellStyle name="ТЕКСТ 8" xfId="4303"/>
    <cellStyle name="ТЕКСТ 8 2" xfId="4632"/>
    <cellStyle name="ТЕКСТ 9" xfId="4304"/>
    <cellStyle name="ТЕКСТ 9 2" xfId="4633"/>
    <cellStyle name="Текст предупреждения 10" xfId="4305"/>
    <cellStyle name="Текст предупреждения 10 2" xfId="4634"/>
    <cellStyle name="Текст предупреждения 10 2 2" xfId="9524"/>
    <cellStyle name="Текст предупреждения 10 3" xfId="9525"/>
    <cellStyle name="Текст предупреждения 10 4" xfId="9526"/>
    <cellStyle name="Текст предупреждения 11" xfId="9527"/>
    <cellStyle name="Текст предупреждения 11 2" xfId="9528"/>
    <cellStyle name="Текст предупреждения 11 3" xfId="9529"/>
    <cellStyle name="Текст предупреждения 11 4" xfId="9530"/>
    <cellStyle name="Текст предупреждения 12" xfId="9531"/>
    <cellStyle name="Текст предупреждения 12 2" xfId="9532"/>
    <cellStyle name="Текст предупреждения 12 3" xfId="9533"/>
    <cellStyle name="Текст предупреждения 13" xfId="9534"/>
    <cellStyle name="Текст предупреждения 13 2" xfId="9535"/>
    <cellStyle name="Текст предупреждения 13 3" xfId="9536"/>
    <cellStyle name="Текст предупреждения 14" xfId="9537"/>
    <cellStyle name="Текст предупреждения 14 2" xfId="9538"/>
    <cellStyle name="Текст предупреждения 14 3" xfId="9539"/>
    <cellStyle name="Текст предупреждения 15" xfId="9540"/>
    <cellStyle name="Текст предупреждения 15 2" xfId="9541"/>
    <cellStyle name="Текст предупреждения 15 3" xfId="9542"/>
    <cellStyle name="Текст предупреждения 16" xfId="9543"/>
    <cellStyle name="Текст предупреждения 16 2" xfId="9544"/>
    <cellStyle name="Текст предупреждения 16 3" xfId="9545"/>
    <cellStyle name="Текст предупреждения 17" xfId="9546"/>
    <cellStyle name="Текст предупреждения 18" xfId="9547"/>
    <cellStyle name="Текст предупреждения 2" xfId="4306"/>
    <cellStyle name="Текст предупреждения 2 1" xfId="9548"/>
    <cellStyle name="Текст предупреждения 2 1 2" xfId="9549"/>
    <cellStyle name="Текст предупреждения 2 10" xfId="4307"/>
    <cellStyle name="Текст предупреждения 2 10 2" xfId="4635"/>
    <cellStyle name="Текст предупреждения 2 11" xfId="4636"/>
    <cellStyle name="Текст предупреждения 2 12" xfId="9550"/>
    <cellStyle name="Текст предупреждения 2 2" xfId="4308"/>
    <cellStyle name="Текст предупреждения 2 2 2" xfId="4309"/>
    <cellStyle name="Текст предупреждения 2 2 2 2" xfId="4637"/>
    <cellStyle name="Текст предупреждения 2 2 2 2 2" xfId="9551"/>
    <cellStyle name="Текст предупреждения 2 2 2 3" xfId="9552"/>
    <cellStyle name="Текст предупреждения 2 2 2 4" xfId="5623"/>
    <cellStyle name="Текст предупреждения 2 2 3" xfId="4638"/>
    <cellStyle name="Текст предупреждения 2 2 3 2" xfId="9553"/>
    <cellStyle name="Текст предупреждения 2 3" xfId="4310"/>
    <cellStyle name="Текст предупреждения 2 3 2" xfId="4639"/>
    <cellStyle name="Текст предупреждения 2 4" xfId="4311"/>
    <cellStyle name="Текст предупреждения 2 4 2" xfId="4640"/>
    <cellStyle name="Текст предупреждения 2 5" xfId="4312"/>
    <cellStyle name="Текст предупреждения 2 5 2" xfId="4641"/>
    <cellStyle name="Текст предупреждения 2 6" xfId="4313"/>
    <cellStyle name="Текст предупреждения 2 6 2" xfId="4642"/>
    <cellStyle name="Текст предупреждения 2 7" xfId="4314"/>
    <cellStyle name="Текст предупреждения 2 7 2" xfId="4643"/>
    <cellStyle name="Текст предупреждения 2 8" xfId="4315"/>
    <cellStyle name="Текст предупреждения 2 8 2" xfId="4644"/>
    <cellStyle name="Текст предупреждения 2 9" xfId="4316"/>
    <cellStyle name="Текст предупреждения 2 9 2" xfId="4645"/>
    <cellStyle name="Текст предупреждения 2_МФ тепловой баланс 2015 дубль 4 31.03.2014" xfId="4317"/>
    <cellStyle name="Текст предупреждения 3" xfId="4318"/>
    <cellStyle name="Текст предупреждения 3 10" xfId="4319"/>
    <cellStyle name="Текст предупреждения 3 10 2" xfId="4646"/>
    <cellStyle name="Текст предупреждения 3 11" xfId="4320"/>
    <cellStyle name="Текст предупреждения 3 11 2" xfId="4647"/>
    <cellStyle name="Текст предупреждения 3 11 2 2" xfId="9555"/>
    <cellStyle name="Текст предупреждения 3 11 3" xfId="9554"/>
    <cellStyle name="Текст предупреждения 3 12" xfId="4648"/>
    <cellStyle name="Текст предупреждения 3 12 2" xfId="9556"/>
    <cellStyle name="Текст предупреждения 3 2" xfId="4321"/>
    <cellStyle name="Текст предупреждения 3 2 2" xfId="4649"/>
    <cellStyle name="Текст предупреждения 3 2 3" xfId="9557"/>
    <cellStyle name="Текст предупреждения 3 3" xfId="4322"/>
    <cellStyle name="Текст предупреждения 3 3 2" xfId="4650"/>
    <cellStyle name="Текст предупреждения 3 3 2 2" xfId="9558"/>
    <cellStyle name="Текст предупреждения 3 3 3" xfId="9559"/>
    <cellStyle name="Текст предупреждения 3 4" xfId="4323"/>
    <cellStyle name="Текст предупреждения 3 4 2" xfId="4651"/>
    <cellStyle name="Текст предупреждения 3 5" xfId="4324"/>
    <cellStyle name="Текст предупреждения 3 5 2" xfId="4652"/>
    <cellStyle name="Текст предупреждения 3 6" xfId="4325"/>
    <cellStyle name="Текст предупреждения 3 6 2" xfId="4653"/>
    <cellStyle name="Текст предупреждения 3 7" xfId="4326"/>
    <cellStyle name="Текст предупреждения 3 7 2" xfId="4654"/>
    <cellStyle name="Текст предупреждения 3 8" xfId="4327"/>
    <cellStyle name="Текст предупреждения 3 8 2" xfId="4655"/>
    <cellStyle name="Текст предупреждения 3 9" xfId="4328"/>
    <cellStyle name="Текст предупреждения 3 9 2" xfId="4656"/>
    <cellStyle name="Текст предупреждения 3_МФ тепловой баланс 2015 дубль 4 31.03.2014" xfId="4329"/>
    <cellStyle name="Текст предупреждения 4" xfId="4330"/>
    <cellStyle name="Текст предупреждения 4 2" xfId="4331"/>
    <cellStyle name="Текст предупреждения 4 2 2" xfId="4657"/>
    <cellStyle name="Текст предупреждения 4 3" xfId="4658"/>
    <cellStyle name="Текст предупреждения 4 3 2" xfId="9560"/>
    <cellStyle name="Текст предупреждения 4 4" xfId="9561"/>
    <cellStyle name="Текст предупреждения 4_МФ тепловой баланс 2015 дубль 4 31.03.2014" xfId="4332"/>
    <cellStyle name="Текст предупреждения 5" xfId="4333"/>
    <cellStyle name="Текст предупреждения 5 2" xfId="4334"/>
    <cellStyle name="Текст предупреждения 5 2 2" xfId="4659"/>
    <cellStyle name="Текст предупреждения 5 3" xfId="4660"/>
    <cellStyle name="Текст предупреждения 5 3 2" xfId="9562"/>
    <cellStyle name="Текст предупреждения 5 4" xfId="9563"/>
    <cellStyle name="Текст предупреждения 5_МФ тепловой баланс 2015 дубль 4 31.03.2014" xfId="4335"/>
    <cellStyle name="Текст предупреждения 6" xfId="4336"/>
    <cellStyle name="Текст предупреждения 6 2" xfId="4337"/>
    <cellStyle name="Текст предупреждения 6 2 2" xfId="4661"/>
    <cellStyle name="Текст предупреждения 6 3" xfId="4662"/>
    <cellStyle name="Текст предупреждения 6 3 2" xfId="9564"/>
    <cellStyle name="Текст предупреждения 6 4" xfId="9565"/>
    <cellStyle name="Текст предупреждения 6_МФ тепловой баланс 2015 дубль 4 31.03.2014" xfId="4338"/>
    <cellStyle name="Текст предупреждения 7" xfId="4339"/>
    <cellStyle name="Текст предупреждения 7 2" xfId="4340"/>
    <cellStyle name="Текст предупреждения 7 2 2" xfId="4663"/>
    <cellStyle name="Текст предупреждения 7 3" xfId="4664"/>
    <cellStyle name="Текст предупреждения 7 3 2" xfId="9566"/>
    <cellStyle name="Текст предупреждения 7 4" xfId="9567"/>
    <cellStyle name="Текст предупреждения 7_МФ тепловой баланс 2015 дубль 4 31.03.2014" xfId="4341"/>
    <cellStyle name="Текст предупреждения 8" xfId="4342"/>
    <cellStyle name="Текст предупреждения 8 2" xfId="4343"/>
    <cellStyle name="Текст предупреждения 8 2 2" xfId="4665"/>
    <cellStyle name="Текст предупреждения 8 3" xfId="4666"/>
    <cellStyle name="Текст предупреждения 8 3 2" xfId="9568"/>
    <cellStyle name="Текст предупреждения 8 4" xfId="9569"/>
    <cellStyle name="Текст предупреждения 9" xfId="4344"/>
    <cellStyle name="Текст предупреждения 9 2" xfId="4345"/>
    <cellStyle name="Текст предупреждения 9 2 2" xfId="4667"/>
    <cellStyle name="Текст предупреждения 9 3" xfId="4668"/>
    <cellStyle name="Текст предупреждения 9 3 2" xfId="9570"/>
    <cellStyle name="Текст предупреждения 9 4" xfId="9571"/>
    <cellStyle name="Текстовый" xfId="4346"/>
    <cellStyle name="Текстовый 10" xfId="4669"/>
    <cellStyle name="Текстовый 10 2" xfId="9572"/>
    <cellStyle name="Текстовый 11" xfId="5624"/>
    <cellStyle name="Текстовый 11 2" xfId="9573"/>
    <cellStyle name="Текстовый 12" xfId="5625"/>
    <cellStyle name="Текстовый 12 2" xfId="9574"/>
    <cellStyle name="Текстовый 13" xfId="5626"/>
    <cellStyle name="Текстовый 13 2" xfId="9575"/>
    <cellStyle name="Текстовый 14" xfId="5627"/>
    <cellStyle name="Текстовый 14 2" xfId="9576"/>
    <cellStyle name="Текстовый 15" xfId="5628"/>
    <cellStyle name="Текстовый 15 2" xfId="9577"/>
    <cellStyle name="Текстовый 16" xfId="5629"/>
    <cellStyle name="Текстовый 16 2" xfId="9578"/>
    <cellStyle name="Текстовый 17" xfId="9579"/>
    <cellStyle name="Текстовый 2" xfId="4347"/>
    <cellStyle name="Текстовый 2 2" xfId="4670"/>
    <cellStyle name="Текстовый 3" xfId="4348"/>
    <cellStyle name="Текстовый 3 2" xfId="4671"/>
    <cellStyle name="Текстовый 4" xfId="4349"/>
    <cellStyle name="Текстовый 4 2" xfId="4672"/>
    <cellStyle name="Текстовый 5" xfId="4350"/>
    <cellStyle name="Текстовый 5 2" xfId="4673"/>
    <cellStyle name="Текстовый 6" xfId="4351"/>
    <cellStyle name="Текстовый 6 2" xfId="4674"/>
    <cellStyle name="Текстовый 7" xfId="4352"/>
    <cellStyle name="Текстовый 7 2" xfId="4675"/>
    <cellStyle name="Текстовый 8" xfId="4353"/>
    <cellStyle name="Текстовый 8 2" xfId="4676"/>
    <cellStyle name="Текстовый 9" xfId="4354"/>
    <cellStyle name="Текстовый 9 2" xfId="4677"/>
    <cellStyle name="Текстовый_1" xfId="4355"/>
    <cellStyle name="Тысячи [0]_1 кв.95 и 96 года .в ц.соп." xfId="4356"/>
    <cellStyle name="Тысячи [а]" xfId="4357"/>
    <cellStyle name="Тысячи [а] 2" xfId="4678"/>
    <cellStyle name="Тысячи![0]_Цены 95г._Расчет ТП на февраль_Расчет ТП на февраль посл.._Расчет ТП на май" xfId="4358"/>
    <cellStyle name="Тысячи_1 кв.95 и 96 года .в ц.соп." xfId="4359"/>
    <cellStyle name="ФИКСИРОВАННЫЙ" xfId="4360"/>
    <cellStyle name="ФИКСИРОВАННЫЙ 10" xfId="4679"/>
    <cellStyle name="ФИКСИРОВАННЫЙ 2" xfId="4361"/>
    <cellStyle name="ФИКСИРОВАННЫЙ 2 2" xfId="4680"/>
    <cellStyle name="ФИКСИРОВАННЫЙ 3" xfId="4362"/>
    <cellStyle name="ФИКСИРОВАННЫЙ 3 2" xfId="4681"/>
    <cellStyle name="ФИКСИРОВАННЫЙ 4" xfId="4363"/>
    <cellStyle name="ФИКСИРОВАННЫЙ 4 2" xfId="4682"/>
    <cellStyle name="ФИКСИРОВАННЫЙ 5" xfId="4364"/>
    <cellStyle name="ФИКСИРОВАННЫЙ 5 2" xfId="4683"/>
    <cellStyle name="ФИКСИРОВАННЫЙ 6" xfId="4365"/>
    <cellStyle name="ФИКСИРОВАННЫЙ 6 2" xfId="4684"/>
    <cellStyle name="ФИКСИРОВАННЫЙ 7" xfId="4366"/>
    <cellStyle name="ФИКСИРОВАННЫЙ 7 2" xfId="4685"/>
    <cellStyle name="ФИКСИРОВАННЫЙ 8" xfId="4367"/>
    <cellStyle name="ФИКСИРОВАННЫЙ 8 2" xfId="4686"/>
    <cellStyle name="ФИКСИРОВАННЫЙ 9" xfId="4368"/>
    <cellStyle name="ФИКСИРОВАННЫЙ 9 2" xfId="4687"/>
    <cellStyle name="ФИКСИРОВАННЫЙ_1" xfId="4369"/>
    <cellStyle name="Финанс[US]" xfId="9580"/>
    <cellStyle name="Финанс[Кр]" xfId="9581"/>
    <cellStyle name="Финансовый" xfId="1" builtinId="3"/>
    <cellStyle name="Финансовый [0] 2" xfId="4370"/>
    <cellStyle name="Финансовый [0] 2 2" xfId="4688"/>
    <cellStyle name="Финансовый [0] 2 2 2" xfId="9582"/>
    <cellStyle name="Финансовый [0] 2 3" xfId="5630"/>
    <cellStyle name="Финансовый 10" xfId="4371"/>
    <cellStyle name="Финансовый 10 2" xfId="4372"/>
    <cellStyle name="Финансовый 10 2 2" xfId="4689"/>
    <cellStyle name="Финансовый 10 3" xfId="4690"/>
    <cellStyle name="Финансовый 10 4" xfId="10062"/>
    <cellStyle name="Финансовый 11" xfId="4373"/>
    <cellStyle name="Финансовый 11 2" xfId="4691"/>
    <cellStyle name="Финансовый 11 2 2" xfId="9584"/>
    <cellStyle name="Финансовый 11 2 3" xfId="9583"/>
    <cellStyle name="Финансовый 11 3" xfId="9585"/>
    <cellStyle name="Финансовый 11 3 2" xfId="9586"/>
    <cellStyle name="Финансовый 11 4" xfId="9587"/>
    <cellStyle name="Финансовый 12" xfId="4374"/>
    <cellStyle name="Финансовый 12 2" xfId="4692"/>
    <cellStyle name="Финансовый 12 2 2" xfId="9589"/>
    <cellStyle name="Финансовый 12 2 3" xfId="9588"/>
    <cellStyle name="Финансовый 12 3" xfId="9590"/>
    <cellStyle name="Финансовый 12 3 2" xfId="9591"/>
    <cellStyle name="Финансовый 12 4" xfId="9592"/>
    <cellStyle name="Финансовый 13" xfId="4375"/>
    <cellStyle name="Финансовый 13 2" xfId="4693"/>
    <cellStyle name="Финансовый 13 2 2" xfId="9594"/>
    <cellStyle name="Финансовый 13 2 3" xfId="9593"/>
    <cellStyle name="Финансовый 13 3" xfId="9595"/>
    <cellStyle name="Финансовый 13 3 2" xfId="9596"/>
    <cellStyle name="Финансовый 13 4" xfId="9597"/>
    <cellStyle name="Финансовый 14" xfId="4376"/>
    <cellStyle name="Финансовый 14 2" xfId="4694"/>
    <cellStyle name="Финансовый 14 2 2" xfId="9599"/>
    <cellStyle name="Финансовый 14 2 3" xfId="9598"/>
    <cellStyle name="Финансовый 14 3" xfId="9600"/>
    <cellStyle name="Финансовый 14 3 2" xfId="9601"/>
    <cellStyle name="Финансовый 14 4" xfId="9602"/>
    <cellStyle name="Финансовый 15" xfId="4377"/>
    <cellStyle name="Финансовый 15 2" xfId="4695"/>
    <cellStyle name="Финансовый 15 2 2" xfId="9603"/>
    <cellStyle name="Финансовый 15 3" xfId="9604"/>
    <cellStyle name="Финансовый 15 4" xfId="9605"/>
    <cellStyle name="Финансовый 16" xfId="4378"/>
    <cellStyle name="Финансовый 16 2" xfId="4696"/>
    <cellStyle name="Финансовый 16 3" xfId="9606"/>
    <cellStyle name="Финансовый 17" xfId="4379"/>
    <cellStyle name="Финансовый 17 2" xfId="4380"/>
    <cellStyle name="Финансовый 17 2 2" xfId="4697"/>
    <cellStyle name="Финансовый 17 3" xfId="4698"/>
    <cellStyle name="Финансовый 18" xfId="4539"/>
    <cellStyle name="Финансовый 18 2" xfId="5632"/>
    <cellStyle name="Финансовый 18 2 2" xfId="9607"/>
    <cellStyle name="Финансовый 18 3" xfId="9608"/>
    <cellStyle name="Финансовый 18 4" xfId="10063"/>
    <cellStyle name="Финансовый 18 5" xfId="5631"/>
    <cellStyle name="Финансовый 19" xfId="4510"/>
    <cellStyle name="Финансовый 19 2" xfId="9609"/>
    <cellStyle name="Финансовый 19 3" xfId="9610"/>
    <cellStyle name="Финансовый 19 4" xfId="5633"/>
    <cellStyle name="Финансовый 2" xfId="5"/>
    <cellStyle name="Финансовый 2 10" xfId="4381"/>
    <cellStyle name="Финансовый 2 10 2" xfId="9612"/>
    <cellStyle name="Финансовый 2 10 3" xfId="9611"/>
    <cellStyle name="Финансовый 2 11" xfId="9613"/>
    <cellStyle name="Финансовый 2 12" xfId="5634"/>
    <cellStyle name="Финансовый 2 2" xfId="4382"/>
    <cellStyle name="Финансовый 2 2 10" xfId="5635"/>
    <cellStyle name="Финансовый 2 2 2" xfId="4383"/>
    <cellStyle name="Финансовый 2 2 2 2" xfId="4384"/>
    <cellStyle name="Финансовый 2 2 2 2 2" xfId="4699"/>
    <cellStyle name="Финансовый 2 2 2 2 2 2" xfId="9615"/>
    <cellStyle name="Финансовый 2 2 2 2 3" xfId="9614"/>
    <cellStyle name="Финансовый 2 2 2 3" xfId="4700"/>
    <cellStyle name="Финансовый 2 2 2 4" xfId="9616"/>
    <cellStyle name="Финансовый 2 2 3" xfId="4385"/>
    <cellStyle name="Финансовый 2 2 3 2" xfId="4701"/>
    <cellStyle name="Финансовый 2 2 3 3" xfId="9617"/>
    <cellStyle name="Финансовый 2 2 4" xfId="4386"/>
    <cellStyle name="Финансовый 2 2 4 2" xfId="4702"/>
    <cellStyle name="Финансовый 2 2 4 2 2" xfId="9618"/>
    <cellStyle name="Финансовый 2 2 4 3" xfId="10064"/>
    <cellStyle name="Финансовый 2 2 4 4" xfId="5636"/>
    <cellStyle name="Финансовый 2 2 5" xfId="4703"/>
    <cellStyle name="Финансовый 2 2 5 2" xfId="9619"/>
    <cellStyle name="Финансовый 2 2 5 3" xfId="5637"/>
    <cellStyle name="Финансовый 2 2 6" xfId="5638"/>
    <cellStyle name="Финансовый 2 2 6 2" xfId="9620"/>
    <cellStyle name="Финансовый 2 2 7" xfId="9621"/>
    <cellStyle name="Финансовый 2 2 7 2" xfId="9622"/>
    <cellStyle name="Финансовый 2 2 8" xfId="9623"/>
    <cellStyle name="Финансовый 2 2 9" xfId="9624"/>
    <cellStyle name="Финансовый 2 2_INDEX.STATION.2012(v1.0)_" xfId="4387"/>
    <cellStyle name="Финансовый 2 3" xfId="4388"/>
    <cellStyle name="Финансовый 2 3 2" xfId="4389"/>
    <cellStyle name="Финансовый 2 3 2 2" xfId="4704"/>
    <cellStyle name="Финансовый 2 3 2 2 2" xfId="9625"/>
    <cellStyle name="Финансовый 2 3 2 3" xfId="9626"/>
    <cellStyle name="Финансовый 2 3 3" xfId="4705"/>
    <cellStyle name="Финансовый 2 3 3 2" xfId="9627"/>
    <cellStyle name="Финансовый 2 3 4" xfId="9628"/>
    <cellStyle name="Финансовый 2 3 5" xfId="5639"/>
    <cellStyle name="Финансовый 2 4" xfId="4390"/>
    <cellStyle name="Финансовый 2 4 2" xfId="4706"/>
    <cellStyle name="Финансовый 2 4 2 2" xfId="9629"/>
    <cellStyle name="Финансовый 2 4 3" xfId="9630"/>
    <cellStyle name="Финансовый 2 5" xfId="4391"/>
    <cellStyle name="Финансовый 2 5 2" xfId="4707"/>
    <cellStyle name="Финансовый 2 5 2 2" xfId="9631"/>
    <cellStyle name="Финансовый 2 5 3" xfId="9632"/>
    <cellStyle name="Финансовый 2 5 4" xfId="5640"/>
    <cellStyle name="Финансовый 2 6" xfId="4392"/>
    <cellStyle name="Финансовый 2 6 2" xfId="4708"/>
    <cellStyle name="Финансовый 2 6 2 2" xfId="9633"/>
    <cellStyle name="Финансовый 2 6 3" xfId="4976"/>
    <cellStyle name="Финансовый 2 6 3 2" xfId="9634"/>
    <cellStyle name="Финансовый 2 6 4" xfId="9635"/>
    <cellStyle name="Финансовый 2 6 5" xfId="5641"/>
    <cellStyle name="Финансовый 2 7" xfId="4393"/>
    <cellStyle name="Финансовый 2 7 2" xfId="9636"/>
    <cellStyle name="Финансовый 2 7 3" xfId="9637"/>
    <cellStyle name="Финансовый 2 7 4" xfId="5642"/>
    <cellStyle name="Финансовый 2 8" xfId="4394"/>
    <cellStyle name="Финансовый 2 8 2" xfId="4709"/>
    <cellStyle name="Финансовый 2 8 3" xfId="9639"/>
    <cellStyle name="Финансовый 2 8 4" xfId="9638"/>
    <cellStyle name="Финансовый 2 9" xfId="4395"/>
    <cellStyle name="Финансовый 2 9 2" xfId="9641"/>
    <cellStyle name="Финансовый 2 9 3" xfId="9642"/>
    <cellStyle name="Финансовый 2 9 4" xfId="9640"/>
    <cellStyle name="Финансовый 2_46EE.2011(v1.0)" xfId="4396"/>
    <cellStyle name="Финансовый 20" xfId="4533"/>
    <cellStyle name="Финансовый 20 2" xfId="9644"/>
    <cellStyle name="Финансовый 20 3" xfId="9643"/>
    <cellStyle name="Финансовый 21" xfId="4515"/>
    <cellStyle name="Финансовый 21 2" xfId="9645"/>
    <cellStyle name="Финансовый 22" xfId="9646"/>
    <cellStyle name="Финансовый 23" xfId="9647"/>
    <cellStyle name="Финансовый 24" xfId="9648"/>
    <cellStyle name="Финансовый 25" xfId="9649"/>
    <cellStyle name="Финансовый 26" xfId="9650"/>
    <cellStyle name="Финансовый 27" xfId="10065"/>
    <cellStyle name="Финансовый 28" xfId="4830"/>
    <cellStyle name="Финансовый 29" xfId="4821"/>
    <cellStyle name="Финансовый 3" xfId="4397"/>
    <cellStyle name="Финансовый 3 10" xfId="5643"/>
    <cellStyle name="Финансовый 3 2" xfId="4398"/>
    <cellStyle name="Финансовый 3 2 2" xfId="4399"/>
    <cellStyle name="Финансовый 3 2 2 2" xfId="4710"/>
    <cellStyle name="Финансовый 3 2 2 2 2" xfId="9651"/>
    <cellStyle name="Финансовый 3 2 2 3" xfId="9652"/>
    <cellStyle name="Финансовый 3 2 2 4" xfId="5645"/>
    <cellStyle name="Финансовый 3 2 3" xfId="4400"/>
    <cellStyle name="Финансовый 3 2 3 2" xfId="4711"/>
    <cellStyle name="Финансовый 3 2 4" xfId="4712"/>
    <cellStyle name="Финансовый 3 2 4 2" xfId="9653"/>
    <cellStyle name="Финансовый 3 2 4 3" xfId="5646"/>
    <cellStyle name="Финансовый 3 2 5" xfId="5647"/>
    <cellStyle name="Финансовый 3 2 6" xfId="9654"/>
    <cellStyle name="Финансовый 3 2 7" xfId="5644"/>
    <cellStyle name="Финансовый 3 2_UPDATE.MONITORING.OS.EE.2.02.TO.1.3.64" xfId="5648"/>
    <cellStyle name="Финансовый 3 3" xfId="4401"/>
    <cellStyle name="Финансовый 3 3 2" xfId="4713"/>
    <cellStyle name="Финансовый 3 3 2 2" xfId="9656"/>
    <cellStyle name="Финансовый 3 3 2 3" xfId="9655"/>
    <cellStyle name="Финансовый 3 3 3" xfId="9657"/>
    <cellStyle name="Финансовый 3 3 4" xfId="9658"/>
    <cellStyle name="Финансовый 3 3 5" xfId="9659"/>
    <cellStyle name="Финансовый 3 4" xfId="4402"/>
    <cellStyle name="Финансовый 3 4 2" xfId="4714"/>
    <cellStyle name="Финансовый 3 5" xfId="4403"/>
    <cellStyle name="Финансовый 3 5 2" xfId="4715"/>
    <cellStyle name="Финансовый 3 5 2 2" xfId="9660"/>
    <cellStyle name="Финансовый 3 5 3" xfId="5649"/>
    <cellStyle name="Финансовый 3 6" xfId="4404"/>
    <cellStyle name="Финансовый 3 6 2" xfId="4716"/>
    <cellStyle name="Финансовый 3 6 2 2" xfId="9661"/>
    <cellStyle name="Финансовый 3 6 3" xfId="4977"/>
    <cellStyle name="Финансовый 3 6 3 2" xfId="9662"/>
    <cellStyle name="Финансовый 3 7" xfId="4717"/>
    <cellStyle name="Финансовый 3 7 2" xfId="9663"/>
    <cellStyle name="Финансовый 3 7 3" xfId="9664"/>
    <cellStyle name="Финансовый 3 7 4" xfId="5650"/>
    <cellStyle name="Финансовый 3 8" xfId="4718"/>
    <cellStyle name="Финансовый 3 8 2" xfId="9665"/>
    <cellStyle name="Финансовый 3 9" xfId="4895"/>
    <cellStyle name="Финансовый 3_ARMRAZR" xfId="5651"/>
    <cellStyle name="Финансовый 4" xfId="4405"/>
    <cellStyle name="Финансовый 4 2" xfId="4406"/>
    <cellStyle name="Финансовый 4 2 2" xfId="4407"/>
    <cellStyle name="Финансовый 4 2 2 2" xfId="4719"/>
    <cellStyle name="Финансовый 4 2 2 3" xfId="10066"/>
    <cellStyle name="Финансовый 4 2 3" xfId="4408"/>
    <cellStyle name="Финансовый 4 2 3 2" xfId="4720"/>
    <cellStyle name="Финансовый 4 2 4" xfId="4721"/>
    <cellStyle name="Финансовый 4 3" xfId="4722"/>
    <cellStyle name="Финансовый 4 3 2" xfId="4978"/>
    <cellStyle name="Финансовый 4 3 2 2" xfId="5654"/>
    <cellStyle name="Финансовый 4 3 3" xfId="9666"/>
    <cellStyle name="Финансовый 4 3 4" xfId="5653"/>
    <cellStyle name="Финансовый 4 4" xfId="4723"/>
    <cellStyle name="Финансовый 4 4 2" xfId="9667"/>
    <cellStyle name="Финансовый 4 4 3" xfId="5655"/>
    <cellStyle name="Финансовый 4 5" xfId="4896"/>
    <cellStyle name="Финансовый 4 5 2" xfId="9668"/>
    <cellStyle name="Финансовый 4 5 3" xfId="9669"/>
    <cellStyle name="Финансовый 4 5 4" xfId="5656"/>
    <cellStyle name="Финансовый 4 6" xfId="9670"/>
    <cellStyle name="Финансовый 4 7" xfId="9671"/>
    <cellStyle name="Финансовый 4 8" xfId="9672"/>
    <cellStyle name="Финансовый 4 9" xfId="5652"/>
    <cellStyle name="Финансовый 4_TEHSHEET" xfId="5657"/>
    <cellStyle name="Финансовый 5" xfId="6"/>
    <cellStyle name="Финансовый 5 2" xfId="4409"/>
    <cellStyle name="Финансовый 5 2 2" xfId="4724"/>
    <cellStyle name="Финансовый 5 2 2 2" xfId="9673"/>
    <cellStyle name="Финансовый 5 2 3" xfId="4979"/>
    <cellStyle name="Финансовый 5 2 3 2" xfId="9674"/>
    <cellStyle name="Финансовый 5 2 4" xfId="9675"/>
    <cellStyle name="Финансовый 5 3" xfId="4410"/>
    <cellStyle name="Финансовый 5 3 2" xfId="4725"/>
    <cellStyle name="Финансовый 5 3 2 2" xfId="9677"/>
    <cellStyle name="Финансовый 5 3 3" xfId="9676"/>
    <cellStyle name="Финансовый 5 4" xfId="7"/>
    <cellStyle name="Финансовый 5 4 2" xfId="4726"/>
    <cellStyle name="Финансовый 5 4 2 2" xfId="9678"/>
    <cellStyle name="Финансовый 5 5" xfId="4897"/>
    <cellStyle name="Финансовый 5 6" xfId="9679"/>
    <cellStyle name="Финансовый 5 6 2" xfId="10067"/>
    <cellStyle name="Финансовый 5 7" xfId="10068"/>
    <cellStyle name="Финансовый 6" xfId="4411"/>
    <cellStyle name="Финансовый 6 2" xfId="4727"/>
    <cellStyle name="Финансовый 6 2 2" xfId="4980"/>
    <cellStyle name="Финансовый 6 2 3" xfId="9680"/>
    <cellStyle name="Финансовый 6 2 4" xfId="5659"/>
    <cellStyle name="Финансовый 6 3" xfId="4728"/>
    <cellStyle name="Финансовый 6 3 2" xfId="9681"/>
    <cellStyle name="Финансовый 6 4" xfId="4898"/>
    <cellStyle name="Финансовый 6 4 2" xfId="10069"/>
    <cellStyle name="Финансовый 6 4 3" xfId="9682"/>
    <cellStyle name="Финансовый 6 5" xfId="5658"/>
    <cellStyle name="Финансовый 7" xfId="4412"/>
    <cellStyle name="Финансовый 7 2" xfId="4729"/>
    <cellStyle name="Финансовый 7 2 2" xfId="9684"/>
    <cellStyle name="Финансовый 7 2 3" xfId="9685"/>
    <cellStyle name="Финансовый 7 2 4" xfId="9686"/>
    <cellStyle name="Финансовый 7 2 5" xfId="9683"/>
    <cellStyle name="Финансовый 7 3" xfId="4730"/>
    <cellStyle name="Финансовый 7 3 2" xfId="9688"/>
    <cellStyle name="Финансовый 7 3 3" xfId="9687"/>
    <cellStyle name="Финансовый 7 4" xfId="9689"/>
    <cellStyle name="Финансовый 8" xfId="4413"/>
    <cellStyle name="Финансовый 8 2" xfId="4731"/>
    <cellStyle name="Финансовый 8 2 2" xfId="9691"/>
    <cellStyle name="Финансовый 8 2 3" xfId="9690"/>
    <cellStyle name="Финансовый 8 3" xfId="9692"/>
    <cellStyle name="Финансовый 8 4" xfId="9693"/>
    <cellStyle name="Финансовый 9" xfId="4414"/>
    <cellStyle name="Финансовый 9 2" xfId="4732"/>
    <cellStyle name="Финансовый 9 2 2" xfId="9695"/>
    <cellStyle name="Финансовый 9 2 3" xfId="9696"/>
    <cellStyle name="Финансовый 9 2 4" xfId="9694"/>
    <cellStyle name="Финансовый 9 3" xfId="9697"/>
    <cellStyle name="Финансовый 9 3 2" xfId="9698"/>
    <cellStyle name="Финансовый 9 4" xfId="9699"/>
    <cellStyle name="Финансовый0[0]_FU_bal" xfId="4415"/>
    <cellStyle name="Формула" xfId="4416"/>
    <cellStyle name="Формула 10" xfId="4417"/>
    <cellStyle name="Формула 10 2" xfId="4733"/>
    <cellStyle name="Формула 11" xfId="4418"/>
    <cellStyle name="Формула 11 2" xfId="4734"/>
    <cellStyle name="Формула 12" xfId="4419"/>
    <cellStyle name="Формула 12 2" xfId="4735"/>
    <cellStyle name="Формула 13" xfId="4420"/>
    <cellStyle name="Формула 13 2" xfId="4736"/>
    <cellStyle name="Формула 14" xfId="4421"/>
    <cellStyle name="Формула 14 2" xfId="4737"/>
    <cellStyle name="Формула 15" xfId="4422"/>
    <cellStyle name="Формула 15 2" xfId="4738"/>
    <cellStyle name="Формула 16" xfId="4423"/>
    <cellStyle name="Формула 16 2" xfId="4739"/>
    <cellStyle name="Формула 17" xfId="4424"/>
    <cellStyle name="Формула 17 2" xfId="4740"/>
    <cellStyle name="Формула 18" xfId="4425"/>
    <cellStyle name="Формула 18 2" xfId="4741"/>
    <cellStyle name="Формула 19" xfId="4742"/>
    <cellStyle name="Формула 19 2" xfId="9700"/>
    <cellStyle name="Формула 2" xfId="4426"/>
    <cellStyle name="Формула 2 2" xfId="4427"/>
    <cellStyle name="Формула 2 2 2" xfId="4743"/>
    <cellStyle name="Формула 2 2 3" xfId="9701"/>
    <cellStyle name="Формула 2 3" xfId="4744"/>
    <cellStyle name="Формула 2 3 2" xfId="9702"/>
    <cellStyle name="Формула 2 3 3" xfId="5660"/>
    <cellStyle name="Формула 2 4" xfId="4958"/>
    <cellStyle name="Формула 20" xfId="9703"/>
    <cellStyle name="Формула 3" xfId="4428"/>
    <cellStyle name="Формула 3 2" xfId="4745"/>
    <cellStyle name="Формула 3 3" xfId="9704"/>
    <cellStyle name="Формула 3 4" xfId="9705"/>
    <cellStyle name="Формула 4" xfId="4429"/>
    <cellStyle name="Формула 4 2" xfId="4746"/>
    <cellStyle name="Формула 5" xfId="4430"/>
    <cellStyle name="Формула 5 2" xfId="4747"/>
    <cellStyle name="Формула 6" xfId="4431"/>
    <cellStyle name="Формула 6 2" xfId="4748"/>
    <cellStyle name="Формула 7" xfId="4432"/>
    <cellStyle name="Формула 7 2" xfId="4749"/>
    <cellStyle name="Формула 8" xfId="4433"/>
    <cellStyle name="Формула 8 2" xfId="4750"/>
    <cellStyle name="Формула 9" xfId="4434"/>
    <cellStyle name="Формула 9 2" xfId="4751"/>
    <cellStyle name="Формула_A РТ 2009 Рязаньэнерго" xfId="4435"/>
    <cellStyle name="ФормулаВБ" xfId="4436"/>
    <cellStyle name="ФормулаВБ 2" xfId="4437"/>
    <cellStyle name="ФормулаВБ 2 2" xfId="4752"/>
    <cellStyle name="ФормулаВБ 2 2 2" xfId="9706"/>
    <cellStyle name="ФормулаВБ 2 3" xfId="5661"/>
    <cellStyle name="ФормулаВБ 3" xfId="4753"/>
    <cellStyle name="ФормулаВБ 4" xfId="4900"/>
    <cellStyle name="ФормулаНаКонтроль" xfId="4438"/>
    <cellStyle name="ФормулаНаКонтроль 2" xfId="4439"/>
    <cellStyle name="ФормулаНаКонтроль 2 2" xfId="4754"/>
    <cellStyle name="ФормулаНаКонтроль 2 2 2" xfId="9707"/>
    <cellStyle name="ФормулаНаКонтроль 2 3" xfId="5662"/>
    <cellStyle name="ФормулаНаКонтроль 3" xfId="4755"/>
    <cellStyle name="ФормулаНаКонтроль 4" xfId="4901"/>
    <cellStyle name="Хороший 10" xfId="4440"/>
    <cellStyle name="Хороший 10 2" xfId="4756"/>
    <cellStyle name="Хороший 10 2 2" xfId="9708"/>
    <cellStyle name="Хороший 10 3" xfId="9709"/>
    <cellStyle name="Хороший 10 4" xfId="9710"/>
    <cellStyle name="Хороший 11" xfId="9711"/>
    <cellStyle name="Хороший 11 2" xfId="9712"/>
    <cellStyle name="Хороший 11 3" xfId="9713"/>
    <cellStyle name="Хороший 11 4" xfId="9714"/>
    <cellStyle name="Хороший 12" xfId="9715"/>
    <cellStyle name="Хороший 12 2" xfId="9716"/>
    <cellStyle name="Хороший 12 3" xfId="9717"/>
    <cellStyle name="Хороший 12 4" xfId="9718"/>
    <cellStyle name="Хороший 13" xfId="9719"/>
    <cellStyle name="Хороший 13 2" xfId="9720"/>
    <cellStyle name="Хороший 13 3" xfId="9721"/>
    <cellStyle name="Хороший 14" xfId="9722"/>
    <cellStyle name="Хороший 14 2" xfId="9723"/>
    <cellStyle name="Хороший 14 3" xfId="9724"/>
    <cellStyle name="Хороший 15" xfId="9725"/>
    <cellStyle name="Хороший 15 2" xfId="9726"/>
    <cellStyle name="Хороший 15 3" xfId="9727"/>
    <cellStyle name="Хороший 16" xfId="9728"/>
    <cellStyle name="Хороший 16 2" xfId="9729"/>
    <cellStyle name="Хороший 16 3" xfId="9730"/>
    <cellStyle name="Хороший 17" xfId="9731"/>
    <cellStyle name="Хороший 18" xfId="9732"/>
    <cellStyle name="Хороший 2" xfId="4441"/>
    <cellStyle name="Хороший 2 1" xfId="9733"/>
    <cellStyle name="Хороший 2 1 2" xfId="9734"/>
    <cellStyle name="Хороший 2 10" xfId="4442"/>
    <cellStyle name="Хороший 2 10 2" xfId="4757"/>
    <cellStyle name="Хороший 2 11" xfId="4758"/>
    <cellStyle name="Хороший 2 12" xfId="9735"/>
    <cellStyle name="Хороший 2 2" xfId="4443"/>
    <cellStyle name="Хороший 2 2 2" xfId="4444"/>
    <cellStyle name="Хороший 2 2 2 2" xfId="4759"/>
    <cellStyle name="Хороший 2 2 2 2 2" xfId="9736"/>
    <cellStyle name="Хороший 2 2 2 3" xfId="9737"/>
    <cellStyle name="Хороший 2 2 2 4" xfId="5663"/>
    <cellStyle name="Хороший 2 2 3" xfId="4760"/>
    <cellStyle name="Хороший 2 2 3 2" xfId="9738"/>
    <cellStyle name="Хороший 2 3" xfId="4445"/>
    <cellStyle name="Хороший 2 3 2" xfId="4761"/>
    <cellStyle name="Хороший 2 3 2 2" xfId="9739"/>
    <cellStyle name="Хороший 2 3 3" xfId="9740"/>
    <cellStyle name="Хороший 2 4" xfId="4446"/>
    <cellStyle name="Хороший 2 4 2" xfId="4762"/>
    <cellStyle name="Хороший 2 4 2 2" xfId="9741"/>
    <cellStyle name="Хороший 2 4 3" xfId="9742"/>
    <cellStyle name="Хороший 2 5" xfId="4447"/>
    <cellStyle name="Хороший 2 5 2" xfId="4763"/>
    <cellStyle name="Хороший 2 6" xfId="4448"/>
    <cellStyle name="Хороший 2 6 2" xfId="4764"/>
    <cellStyle name="Хороший 2 7" xfId="4449"/>
    <cellStyle name="Хороший 2 7 2" xfId="4765"/>
    <cellStyle name="Хороший 2 8" xfId="4450"/>
    <cellStyle name="Хороший 2 8 2" xfId="4766"/>
    <cellStyle name="Хороший 2 9" xfId="4451"/>
    <cellStyle name="Хороший 2 9 2" xfId="4767"/>
    <cellStyle name="Хороший 2_МФ тепловой баланс 2015 дубль 4 31.03.2014" xfId="4452"/>
    <cellStyle name="Хороший 3" xfId="4453"/>
    <cellStyle name="Хороший 3 10" xfId="4454"/>
    <cellStyle name="Хороший 3 10 2" xfId="4768"/>
    <cellStyle name="Хороший 3 11" xfId="4455"/>
    <cellStyle name="Хороший 3 11 2" xfId="4769"/>
    <cellStyle name="Хороший 3 11 2 2" xfId="9744"/>
    <cellStyle name="Хороший 3 11 3" xfId="9743"/>
    <cellStyle name="Хороший 3 12" xfId="4770"/>
    <cellStyle name="Хороший 3 12 2" xfId="9745"/>
    <cellStyle name="Хороший 3 2" xfId="4456"/>
    <cellStyle name="Хороший 3 2 2" xfId="4771"/>
    <cellStyle name="Хороший 3 2 3" xfId="9746"/>
    <cellStyle name="Хороший 3 3" xfId="4457"/>
    <cellStyle name="Хороший 3 3 2" xfId="4772"/>
    <cellStyle name="Хороший 3 3 2 2" xfId="9748"/>
    <cellStyle name="Хороший 3 3 2 3" xfId="9747"/>
    <cellStyle name="Хороший 3 3 3" xfId="9749"/>
    <cellStyle name="Хороший 3 4" xfId="4458"/>
    <cellStyle name="Хороший 3 4 2" xfId="4773"/>
    <cellStyle name="Хороший 3 5" xfId="4459"/>
    <cellStyle name="Хороший 3 5 2" xfId="4774"/>
    <cellStyle name="Хороший 3 6" xfId="4460"/>
    <cellStyle name="Хороший 3 6 2" xfId="4775"/>
    <cellStyle name="Хороший 3 7" xfId="4461"/>
    <cellStyle name="Хороший 3 7 2" xfId="4776"/>
    <cellStyle name="Хороший 3 8" xfId="4462"/>
    <cellStyle name="Хороший 3 8 2" xfId="4777"/>
    <cellStyle name="Хороший 3 9" xfId="4463"/>
    <cellStyle name="Хороший 3 9 2" xfId="4778"/>
    <cellStyle name="Хороший 3_МФ тепловой баланс 2015 дубль 4 31.03.2014" xfId="4464"/>
    <cellStyle name="Хороший 4" xfId="4465"/>
    <cellStyle name="Хороший 4 2" xfId="4466"/>
    <cellStyle name="Хороший 4 2 2" xfId="4779"/>
    <cellStyle name="Хороший 4 3" xfId="4780"/>
    <cellStyle name="Хороший 4 3 2" xfId="9750"/>
    <cellStyle name="Хороший 4 3 3" xfId="9751"/>
    <cellStyle name="Хороший 4 4" xfId="9752"/>
    <cellStyle name="Хороший 4_МФ тепловой баланс 2015 дубль 4 31.03.2014" xfId="4467"/>
    <cellStyle name="Хороший 5" xfId="4468"/>
    <cellStyle name="Хороший 5 2" xfId="4469"/>
    <cellStyle name="Хороший 5 2 2" xfId="4781"/>
    <cellStyle name="Хороший 5 2 2 2" xfId="9753"/>
    <cellStyle name="Хороший 5 2 3" xfId="9754"/>
    <cellStyle name="Хороший 5 2 4" xfId="5664"/>
    <cellStyle name="Хороший 5 3" xfId="4782"/>
    <cellStyle name="Хороший 5 3 2" xfId="9755"/>
    <cellStyle name="Хороший 5 3 3" xfId="9756"/>
    <cellStyle name="Хороший 5 3 4" xfId="5665"/>
    <cellStyle name="Хороший 5 4" xfId="9757"/>
    <cellStyle name="Хороший 5_МФ тепловой баланс 2015 дубль 4 31.03.2014" xfId="4470"/>
    <cellStyle name="Хороший 6" xfId="4471"/>
    <cellStyle name="Хороший 6 2" xfId="4472"/>
    <cellStyle name="Хороший 6 2 2" xfId="4783"/>
    <cellStyle name="Хороший 6 2 2 2" xfId="9758"/>
    <cellStyle name="Хороший 6 2 3" xfId="9759"/>
    <cellStyle name="Хороший 6 2 4" xfId="5667"/>
    <cellStyle name="Хороший 6 3" xfId="4784"/>
    <cellStyle name="Хороший 6 3 2" xfId="9760"/>
    <cellStyle name="Хороший 6 3 3" xfId="9761"/>
    <cellStyle name="Хороший 6 3 4" xfId="5668"/>
    <cellStyle name="Хороший 6 4" xfId="9762"/>
    <cellStyle name="Хороший 6 5" xfId="9763"/>
    <cellStyle name="Хороший 6 6" xfId="5666"/>
    <cellStyle name="Хороший 6_МФ тепловой баланс 2015 дубль 4 31.03.2014" xfId="4473"/>
    <cellStyle name="Хороший 7" xfId="4474"/>
    <cellStyle name="Хороший 7 2" xfId="4475"/>
    <cellStyle name="Хороший 7 2 2" xfId="4785"/>
    <cellStyle name="Хороший 7 2 2 2" xfId="9764"/>
    <cellStyle name="Хороший 7 2 3" xfId="9765"/>
    <cellStyle name="Хороший 7 2 4" xfId="5670"/>
    <cellStyle name="Хороший 7 3" xfId="4786"/>
    <cellStyle name="Хороший 7 3 2" xfId="9766"/>
    <cellStyle name="Хороший 7 3 3" xfId="9767"/>
    <cellStyle name="Хороший 7 3 4" xfId="5671"/>
    <cellStyle name="Хороший 7 4" xfId="9768"/>
    <cellStyle name="Хороший 7 5" xfId="9769"/>
    <cellStyle name="Хороший 7 6" xfId="5669"/>
    <cellStyle name="Хороший 7_МФ тепловой баланс 2015 дубль 4 31.03.2014" xfId="4476"/>
    <cellStyle name="Хороший 8" xfId="4477"/>
    <cellStyle name="Хороший 8 2" xfId="4478"/>
    <cellStyle name="Хороший 8 2 2" xfId="4787"/>
    <cellStyle name="Хороший 8 2 2 2" xfId="9770"/>
    <cellStyle name="Хороший 8 2 3" xfId="9771"/>
    <cellStyle name="Хороший 8 2 4" xfId="5673"/>
    <cellStyle name="Хороший 8 3" xfId="4788"/>
    <cellStyle name="Хороший 8 3 2" xfId="9773"/>
    <cellStyle name="Хороший 8 3 3" xfId="9772"/>
    <cellStyle name="Хороший 8 4" xfId="9774"/>
    <cellStyle name="Хороший 8 5" xfId="5672"/>
    <cellStyle name="Хороший 9" xfId="4479"/>
    <cellStyle name="Хороший 9 2" xfId="4480"/>
    <cellStyle name="Хороший 9 2 2" xfId="4789"/>
    <cellStyle name="Хороший 9 2 2 2" xfId="9775"/>
    <cellStyle name="Хороший 9 2 3" xfId="9776"/>
    <cellStyle name="Хороший 9 2 4" xfId="5675"/>
    <cellStyle name="Хороший 9 3" xfId="4790"/>
    <cellStyle name="Хороший 9 3 2" xfId="9778"/>
    <cellStyle name="Хороший 9 3 3" xfId="9777"/>
    <cellStyle name="Хороший 9 4" xfId="9779"/>
    <cellStyle name="Хороший 9 5" xfId="5674"/>
    <cellStyle name="Цена_продукта" xfId="4481"/>
    <cellStyle name="Ценовой" xfId="9780"/>
    <cellStyle name="Цифры по центру с десятыми" xfId="4482"/>
    <cellStyle name="Цифры по центру с десятыми 2" xfId="4791"/>
    <cellStyle name="Цифры по центру с десятыми 2 2" xfId="9781"/>
    <cellStyle name="Цифры по центру с десятыми 2 3" xfId="5677"/>
    <cellStyle name="Цифры по центру с десятыми 3" xfId="5678"/>
    <cellStyle name="Цифры по центру с десятыми 3 2" xfId="9782"/>
    <cellStyle name="Цифры по центру с десятыми 4" xfId="5679"/>
    <cellStyle name="Цифры по центру с десятыми 4 2" xfId="9783"/>
    <cellStyle name="Цифры по центру с десятыми 5" xfId="9784"/>
    <cellStyle name="Цифры по центру с десятыми 6" xfId="9785"/>
    <cellStyle name="Цифры по центру с десятыми 7" xfId="5676"/>
    <cellStyle name="число" xfId="4483"/>
    <cellStyle name="число 2" xfId="4792"/>
    <cellStyle name="число 2 2" xfId="9786"/>
    <cellStyle name="число 3" xfId="9787"/>
    <cellStyle name="число 4" xfId="5680"/>
    <cellStyle name="Џђћ–…ќ’ќ›‰" xfId="4484"/>
    <cellStyle name="Џђћ–…ќ’ќ›‰ 2" xfId="4793"/>
    <cellStyle name="Џђћ–…ќ’ќ›‰ 2 2" xfId="9788"/>
    <cellStyle name="Џђћ–…ќ’ќ›‰ 2 3" xfId="5682"/>
    <cellStyle name="Џђћ–…ќ’ќ›‰ 3" xfId="9789"/>
    <cellStyle name="Џђћ–…ќ’ќ›‰ 4" xfId="9790"/>
    <cellStyle name="Џђћ–…ќ’ќ›‰ 5" xfId="5681"/>
    <cellStyle name="Шапка" xfId="4485"/>
    <cellStyle name="Шапка 2" xfId="4794"/>
    <cellStyle name="Шапка 2 2" xfId="9791"/>
    <cellStyle name="Шапка 3" xfId="9792"/>
    <cellStyle name="Шапка 4" xfId="5683"/>
    <cellStyle name="Шапка таблицы" xfId="4486"/>
    <cellStyle name="Шапка таблицы 2" xfId="4795"/>
    <cellStyle name="Шапка таблицы 2 2" xfId="9793"/>
    <cellStyle name="Шапка таблицы 3" xfId="9794"/>
    <cellStyle name="Шапка таблицы 4" xfId="5684"/>
    <cellStyle name="Шапка_4DNS.UPDATE.EXAMPLE" xfId="4487"/>
    <cellStyle name="ШАУ" xfId="4488"/>
    <cellStyle name="ШАУ 2" xfId="4796"/>
    <cellStyle name="ШАУ 2 2" xfId="9795"/>
    <cellStyle name="ШАУ 3" xfId="9796"/>
    <cellStyle name="ШАУ 4" xfId="5685"/>
    <cellStyle name="ܘ_x0008_" xfId="4912"/>
    <cellStyle name="ܛ_x0008_" xfId="4913"/>
    <cellStyle name="標準_PL-CF sheet" xfId="4489"/>
    <cellStyle name="㐀കܒ_x0008_" xfId="4914"/>
    <cellStyle name="㼿" xfId="4490"/>
    <cellStyle name="㼿 2" xfId="4797"/>
    <cellStyle name="㼿 2 2" xfId="9797"/>
    <cellStyle name="㼿 3" xfId="9798"/>
    <cellStyle name="㼿 4" xfId="5686"/>
    <cellStyle name="䁺_x0001_" xfId="4491"/>
    <cellStyle name="䁺_x0001_ 2" xfId="4798"/>
  </cellStyles>
  <dxfs count="0"/>
  <tableStyles count="0" defaultTableStyle="TableStyleMedium9" defaultPivotStyle="PivotStyleLight16"/>
  <colors>
    <mruColors>
      <color rgb="FFFFCC66"/>
      <color rgb="FFFFCC99"/>
      <color rgb="FFCCFFCC"/>
      <color rgb="FFFFCCFF"/>
      <color rgb="FFFFFFCC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9"/>
  </sheetPr>
  <dimension ref="A1:GE241"/>
  <sheetViews>
    <sheetView tabSelected="1" zoomScale="90" zoomScaleNormal="90" workbookViewId="0">
      <pane xSplit="4" ySplit="7" topLeftCell="E8" activePane="bottomRight" state="frozen"/>
      <selection pane="topRight" activeCell="E1" sqref="E1"/>
      <selection pane="bottomLeft" activeCell="A6" sqref="A6"/>
      <selection pane="bottomRight" activeCell="D3" sqref="D3"/>
    </sheetView>
  </sheetViews>
  <sheetFormatPr defaultRowHeight="15" outlineLevelRow="1" outlineLevelCol="1"/>
  <cols>
    <col min="1" max="1" width="19.28515625" style="25" hidden="1" customWidth="1" outlineLevel="1"/>
    <col min="2" max="2" width="13.7109375" style="93" customWidth="1" collapsed="1"/>
    <col min="3" max="3" width="35.7109375" style="85" customWidth="1"/>
    <col min="4" max="4" width="25.7109375" style="25" customWidth="1"/>
    <col min="5" max="9" width="15.7109375" style="25" customWidth="1"/>
    <col min="10" max="10" width="17.28515625" style="25" hidden="1" customWidth="1" outlineLevel="1"/>
    <col min="11" max="11" width="17" style="25" customWidth="1" collapsed="1"/>
    <col min="12" max="14" width="17" style="25" customWidth="1"/>
    <col min="15" max="15" width="7.42578125" style="25" hidden="1" customWidth="1" outlineLevel="1"/>
    <col min="16" max="16" width="19.5703125" style="25" customWidth="1" collapsed="1"/>
    <col min="17" max="18" width="17.42578125" style="25" customWidth="1"/>
    <col min="19" max="20" width="19.5703125" style="25" customWidth="1"/>
    <col min="21" max="21" width="16.42578125" style="25" customWidth="1"/>
    <col min="22" max="22" width="17.140625" style="25" customWidth="1"/>
    <col min="23" max="23" width="18.7109375" style="25" customWidth="1"/>
    <col min="24" max="249" width="9.140625" style="25"/>
    <col min="250" max="250" width="13.28515625" style="25" customWidth="1"/>
    <col min="251" max="251" width="34.7109375" style="25" customWidth="1"/>
    <col min="252" max="252" width="26.85546875" style="25" customWidth="1"/>
    <col min="253" max="261" width="15.140625" style="25" customWidth="1"/>
    <col min="262" max="262" width="14" style="25" customWidth="1"/>
    <col min="263" max="263" width="13.42578125" style="25" customWidth="1"/>
    <col min="264" max="265" width="15" style="25" customWidth="1"/>
    <col min="266" max="266" width="16.5703125" style="25" customWidth="1"/>
    <col min="267" max="270" width="18.7109375" style="25" customWidth="1"/>
    <col min="271" max="505" width="9.140625" style="25"/>
    <col min="506" max="506" width="13.28515625" style="25" customWidth="1"/>
    <col min="507" max="507" width="34.7109375" style="25" customWidth="1"/>
    <col min="508" max="508" width="26.85546875" style="25" customWidth="1"/>
    <col min="509" max="517" width="15.140625" style="25" customWidth="1"/>
    <col min="518" max="518" width="14" style="25" customWidth="1"/>
    <col min="519" max="519" width="13.42578125" style="25" customWidth="1"/>
    <col min="520" max="521" width="15" style="25" customWidth="1"/>
    <col min="522" max="522" width="16.5703125" style="25" customWidth="1"/>
    <col min="523" max="526" width="18.7109375" style="25" customWidth="1"/>
    <col min="527" max="761" width="9.140625" style="25"/>
    <col min="762" max="762" width="13.28515625" style="25" customWidth="1"/>
    <col min="763" max="763" width="34.7109375" style="25" customWidth="1"/>
    <col min="764" max="764" width="26.85546875" style="25" customWidth="1"/>
    <col min="765" max="773" width="15.140625" style="25" customWidth="1"/>
    <col min="774" max="774" width="14" style="25" customWidth="1"/>
    <col min="775" max="775" width="13.42578125" style="25" customWidth="1"/>
    <col min="776" max="777" width="15" style="25" customWidth="1"/>
    <col min="778" max="778" width="16.5703125" style="25" customWidth="1"/>
    <col min="779" max="782" width="18.7109375" style="25" customWidth="1"/>
    <col min="783" max="1017" width="9.140625" style="25"/>
    <col min="1018" max="1018" width="13.28515625" style="25" customWidth="1"/>
    <col min="1019" max="1019" width="34.7109375" style="25" customWidth="1"/>
    <col min="1020" max="1020" width="26.85546875" style="25" customWidth="1"/>
    <col min="1021" max="1029" width="15.140625" style="25" customWidth="1"/>
    <col min="1030" max="1030" width="14" style="25" customWidth="1"/>
    <col min="1031" max="1031" width="13.42578125" style="25" customWidth="1"/>
    <col min="1032" max="1033" width="15" style="25" customWidth="1"/>
    <col min="1034" max="1034" width="16.5703125" style="25" customWidth="1"/>
    <col min="1035" max="1038" width="18.7109375" style="25" customWidth="1"/>
    <col min="1039" max="1273" width="9.140625" style="25"/>
    <col min="1274" max="1274" width="13.28515625" style="25" customWidth="1"/>
    <col min="1275" max="1275" width="34.7109375" style="25" customWidth="1"/>
    <col min="1276" max="1276" width="26.85546875" style="25" customWidth="1"/>
    <col min="1277" max="1285" width="15.140625" style="25" customWidth="1"/>
    <col min="1286" max="1286" width="14" style="25" customWidth="1"/>
    <col min="1287" max="1287" width="13.42578125" style="25" customWidth="1"/>
    <col min="1288" max="1289" width="15" style="25" customWidth="1"/>
    <col min="1290" max="1290" width="16.5703125" style="25" customWidth="1"/>
    <col min="1291" max="1294" width="18.7109375" style="25" customWidth="1"/>
    <col min="1295" max="1529" width="9.140625" style="25"/>
    <col min="1530" max="1530" width="13.28515625" style="25" customWidth="1"/>
    <col min="1531" max="1531" width="34.7109375" style="25" customWidth="1"/>
    <col min="1532" max="1532" width="26.85546875" style="25" customWidth="1"/>
    <col min="1533" max="1541" width="15.140625" style="25" customWidth="1"/>
    <col min="1542" max="1542" width="14" style="25" customWidth="1"/>
    <col min="1543" max="1543" width="13.42578125" style="25" customWidth="1"/>
    <col min="1544" max="1545" width="15" style="25" customWidth="1"/>
    <col min="1546" max="1546" width="16.5703125" style="25" customWidth="1"/>
    <col min="1547" max="1550" width="18.7109375" style="25" customWidth="1"/>
    <col min="1551" max="1785" width="9.140625" style="25"/>
    <col min="1786" max="1786" width="13.28515625" style="25" customWidth="1"/>
    <col min="1787" max="1787" width="34.7109375" style="25" customWidth="1"/>
    <col min="1788" max="1788" width="26.85546875" style="25" customWidth="1"/>
    <col min="1789" max="1797" width="15.140625" style="25" customWidth="1"/>
    <col min="1798" max="1798" width="14" style="25" customWidth="1"/>
    <col min="1799" max="1799" width="13.42578125" style="25" customWidth="1"/>
    <col min="1800" max="1801" width="15" style="25" customWidth="1"/>
    <col min="1802" max="1802" width="16.5703125" style="25" customWidth="1"/>
    <col min="1803" max="1806" width="18.7109375" style="25" customWidth="1"/>
    <col min="1807" max="2041" width="9.140625" style="25"/>
    <col min="2042" max="2042" width="13.28515625" style="25" customWidth="1"/>
    <col min="2043" max="2043" width="34.7109375" style="25" customWidth="1"/>
    <col min="2044" max="2044" width="26.85546875" style="25" customWidth="1"/>
    <col min="2045" max="2053" width="15.140625" style="25" customWidth="1"/>
    <col min="2054" max="2054" width="14" style="25" customWidth="1"/>
    <col min="2055" max="2055" width="13.42578125" style="25" customWidth="1"/>
    <col min="2056" max="2057" width="15" style="25" customWidth="1"/>
    <col min="2058" max="2058" width="16.5703125" style="25" customWidth="1"/>
    <col min="2059" max="2062" width="18.7109375" style="25" customWidth="1"/>
    <col min="2063" max="2297" width="9.140625" style="25"/>
    <col min="2298" max="2298" width="13.28515625" style="25" customWidth="1"/>
    <col min="2299" max="2299" width="34.7109375" style="25" customWidth="1"/>
    <col min="2300" max="2300" width="26.85546875" style="25" customWidth="1"/>
    <col min="2301" max="2309" width="15.140625" style="25" customWidth="1"/>
    <col min="2310" max="2310" width="14" style="25" customWidth="1"/>
    <col min="2311" max="2311" width="13.42578125" style="25" customWidth="1"/>
    <col min="2312" max="2313" width="15" style="25" customWidth="1"/>
    <col min="2314" max="2314" width="16.5703125" style="25" customWidth="1"/>
    <col min="2315" max="2318" width="18.7109375" style="25" customWidth="1"/>
    <col min="2319" max="2553" width="9.140625" style="25"/>
    <col min="2554" max="2554" width="13.28515625" style="25" customWidth="1"/>
    <col min="2555" max="2555" width="34.7109375" style="25" customWidth="1"/>
    <col min="2556" max="2556" width="26.85546875" style="25" customWidth="1"/>
    <col min="2557" max="2565" width="15.140625" style="25" customWidth="1"/>
    <col min="2566" max="2566" width="14" style="25" customWidth="1"/>
    <col min="2567" max="2567" width="13.42578125" style="25" customWidth="1"/>
    <col min="2568" max="2569" width="15" style="25" customWidth="1"/>
    <col min="2570" max="2570" width="16.5703125" style="25" customWidth="1"/>
    <col min="2571" max="2574" width="18.7109375" style="25" customWidth="1"/>
    <col min="2575" max="2809" width="9.140625" style="25"/>
    <col min="2810" max="2810" width="13.28515625" style="25" customWidth="1"/>
    <col min="2811" max="2811" width="34.7109375" style="25" customWidth="1"/>
    <col min="2812" max="2812" width="26.85546875" style="25" customWidth="1"/>
    <col min="2813" max="2821" width="15.140625" style="25" customWidth="1"/>
    <col min="2822" max="2822" width="14" style="25" customWidth="1"/>
    <col min="2823" max="2823" width="13.42578125" style="25" customWidth="1"/>
    <col min="2824" max="2825" width="15" style="25" customWidth="1"/>
    <col min="2826" max="2826" width="16.5703125" style="25" customWidth="1"/>
    <col min="2827" max="2830" width="18.7109375" style="25" customWidth="1"/>
    <col min="2831" max="3065" width="9.140625" style="25"/>
    <col min="3066" max="3066" width="13.28515625" style="25" customWidth="1"/>
    <col min="3067" max="3067" width="34.7109375" style="25" customWidth="1"/>
    <col min="3068" max="3068" width="26.85546875" style="25" customWidth="1"/>
    <col min="3069" max="3077" width="15.140625" style="25" customWidth="1"/>
    <col min="3078" max="3078" width="14" style="25" customWidth="1"/>
    <col min="3079" max="3079" width="13.42578125" style="25" customWidth="1"/>
    <col min="3080" max="3081" width="15" style="25" customWidth="1"/>
    <col min="3082" max="3082" width="16.5703125" style="25" customWidth="1"/>
    <col min="3083" max="3086" width="18.7109375" style="25" customWidth="1"/>
    <col min="3087" max="3321" width="9.140625" style="25"/>
    <col min="3322" max="3322" width="13.28515625" style="25" customWidth="1"/>
    <col min="3323" max="3323" width="34.7109375" style="25" customWidth="1"/>
    <col min="3324" max="3324" width="26.85546875" style="25" customWidth="1"/>
    <col min="3325" max="3333" width="15.140625" style="25" customWidth="1"/>
    <col min="3334" max="3334" width="14" style="25" customWidth="1"/>
    <col min="3335" max="3335" width="13.42578125" style="25" customWidth="1"/>
    <col min="3336" max="3337" width="15" style="25" customWidth="1"/>
    <col min="3338" max="3338" width="16.5703125" style="25" customWidth="1"/>
    <col min="3339" max="3342" width="18.7109375" style="25" customWidth="1"/>
    <col min="3343" max="3577" width="9.140625" style="25"/>
    <col min="3578" max="3578" width="13.28515625" style="25" customWidth="1"/>
    <col min="3579" max="3579" width="34.7109375" style="25" customWidth="1"/>
    <col min="3580" max="3580" width="26.85546875" style="25" customWidth="1"/>
    <col min="3581" max="3589" width="15.140625" style="25" customWidth="1"/>
    <col min="3590" max="3590" width="14" style="25" customWidth="1"/>
    <col min="3591" max="3591" width="13.42578125" style="25" customWidth="1"/>
    <col min="3592" max="3593" width="15" style="25" customWidth="1"/>
    <col min="3594" max="3594" width="16.5703125" style="25" customWidth="1"/>
    <col min="3595" max="3598" width="18.7109375" style="25" customWidth="1"/>
    <col min="3599" max="3833" width="9.140625" style="25"/>
    <col min="3834" max="3834" width="13.28515625" style="25" customWidth="1"/>
    <col min="3835" max="3835" width="34.7109375" style="25" customWidth="1"/>
    <col min="3836" max="3836" width="26.85546875" style="25" customWidth="1"/>
    <col min="3837" max="3845" width="15.140625" style="25" customWidth="1"/>
    <col min="3846" max="3846" width="14" style="25" customWidth="1"/>
    <col min="3847" max="3847" width="13.42578125" style="25" customWidth="1"/>
    <col min="3848" max="3849" width="15" style="25" customWidth="1"/>
    <col min="3850" max="3850" width="16.5703125" style="25" customWidth="1"/>
    <col min="3851" max="3854" width="18.7109375" style="25" customWidth="1"/>
    <col min="3855" max="4089" width="9.140625" style="25"/>
    <col min="4090" max="4090" width="13.28515625" style="25" customWidth="1"/>
    <col min="4091" max="4091" width="34.7109375" style="25" customWidth="1"/>
    <col min="4092" max="4092" width="26.85546875" style="25" customWidth="1"/>
    <col min="4093" max="4101" width="15.140625" style="25" customWidth="1"/>
    <col min="4102" max="4102" width="14" style="25" customWidth="1"/>
    <col min="4103" max="4103" width="13.42578125" style="25" customWidth="1"/>
    <col min="4104" max="4105" width="15" style="25" customWidth="1"/>
    <col min="4106" max="4106" width="16.5703125" style="25" customWidth="1"/>
    <col min="4107" max="4110" width="18.7109375" style="25" customWidth="1"/>
    <col min="4111" max="4345" width="9.140625" style="25"/>
    <col min="4346" max="4346" width="13.28515625" style="25" customWidth="1"/>
    <col min="4347" max="4347" width="34.7109375" style="25" customWidth="1"/>
    <col min="4348" max="4348" width="26.85546875" style="25" customWidth="1"/>
    <col min="4349" max="4357" width="15.140625" style="25" customWidth="1"/>
    <col min="4358" max="4358" width="14" style="25" customWidth="1"/>
    <col min="4359" max="4359" width="13.42578125" style="25" customWidth="1"/>
    <col min="4360" max="4361" width="15" style="25" customWidth="1"/>
    <col min="4362" max="4362" width="16.5703125" style="25" customWidth="1"/>
    <col min="4363" max="4366" width="18.7109375" style="25" customWidth="1"/>
    <col min="4367" max="4601" width="9.140625" style="25"/>
    <col min="4602" max="4602" width="13.28515625" style="25" customWidth="1"/>
    <col min="4603" max="4603" width="34.7109375" style="25" customWidth="1"/>
    <col min="4604" max="4604" width="26.85546875" style="25" customWidth="1"/>
    <col min="4605" max="4613" width="15.140625" style="25" customWidth="1"/>
    <col min="4614" max="4614" width="14" style="25" customWidth="1"/>
    <col min="4615" max="4615" width="13.42578125" style="25" customWidth="1"/>
    <col min="4616" max="4617" width="15" style="25" customWidth="1"/>
    <col min="4618" max="4618" width="16.5703125" style="25" customWidth="1"/>
    <col min="4619" max="4622" width="18.7109375" style="25" customWidth="1"/>
    <col min="4623" max="4857" width="9.140625" style="25"/>
    <col min="4858" max="4858" width="13.28515625" style="25" customWidth="1"/>
    <col min="4859" max="4859" width="34.7109375" style="25" customWidth="1"/>
    <col min="4860" max="4860" width="26.85546875" style="25" customWidth="1"/>
    <col min="4861" max="4869" width="15.140625" style="25" customWidth="1"/>
    <col min="4870" max="4870" width="14" style="25" customWidth="1"/>
    <col min="4871" max="4871" width="13.42578125" style="25" customWidth="1"/>
    <col min="4872" max="4873" width="15" style="25" customWidth="1"/>
    <col min="4874" max="4874" width="16.5703125" style="25" customWidth="1"/>
    <col min="4875" max="4878" width="18.7109375" style="25" customWidth="1"/>
    <col min="4879" max="5113" width="9.140625" style="25"/>
    <col min="5114" max="5114" width="13.28515625" style="25" customWidth="1"/>
    <col min="5115" max="5115" width="34.7109375" style="25" customWidth="1"/>
    <col min="5116" max="5116" width="26.85546875" style="25" customWidth="1"/>
    <col min="5117" max="5125" width="15.140625" style="25" customWidth="1"/>
    <col min="5126" max="5126" width="14" style="25" customWidth="1"/>
    <col min="5127" max="5127" width="13.42578125" style="25" customWidth="1"/>
    <col min="5128" max="5129" width="15" style="25" customWidth="1"/>
    <col min="5130" max="5130" width="16.5703125" style="25" customWidth="1"/>
    <col min="5131" max="5134" width="18.7109375" style="25" customWidth="1"/>
    <col min="5135" max="5369" width="9.140625" style="25"/>
    <col min="5370" max="5370" width="13.28515625" style="25" customWidth="1"/>
    <col min="5371" max="5371" width="34.7109375" style="25" customWidth="1"/>
    <col min="5372" max="5372" width="26.85546875" style="25" customWidth="1"/>
    <col min="5373" max="5381" width="15.140625" style="25" customWidth="1"/>
    <col min="5382" max="5382" width="14" style="25" customWidth="1"/>
    <col min="5383" max="5383" width="13.42578125" style="25" customWidth="1"/>
    <col min="5384" max="5385" width="15" style="25" customWidth="1"/>
    <col min="5386" max="5386" width="16.5703125" style="25" customWidth="1"/>
    <col min="5387" max="5390" width="18.7109375" style="25" customWidth="1"/>
    <col min="5391" max="5625" width="9.140625" style="25"/>
    <col min="5626" max="5626" width="13.28515625" style="25" customWidth="1"/>
    <col min="5627" max="5627" width="34.7109375" style="25" customWidth="1"/>
    <col min="5628" max="5628" width="26.85546875" style="25" customWidth="1"/>
    <col min="5629" max="5637" width="15.140625" style="25" customWidth="1"/>
    <col min="5638" max="5638" width="14" style="25" customWidth="1"/>
    <col min="5639" max="5639" width="13.42578125" style="25" customWidth="1"/>
    <col min="5640" max="5641" width="15" style="25" customWidth="1"/>
    <col min="5642" max="5642" width="16.5703125" style="25" customWidth="1"/>
    <col min="5643" max="5646" width="18.7109375" style="25" customWidth="1"/>
    <col min="5647" max="5881" width="9.140625" style="25"/>
    <col min="5882" max="5882" width="13.28515625" style="25" customWidth="1"/>
    <col min="5883" max="5883" width="34.7109375" style="25" customWidth="1"/>
    <col min="5884" max="5884" width="26.85546875" style="25" customWidth="1"/>
    <col min="5885" max="5893" width="15.140625" style="25" customWidth="1"/>
    <col min="5894" max="5894" width="14" style="25" customWidth="1"/>
    <col min="5895" max="5895" width="13.42578125" style="25" customWidth="1"/>
    <col min="5896" max="5897" width="15" style="25" customWidth="1"/>
    <col min="5898" max="5898" width="16.5703125" style="25" customWidth="1"/>
    <col min="5899" max="5902" width="18.7109375" style="25" customWidth="1"/>
    <col min="5903" max="6137" width="9.140625" style="25"/>
    <col min="6138" max="6138" width="13.28515625" style="25" customWidth="1"/>
    <col min="6139" max="6139" width="34.7109375" style="25" customWidth="1"/>
    <col min="6140" max="6140" width="26.85546875" style="25" customWidth="1"/>
    <col min="6141" max="6149" width="15.140625" style="25" customWidth="1"/>
    <col min="6150" max="6150" width="14" style="25" customWidth="1"/>
    <col min="6151" max="6151" width="13.42578125" style="25" customWidth="1"/>
    <col min="6152" max="6153" width="15" style="25" customWidth="1"/>
    <col min="6154" max="6154" width="16.5703125" style="25" customWidth="1"/>
    <col min="6155" max="6158" width="18.7109375" style="25" customWidth="1"/>
    <col min="6159" max="6393" width="9.140625" style="25"/>
    <col min="6394" max="6394" width="13.28515625" style="25" customWidth="1"/>
    <col min="6395" max="6395" width="34.7109375" style="25" customWidth="1"/>
    <col min="6396" max="6396" width="26.85546875" style="25" customWidth="1"/>
    <col min="6397" max="6405" width="15.140625" style="25" customWidth="1"/>
    <col min="6406" max="6406" width="14" style="25" customWidth="1"/>
    <col min="6407" max="6407" width="13.42578125" style="25" customWidth="1"/>
    <col min="6408" max="6409" width="15" style="25" customWidth="1"/>
    <col min="6410" max="6410" width="16.5703125" style="25" customWidth="1"/>
    <col min="6411" max="6414" width="18.7109375" style="25" customWidth="1"/>
    <col min="6415" max="6649" width="9.140625" style="25"/>
    <col min="6650" max="6650" width="13.28515625" style="25" customWidth="1"/>
    <col min="6651" max="6651" width="34.7109375" style="25" customWidth="1"/>
    <col min="6652" max="6652" width="26.85546875" style="25" customWidth="1"/>
    <col min="6653" max="6661" width="15.140625" style="25" customWidth="1"/>
    <col min="6662" max="6662" width="14" style="25" customWidth="1"/>
    <col min="6663" max="6663" width="13.42578125" style="25" customWidth="1"/>
    <col min="6664" max="6665" width="15" style="25" customWidth="1"/>
    <col min="6666" max="6666" width="16.5703125" style="25" customWidth="1"/>
    <col min="6667" max="6670" width="18.7109375" style="25" customWidth="1"/>
    <col min="6671" max="6905" width="9.140625" style="25"/>
    <col min="6906" max="6906" width="13.28515625" style="25" customWidth="1"/>
    <col min="6907" max="6907" width="34.7109375" style="25" customWidth="1"/>
    <col min="6908" max="6908" width="26.85546875" style="25" customWidth="1"/>
    <col min="6909" max="6917" width="15.140625" style="25" customWidth="1"/>
    <col min="6918" max="6918" width="14" style="25" customWidth="1"/>
    <col min="6919" max="6919" width="13.42578125" style="25" customWidth="1"/>
    <col min="6920" max="6921" width="15" style="25" customWidth="1"/>
    <col min="6922" max="6922" width="16.5703125" style="25" customWidth="1"/>
    <col min="6923" max="6926" width="18.7109375" style="25" customWidth="1"/>
    <col min="6927" max="7161" width="9.140625" style="25"/>
    <col min="7162" max="7162" width="13.28515625" style="25" customWidth="1"/>
    <col min="7163" max="7163" width="34.7109375" style="25" customWidth="1"/>
    <col min="7164" max="7164" width="26.85546875" style="25" customWidth="1"/>
    <col min="7165" max="7173" width="15.140625" style="25" customWidth="1"/>
    <col min="7174" max="7174" width="14" style="25" customWidth="1"/>
    <col min="7175" max="7175" width="13.42578125" style="25" customWidth="1"/>
    <col min="7176" max="7177" width="15" style="25" customWidth="1"/>
    <col min="7178" max="7178" width="16.5703125" style="25" customWidth="1"/>
    <col min="7179" max="7182" width="18.7109375" style="25" customWidth="1"/>
    <col min="7183" max="7417" width="9.140625" style="25"/>
    <col min="7418" max="7418" width="13.28515625" style="25" customWidth="1"/>
    <col min="7419" max="7419" width="34.7109375" style="25" customWidth="1"/>
    <col min="7420" max="7420" width="26.85546875" style="25" customWidth="1"/>
    <col min="7421" max="7429" width="15.140625" style="25" customWidth="1"/>
    <col min="7430" max="7430" width="14" style="25" customWidth="1"/>
    <col min="7431" max="7431" width="13.42578125" style="25" customWidth="1"/>
    <col min="7432" max="7433" width="15" style="25" customWidth="1"/>
    <col min="7434" max="7434" width="16.5703125" style="25" customWidth="1"/>
    <col min="7435" max="7438" width="18.7109375" style="25" customWidth="1"/>
    <col min="7439" max="7673" width="9.140625" style="25"/>
    <col min="7674" max="7674" width="13.28515625" style="25" customWidth="1"/>
    <col min="7675" max="7675" width="34.7109375" style="25" customWidth="1"/>
    <col min="7676" max="7676" width="26.85546875" style="25" customWidth="1"/>
    <col min="7677" max="7685" width="15.140625" style="25" customWidth="1"/>
    <col min="7686" max="7686" width="14" style="25" customWidth="1"/>
    <col min="7687" max="7687" width="13.42578125" style="25" customWidth="1"/>
    <col min="7688" max="7689" width="15" style="25" customWidth="1"/>
    <col min="7690" max="7690" width="16.5703125" style="25" customWidth="1"/>
    <col min="7691" max="7694" width="18.7109375" style="25" customWidth="1"/>
    <col min="7695" max="7929" width="9.140625" style="25"/>
    <col min="7930" max="7930" width="13.28515625" style="25" customWidth="1"/>
    <col min="7931" max="7931" width="34.7109375" style="25" customWidth="1"/>
    <col min="7932" max="7932" width="26.85546875" style="25" customWidth="1"/>
    <col min="7933" max="7941" width="15.140625" style="25" customWidth="1"/>
    <col min="7942" max="7942" width="14" style="25" customWidth="1"/>
    <col min="7943" max="7943" width="13.42578125" style="25" customWidth="1"/>
    <col min="7944" max="7945" width="15" style="25" customWidth="1"/>
    <col min="7946" max="7946" width="16.5703125" style="25" customWidth="1"/>
    <col min="7947" max="7950" width="18.7109375" style="25" customWidth="1"/>
    <col min="7951" max="8185" width="9.140625" style="25"/>
    <col min="8186" max="8186" width="13.28515625" style="25" customWidth="1"/>
    <col min="8187" max="8187" width="34.7109375" style="25" customWidth="1"/>
    <col min="8188" max="8188" width="26.85546875" style="25" customWidth="1"/>
    <col min="8189" max="8197" width="15.140625" style="25" customWidth="1"/>
    <col min="8198" max="8198" width="14" style="25" customWidth="1"/>
    <col min="8199" max="8199" width="13.42578125" style="25" customWidth="1"/>
    <col min="8200" max="8201" width="15" style="25" customWidth="1"/>
    <col min="8202" max="8202" width="16.5703125" style="25" customWidth="1"/>
    <col min="8203" max="8206" width="18.7109375" style="25" customWidth="1"/>
    <col min="8207" max="8441" width="9.140625" style="25"/>
    <col min="8442" max="8442" width="13.28515625" style="25" customWidth="1"/>
    <col min="8443" max="8443" width="34.7109375" style="25" customWidth="1"/>
    <col min="8444" max="8444" width="26.85546875" style="25" customWidth="1"/>
    <col min="8445" max="8453" width="15.140625" style="25" customWidth="1"/>
    <col min="8454" max="8454" width="14" style="25" customWidth="1"/>
    <col min="8455" max="8455" width="13.42578125" style="25" customWidth="1"/>
    <col min="8456" max="8457" width="15" style="25" customWidth="1"/>
    <col min="8458" max="8458" width="16.5703125" style="25" customWidth="1"/>
    <col min="8459" max="8462" width="18.7109375" style="25" customWidth="1"/>
    <col min="8463" max="8697" width="9.140625" style="25"/>
    <col min="8698" max="8698" width="13.28515625" style="25" customWidth="1"/>
    <col min="8699" max="8699" width="34.7109375" style="25" customWidth="1"/>
    <col min="8700" max="8700" width="26.85546875" style="25" customWidth="1"/>
    <col min="8701" max="8709" width="15.140625" style="25" customWidth="1"/>
    <col min="8710" max="8710" width="14" style="25" customWidth="1"/>
    <col min="8711" max="8711" width="13.42578125" style="25" customWidth="1"/>
    <col min="8712" max="8713" width="15" style="25" customWidth="1"/>
    <col min="8714" max="8714" width="16.5703125" style="25" customWidth="1"/>
    <col min="8715" max="8718" width="18.7109375" style="25" customWidth="1"/>
    <col min="8719" max="8953" width="9.140625" style="25"/>
    <col min="8954" max="8954" width="13.28515625" style="25" customWidth="1"/>
    <col min="8955" max="8955" width="34.7109375" style="25" customWidth="1"/>
    <col min="8956" max="8956" width="26.85546875" style="25" customWidth="1"/>
    <col min="8957" max="8965" width="15.140625" style="25" customWidth="1"/>
    <col min="8966" max="8966" width="14" style="25" customWidth="1"/>
    <col min="8967" max="8967" width="13.42578125" style="25" customWidth="1"/>
    <col min="8968" max="8969" width="15" style="25" customWidth="1"/>
    <col min="8970" max="8970" width="16.5703125" style="25" customWidth="1"/>
    <col min="8971" max="8974" width="18.7109375" style="25" customWidth="1"/>
    <col min="8975" max="9209" width="9.140625" style="25"/>
    <col min="9210" max="9210" width="13.28515625" style="25" customWidth="1"/>
    <col min="9211" max="9211" width="34.7109375" style="25" customWidth="1"/>
    <col min="9212" max="9212" width="26.85546875" style="25" customWidth="1"/>
    <col min="9213" max="9221" width="15.140625" style="25" customWidth="1"/>
    <col min="9222" max="9222" width="14" style="25" customWidth="1"/>
    <col min="9223" max="9223" width="13.42578125" style="25" customWidth="1"/>
    <col min="9224" max="9225" width="15" style="25" customWidth="1"/>
    <col min="9226" max="9226" width="16.5703125" style="25" customWidth="1"/>
    <col min="9227" max="9230" width="18.7109375" style="25" customWidth="1"/>
    <col min="9231" max="9465" width="9.140625" style="25"/>
    <col min="9466" max="9466" width="13.28515625" style="25" customWidth="1"/>
    <col min="9467" max="9467" width="34.7109375" style="25" customWidth="1"/>
    <col min="9468" max="9468" width="26.85546875" style="25" customWidth="1"/>
    <col min="9469" max="9477" width="15.140625" style="25" customWidth="1"/>
    <col min="9478" max="9478" width="14" style="25" customWidth="1"/>
    <col min="9479" max="9479" width="13.42578125" style="25" customWidth="1"/>
    <col min="9480" max="9481" width="15" style="25" customWidth="1"/>
    <col min="9482" max="9482" width="16.5703125" style="25" customWidth="1"/>
    <col min="9483" max="9486" width="18.7109375" style="25" customWidth="1"/>
    <col min="9487" max="9721" width="9.140625" style="25"/>
    <col min="9722" max="9722" width="13.28515625" style="25" customWidth="1"/>
    <col min="9723" max="9723" width="34.7109375" style="25" customWidth="1"/>
    <col min="9724" max="9724" width="26.85546875" style="25" customWidth="1"/>
    <col min="9725" max="9733" width="15.140625" style="25" customWidth="1"/>
    <col min="9734" max="9734" width="14" style="25" customWidth="1"/>
    <col min="9735" max="9735" width="13.42578125" style="25" customWidth="1"/>
    <col min="9736" max="9737" width="15" style="25" customWidth="1"/>
    <col min="9738" max="9738" width="16.5703125" style="25" customWidth="1"/>
    <col min="9739" max="9742" width="18.7109375" style="25" customWidth="1"/>
    <col min="9743" max="9977" width="9.140625" style="25"/>
    <col min="9978" max="9978" width="13.28515625" style="25" customWidth="1"/>
    <col min="9979" max="9979" width="34.7109375" style="25" customWidth="1"/>
    <col min="9980" max="9980" width="26.85546875" style="25" customWidth="1"/>
    <col min="9981" max="9989" width="15.140625" style="25" customWidth="1"/>
    <col min="9990" max="9990" width="14" style="25" customWidth="1"/>
    <col min="9991" max="9991" width="13.42578125" style="25" customWidth="1"/>
    <col min="9992" max="9993" width="15" style="25" customWidth="1"/>
    <col min="9994" max="9994" width="16.5703125" style="25" customWidth="1"/>
    <col min="9995" max="9998" width="18.7109375" style="25" customWidth="1"/>
    <col min="9999" max="10233" width="9.140625" style="25"/>
    <col min="10234" max="10234" width="13.28515625" style="25" customWidth="1"/>
    <col min="10235" max="10235" width="34.7109375" style="25" customWidth="1"/>
    <col min="10236" max="10236" width="26.85546875" style="25" customWidth="1"/>
    <col min="10237" max="10245" width="15.140625" style="25" customWidth="1"/>
    <col min="10246" max="10246" width="14" style="25" customWidth="1"/>
    <col min="10247" max="10247" width="13.42578125" style="25" customWidth="1"/>
    <col min="10248" max="10249" width="15" style="25" customWidth="1"/>
    <col min="10250" max="10250" width="16.5703125" style="25" customWidth="1"/>
    <col min="10251" max="10254" width="18.7109375" style="25" customWidth="1"/>
    <col min="10255" max="10489" width="9.140625" style="25"/>
    <col min="10490" max="10490" width="13.28515625" style="25" customWidth="1"/>
    <col min="10491" max="10491" width="34.7109375" style="25" customWidth="1"/>
    <col min="10492" max="10492" width="26.85546875" style="25" customWidth="1"/>
    <col min="10493" max="10501" width="15.140625" style="25" customWidth="1"/>
    <col min="10502" max="10502" width="14" style="25" customWidth="1"/>
    <col min="10503" max="10503" width="13.42578125" style="25" customWidth="1"/>
    <col min="10504" max="10505" width="15" style="25" customWidth="1"/>
    <col min="10506" max="10506" width="16.5703125" style="25" customWidth="1"/>
    <col min="10507" max="10510" width="18.7109375" style="25" customWidth="1"/>
    <col min="10511" max="10745" width="9.140625" style="25"/>
    <col min="10746" max="10746" width="13.28515625" style="25" customWidth="1"/>
    <col min="10747" max="10747" width="34.7109375" style="25" customWidth="1"/>
    <col min="10748" max="10748" width="26.85546875" style="25" customWidth="1"/>
    <col min="10749" max="10757" width="15.140625" style="25" customWidth="1"/>
    <col min="10758" max="10758" width="14" style="25" customWidth="1"/>
    <col min="10759" max="10759" width="13.42578125" style="25" customWidth="1"/>
    <col min="10760" max="10761" width="15" style="25" customWidth="1"/>
    <col min="10762" max="10762" width="16.5703125" style="25" customWidth="1"/>
    <col min="10763" max="10766" width="18.7109375" style="25" customWidth="1"/>
    <col min="10767" max="11001" width="9.140625" style="25"/>
    <col min="11002" max="11002" width="13.28515625" style="25" customWidth="1"/>
    <col min="11003" max="11003" width="34.7109375" style="25" customWidth="1"/>
    <col min="11004" max="11004" width="26.85546875" style="25" customWidth="1"/>
    <col min="11005" max="11013" width="15.140625" style="25" customWidth="1"/>
    <col min="11014" max="11014" width="14" style="25" customWidth="1"/>
    <col min="11015" max="11015" width="13.42578125" style="25" customWidth="1"/>
    <col min="11016" max="11017" width="15" style="25" customWidth="1"/>
    <col min="11018" max="11018" width="16.5703125" style="25" customWidth="1"/>
    <col min="11019" max="11022" width="18.7109375" style="25" customWidth="1"/>
    <col min="11023" max="11257" width="9.140625" style="25"/>
    <col min="11258" max="11258" width="13.28515625" style="25" customWidth="1"/>
    <col min="11259" max="11259" width="34.7109375" style="25" customWidth="1"/>
    <col min="11260" max="11260" width="26.85546875" style="25" customWidth="1"/>
    <col min="11261" max="11269" width="15.140625" style="25" customWidth="1"/>
    <col min="11270" max="11270" width="14" style="25" customWidth="1"/>
    <col min="11271" max="11271" width="13.42578125" style="25" customWidth="1"/>
    <col min="11272" max="11273" width="15" style="25" customWidth="1"/>
    <col min="11274" max="11274" width="16.5703125" style="25" customWidth="1"/>
    <col min="11275" max="11278" width="18.7109375" style="25" customWidth="1"/>
    <col min="11279" max="11513" width="9.140625" style="25"/>
    <col min="11514" max="11514" width="13.28515625" style="25" customWidth="1"/>
    <col min="11515" max="11515" width="34.7109375" style="25" customWidth="1"/>
    <col min="11516" max="11516" width="26.85546875" style="25" customWidth="1"/>
    <col min="11517" max="11525" width="15.140625" style="25" customWidth="1"/>
    <col min="11526" max="11526" width="14" style="25" customWidth="1"/>
    <col min="11527" max="11527" width="13.42578125" style="25" customWidth="1"/>
    <col min="11528" max="11529" width="15" style="25" customWidth="1"/>
    <col min="11530" max="11530" width="16.5703125" style="25" customWidth="1"/>
    <col min="11531" max="11534" width="18.7109375" style="25" customWidth="1"/>
    <col min="11535" max="11769" width="9.140625" style="25"/>
    <col min="11770" max="11770" width="13.28515625" style="25" customWidth="1"/>
    <col min="11771" max="11771" width="34.7109375" style="25" customWidth="1"/>
    <col min="11772" max="11772" width="26.85546875" style="25" customWidth="1"/>
    <col min="11773" max="11781" width="15.140625" style="25" customWidth="1"/>
    <col min="11782" max="11782" width="14" style="25" customWidth="1"/>
    <col min="11783" max="11783" width="13.42578125" style="25" customWidth="1"/>
    <col min="11784" max="11785" width="15" style="25" customWidth="1"/>
    <col min="11786" max="11786" width="16.5703125" style="25" customWidth="1"/>
    <col min="11787" max="11790" width="18.7109375" style="25" customWidth="1"/>
    <col min="11791" max="12025" width="9.140625" style="25"/>
    <col min="12026" max="12026" width="13.28515625" style="25" customWidth="1"/>
    <col min="12027" max="12027" width="34.7109375" style="25" customWidth="1"/>
    <col min="12028" max="12028" width="26.85546875" style="25" customWidth="1"/>
    <col min="12029" max="12037" width="15.140625" style="25" customWidth="1"/>
    <col min="12038" max="12038" width="14" style="25" customWidth="1"/>
    <col min="12039" max="12039" width="13.42578125" style="25" customWidth="1"/>
    <col min="12040" max="12041" width="15" style="25" customWidth="1"/>
    <col min="12042" max="12042" width="16.5703125" style="25" customWidth="1"/>
    <col min="12043" max="12046" width="18.7109375" style="25" customWidth="1"/>
    <col min="12047" max="12281" width="9.140625" style="25"/>
    <col min="12282" max="12282" width="13.28515625" style="25" customWidth="1"/>
    <col min="12283" max="12283" width="34.7109375" style="25" customWidth="1"/>
    <col min="12284" max="12284" width="26.85546875" style="25" customWidth="1"/>
    <col min="12285" max="12293" width="15.140625" style="25" customWidth="1"/>
    <col min="12294" max="12294" width="14" style="25" customWidth="1"/>
    <col min="12295" max="12295" width="13.42578125" style="25" customWidth="1"/>
    <col min="12296" max="12297" width="15" style="25" customWidth="1"/>
    <col min="12298" max="12298" width="16.5703125" style="25" customWidth="1"/>
    <col min="12299" max="12302" width="18.7109375" style="25" customWidth="1"/>
    <col min="12303" max="12537" width="9.140625" style="25"/>
    <col min="12538" max="12538" width="13.28515625" style="25" customWidth="1"/>
    <col min="12539" max="12539" width="34.7109375" style="25" customWidth="1"/>
    <col min="12540" max="12540" width="26.85546875" style="25" customWidth="1"/>
    <col min="12541" max="12549" width="15.140625" style="25" customWidth="1"/>
    <col min="12550" max="12550" width="14" style="25" customWidth="1"/>
    <col min="12551" max="12551" width="13.42578125" style="25" customWidth="1"/>
    <col min="12552" max="12553" width="15" style="25" customWidth="1"/>
    <col min="12554" max="12554" width="16.5703125" style="25" customWidth="1"/>
    <col min="12555" max="12558" width="18.7109375" style="25" customWidth="1"/>
    <col min="12559" max="12793" width="9.140625" style="25"/>
    <col min="12794" max="12794" width="13.28515625" style="25" customWidth="1"/>
    <col min="12795" max="12795" width="34.7109375" style="25" customWidth="1"/>
    <col min="12796" max="12796" width="26.85546875" style="25" customWidth="1"/>
    <col min="12797" max="12805" width="15.140625" style="25" customWidth="1"/>
    <col min="12806" max="12806" width="14" style="25" customWidth="1"/>
    <col min="12807" max="12807" width="13.42578125" style="25" customWidth="1"/>
    <col min="12808" max="12809" width="15" style="25" customWidth="1"/>
    <col min="12810" max="12810" width="16.5703125" style="25" customWidth="1"/>
    <col min="12811" max="12814" width="18.7109375" style="25" customWidth="1"/>
    <col min="12815" max="13049" width="9.140625" style="25"/>
    <col min="13050" max="13050" width="13.28515625" style="25" customWidth="1"/>
    <col min="13051" max="13051" width="34.7109375" style="25" customWidth="1"/>
    <col min="13052" max="13052" width="26.85546875" style="25" customWidth="1"/>
    <col min="13053" max="13061" width="15.140625" style="25" customWidth="1"/>
    <col min="13062" max="13062" width="14" style="25" customWidth="1"/>
    <col min="13063" max="13063" width="13.42578125" style="25" customWidth="1"/>
    <col min="13064" max="13065" width="15" style="25" customWidth="1"/>
    <col min="13066" max="13066" width="16.5703125" style="25" customWidth="1"/>
    <col min="13067" max="13070" width="18.7109375" style="25" customWidth="1"/>
    <col min="13071" max="13305" width="9.140625" style="25"/>
    <col min="13306" max="13306" width="13.28515625" style="25" customWidth="1"/>
    <col min="13307" max="13307" width="34.7109375" style="25" customWidth="1"/>
    <col min="13308" max="13308" width="26.85546875" style="25" customWidth="1"/>
    <col min="13309" max="13317" width="15.140625" style="25" customWidth="1"/>
    <col min="13318" max="13318" width="14" style="25" customWidth="1"/>
    <col min="13319" max="13319" width="13.42578125" style="25" customWidth="1"/>
    <col min="13320" max="13321" width="15" style="25" customWidth="1"/>
    <col min="13322" max="13322" width="16.5703125" style="25" customWidth="1"/>
    <col min="13323" max="13326" width="18.7109375" style="25" customWidth="1"/>
    <col min="13327" max="13561" width="9.140625" style="25"/>
    <col min="13562" max="13562" width="13.28515625" style="25" customWidth="1"/>
    <col min="13563" max="13563" width="34.7109375" style="25" customWidth="1"/>
    <col min="13564" max="13564" width="26.85546875" style="25" customWidth="1"/>
    <col min="13565" max="13573" width="15.140625" style="25" customWidth="1"/>
    <col min="13574" max="13574" width="14" style="25" customWidth="1"/>
    <col min="13575" max="13575" width="13.42578125" style="25" customWidth="1"/>
    <col min="13576" max="13577" width="15" style="25" customWidth="1"/>
    <col min="13578" max="13578" width="16.5703125" style="25" customWidth="1"/>
    <col min="13579" max="13582" width="18.7109375" style="25" customWidth="1"/>
    <col min="13583" max="13817" width="9.140625" style="25"/>
    <col min="13818" max="13818" width="13.28515625" style="25" customWidth="1"/>
    <col min="13819" max="13819" width="34.7109375" style="25" customWidth="1"/>
    <col min="13820" max="13820" width="26.85546875" style="25" customWidth="1"/>
    <col min="13821" max="13829" width="15.140625" style="25" customWidth="1"/>
    <col min="13830" max="13830" width="14" style="25" customWidth="1"/>
    <col min="13831" max="13831" width="13.42578125" style="25" customWidth="1"/>
    <col min="13832" max="13833" width="15" style="25" customWidth="1"/>
    <col min="13834" max="13834" width="16.5703125" style="25" customWidth="1"/>
    <col min="13835" max="13838" width="18.7109375" style="25" customWidth="1"/>
    <col min="13839" max="14073" width="9.140625" style="25"/>
    <col min="14074" max="14074" width="13.28515625" style="25" customWidth="1"/>
    <col min="14075" max="14075" width="34.7109375" style="25" customWidth="1"/>
    <col min="14076" max="14076" width="26.85546875" style="25" customWidth="1"/>
    <col min="14077" max="14085" width="15.140625" style="25" customWidth="1"/>
    <col min="14086" max="14086" width="14" style="25" customWidth="1"/>
    <col min="14087" max="14087" width="13.42578125" style="25" customWidth="1"/>
    <col min="14088" max="14089" width="15" style="25" customWidth="1"/>
    <col min="14090" max="14090" width="16.5703125" style="25" customWidth="1"/>
    <col min="14091" max="14094" width="18.7109375" style="25" customWidth="1"/>
    <col min="14095" max="14329" width="9.140625" style="25"/>
    <col min="14330" max="14330" width="13.28515625" style="25" customWidth="1"/>
    <col min="14331" max="14331" width="34.7109375" style="25" customWidth="1"/>
    <col min="14332" max="14332" width="26.85546875" style="25" customWidth="1"/>
    <col min="14333" max="14341" width="15.140625" style="25" customWidth="1"/>
    <col min="14342" max="14342" width="14" style="25" customWidth="1"/>
    <col min="14343" max="14343" width="13.42578125" style="25" customWidth="1"/>
    <col min="14344" max="14345" width="15" style="25" customWidth="1"/>
    <col min="14346" max="14346" width="16.5703125" style="25" customWidth="1"/>
    <col min="14347" max="14350" width="18.7109375" style="25" customWidth="1"/>
    <col min="14351" max="14585" width="9.140625" style="25"/>
    <col min="14586" max="14586" width="13.28515625" style="25" customWidth="1"/>
    <col min="14587" max="14587" width="34.7109375" style="25" customWidth="1"/>
    <col min="14588" max="14588" width="26.85546875" style="25" customWidth="1"/>
    <col min="14589" max="14597" width="15.140625" style="25" customWidth="1"/>
    <col min="14598" max="14598" width="14" style="25" customWidth="1"/>
    <col min="14599" max="14599" width="13.42578125" style="25" customWidth="1"/>
    <col min="14600" max="14601" width="15" style="25" customWidth="1"/>
    <col min="14602" max="14602" width="16.5703125" style="25" customWidth="1"/>
    <col min="14603" max="14606" width="18.7109375" style="25" customWidth="1"/>
    <col min="14607" max="14841" width="9.140625" style="25"/>
    <col min="14842" max="14842" width="13.28515625" style="25" customWidth="1"/>
    <col min="14843" max="14843" width="34.7109375" style="25" customWidth="1"/>
    <col min="14844" max="14844" width="26.85546875" style="25" customWidth="1"/>
    <col min="14845" max="14853" width="15.140625" style="25" customWidth="1"/>
    <col min="14854" max="14854" width="14" style="25" customWidth="1"/>
    <col min="14855" max="14855" width="13.42578125" style="25" customWidth="1"/>
    <col min="14856" max="14857" width="15" style="25" customWidth="1"/>
    <col min="14858" max="14858" width="16.5703125" style="25" customWidth="1"/>
    <col min="14859" max="14862" width="18.7109375" style="25" customWidth="1"/>
    <col min="14863" max="15097" width="9.140625" style="25"/>
    <col min="15098" max="15098" width="13.28515625" style="25" customWidth="1"/>
    <col min="15099" max="15099" width="34.7109375" style="25" customWidth="1"/>
    <col min="15100" max="15100" width="26.85546875" style="25" customWidth="1"/>
    <col min="15101" max="15109" width="15.140625" style="25" customWidth="1"/>
    <col min="15110" max="15110" width="14" style="25" customWidth="1"/>
    <col min="15111" max="15111" width="13.42578125" style="25" customWidth="1"/>
    <col min="15112" max="15113" width="15" style="25" customWidth="1"/>
    <col min="15114" max="15114" width="16.5703125" style="25" customWidth="1"/>
    <col min="15115" max="15118" width="18.7109375" style="25" customWidth="1"/>
    <col min="15119" max="15353" width="9.140625" style="25"/>
    <col min="15354" max="15354" width="13.28515625" style="25" customWidth="1"/>
    <col min="15355" max="15355" width="34.7109375" style="25" customWidth="1"/>
    <col min="15356" max="15356" width="26.85546875" style="25" customWidth="1"/>
    <col min="15357" max="15365" width="15.140625" style="25" customWidth="1"/>
    <col min="15366" max="15366" width="14" style="25" customWidth="1"/>
    <col min="15367" max="15367" width="13.42578125" style="25" customWidth="1"/>
    <col min="15368" max="15369" width="15" style="25" customWidth="1"/>
    <col min="15370" max="15370" width="16.5703125" style="25" customWidth="1"/>
    <col min="15371" max="15374" width="18.7109375" style="25" customWidth="1"/>
    <col min="15375" max="15609" width="9.140625" style="25"/>
    <col min="15610" max="15610" width="13.28515625" style="25" customWidth="1"/>
    <col min="15611" max="15611" width="34.7109375" style="25" customWidth="1"/>
    <col min="15612" max="15612" width="26.85546875" style="25" customWidth="1"/>
    <col min="15613" max="15621" width="15.140625" style="25" customWidth="1"/>
    <col min="15622" max="15622" width="14" style="25" customWidth="1"/>
    <col min="15623" max="15623" width="13.42578125" style="25" customWidth="1"/>
    <col min="15624" max="15625" width="15" style="25" customWidth="1"/>
    <col min="15626" max="15626" width="16.5703125" style="25" customWidth="1"/>
    <col min="15627" max="15630" width="18.7109375" style="25" customWidth="1"/>
    <col min="15631" max="15865" width="9.140625" style="25"/>
    <col min="15866" max="15866" width="13.28515625" style="25" customWidth="1"/>
    <col min="15867" max="15867" width="34.7109375" style="25" customWidth="1"/>
    <col min="15868" max="15868" width="26.85546875" style="25" customWidth="1"/>
    <col min="15869" max="15877" width="15.140625" style="25" customWidth="1"/>
    <col min="15878" max="15878" width="14" style="25" customWidth="1"/>
    <col min="15879" max="15879" width="13.42578125" style="25" customWidth="1"/>
    <col min="15880" max="15881" width="15" style="25" customWidth="1"/>
    <col min="15882" max="15882" width="16.5703125" style="25" customWidth="1"/>
    <col min="15883" max="15886" width="18.7109375" style="25" customWidth="1"/>
    <col min="15887" max="16121" width="9.140625" style="25"/>
    <col min="16122" max="16122" width="13.28515625" style="25" customWidth="1"/>
    <col min="16123" max="16123" width="34.7109375" style="25" customWidth="1"/>
    <col min="16124" max="16124" width="26.85546875" style="25" customWidth="1"/>
    <col min="16125" max="16133" width="15.140625" style="25" customWidth="1"/>
    <col min="16134" max="16134" width="14" style="25" customWidth="1"/>
    <col min="16135" max="16135" width="13.42578125" style="25" customWidth="1"/>
    <col min="16136" max="16137" width="15" style="25" customWidth="1"/>
    <col min="16138" max="16138" width="16.5703125" style="25" customWidth="1"/>
    <col min="16139" max="16142" width="18.7109375" style="25" customWidth="1"/>
    <col min="16143" max="16384" width="9.140625" style="25"/>
  </cols>
  <sheetData>
    <row r="1" spans="1:187">
      <c r="E1" s="98"/>
      <c r="F1" s="98"/>
      <c r="G1" s="98"/>
      <c r="H1" s="98"/>
      <c r="I1" s="98"/>
      <c r="J1" s="98"/>
      <c r="K1" s="98"/>
      <c r="L1" s="98"/>
      <c r="M1" s="111" t="s">
        <v>440</v>
      </c>
      <c r="N1" s="111"/>
      <c r="O1" s="111"/>
      <c r="P1" s="111"/>
      <c r="Q1" s="111"/>
      <c r="R1" s="111"/>
      <c r="S1" s="111"/>
      <c r="T1" s="111"/>
      <c r="U1" s="111"/>
      <c r="V1" s="111"/>
    </row>
    <row r="2" spans="1:187">
      <c r="E2" s="98"/>
      <c r="F2" s="98"/>
      <c r="G2" s="98"/>
      <c r="H2" s="98"/>
      <c r="I2" s="98"/>
      <c r="J2" s="98"/>
      <c r="K2" s="98"/>
      <c r="L2" s="98"/>
      <c r="M2" s="111" t="s">
        <v>441</v>
      </c>
      <c r="N2" s="111"/>
      <c r="O2" s="111"/>
      <c r="P2" s="111"/>
      <c r="Q2" s="111"/>
      <c r="R2" s="111"/>
      <c r="S2" s="111"/>
      <c r="T2" s="111"/>
      <c r="U2" s="111"/>
      <c r="V2" s="111"/>
    </row>
    <row r="3" spans="1:187" s="5" customFormat="1" ht="68.25" customHeight="1">
      <c r="B3" s="96"/>
      <c r="C3" s="96"/>
      <c r="D3" s="96"/>
      <c r="E3" s="99" t="s">
        <v>326</v>
      </c>
      <c r="F3" s="99"/>
      <c r="G3" s="99"/>
      <c r="H3" s="99"/>
      <c r="I3" s="99"/>
      <c r="J3" s="99"/>
      <c r="K3" s="99"/>
      <c r="L3" s="96"/>
      <c r="M3" s="96"/>
      <c r="N3" s="96"/>
      <c r="O3" s="95"/>
      <c r="P3" s="95"/>
      <c r="Q3" s="95"/>
      <c r="R3" s="95"/>
      <c r="S3" s="95"/>
      <c r="T3" s="95"/>
      <c r="U3" s="95"/>
      <c r="V3" s="95"/>
      <c r="W3" s="95"/>
    </row>
    <row r="4" spans="1:187" s="5" customFormat="1" ht="12" customHeight="1">
      <c r="B4" s="92"/>
      <c r="C4" s="82"/>
    </row>
    <row r="5" spans="1:187" s="7" customFormat="1" ht="105.75" customHeight="1">
      <c r="A5" s="107" t="s">
        <v>333</v>
      </c>
      <c r="B5" s="105" t="s">
        <v>0</v>
      </c>
      <c r="C5" s="103" t="s">
        <v>48</v>
      </c>
      <c r="D5" s="103" t="s">
        <v>49</v>
      </c>
      <c r="E5" s="103" t="s">
        <v>327</v>
      </c>
      <c r="F5" s="103"/>
      <c r="G5" s="103"/>
      <c r="H5" s="103"/>
      <c r="I5" s="103"/>
      <c r="J5" s="59" t="s">
        <v>371</v>
      </c>
      <c r="K5" s="103" t="s">
        <v>366</v>
      </c>
      <c r="L5" s="103"/>
      <c r="M5" s="103" t="s">
        <v>367</v>
      </c>
      <c r="N5" s="103"/>
      <c r="O5" s="59"/>
      <c r="P5" s="103" t="s">
        <v>50</v>
      </c>
      <c r="Q5" s="103"/>
      <c r="R5" s="103"/>
      <c r="S5" s="103"/>
      <c r="T5" s="103"/>
      <c r="U5" s="103" t="s">
        <v>328</v>
      </c>
      <c r="V5" s="103" t="s">
        <v>329</v>
      </c>
      <c r="W5" s="103" t="s">
        <v>330</v>
      </c>
    </row>
    <row r="6" spans="1:187" s="7" customFormat="1" ht="18" customHeight="1">
      <c r="A6" s="107"/>
      <c r="B6" s="105"/>
      <c r="C6" s="103"/>
      <c r="D6" s="103"/>
      <c r="E6" s="59" t="s">
        <v>409</v>
      </c>
      <c r="F6" s="59" t="s">
        <v>56</v>
      </c>
      <c r="G6" s="59" t="s">
        <v>51</v>
      </c>
      <c r="H6" s="59" t="s">
        <v>57</v>
      </c>
      <c r="I6" s="59" t="s">
        <v>52</v>
      </c>
      <c r="J6" s="59"/>
      <c r="K6" s="59" t="s">
        <v>53</v>
      </c>
      <c r="L6" s="59" t="s">
        <v>54</v>
      </c>
      <c r="M6" s="59" t="s">
        <v>53</v>
      </c>
      <c r="N6" s="59" t="s">
        <v>54</v>
      </c>
      <c r="O6" s="59"/>
      <c r="P6" s="59" t="s">
        <v>55</v>
      </c>
      <c r="Q6" s="59" t="s">
        <v>56</v>
      </c>
      <c r="R6" s="59" t="s">
        <v>51</v>
      </c>
      <c r="S6" s="59" t="s">
        <v>57</v>
      </c>
      <c r="T6" s="59" t="s">
        <v>58</v>
      </c>
      <c r="U6" s="103"/>
      <c r="V6" s="103"/>
      <c r="W6" s="103"/>
    </row>
    <row r="7" spans="1:187" s="7" customFormat="1" ht="15" customHeight="1">
      <c r="A7" s="60"/>
      <c r="B7" s="60"/>
      <c r="C7" s="16"/>
      <c r="D7" s="8"/>
      <c r="E7" s="60"/>
      <c r="F7" s="60"/>
      <c r="G7" s="60"/>
      <c r="H7" s="60"/>
      <c r="I7" s="60"/>
      <c r="J7" s="60"/>
      <c r="K7" s="60"/>
      <c r="L7" s="60"/>
      <c r="M7" s="60"/>
      <c r="N7" s="60"/>
      <c r="O7" s="60"/>
      <c r="P7" s="60"/>
      <c r="Q7" s="60"/>
      <c r="R7" s="60"/>
      <c r="S7" s="60"/>
      <c r="T7" s="60"/>
      <c r="U7" s="60"/>
      <c r="V7" s="60"/>
      <c r="W7" s="60"/>
    </row>
    <row r="8" spans="1:187" s="7" customFormat="1" ht="21" customHeight="1">
      <c r="A8" s="60"/>
      <c r="B8" s="101" t="s">
        <v>59</v>
      </c>
      <c r="C8" s="101"/>
      <c r="D8" s="101"/>
      <c r="E8" s="34"/>
      <c r="F8" s="34"/>
      <c r="G8" s="34"/>
      <c r="H8" s="34"/>
      <c r="I8" s="34"/>
      <c r="J8" s="60"/>
      <c r="K8" s="60"/>
      <c r="L8" s="60"/>
      <c r="M8" s="60"/>
      <c r="N8" s="60"/>
      <c r="O8" s="60"/>
      <c r="P8" s="60"/>
      <c r="Q8" s="60"/>
      <c r="R8" s="60"/>
      <c r="S8" s="60"/>
      <c r="T8" s="60"/>
      <c r="U8" s="60"/>
      <c r="V8" s="60"/>
      <c r="W8" s="60"/>
    </row>
    <row r="9" spans="1:187" s="13" customFormat="1" ht="21" customHeight="1">
      <c r="A9" s="24"/>
      <c r="B9" s="86" t="s">
        <v>292</v>
      </c>
      <c r="C9" s="10" t="s">
        <v>64</v>
      </c>
      <c r="D9" s="10" t="s">
        <v>61</v>
      </c>
      <c r="E9" s="35">
        <v>157.869</v>
      </c>
      <c r="F9" s="35">
        <f>261.751-E9</f>
        <v>103.88199999999998</v>
      </c>
      <c r="G9" s="35">
        <v>38.049999999999997</v>
      </c>
      <c r="H9" s="35">
        <f>166.639-G9</f>
        <v>128.589</v>
      </c>
      <c r="I9" s="35">
        <f>SUM(E9:H9)</f>
        <v>428.39</v>
      </c>
      <c r="J9" s="56">
        <v>543.57000000000005</v>
      </c>
      <c r="K9" s="49">
        <v>5948.83</v>
      </c>
      <c r="L9" s="49">
        <v>6186.78</v>
      </c>
      <c r="M9" s="49">
        <v>1409.69</v>
      </c>
      <c r="N9" s="49">
        <v>1461.85</v>
      </c>
      <c r="O9" s="56">
        <f>K9-M9</f>
        <v>4539.1399999999994</v>
      </c>
      <c r="P9" s="1">
        <f>(K9-M9)*E9</f>
        <v>716589.49265999987</v>
      </c>
      <c r="Q9" s="1">
        <f>(K9-M9)*F9</f>
        <v>471534.9414799998</v>
      </c>
      <c r="R9" s="1">
        <f>(L9-N9)*G9</f>
        <v>179783.5865</v>
      </c>
      <c r="S9" s="1">
        <f>(H9*(L9-N9))</f>
        <v>607574.02377000009</v>
      </c>
      <c r="T9" s="1">
        <f>SUM(P9:S9)</f>
        <v>1975482.0444099996</v>
      </c>
      <c r="U9" s="11"/>
      <c r="V9" s="11"/>
      <c r="W9" s="11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12"/>
      <c r="BN9" s="12"/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2"/>
      <c r="BZ9" s="12"/>
      <c r="CA9" s="12"/>
      <c r="CB9" s="12"/>
      <c r="CC9" s="12"/>
      <c r="CD9" s="12"/>
      <c r="CE9" s="12"/>
      <c r="CF9" s="12"/>
      <c r="CG9" s="12"/>
      <c r="CH9" s="12"/>
      <c r="CI9" s="12"/>
      <c r="CJ9" s="12"/>
      <c r="CK9" s="12"/>
      <c r="CL9" s="12"/>
      <c r="CM9" s="12"/>
      <c r="CN9" s="12"/>
      <c r="CO9" s="12"/>
      <c r="CP9" s="12"/>
      <c r="CQ9" s="12"/>
      <c r="CR9" s="12"/>
      <c r="CS9" s="12"/>
      <c r="CT9" s="12"/>
      <c r="CU9" s="12"/>
      <c r="CV9" s="12"/>
      <c r="CW9" s="12"/>
      <c r="CX9" s="12"/>
      <c r="CY9" s="12"/>
      <c r="CZ9" s="12"/>
      <c r="DA9" s="12"/>
      <c r="DB9" s="12"/>
      <c r="DC9" s="12"/>
      <c r="DD9" s="12"/>
      <c r="DE9" s="12"/>
      <c r="DF9" s="12"/>
      <c r="DG9" s="12"/>
      <c r="DH9" s="12"/>
      <c r="DI9" s="12"/>
      <c r="DJ9" s="12"/>
      <c r="DK9" s="12"/>
      <c r="DL9" s="12"/>
      <c r="DM9" s="12"/>
      <c r="DN9" s="12"/>
      <c r="DO9" s="12"/>
      <c r="DP9" s="12"/>
      <c r="DQ9" s="12"/>
      <c r="DR9" s="12"/>
      <c r="DS9" s="12"/>
      <c r="DT9" s="12"/>
      <c r="DU9" s="12"/>
      <c r="DV9" s="12"/>
      <c r="DW9" s="12"/>
      <c r="DX9" s="12"/>
      <c r="DY9" s="12"/>
      <c r="DZ9" s="12"/>
      <c r="EA9" s="12"/>
      <c r="EB9" s="12"/>
      <c r="EC9" s="12"/>
      <c r="ED9" s="12"/>
      <c r="EE9" s="12"/>
      <c r="EF9" s="12"/>
      <c r="EG9" s="12"/>
      <c r="EH9" s="12"/>
      <c r="EI9" s="12"/>
      <c r="EJ9" s="12"/>
      <c r="EK9" s="12"/>
      <c r="EL9" s="12"/>
      <c r="EM9" s="12"/>
      <c r="EN9" s="12"/>
      <c r="EO9" s="12"/>
      <c r="EP9" s="12"/>
      <c r="EQ9" s="12"/>
      <c r="ER9" s="12"/>
      <c r="ES9" s="12"/>
      <c r="ET9" s="12"/>
      <c r="EU9" s="12"/>
      <c r="EV9" s="12"/>
      <c r="EW9" s="12"/>
      <c r="EX9" s="12"/>
      <c r="EY9" s="12"/>
      <c r="EZ9" s="12"/>
      <c r="FA9" s="12"/>
      <c r="FB9" s="12"/>
      <c r="FC9" s="12"/>
      <c r="FD9" s="12"/>
      <c r="FE9" s="12"/>
      <c r="FF9" s="12"/>
      <c r="FG9" s="12"/>
      <c r="FH9" s="12"/>
      <c r="FI9" s="12"/>
      <c r="FJ9" s="12"/>
      <c r="FK9" s="12"/>
      <c r="FL9" s="12"/>
      <c r="FM9" s="12"/>
      <c r="FN9" s="12"/>
      <c r="FO9" s="12"/>
      <c r="FP9" s="12"/>
      <c r="FQ9" s="12"/>
      <c r="FR9" s="12"/>
      <c r="FS9" s="12"/>
      <c r="FT9" s="12"/>
      <c r="FU9" s="12"/>
      <c r="FV9" s="12"/>
      <c r="FW9" s="12"/>
      <c r="FX9" s="12"/>
      <c r="FY9" s="12"/>
      <c r="FZ9" s="12"/>
      <c r="GA9" s="12"/>
      <c r="GB9" s="12"/>
      <c r="GC9" s="12"/>
      <c r="GD9" s="12"/>
      <c r="GE9" s="12"/>
    </row>
    <row r="10" spans="1:187" ht="21" customHeight="1">
      <c r="A10" s="45"/>
      <c r="B10" s="86" t="s">
        <v>291</v>
      </c>
      <c r="C10" s="10" t="s">
        <v>66</v>
      </c>
      <c r="D10" s="10" t="s">
        <v>67</v>
      </c>
      <c r="E10" s="35">
        <v>175.43</v>
      </c>
      <c r="F10" s="35">
        <f>267.392-E10</f>
        <v>91.961999999999989</v>
      </c>
      <c r="G10" s="35">
        <v>47.5</v>
      </c>
      <c r="H10" s="35">
        <f>213.019-G10</f>
        <v>165.51900000000001</v>
      </c>
      <c r="I10" s="35">
        <f t="shared" ref="I10:I72" si="0">SUM(E10:H10)</f>
        <v>480.411</v>
      </c>
      <c r="J10" s="56">
        <v>438</v>
      </c>
      <c r="K10" s="49">
        <v>4075.36</v>
      </c>
      <c r="L10" s="49">
        <v>4238.37</v>
      </c>
      <c r="M10" s="49">
        <v>1314.13</v>
      </c>
      <c r="N10" s="49">
        <v>1362.75</v>
      </c>
      <c r="O10" s="56">
        <f t="shared" ref="O10:O75" si="1">K10-M10</f>
        <v>2761.23</v>
      </c>
      <c r="P10" s="1">
        <f t="shared" ref="P10:P74" si="2">(K10-M10)*E10</f>
        <v>484402.57890000002</v>
      </c>
      <c r="Q10" s="1">
        <f t="shared" ref="Q10:Q73" si="3">(K10-M10)*F10</f>
        <v>253928.23325999998</v>
      </c>
      <c r="R10" s="1">
        <f t="shared" ref="R10:R73" si="4">(L10-N10)*G10</f>
        <v>136591.94999999998</v>
      </c>
      <c r="S10" s="1">
        <f t="shared" ref="S10:S73" si="5">(H10*(L10-N10))</f>
        <v>475969.74677999999</v>
      </c>
      <c r="T10" s="1">
        <f t="shared" ref="T10:T73" si="6">SUM(P10:S10)</f>
        <v>1350892.5089399999</v>
      </c>
      <c r="U10" s="11"/>
      <c r="V10" s="11"/>
      <c r="W10" s="11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12"/>
      <c r="AV10" s="12"/>
      <c r="AW10" s="12"/>
      <c r="AX10" s="12"/>
      <c r="AY10" s="12"/>
      <c r="AZ10" s="12"/>
      <c r="BA10" s="12"/>
      <c r="BB10" s="12"/>
      <c r="BC10" s="12"/>
      <c r="BD10" s="12"/>
      <c r="BE10" s="12"/>
      <c r="BF10" s="12"/>
      <c r="BG10" s="12"/>
      <c r="BH10" s="12"/>
      <c r="BI10" s="12"/>
      <c r="BJ10" s="12"/>
      <c r="BK10" s="12"/>
      <c r="BL10" s="12"/>
      <c r="BM10" s="12"/>
      <c r="BN10" s="12"/>
      <c r="BO10" s="12"/>
      <c r="BP10" s="12"/>
      <c r="BQ10" s="12"/>
      <c r="BR10" s="12"/>
      <c r="BS10" s="12"/>
      <c r="BT10" s="12"/>
      <c r="BU10" s="12"/>
      <c r="BV10" s="12"/>
      <c r="BW10" s="12"/>
      <c r="BX10" s="12"/>
      <c r="BY10" s="12"/>
      <c r="BZ10" s="12"/>
      <c r="CA10" s="12"/>
      <c r="CB10" s="12"/>
      <c r="CC10" s="12"/>
      <c r="CD10" s="12"/>
      <c r="CE10" s="12"/>
      <c r="CF10" s="12"/>
      <c r="CG10" s="12"/>
      <c r="CH10" s="12"/>
      <c r="CI10" s="12"/>
      <c r="CJ10" s="12"/>
      <c r="CK10" s="12"/>
      <c r="CL10" s="12"/>
      <c r="CM10" s="12"/>
      <c r="CN10" s="12"/>
      <c r="CO10" s="12"/>
      <c r="CP10" s="12"/>
      <c r="CQ10" s="12"/>
      <c r="CR10" s="12"/>
      <c r="CS10" s="12"/>
      <c r="CT10" s="12"/>
      <c r="CU10" s="12"/>
      <c r="CV10" s="12"/>
      <c r="CW10" s="12"/>
      <c r="CX10" s="12"/>
      <c r="CY10" s="12"/>
      <c r="CZ10" s="12"/>
      <c r="DA10" s="12"/>
      <c r="DB10" s="12"/>
      <c r="DC10" s="12"/>
      <c r="DD10" s="12"/>
      <c r="DE10" s="12"/>
      <c r="DF10" s="12"/>
      <c r="DG10" s="12"/>
      <c r="DH10" s="12"/>
      <c r="DI10" s="12"/>
      <c r="DJ10" s="12"/>
      <c r="DK10" s="12"/>
      <c r="DL10" s="12"/>
      <c r="DM10" s="12"/>
      <c r="DN10" s="12"/>
      <c r="DO10" s="12"/>
      <c r="DP10" s="12"/>
      <c r="DQ10" s="12"/>
      <c r="DR10" s="12"/>
      <c r="DS10" s="12"/>
      <c r="DT10" s="12"/>
      <c r="DU10" s="12"/>
      <c r="DV10" s="12"/>
      <c r="DW10" s="12"/>
      <c r="DX10" s="12"/>
      <c r="DY10" s="12"/>
      <c r="DZ10" s="12"/>
      <c r="EA10" s="12"/>
      <c r="EB10" s="12"/>
      <c r="EC10" s="12"/>
      <c r="ED10" s="12"/>
      <c r="EE10" s="12"/>
      <c r="EF10" s="12"/>
      <c r="EG10" s="12"/>
      <c r="EH10" s="12"/>
      <c r="EI10" s="12"/>
      <c r="EJ10" s="12"/>
      <c r="EK10" s="12"/>
      <c r="EL10" s="12"/>
      <c r="EM10" s="12"/>
      <c r="EN10" s="12"/>
      <c r="EO10" s="12"/>
      <c r="EP10" s="12"/>
      <c r="EQ10" s="12"/>
      <c r="ER10" s="12"/>
      <c r="ES10" s="12"/>
      <c r="ET10" s="12"/>
      <c r="EU10" s="12"/>
      <c r="EV10" s="12"/>
      <c r="EW10" s="12"/>
      <c r="EX10" s="12"/>
      <c r="EY10" s="12"/>
      <c r="EZ10" s="12"/>
      <c r="FA10" s="12"/>
      <c r="FB10" s="12"/>
      <c r="FC10" s="12"/>
      <c r="FD10" s="12"/>
      <c r="FE10" s="12"/>
      <c r="FF10" s="12"/>
      <c r="FG10" s="12"/>
      <c r="FH10" s="12"/>
      <c r="FI10" s="12"/>
      <c r="FJ10" s="12"/>
      <c r="FK10" s="12"/>
      <c r="FL10" s="12"/>
      <c r="FM10" s="12"/>
      <c r="FN10" s="12"/>
      <c r="FO10" s="12"/>
      <c r="FP10" s="12"/>
      <c r="FQ10" s="12"/>
      <c r="FR10" s="12"/>
      <c r="FS10" s="12"/>
      <c r="FT10" s="12"/>
      <c r="FU10" s="12"/>
      <c r="FV10" s="12"/>
      <c r="FW10" s="12"/>
      <c r="FX10" s="12"/>
      <c r="FY10" s="12"/>
      <c r="FZ10" s="12"/>
      <c r="GA10" s="12"/>
      <c r="GB10" s="12"/>
      <c r="GC10" s="12"/>
      <c r="GD10" s="12"/>
      <c r="GE10" s="12"/>
    </row>
    <row r="11" spans="1:187" ht="21" customHeight="1">
      <c r="A11" s="45"/>
      <c r="B11" s="86" t="s">
        <v>294</v>
      </c>
      <c r="C11" s="10" t="s">
        <v>295</v>
      </c>
      <c r="D11" s="10" t="s">
        <v>65</v>
      </c>
      <c r="E11" s="35">
        <v>419.7</v>
      </c>
      <c r="F11" s="35">
        <f>695.303-E11</f>
        <v>275.60300000000001</v>
      </c>
      <c r="G11" s="35">
        <v>97.06</v>
      </c>
      <c r="H11" s="35">
        <f>443.017-G11</f>
        <v>345.95699999999999</v>
      </c>
      <c r="I11" s="35">
        <f t="shared" si="0"/>
        <v>1138.3200000000002</v>
      </c>
      <c r="J11" s="56">
        <v>1119.2</v>
      </c>
      <c r="K11" s="49">
        <v>3610.07</v>
      </c>
      <c r="L11" s="49">
        <v>3754.47</v>
      </c>
      <c r="M11" s="49">
        <v>1183.24</v>
      </c>
      <c r="N11" s="49">
        <v>1227.02</v>
      </c>
      <c r="O11" s="56">
        <f t="shared" si="1"/>
        <v>2426.83</v>
      </c>
      <c r="P11" s="1">
        <f>(K11-M11)*E11</f>
        <v>1018540.551</v>
      </c>
      <c r="Q11" s="1">
        <f t="shared" si="3"/>
        <v>668841.62849000003</v>
      </c>
      <c r="R11" s="1">
        <f t="shared" si="4"/>
        <v>245314.29699999999</v>
      </c>
      <c r="S11" s="1">
        <f t="shared" si="5"/>
        <v>874389.01964999991</v>
      </c>
      <c r="T11" s="1">
        <f t="shared" si="6"/>
        <v>2807085.4961399999</v>
      </c>
      <c r="U11" s="11"/>
      <c r="V11" s="11"/>
      <c r="W11" s="11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2"/>
      <c r="BI11" s="12"/>
      <c r="BJ11" s="12"/>
      <c r="BK11" s="12"/>
      <c r="BL11" s="12"/>
      <c r="BM11" s="12"/>
      <c r="BN11" s="12"/>
      <c r="BO11" s="12"/>
      <c r="BP11" s="12"/>
      <c r="BQ11" s="12"/>
      <c r="BR11" s="12"/>
      <c r="BS11" s="12"/>
      <c r="BT11" s="12"/>
      <c r="BU11" s="12"/>
      <c r="BV11" s="12"/>
      <c r="BW11" s="12"/>
      <c r="BX11" s="12"/>
      <c r="BY11" s="12"/>
      <c r="BZ11" s="12"/>
      <c r="CA11" s="12"/>
      <c r="CB11" s="12"/>
      <c r="CC11" s="12"/>
      <c r="CD11" s="12"/>
      <c r="CE11" s="12"/>
      <c r="CF11" s="12"/>
      <c r="CG11" s="12"/>
      <c r="CH11" s="12"/>
      <c r="CI11" s="12"/>
      <c r="CJ11" s="12"/>
      <c r="CK11" s="12"/>
      <c r="CL11" s="12"/>
      <c r="CM11" s="12"/>
      <c r="CN11" s="12"/>
      <c r="CO11" s="12"/>
      <c r="CP11" s="12"/>
      <c r="CQ11" s="12"/>
      <c r="CR11" s="12"/>
      <c r="CS11" s="12"/>
      <c r="CT11" s="12"/>
      <c r="CU11" s="12"/>
      <c r="CV11" s="12"/>
      <c r="CW11" s="12"/>
      <c r="CX11" s="12"/>
      <c r="CY11" s="12"/>
      <c r="CZ11" s="12"/>
      <c r="DA11" s="12"/>
      <c r="DB11" s="12"/>
      <c r="DC11" s="12"/>
      <c r="DD11" s="12"/>
      <c r="DE11" s="12"/>
      <c r="DF11" s="12"/>
      <c r="DG11" s="12"/>
      <c r="DH11" s="12"/>
      <c r="DI11" s="12"/>
      <c r="DJ11" s="12"/>
      <c r="DK11" s="12"/>
      <c r="DL11" s="12"/>
      <c r="DM11" s="12"/>
      <c r="DN11" s="12"/>
      <c r="DO11" s="12"/>
      <c r="DP11" s="12"/>
      <c r="DQ11" s="12"/>
      <c r="DR11" s="12"/>
      <c r="DS11" s="12"/>
      <c r="DT11" s="12"/>
      <c r="DU11" s="12"/>
      <c r="DV11" s="12"/>
      <c r="DW11" s="12"/>
      <c r="DX11" s="12"/>
      <c r="DY11" s="12"/>
      <c r="DZ11" s="12"/>
      <c r="EA11" s="12"/>
      <c r="EB11" s="12"/>
      <c r="EC11" s="12"/>
      <c r="ED11" s="12"/>
      <c r="EE11" s="12"/>
      <c r="EF11" s="12"/>
      <c r="EG11" s="12"/>
      <c r="EH11" s="12"/>
      <c r="EI11" s="12"/>
      <c r="EJ11" s="12"/>
      <c r="EK11" s="12"/>
      <c r="EL11" s="12"/>
      <c r="EM11" s="12"/>
      <c r="EN11" s="12"/>
      <c r="EO11" s="12"/>
      <c r="EP11" s="12"/>
      <c r="EQ11" s="12"/>
      <c r="ER11" s="12"/>
      <c r="ES11" s="12"/>
      <c r="ET11" s="12"/>
      <c r="EU11" s="12"/>
      <c r="EV11" s="12"/>
      <c r="EW11" s="12"/>
      <c r="EX11" s="12"/>
      <c r="EY11" s="12"/>
      <c r="EZ11" s="12"/>
      <c r="FA11" s="12"/>
      <c r="FB11" s="12"/>
      <c r="FC11" s="12"/>
      <c r="FD11" s="12"/>
      <c r="FE11" s="12"/>
      <c r="FF11" s="12"/>
      <c r="FG11" s="12"/>
      <c r="FH11" s="12"/>
      <c r="FI11" s="12"/>
      <c r="FJ11" s="12"/>
      <c r="FK11" s="12"/>
      <c r="FL11" s="12"/>
      <c r="FM11" s="12"/>
      <c r="FN11" s="12"/>
      <c r="FO11" s="12"/>
      <c r="FP11" s="12"/>
      <c r="FQ11" s="12"/>
      <c r="FR11" s="12"/>
      <c r="FS11" s="12"/>
      <c r="FT11" s="12"/>
      <c r="FU11" s="12"/>
      <c r="FV11" s="12"/>
      <c r="FW11" s="12"/>
      <c r="FX11" s="12"/>
      <c r="FY11" s="12"/>
      <c r="FZ11" s="12"/>
      <c r="GA11" s="12"/>
      <c r="GB11" s="12"/>
      <c r="GC11" s="12"/>
      <c r="GD11" s="12"/>
      <c r="GE11" s="12"/>
    </row>
    <row r="12" spans="1:187" ht="21" customHeight="1">
      <c r="A12" s="45"/>
      <c r="B12" s="86" t="s">
        <v>2</v>
      </c>
      <c r="C12" s="10" t="s">
        <v>68</v>
      </c>
      <c r="D12" s="10" t="s">
        <v>67</v>
      </c>
      <c r="E12" s="35">
        <v>3003.4209999999998</v>
      </c>
      <c r="F12" s="35">
        <f>4330.493-E12</f>
        <v>1327.0720000000006</v>
      </c>
      <c r="G12" s="35">
        <v>335.471</v>
      </c>
      <c r="H12" s="35">
        <f>2385.512-G12</f>
        <v>2050.0410000000002</v>
      </c>
      <c r="I12" s="35">
        <f t="shared" si="0"/>
        <v>6716.0050000000001</v>
      </c>
      <c r="J12" s="56">
        <v>7045.42</v>
      </c>
      <c r="K12" s="49">
        <v>5273.62</v>
      </c>
      <c r="L12" s="49">
        <v>5484.5648000000001</v>
      </c>
      <c r="M12" s="49">
        <v>1587.58</v>
      </c>
      <c r="N12" s="49">
        <v>1646.3204599999999</v>
      </c>
      <c r="O12" s="56">
        <f t="shared" si="1"/>
        <v>3686.04</v>
      </c>
      <c r="P12" s="1">
        <f t="shared" si="2"/>
        <v>11070729.942839999</v>
      </c>
      <c r="Q12" s="1">
        <f t="shared" si="3"/>
        <v>4891640.4748800024</v>
      </c>
      <c r="R12" s="1">
        <f t="shared" si="4"/>
        <v>1287619.6669841402</v>
      </c>
      <c r="S12" s="1">
        <f t="shared" si="5"/>
        <v>7868558.2650179407</v>
      </c>
      <c r="T12" s="1">
        <f t="shared" si="6"/>
        <v>25118548.349722084</v>
      </c>
      <c r="U12" s="11"/>
      <c r="V12" s="11"/>
      <c r="W12" s="11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2"/>
      <c r="BH12" s="12"/>
      <c r="BI12" s="12"/>
      <c r="BJ12" s="12"/>
      <c r="BK12" s="12"/>
      <c r="BL12" s="12"/>
      <c r="BM12" s="12"/>
      <c r="BN12" s="12"/>
      <c r="BO12" s="12"/>
      <c r="BP12" s="12"/>
      <c r="BQ12" s="12"/>
      <c r="BR12" s="12"/>
      <c r="BS12" s="12"/>
      <c r="BT12" s="12"/>
      <c r="BU12" s="12"/>
      <c r="BV12" s="12"/>
      <c r="BW12" s="12"/>
      <c r="BX12" s="12"/>
      <c r="BY12" s="12"/>
      <c r="BZ12" s="12"/>
      <c r="CA12" s="12"/>
      <c r="CB12" s="12"/>
      <c r="CC12" s="12"/>
      <c r="CD12" s="12"/>
      <c r="CE12" s="12"/>
      <c r="CF12" s="12"/>
      <c r="CG12" s="12"/>
      <c r="CH12" s="12"/>
      <c r="CI12" s="12"/>
      <c r="CJ12" s="12"/>
      <c r="CK12" s="12"/>
      <c r="CL12" s="12"/>
      <c r="CM12" s="12"/>
      <c r="CN12" s="12"/>
      <c r="CO12" s="12"/>
      <c r="CP12" s="12"/>
      <c r="CQ12" s="12"/>
      <c r="CR12" s="12"/>
      <c r="CS12" s="12"/>
      <c r="CT12" s="12"/>
      <c r="CU12" s="12"/>
      <c r="CV12" s="12"/>
      <c r="CW12" s="12"/>
      <c r="CX12" s="12"/>
      <c r="CY12" s="12"/>
      <c r="CZ12" s="12"/>
      <c r="DA12" s="12"/>
      <c r="DB12" s="12"/>
      <c r="DC12" s="12"/>
      <c r="DD12" s="12"/>
      <c r="DE12" s="12"/>
      <c r="DF12" s="12"/>
      <c r="DG12" s="12"/>
      <c r="DH12" s="12"/>
      <c r="DI12" s="12"/>
      <c r="DJ12" s="12"/>
      <c r="DK12" s="12"/>
      <c r="DL12" s="12"/>
      <c r="DM12" s="12"/>
      <c r="DN12" s="12"/>
      <c r="DO12" s="12"/>
      <c r="DP12" s="12"/>
      <c r="DQ12" s="12"/>
      <c r="DR12" s="12"/>
      <c r="DS12" s="12"/>
      <c r="DT12" s="12"/>
      <c r="DU12" s="12"/>
      <c r="DV12" s="12"/>
      <c r="DW12" s="12"/>
      <c r="DX12" s="12"/>
      <c r="DY12" s="12"/>
      <c r="DZ12" s="12"/>
      <c r="EA12" s="12"/>
      <c r="EB12" s="12"/>
      <c r="EC12" s="12"/>
      <c r="ED12" s="12"/>
      <c r="EE12" s="12"/>
      <c r="EF12" s="12"/>
      <c r="EG12" s="12"/>
      <c r="EH12" s="12"/>
      <c r="EI12" s="12"/>
      <c r="EJ12" s="12"/>
      <c r="EK12" s="12"/>
      <c r="EL12" s="12"/>
      <c r="EM12" s="12"/>
      <c r="EN12" s="12"/>
      <c r="EO12" s="12"/>
      <c r="EP12" s="12"/>
      <c r="EQ12" s="12"/>
      <c r="ER12" s="12"/>
      <c r="ES12" s="12"/>
      <c r="ET12" s="12"/>
      <c r="EU12" s="12"/>
      <c r="EV12" s="12"/>
      <c r="EW12" s="12"/>
      <c r="EX12" s="12"/>
      <c r="EY12" s="12"/>
      <c r="EZ12" s="12"/>
      <c r="FA12" s="12"/>
      <c r="FB12" s="12"/>
      <c r="FC12" s="12"/>
      <c r="FD12" s="12"/>
      <c r="FE12" s="12"/>
      <c r="FF12" s="12"/>
      <c r="FG12" s="12"/>
      <c r="FH12" s="12"/>
      <c r="FI12" s="12"/>
      <c r="FJ12" s="12"/>
      <c r="FK12" s="12"/>
      <c r="FL12" s="12"/>
      <c r="FM12" s="12"/>
      <c r="FN12" s="12"/>
      <c r="FO12" s="12"/>
      <c r="FP12" s="12"/>
      <c r="FQ12" s="12"/>
      <c r="FR12" s="12"/>
      <c r="FS12" s="12"/>
      <c r="FT12" s="12"/>
      <c r="FU12" s="12"/>
      <c r="FV12" s="12"/>
      <c r="FW12" s="12"/>
      <c r="FX12" s="12"/>
      <c r="FY12" s="12"/>
      <c r="FZ12" s="12"/>
      <c r="GA12" s="12"/>
      <c r="GB12" s="12"/>
      <c r="GC12" s="12"/>
      <c r="GD12" s="12"/>
      <c r="GE12" s="12"/>
    </row>
    <row r="13" spans="1:187" ht="21" customHeight="1">
      <c r="A13" s="45"/>
      <c r="B13" s="86" t="s">
        <v>293</v>
      </c>
      <c r="C13" s="10" t="s">
        <v>62</v>
      </c>
      <c r="D13" s="10" t="s">
        <v>63</v>
      </c>
      <c r="E13" s="35">
        <v>1603.2270000000001</v>
      </c>
      <c r="F13" s="35">
        <f>2603.919-E13</f>
        <v>1000.6919999999998</v>
      </c>
      <c r="G13" s="35">
        <v>278.95</v>
      </c>
      <c r="H13" s="35">
        <f>1977.28-G13</f>
        <v>1698.33</v>
      </c>
      <c r="I13" s="35">
        <f t="shared" si="0"/>
        <v>4581.1989999999996</v>
      </c>
      <c r="J13" s="56">
        <v>4533</v>
      </c>
      <c r="K13" s="49">
        <v>5371.71</v>
      </c>
      <c r="L13" s="49">
        <v>5586.58</v>
      </c>
      <c r="M13" s="49">
        <v>1396.23</v>
      </c>
      <c r="N13" s="49">
        <v>1447.89</v>
      </c>
      <c r="O13" s="56">
        <f t="shared" si="1"/>
        <v>3975.48</v>
      </c>
      <c r="P13" s="1">
        <f t="shared" si="2"/>
        <v>6373596.8739600005</v>
      </c>
      <c r="Q13" s="1">
        <f t="shared" si="3"/>
        <v>3978231.032159999</v>
      </c>
      <c r="R13" s="1">
        <f t="shared" si="4"/>
        <v>1154487.5754999998</v>
      </c>
      <c r="S13" s="1">
        <f t="shared" si="5"/>
        <v>7028861.3876999989</v>
      </c>
      <c r="T13" s="1">
        <f t="shared" si="6"/>
        <v>18535176.869319998</v>
      </c>
      <c r="U13" s="11"/>
      <c r="V13" s="11"/>
      <c r="W13" s="11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2"/>
      <c r="BJ13" s="12"/>
      <c r="BK13" s="12"/>
      <c r="BL13" s="12"/>
      <c r="BM13" s="12"/>
      <c r="BN13" s="12"/>
      <c r="BO13" s="12"/>
      <c r="BP13" s="12"/>
      <c r="BQ13" s="12"/>
      <c r="BR13" s="12"/>
      <c r="BS13" s="12"/>
      <c r="BT13" s="12"/>
      <c r="BU13" s="12"/>
      <c r="BV13" s="12"/>
      <c r="BW13" s="12"/>
      <c r="BX13" s="12"/>
      <c r="BY13" s="12"/>
      <c r="BZ13" s="12"/>
      <c r="CA13" s="12"/>
      <c r="CB13" s="12"/>
      <c r="CC13" s="12"/>
      <c r="CD13" s="12"/>
      <c r="CE13" s="12"/>
      <c r="CF13" s="12"/>
      <c r="CG13" s="12"/>
      <c r="CH13" s="12"/>
      <c r="CI13" s="12"/>
      <c r="CJ13" s="12"/>
      <c r="CK13" s="12"/>
      <c r="CL13" s="12"/>
      <c r="CM13" s="12"/>
      <c r="CN13" s="12"/>
      <c r="CO13" s="12"/>
      <c r="CP13" s="12"/>
      <c r="CQ13" s="12"/>
      <c r="CR13" s="12"/>
      <c r="CS13" s="12"/>
      <c r="CT13" s="12"/>
      <c r="CU13" s="12"/>
      <c r="CV13" s="12"/>
      <c r="CW13" s="12"/>
      <c r="CX13" s="12"/>
      <c r="CY13" s="12"/>
      <c r="CZ13" s="12"/>
      <c r="DA13" s="12"/>
      <c r="DB13" s="12"/>
      <c r="DC13" s="12"/>
      <c r="DD13" s="12"/>
      <c r="DE13" s="12"/>
      <c r="DF13" s="12"/>
      <c r="DG13" s="12"/>
      <c r="DH13" s="12"/>
      <c r="DI13" s="12"/>
      <c r="DJ13" s="12"/>
      <c r="DK13" s="12"/>
      <c r="DL13" s="12"/>
      <c r="DM13" s="12"/>
      <c r="DN13" s="12"/>
      <c r="DO13" s="12"/>
      <c r="DP13" s="12"/>
      <c r="DQ13" s="12"/>
      <c r="DR13" s="12"/>
      <c r="DS13" s="12"/>
      <c r="DT13" s="12"/>
      <c r="DU13" s="12"/>
      <c r="DV13" s="12"/>
      <c r="DW13" s="12"/>
      <c r="DX13" s="12"/>
      <c r="DY13" s="12"/>
      <c r="DZ13" s="12"/>
      <c r="EA13" s="12"/>
      <c r="EB13" s="12"/>
      <c r="EC13" s="12"/>
      <c r="ED13" s="12"/>
      <c r="EE13" s="12"/>
      <c r="EF13" s="12"/>
      <c r="EG13" s="12"/>
      <c r="EH13" s="12"/>
      <c r="EI13" s="12"/>
      <c r="EJ13" s="12"/>
      <c r="EK13" s="12"/>
      <c r="EL13" s="12"/>
      <c r="EM13" s="12"/>
      <c r="EN13" s="12"/>
      <c r="EO13" s="12"/>
      <c r="EP13" s="12"/>
      <c r="EQ13" s="12"/>
      <c r="ER13" s="12"/>
      <c r="ES13" s="12"/>
      <c r="ET13" s="12"/>
      <c r="EU13" s="12"/>
      <c r="EV13" s="12"/>
      <c r="EW13" s="12"/>
      <c r="EX13" s="12"/>
      <c r="EY13" s="12"/>
      <c r="EZ13" s="12"/>
      <c r="FA13" s="12"/>
      <c r="FB13" s="12"/>
      <c r="FC13" s="12"/>
      <c r="FD13" s="12"/>
      <c r="FE13" s="12"/>
      <c r="FF13" s="12"/>
      <c r="FG13" s="12"/>
      <c r="FH13" s="12"/>
      <c r="FI13" s="12"/>
      <c r="FJ13" s="12"/>
      <c r="FK13" s="12"/>
      <c r="FL13" s="12"/>
      <c r="FM13" s="12"/>
      <c r="FN13" s="12"/>
      <c r="FO13" s="12"/>
      <c r="FP13" s="12"/>
      <c r="FQ13" s="12"/>
      <c r="FR13" s="12"/>
      <c r="FS13" s="12"/>
      <c r="FT13" s="12"/>
      <c r="FU13" s="12"/>
      <c r="FV13" s="12"/>
      <c r="FW13" s="12"/>
      <c r="FX13" s="12"/>
      <c r="FY13" s="12"/>
      <c r="FZ13" s="12"/>
      <c r="GA13" s="12"/>
      <c r="GB13" s="12"/>
      <c r="GC13" s="12"/>
      <c r="GD13" s="12"/>
      <c r="GE13" s="12"/>
    </row>
    <row r="14" spans="1:187" ht="21" customHeight="1">
      <c r="A14" s="45" t="s">
        <v>337</v>
      </c>
      <c r="B14" s="86" t="s">
        <v>353</v>
      </c>
      <c r="C14" s="10" t="s">
        <v>351</v>
      </c>
      <c r="D14" s="10" t="s">
        <v>352</v>
      </c>
      <c r="E14" s="35">
        <f>13.2*0.6</f>
        <v>7.919999999999999</v>
      </c>
      <c r="F14" s="35">
        <f>13.2-E14</f>
        <v>5.28</v>
      </c>
      <c r="G14" s="35">
        <f>10.8*0.2</f>
        <v>2.16</v>
      </c>
      <c r="H14" s="35">
        <f>10.8-G14</f>
        <v>8.64</v>
      </c>
      <c r="I14" s="35">
        <f t="shared" si="0"/>
        <v>24</v>
      </c>
      <c r="J14" s="56">
        <v>24</v>
      </c>
      <c r="K14" s="49">
        <v>2752.59</v>
      </c>
      <c r="L14" s="49">
        <v>2862.69</v>
      </c>
      <c r="M14" s="49">
        <v>1833.23</v>
      </c>
      <c r="N14" s="49">
        <v>1901.06</v>
      </c>
      <c r="O14" s="56">
        <f t="shared" si="1"/>
        <v>919.36000000000013</v>
      </c>
      <c r="P14" s="1">
        <f t="shared" si="2"/>
        <v>7281.3312000000005</v>
      </c>
      <c r="Q14" s="1">
        <f t="shared" si="3"/>
        <v>4854.220800000001</v>
      </c>
      <c r="R14" s="1">
        <f t="shared" si="4"/>
        <v>2077.1208000000006</v>
      </c>
      <c r="S14" s="1">
        <f t="shared" si="5"/>
        <v>8308.4832000000024</v>
      </c>
      <c r="T14" s="1">
        <f t="shared" si="6"/>
        <v>22521.156000000003</v>
      </c>
      <c r="U14" s="11"/>
      <c r="V14" s="11"/>
      <c r="W14" s="11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  <c r="AZ14" s="12"/>
      <c r="BA14" s="12"/>
      <c r="BB14" s="12"/>
      <c r="BC14" s="12"/>
      <c r="BD14" s="12"/>
      <c r="BE14" s="12"/>
      <c r="BF14" s="12"/>
      <c r="BG14" s="12"/>
      <c r="BH14" s="12"/>
      <c r="BI14" s="12"/>
      <c r="BJ14" s="12"/>
      <c r="BK14" s="12"/>
      <c r="BL14" s="12"/>
      <c r="BM14" s="12"/>
      <c r="BN14" s="12"/>
      <c r="BO14" s="12"/>
      <c r="BP14" s="12"/>
      <c r="BQ14" s="12"/>
      <c r="BR14" s="12"/>
      <c r="BS14" s="12"/>
      <c r="BT14" s="12"/>
      <c r="BU14" s="12"/>
      <c r="BV14" s="12"/>
      <c r="BW14" s="12"/>
      <c r="BX14" s="12"/>
      <c r="BY14" s="12"/>
      <c r="BZ14" s="12"/>
      <c r="CA14" s="12"/>
      <c r="CB14" s="12"/>
      <c r="CC14" s="12"/>
      <c r="CD14" s="12"/>
      <c r="CE14" s="12"/>
      <c r="CF14" s="12"/>
      <c r="CG14" s="12"/>
      <c r="CH14" s="12"/>
      <c r="CI14" s="12"/>
      <c r="CJ14" s="12"/>
      <c r="CK14" s="12"/>
      <c r="CL14" s="12"/>
      <c r="CM14" s="12"/>
      <c r="CN14" s="12"/>
      <c r="CO14" s="12"/>
      <c r="CP14" s="12"/>
      <c r="CQ14" s="12"/>
      <c r="CR14" s="12"/>
      <c r="CS14" s="12"/>
      <c r="CT14" s="12"/>
      <c r="CU14" s="12"/>
      <c r="CV14" s="12"/>
      <c r="CW14" s="12"/>
      <c r="CX14" s="12"/>
      <c r="CY14" s="12"/>
      <c r="CZ14" s="12"/>
      <c r="DA14" s="12"/>
      <c r="DB14" s="12"/>
      <c r="DC14" s="12"/>
      <c r="DD14" s="12"/>
      <c r="DE14" s="12"/>
      <c r="DF14" s="12"/>
      <c r="DG14" s="12"/>
      <c r="DH14" s="12"/>
      <c r="DI14" s="12"/>
      <c r="DJ14" s="12"/>
      <c r="DK14" s="12"/>
      <c r="DL14" s="12"/>
      <c r="DM14" s="12"/>
      <c r="DN14" s="12"/>
      <c r="DO14" s="12"/>
      <c r="DP14" s="12"/>
      <c r="DQ14" s="12"/>
      <c r="DR14" s="12"/>
      <c r="DS14" s="12"/>
      <c r="DT14" s="12"/>
      <c r="DU14" s="12"/>
      <c r="DV14" s="12"/>
      <c r="DW14" s="12"/>
      <c r="DX14" s="12"/>
      <c r="DY14" s="12"/>
      <c r="DZ14" s="12"/>
      <c r="EA14" s="12"/>
      <c r="EB14" s="12"/>
      <c r="EC14" s="12"/>
      <c r="ED14" s="12"/>
      <c r="EE14" s="12"/>
      <c r="EF14" s="12"/>
      <c r="EG14" s="12"/>
      <c r="EH14" s="12"/>
      <c r="EI14" s="12"/>
      <c r="EJ14" s="12"/>
      <c r="EK14" s="12"/>
      <c r="EL14" s="12"/>
      <c r="EM14" s="12"/>
      <c r="EN14" s="12"/>
      <c r="EO14" s="12"/>
      <c r="EP14" s="12"/>
      <c r="EQ14" s="12"/>
      <c r="ER14" s="12"/>
      <c r="ES14" s="12"/>
      <c r="ET14" s="12"/>
      <c r="EU14" s="12"/>
      <c r="EV14" s="12"/>
      <c r="EW14" s="12"/>
      <c r="EX14" s="12"/>
      <c r="EY14" s="12"/>
      <c r="EZ14" s="12"/>
      <c r="FA14" s="12"/>
      <c r="FB14" s="12"/>
      <c r="FC14" s="12"/>
      <c r="FD14" s="12"/>
      <c r="FE14" s="12"/>
      <c r="FF14" s="12"/>
      <c r="FG14" s="12"/>
      <c r="FH14" s="12"/>
      <c r="FI14" s="12"/>
      <c r="FJ14" s="12"/>
      <c r="FK14" s="12"/>
      <c r="FL14" s="12"/>
      <c r="FM14" s="12"/>
      <c r="FN14" s="12"/>
      <c r="FO14" s="12"/>
      <c r="FP14" s="12"/>
      <c r="FQ14" s="12"/>
      <c r="FR14" s="12"/>
      <c r="FS14" s="12"/>
      <c r="FT14" s="12"/>
      <c r="FU14" s="12"/>
      <c r="FV14" s="12"/>
      <c r="FW14" s="12"/>
      <c r="FX14" s="12"/>
      <c r="FY14" s="12"/>
      <c r="FZ14" s="12"/>
      <c r="GA14" s="12"/>
      <c r="GB14" s="12"/>
      <c r="GC14" s="12"/>
      <c r="GD14" s="12"/>
      <c r="GE14" s="12"/>
    </row>
    <row r="15" spans="1:187" ht="21" customHeight="1">
      <c r="A15" s="45"/>
      <c r="B15" s="101" t="s">
        <v>69</v>
      </c>
      <c r="C15" s="101"/>
      <c r="D15" s="101"/>
      <c r="E15" s="34"/>
      <c r="F15" s="34"/>
      <c r="G15" s="34"/>
      <c r="H15" s="34"/>
      <c r="I15" s="35">
        <f t="shared" si="0"/>
        <v>0</v>
      </c>
      <c r="J15" s="11"/>
      <c r="K15" s="64"/>
      <c r="L15" s="64"/>
      <c r="M15" s="64"/>
      <c r="N15" s="64"/>
      <c r="O15" s="56">
        <f t="shared" si="1"/>
        <v>0</v>
      </c>
      <c r="P15" s="1">
        <f t="shared" si="2"/>
        <v>0</v>
      </c>
      <c r="Q15" s="1">
        <f t="shared" si="3"/>
        <v>0</v>
      </c>
      <c r="R15" s="1">
        <f t="shared" si="4"/>
        <v>0</v>
      </c>
      <c r="S15" s="1">
        <f t="shared" si="5"/>
        <v>0</v>
      </c>
      <c r="T15" s="1">
        <f t="shared" si="6"/>
        <v>0</v>
      </c>
      <c r="U15" s="45"/>
      <c r="V15" s="45"/>
      <c r="W15" s="45"/>
    </row>
    <row r="16" spans="1:187" ht="21" customHeight="1">
      <c r="A16" s="45"/>
      <c r="B16" s="86" t="s">
        <v>10</v>
      </c>
      <c r="C16" s="10" t="s">
        <v>74</v>
      </c>
      <c r="D16" s="10" t="s">
        <v>75</v>
      </c>
      <c r="E16" s="35">
        <v>94.2</v>
      </c>
      <c r="F16" s="35">
        <f>150.72-E16</f>
        <v>56.519999999999996</v>
      </c>
      <c r="G16" s="35">
        <v>6.27</v>
      </c>
      <c r="H16" s="35">
        <f>100.47-G16</f>
        <v>94.2</v>
      </c>
      <c r="I16" s="35">
        <f t="shared" si="0"/>
        <v>251.19</v>
      </c>
      <c r="J16" s="56">
        <v>282.59100000000001</v>
      </c>
      <c r="K16" s="49">
        <v>6251.34</v>
      </c>
      <c r="L16" s="49">
        <v>6501.3936000000003</v>
      </c>
      <c r="M16" s="49">
        <v>1958.01</v>
      </c>
      <c r="N16" s="49">
        <v>2030.4563699999999</v>
      </c>
      <c r="O16" s="56">
        <f t="shared" si="1"/>
        <v>4293.33</v>
      </c>
      <c r="P16" s="1">
        <f t="shared" si="2"/>
        <v>404431.68599999999</v>
      </c>
      <c r="Q16" s="1">
        <f t="shared" si="3"/>
        <v>242659.01159999997</v>
      </c>
      <c r="R16" s="1">
        <f t="shared" si="4"/>
        <v>28032.7764321</v>
      </c>
      <c r="S16" s="1">
        <f t="shared" si="5"/>
        <v>421162.28706600005</v>
      </c>
      <c r="T16" s="1">
        <f t="shared" si="6"/>
        <v>1096285.7610980999</v>
      </c>
      <c r="U16" s="11"/>
      <c r="V16" s="11"/>
      <c r="W16" s="11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  <c r="BM16" s="12"/>
      <c r="BN16" s="12"/>
      <c r="BO16" s="12"/>
      <c r="BP16" s="12"/>
      <c r="BQ16" s="12"/>
      <c r="BR16" s="12"/>
      <c r="BS16" s="12"/>
      <c r="BT16" s="12"/>
      <c r="BU16" s="12"/>
      <c r="BV16" s="12"/>
      <c r="BW16" s="12"/>
      <c r="BX16" s="12"/>
      <c r="BY16" s="12"/>
      <c r="BZ16" s="12"/>
      <c r="CA16" s="12"/>
      <c r="CB16" s="12"/>
      <c r="CC16" s="12"/>
      <c r="CD16" s="12"/>
      <c r="CE16" s="12"/>
      <c r="CF16" s="12"/>
      <c r="CG16" s="12"/>
      <c r="CH16" s="12"/>
      <c r="CI16" s="12"/>
      <c r="CJ16" s="12"/>
      <c r="CK16" s="12"/>
      <c r="CL16" s="12"/>
      <c r="CM16" s="12"/>
      <c r="CN16" s="12"/>
      <c r="CO16" s="12"/>
      <c r="CP16" s="12"/>
      <c r="CQ16" s="12"/>
      <c r="CR16" s="12"/>
      <c r="CS16" s="12"/>
      <c r="CT16" s="12"/>
      <c r="CU16" s="12"/>
      <c r="CV16" s="12"/>
      <c r="CW16" s="12"/>
      <c r="CX16" s="12"/>
      <c r="CY16" s="12"/>
      <c r="CZ16" s="12"/>
      <c r="DA16" s="12"/>
      <c r="DB16" s="12"/>
      <c r="DC16" s="12"/>
      <c r="DD16" s="12"/>
      <c r="DE16" s="12"/>
      <c r="DF16" s="12"/>
      <c r="DG16" s="12"/>
      <c r="DH16" s="12"/>
      <c r="DI16" s="12"/>
      <c r="DJ16" s="12"/>
      <c r="DK16" s="12"/>
      <c r="DL16" s="12"/>
      <c r="DM16" s="12"/>
      <c r="DN16" s="12"/>
      <c r="DO16" s="12"/>
      <c r="DP16" s="12"/>
      <c r="DQ16" s="12"/>
      <c r="DR16" s="12"/>
      <c r="DS16" s="12"/>
      <c r="DT16" s="12"/>
      <c r="DU16" s="12"/>
      <c r="DV16" s="12"/>
      <c r="DW16" s="12"/>
      <c r="DX16" s="12"/>
      <c r="DY16" s="12"/>
      <c r="DZ16" s="12"/>
      <c r="EA16" s="12"/>
      <c r="EB16" s="12"/>
      <c r="EC16" s="12"/>
      <c r="ED16" s="12"/>
      <c r="EE16" s="12"/>
      <c r="EF16" s="12"/>
      <c r="EG16" s="12"/>
      <c r="EH16" s="12"/>
      <c r="EI16" s="12"/>
      <c r="EJ16" s="12"/>
      <c r="EK16" s="12"/>
      <c r="EL16" s="12"/>
      <c r="EM16" s="12"/>
      <c r="EN16" s="12"/>
      <c r="EO16" s="12"/>
      <c r="EP16" s="12"/>
      <c r="EQ16" s="12"/>
      <c r="ER16" s="12"/>
      <c r="ES16" s="12"/>
      <c r="ET16" s="12"/>
      <c r="EU16" s="12"/>
      <c r="EV16" s="12"/>
      <c r="EW16" s="12"/>
      <c r="EX16" s="12"/>
      <c r="EY16" s="12"/>
      <c r="EZ16" s="12"/>
      <c r="FA16" s="12"/>
      <c r="FB16" s="12"/>
      <c r="FC16" s="12"/>
      <c r="FD16" s="12"/>
      <c r="FE16" s="12"/>
      <c r="FF16" s="12"/>
      <c r="FG16" s="12"/>
      <c r="FH16" s="12"/>
      <c r="FI16" s="12"/>
      <c r="FJ16" s="12"/>
      <c r="FK16" s="12"/>
      <c r="FL16" s="12"/>
      <c r="FM16" s="12"/>
      <c r="FN16" s="12"/>
      <c r="FO16" s="12"/>
      <c r="FP16" s="12"/>
      <c r="FQ16" s="12"/>
      <c r="FR16" s="12"/>
      <c r="FS16" s="12"/>
      <c r="FT16" s="12"/>
      <c r="FU16" s="12"/>
      <c r="FV16" s="12"/>
      <c r="FW16" s="12"/>
      <c r="FX16" s="12"/>
      <c r="FY16" s="12"/>
      <c r="FZ16" s="12"/>
      <c r="GA16" s="12"/>
      <c r="GB16" s="12"/>
      <c r="GC16" s="12"/>
      <c r="GD16" s="12"/>
      <c r="GE16" s="12"/>
    </row>
    <row r="17" spans="1:187" ht="21" customHeight="1">
      <c r="A17" s="45"/>
      <c r="B17" s="86" t="s">
        <v>290</v>
      </c>
      <c r="C17" s="10" t="s">
        <v>76</v>
      </c>
      <c r="D17" s="10" t="s">
        <v>323</v>
      </c>
      <c r="E17" s="35">
        <v>112.71299999999999</v>
      </c>
      <c r="F17" s="35">
        <f>165.904-E17</f>
        <v>53.191000000000003</v>
      </c>
      <c r="G17" s="35">
        <v>19.88</v>
      </c>
      <c r="H17" s="35">
        <f>132.643-G17</f>
        <v>112.76300000000001</v>
      </c>
      <c r="I17" s="35">
        <f t="shared" si="0"/>
        <v>298.54700000000003</v>
      </c>
      <c r="J17" s="56">
        <v>328.9</v>
      </c>
      <c r="K17" s="49">
        <v>3672.32</v>
      </c>
      <c r="L17" s="49">
        <v>3819.2128000000002</v>
      </c>
      <c r="M17" s="49">
        <v>1176.53</v>
      </c>
      <c r="N17" s="49">
        <v>1220.06161</v>
      </c>
      <c r="O17" s="56">
        <f t="shared" si="1"/>
        <v>2495.79</v>
      </c>
      <c r="P17" s="1">
        <f t="shared" si="2"/>
        <v>281307.97826999996</v>
      </c>
      <c r="Q17" s="1">
        <f t="shared" si="3"/>
        <v>132753.56589</v>
      </c>
      <c r="R17" s="1">
        <f t="shared" si="4"/>
        <v>51671.125657200006</v>
      </c>
      <c r="S17" s="1">
        <f t="shared" si="5"/>
        <v>293088.08563797007</v>
      </c>
      <c r="T17" s="1">
        <f t="shared" si="6"/>
        <v>758820.75545517006</v>
      </c>
      <c r="U17" s="11"/>
      <c r="V17" s="11"/>
      <c r="W17" s="11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  <c r="AZ17" s="12"/>
      <c r="BA17" s="12"/>
      <c r="BB17" s="12"/>
      <c r="BC17" s="12"/>
      <c r="BD17" s="12"/>
      <c r="BE17" s="12"/>
      <c r="BF17" s="12"/>
      <c r="BG17" s="12"/>
      <c r="BH17" s="12"/>
      <c r="BI17" s="12"/>
      <c r="BJ17" s="12"/>
      <c r="BK17" s="12"/>
      <c r="BL17" s="12"/>
      <c r="BM17" s="12"/>
      <c r="BN17" s="12"/>
      <c r="BO17" s="12"/>
      <c r="BP17" s="12"/>
      <c r="BQ17" s="12"/>
      <c r="BR17" s="12"/>
      <c r="BS17" s="12"/>
      <c r="BT17" s="12"/>
      <c r="BU17" s="12"/>
      <c r="BV17" s="12"/>
      <c r="BW17" s="12"/>
      <c r="BX17" s="12"/>
      <c r="BY17" s="12"/>
      <c r="BZ17" s="12"/>
      <c r="CA17" s="12"/>
      <c r="CB17" s="12"/>
      <c r="CC17" s="12"/>
      <c r="CD17" s="12"/>
      <c r="CE17" s="12"/>
      <c r="CF17" s="12"/>
      <c r="CG17" s="12"/>
      <c r="CH17" s="12"/>
      <c r="CI17" s="12"/>
      <c r="CJ17" s="12"/>
      <c r="CK17" s="12"/>
      <c r="CL17" s="12"/>
      <c r="CM17" s="12"/>
      <c r="CN17" s="12"/>
      <c r="CO17" s="12"/>
      <c r="CP17" s="12"/>
      <c r="CQ17" s="12"/>
      <c r="CR17" s="12"/>
      <c r="CS17" s="12"/>
      <c r="CT17" s="12"/>
      <c r="CU17" s="12"/>
      <c r="CV17" s="12"/>
      <c r="CW17" s="12"/>
      <c r="CX17" s="12"/>
      <c r="CY17" s="12"/>
      <c r="CZ17" s="12"/>
      <c r="DA17" s="12"/>
      <c r="DB17" s="12"/>
      <c r="DC17" s="12"/>
      <c r="DD17" s="12"/>
      <c r="DE17" s="12"/>
      <c r="DF17" s="12"/>
      <c r="DG17" s="12"/>
      <c r="DH17" s="12"/>
      <c r="DI17" s="12"/>
      <c r="DJ17" s="12"/>
      <c r="DK17" s="12"/>
      <c r="DL17" s="12"/>
      <c r="DM17" s="12"/>
      <c r="DN17" s="12"/>
      <c r="DO17" s="12"/>
      <c r="DP17" s="12"/>
      <c r="DQ17" s="12"/>
      <c r="DR17" s="12"/>
      <c r="DS17" s="12"/>
      <c r="DT17" s="12"/>
      <c r="DU17" s="12"/>
      <c r="DV17" s="12"/>
      <c r="DW17" s="12"/>
      <c r="DX17" s="12"/>
      <c r="DY17" s="12"/>
      <c r="DZ17" s="12"/>
      <c r="EA17" s="12"/>
      <c r="EB17" s="12"/>
      <c r="EC17" s="12"/>
      <c r="ED17" s="12"/>
      <c r="EE17" s="12"/>
      <c r="EF17" s="12"/>
      <c r="EG17" s="12"/>
      <c r="EH17" s="12"/>
      <c r="EI17" s="12"/>
      <c r="EJ17" s="12"/>
      <c r="EK17" s="12"/>
      <c r="EL17" s="12"/>
      <c r="EM17" s="12"/>
      <c r="EN17" s="12"/>
      <c r="EO17" s="12"/>
      <c r="EP17" s="12"/>
      <c r="EQ17" s="12"/>
      <c r="ER17" s="12"/>
      <c r="ES17" s="12"/>
      <c r="ET17" s="12"/>
      <c r="EU17" s="12"/>
      <c r="EV17" s="12"/>
      <c r="EW17" s="12"/>
      <c r="EX17" s="12"/>
      <c r="EY17" s="12"/>
      <c r="EZ17" s="12"/>
      <c r="FA17" s="12"/>
      <c r="FB17" s="12"/>
      <c r="FC17" s="12"/>
      <c r="FD17" s="12"/>
      <c r="FE17" s="12"/>
      <c r="FF17" s="12"/>
      <c r="FG17" s="12"/>
      <c r="FH17" s="12"/>
      <c r="FI17" s="12"/>
      <c r="FJ17" s="12"/>
      <c r="FK17" s="12"/>
      <c r="FL17" s="12"/>
      <c r="FM17" s="12"/>
      <c r="FN17" s="12"/>
      <c r="FO17" s="12"/>
      <c r="FP17" s="12"/>
      <c r="FQ17" s="12"/>
      <c r="FR17" s="12"/>
      <c r="FS17" s="12"/>
      <c r="FT17" s="12"/>
      <c r="FU17" s="12"/>
      <c r="FV17" s="12"/>
      <c r="FW17" s="12"/>
      <c r="FX17" s="12"/>
      <c r="FY17" s="12"/>
      <c r="FZ17" s="12"/>
      <c r="GA17" s="12"/>
      <c r="GB17" s="12"/>
      <c r="GC17" s="12"/>
      <c r="GD17" s="12"/>
      <c r="GE17" s="12"/>
    </row>
    <row r="18" spans="1:187" ht="21" customHeight="1">
      <c r="A18" s="45"/>
      <c r="B18" s="86" t="s">
        <v>290</v>
      </c>
      <c r="C18" s="10" t="s">
        <v>76</v>
      </c>
      <c r="D18" s="10" t="s">
        <v>324</v>
      </c>
      <c r="E18" s="35">
        <v>145.21</v>
      </c>
      <c r="F18" s="35">
        <f>214.31-E18</f>
        <v>69.099999999999994</v>
      </c>
      <c r="G18" s="35">
        <v>23.91</v>
      </c>
      <c r="H18" s="35">
        <f>176.12-G18</f>
        <v>152.21</v>
      </c>
      <c r="I18" s="35">
        <f t="shared" si="0"/>
        <v>390.43</v>
      </c>
      <c r="J18" s="11">
        <v>432.91</v>
      </c>
      <c r="K18" s="49">
        <v>5463.31</v>
      </c>
      <c r="L18" s="49">
        <v>5681.8424000000005</v>
      </c>
      <c r="M18" s="49">
        <v>1418.59</v>
      </c>
      <c r="N18" s="49">
        <v>1471.0778299999997</v>
      </c>
      <c r="O18" s="56">
        <f t="shared" si="1"/>
        <v>4044.7200000000003</v>
      </c>
      <c r="P18" s="1">
        <f t="shared" si="2"/>
        <v>587333.79120000009</v>
      </c>
      <c r="Q18" s="1">
        <f t="shared" si="3"/>
        <v>279490.152</v>
      </c>
      <c r="R18" s="1">
        <f t="shared" si="4"/>
        <v>100679.38086870003</v>
      </c>
      <c r="S18" s="1">
        <f t="shared" si="5"/>
        <v>640920.47519970022</v>
      </c>
      <c r="T18" s="1">
        <f t="shared" si="6"/>
        <v>1608423.7992684003</v>
      </c>
      <c r="U18" s="11"/>
      <c r="V18" s="11"/>
      <c r="W18" s="11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  <c r="AZ18" s="12"/>
      <c r="BA18" s="12"/>
      <c r="BB18" s="12"/>
      <c r="BC18" s="12"/>
      <c r="BD18" s="12"/>
      <c r="BE18" s="12"/>
      <c r="BF18" s="12"/>
      <c r="BG18" s="12"/>
      <c r="BH18" s="12"/>
      <c r="BI18" s="12"/>
      <c r="BJ18" s="12"/>
      <c r="BK18" s="12"/>
      <c r="BL18" s="12"/>
      <c r="BM18" s="12"/>
      <c r="BN18" s="12"/>
      <c r="BO18" s="12"/>
      <c r="BP18" s="12"/>
      <c r="BQ18" s="12"/>
      <c r="BR18" s="12"/>
      <c r="BS18" s="12"/>
      <c r="BT18" s="12"/>
      <c r="BU18" s="12"/>
      <c r="BV18" s="12"/>
      <c r="BW18" s="12"/>
      <c r="BX18" s="12"/>
      <c r="BY18" s="12"/>
      <c r="BZ18" s="12"/>
      <c r="CA18" s="12"/>
      <c r="CB18" s="12"/>
      <c r="CC18" s="12"/>
      <c r="CD18" s="12"/>
      <c r="CE18" s="12"/>
      <c r="CF18" s="12"/>
      <c r="CG18" s="12"/>
      <c r="CH18" s="12"/>
      <c r="CI18" s="12"/>
      <c r="CJ18" s="12"/>
      <c r="CK18" s="12"/>
      <c r="CL18" s="12"/>
      <c r="CM18" s="12"/>
      <c r="CN18" s="12"/>
      <c r="CO18" s="12"/>
      <c r="CP18" s="12"/>
      <c r="CQ18" s="12"/>
      <c r="CR18" s="12"/>
      <c r="CS18" s="12"/>
      <c r="CT18" s="12"/>
      <c r="CU18" s="12"/>
      <c r="CV18" s="12"/>
      <c r="CW18" s="12"/>
      <c r="CX18" s="12"/>
      <c r="CY18" s="12"/>
      <c r="CZ18" s="12"/>
      <c r="DA18" s="12"/>
      <c r="DB18" s="12"/>
      <c r="DC18" s="12"/>
      <c r="DD18" s="12"/>
      <c r="DE18" s="12"/>
      <c r="DF18" s="12"/>
      <c r="DG18" s="12"/>
      <c r="DH18" s="12"/>
      <c r="DI18" s="12"/>
      <c r="DJ18" s="12"/>
      <c r="DK18" s="12"/>
      <c r="DL18" s="12"/>
      <c r="DM18" s="12"/>
      <c r="DN18" s="12"/>
      <c r="DO18" s="12"/>
      <c r="DP18" s="12"/>
      <c r="DQ18" s="12"/>
      <c r="DR18" s="12"/>
      <c r="DS18" s="12"/>
      <c r="DT18" s="12"/>
      <c r="DU18" s="12"/>
      <c r="DV18" s="12"/>
      <c r="DW18" s="12"/>
      <c r="DX18" s="12"/>
      <c r="DY18" s="12"/>
      <c r="DZ18" s="12"/>
      <c r="EA18" s="12"/>
      <c r="EB18" s="12"/>
      <c r="EC18" s="12"/>
      <c r="ED18" s="12"/>
      <c r="EE18" s="12"/>
      <c r="EF18" s="12"/>
      <c r="EG18" s="12"/>
      <c r="EH18" s="12"/>
      <c r="EI18" s="12"/>
      <c r="EJ18" s="12"/>
      <c r="EK18" s="12"/>
      <c r="EL18" s="12"/>
      <c r="EM18" s="12"/>
      <c r="EN18" s="12"/>
      <c r="EO18" s="12"/>
      <c r="EP18" s="12"/>
      <c r="EQ18" s="12"/>
      <c r="ER18" s="12"/>
      <c r="ES18" s="12"/>
      <c r="ET18" s="12"/>
      <c r="EU18" s="12"/>
      <c r="EV18" s="12"/>
      <c r="EW18" s="12"/>
      <c r="EX18" s="12"/>
      <c r="EY18" s="12"/>
      <c r="EZ18" s="12"/>
      <c r="FA18" s="12"/>
      <c r="FB18" s="12"/>
      <c r="FC18" s="12"/>
      <c r="FD18" s="12"/>
      <c r="FE18" s="12"/>
      <c r="FF18" s="12"/>
      <c r="FG18" s="12"/>
      <c r="FH18" s="12"/>
      <c r="FI18" s="12"/>
      <c r="FJ18" s="12"/>
      <c r="FK18" s="12"/>
      <c r="FL18" s="12"/>
      <c r="FM18" s="12"/>
      <c r="FN18" s="12"/>
      <c r="FO18" s="12"/>
      <c r="FP18" s="12"/>
      <c r="FQ18" s="12"/>
      <c r="FR18" s="12"/>
      <c r="FS18" s="12"/>
      <c r="FT18" s="12"/>
      <c r="FU18" s="12"/>
      <c r="FV18" s="12"/>
      <c r="FW18" s="12"/>
      <c r="FX18" s="12"/>
      <c r="FY18" s="12"/>
      <c r="FZ18" s="12"/>
      <c r="GA18" s="12"/>
      <c r="GB18" s="12"/>
      <c r="GC18" s="12"/>
      <c r="GD18" s="12"/>
      <c r="GE18" s="12"/>
    </row>
    <row r="19" spans="1:187" ht="21" customHeight="1">
      <c r="A19" s="45"/>
      <c r="B19" s="86" t="s">
        <v>15</v>
      </c>
      <c r="C19" s="10" t="s">
        <v>79</v>
      </c>
      <c r="D19" s="10" t="s">
        <v>80</v>
      </c>
      <c r="E19" s="35">
        <v>411.36</v>
      </c>
      <c r="F19" s="35">
        <f>617.04-E19</f>
        <v>205.67999999999995</v>
      </c>
      <c r="G19" s="35">
        <v>68.56</v>
      </c>
      <c r="H19" s="35">
        <f>479.92-G19</f>
        <v>411.36</v>
      </c>
      <c r="I19" s="35">
        <f t="shared" si="0"/>
        <v>1096.96</v>
      </c>
      <c r="J19" s="11">
        <v>1127.27</v>
      </c>
      <c r="K19" s="49">
        <v>2842.05</v>
      </c>
      <c r="L19" s="49">
        <v>2955.7320000000004</v>
      </c>
      <c r="M19" s="49">
        <v>1795.82</v>
      </c>
      <c r="N19" s="49">
        <v>1862.2653399999997</v>
      </c>
      <c r="O19" s="56">
        <f t="shared" si="1"/>
        <v>1046.2300000000002</v>
      </c>
      <c r="P19" s="1">
        <f t="shared" si="2"/>
        <v>430377.17280000012</v>
      </c>
      <c r="Q19" s="1">
        <f t="shared" si="3"/>
        <v>215188.5864</v>
      </c>
      <c r="R19" s="1">
        <f t="shared" si="4"/>
        <v>74968.074209600047</v>
      </c>
      <c r="S19" s="1">
        <f t="shared" si="5"/>
        <v>449808.44525760034</v>
      </c>
      <c r="T19" s="1">
        <f t="shared" si="6"/>
        <v>1170342.2786672006</v>
      </c>
      <c r="U19" s="11"/>
      <c r="V19" s="11"/>
      <c r="W19" s="11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  <c r="AZ19" s="12"/>
      <c r="BA19" s="12"/>
      <c r="BB19" s="12"/>
      <c r="BC19" s="12"/>
      <c r="BD19" s="12"/>
      <c r="BE19" s="12"/>
      <c r="BF19" s="12"/>
      <c r="BG19" s="12"/>
      <c r="BH19" s="12"/>
      <c r="BI19" s="12"/>
      <c r="BJ19" s="12"/>
      <c r="BK19" s="12"/>
      <c r="BL19" s="12"/>
      <c r="BM19" s="12"/>
      <c r="BN19" s="12"/>
      <c r="BO19" s="12"/>
      <c r="BP19" s="12"/>
      <c r="BQ19" s="12"/>
      <c r="BR19" s="12"/>
      <c r="BS19" s="12"/>
      <c r="BT19" s="12"/>
      <c r="BU19" s="12"/>
      <c r="BV19" s="12"/>
      <c r="BW19" s="12"/>
      <c r="BX19" s="12"/>
      <c r="BY19" s="12"/>
      <c r="BZ19" s="12"/>
      <c r="CA19" s="12"/>
      <c r="CB19" s="12"/>
      <c r="CC19" s="12"/>
      <c r="CD19" s="12"/>
      <c r="CE19" s="12"/>
      <c r="CF19" s="12"/>
      <c r="CG19" s="12"/>
      <c r="CH19" s="12"/>
      <c r="CI19" s="12"/>
      <c r="CJ19" s="12"/>
      <c r="CK19" s="12"/>
      <c r="CL19" s="12"/>
      <c r="CM19" s="12"/>
      <c r="CN19" s="12"/>
      <c r="CO19" s="12"/>
      <c r="CP19" s="12"/>
      <c r="CQ19" s="12"/>
      <c r="CR19" s="12"/>
      <c r="CS19" s="12"/>
      <c r="CT19" s="12"/>
      <c r="CU19" s="12"/>
      <c r="CV19" s="12"/>
      <c r="CW19" s="12"/>
      <c r="CX19" s="12"/>
      <c r="CY19" s="12"/>
      <c r="CZ19" s="12"/>
      <c r="DA19" s="12"/>
      <c r="DB19" s="12"/>
      <c r="DC19" s="12"/>
      <c r="DD19" s="12"/>
      <c r="DE19" s="12"/>
      <c r="DF19" s="12"/>
      <c r="DG19" s="12"/>
      <c r="DH19" s="12"/>
      <c r="DI19" s="12"/>
      <c r="DJ19" s="12"/>
      <c r="DK19" s="12"/>
      <c r="DL19" s="12"/>
      <c r="DM19" s="12"/>
      <c r="DN19" s="12"/>
      <c r="DO19" s="12"/>
      <c r="DP19" s="12"/>
      <c r="DQ19" s="12"/>
      <c r="DR19" s="12"/>
      <c r="DS19" s="12"/>
      <c r="DT19" s="12"/>
      <c r="DU19" s="12"/>
      <c r="DV19" s="12"/>
      <c r="DW19" s="12"/>
      <c r="DX19" s="12"/>
      <c r="DY19" s="12"/>
      <c r="DZ19" s="12"/>
      <c r="EA19" s="12"/>
      <c r="EB19" s="12"/>
      <c r="EC19" s="12"/>
      <c r="ED19" s="12"/>
      <c r="EE19" s="12"/>
      <c r="EF19" s="12"/>
      <c r="EG19" s="12"/>
      <c r="EH19" s="12"/>
      <c r="EI19" s="12"/>
      <c r="EJ19" s="12"/>
      <c r="EK19" s="12"/>
      <c r="EL19" s="12"/>
      <c r="EM19" s="12"/>
      <c r="EN19" s="12"/>
      <c r="EO19" s="12"/>
      <c r="EP19" s="12"/>
      <c r="EQ19" s="12"/>
      <c r="ER19" s="12"/>
      <c r="ES19" s="12"/>
      <c r="ET19" s="12"/>
      <c r="EU19" s="12"/>
      <c r="EV19" s="12"/>
      <c r="EW19" s="12"/>
      <c r="EX19" s="12"/>
      <c r="EY19" s="12"/>
      <c r="EZ19" s="12"/>
      <c r="FA19" s="12"/>
      <c r="FB19" s="12"/>
      <c r="FC19" s="12"/>
      <c r="FD19" s="12"/>
      <c r="FE19" s="12"/>
      <c r="FF19" s="12"/>
      <c r="FG19" s="12"/>
      <c r="FH19" s="12"/>
      <c r="FI19" s="12"/>
      <c r="FJ19" s="12"/>
      <c r="FK19" s="12"/>
      <c r="FL19" s="12"/>
      <c r="FM19" s="12"/>
      <c r="FN19" s="12"/>
      <c r="FO19" s="12"/>
      <c r="FP19" s="12"/>
      <c r="FQ19" s="12"/>
      <c r="FR19" s="12"/>
      <c r="FS19" s="12"/>
      <c r="FT19" s="12"/>
      <c r="FU19" s="12"/>
      <c r="FV19" s="12"/>
      <c r="FW19" s="12"/>
      <c r="FX19" s="12"/>
      <c r="FY19" s="12"/>
      <c r="FZ19" s="12"/>
      <c r="GA19" s="12"/>
      <c r="GB19" s="12"/>
      <c r="GC19" s="12"/>
      <c r="GD19" s="12"/>
      <c r="GE19" s="12"/>
    </row>
    <row r="20" spans="1:187" ht="21" customHeight="1">
      <c r="A20" s="45"/>
      <c r="B20" s="86" t="s">
        <v>11</v>
      </c>
      <c r="C20" s="10" t="s">
        <v>70</v>
      </c>
      <c r="D20" s="10" t="s">
        <v>322</v>
      </c>
      <c r="E20" s="35">
        <v>40.53</v>
      </c>
      <c r="F20" s="35">
        <f>60.14-E20</f>
        <v>19.61</v>
      </c>
      <c r="G20" s="35">
        <v>6.7549999999999999</v>
      </c>
      <c r="H20" s="35">
        <f>47.73-G20</f>
        <v>40.974999999999994</v>
      </c>
      <c r="I20" s="35">
        <f t="shared" si="0"/>
        <v>107.86999999999999</v>
      </c>
      <c r="J20" s="11">
        <v>108.08000000000001</v>
      </c>
      <c r="K20" s="49">
        <v>12953.43</v>
      </c>
      <c r="L20" s="49">
        <v>13471.567200000001</v>
      </c>
      <c r="M20" s="49">
        <v>1622.48</v>
      </c>
      <c r="N20" s="49">
        <v>1682.5117599999999</v>
      </c>
      <c r="O20" s="56">
        <f t="shared" si="1"/>
        <v>11330.95</v>
      </c>
      <c r="P20" s="1">
        <f t="shared" si="2"/>
        <v>459243.40350000001</v>
      </c>
      <c r="Q20" s="1">
        <f t="shared" si="3"/>
        <v>222199.9295</v>
      </c>
      <c r="R20" s="1">
        <f t="shared" si="4"/>
        <v>79635.069497200006</v>
      </c>
      <c r="S20" s="1">
        <f t="shared" si="5"/>
        <v>483056.54665400001</v>
      </c>
      <c r="T20" s="1">
        <f t="shared" si="6"/>
        <v>1244134.9491512</v>
      </c>
      <c r="U20" s="11"/>
      <c r="V20" s="11"/>
      <c r="W20" s="11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12"/>
      <c r="AU20" s="12"/>
      <c r="AV20" s="12"/>
      <c r="AW20" s="12"/>
      <c r="AX20" s="12"/>
      <c r="AY20" s="12"/>
      <c r="AZ20" s="12"/>
      <c r="BA20" s="12"/>
      <c r="BB20" s="12"/>
      <c r="BC20" s="12"/>
      <c r="BD20" s="12"/>
      <c r="BE20" s="12"/>
      <c r="BF20" s="12"/>
      <c r="BG20" s="12"/>
      <c r="BH20" s="12"/>
      <c r="BI20" s="12"/>
      <c r="BJ20" s="12"/>
      <c r="BK20" s="12"/>
      <c r="BL20" s="12"/>
      <c r="BM20" s="12"/>
      <c r="BN20" s="12"/>
      <c r="BO20" s="12"/>
      <c r="BP20" s="12"/>
      <c r="BQ20" s="12"/>
      <c r="BR20" s="12"/>
      <c r="BS20" s="12"/>
      <c r="BT20" s="12"/>
      <c r="BU20" s="12"/>
      <c r="BV20" s="12"/>
      <c r="BW20" s="12"/>
      <c r="BX20" s="12"/>
      <c r="BY20" s="12"/>
      <c r="BZ20" s="12"/>
      <c r="CA20" s="12"/>
      <c r="CB20" s="12"/>
      <c r="CC20" s="12"/>
      <c r="CD20" s="12"/>
      <c r="CE20" s="12"/>
      <c r="CF20" s="12"/>
      <c r="CG20" s="12"/>
      <c r="CH20" s="12"/>
      <c r="CI20" s="12"/>
      <c r="CJ20" s="12"/>
      <c r="CK20" s="12"/>
      <c r="CL20" s="12"/>
      <c r="CM20" s="12"/>
      <c r="CN20" s="12"/>
      <c r="CO20" s="12"/>
      <c r="CP20" s="12"/>
      <c r="CQ20" s="12"/>
      <c r="CR20" s="12"/>
      <c r="CS20" s="12"/>
      <c r="CT20" s="12"/>
      <c r="CU20" s="12"/>
      <c r="CV20" s="12"/>
      <c r="CW20" s="12"/>
      <c r="CX20" s="12"/>
      <c r="CY20" s="12"/>
      <c r="CZ20" s="12"/>
      <c r="DA20" s="12"/>
      <c r="DB20" s="12"/>
      <c r="DC20" s="12"/>
      <c r="DD20" s="12"/>
      <c r="DE20" s="12"/>
      <c r="DF20" s="12"/>
      <c r="DG20" s="12"/>
      <c r="DH20" s="12"/>
      <c r="DI20" s="12"/>
      <c r="DJ20" s="12"/>
      <c r="DK20" s="12"/>
      <c r="DL20" s="12"/>
      <c r="DM20" s="12"/>
      <c r="DN20" s="12"/>
      <c r="DO20" s="12"/>
      <c r="DP20" s="12"/>
      <c r="DQ20" s="12"/>
      <c r="DR20" s="12"/>
      <c r="DS20" s="12"/>
      <c r="DT20" s="12"/>
      <c r="DU20" s="12"/>
      <c r="DV20" s="12"/>
      <c r="DW20" s="12"/>
      <c r="DX20" s="12"/>
      <c r="DY20" s="12"/>
      <c r="DZ20" s="12"/>
      <c r="EA20" s="12"/>
      <c r="EB20" s="12"/>
      <c r="EC20" s="12"/>
      <c r="ED20" s="12"/>
      <c r="EE20" s="12"/>
      <c r="EF20" s="12"/>
      <c r="EG20" s="12"/>
      <c r="EH20" s="12"/>
      <c r="EI20" s="12"/>
      <c r="EJ20" s="12"/>
      <c r="EK20" s="12"/>
      <c r="EL20" s="12"/>
      <c r="EM20" s="12"/>
      <c r="EN20" s="12"/>
      <c r="EO20" s="12"/>
      <c r="EP20" s="12"/>
      <c r="EQ20" s="12"/>
      <c r="ER20" s="12"/>
      <c r="ES20" s="12"/>
      <c r="ET20" s="12"/>
      <c r="EU20" s="12"/>
      <c r="EV20" s="12"/>
      <c r="EW20" s="12"/>
      <c r="EX20" s="12"/>
      <c r="EY20" s="12"/>
      <c r="EZ20" s="12"/>
      <c r="FA20" s="12"/>
      <c r="FB20" s="12"/>
      <c r="FC20" s="12"/>
      <c r="FD20" s="12"/>
      <c r="FE20" s="12"/>
      <c r="FF20" s="12"/>
      <c r="FG20" s="12"/>
      <c r="FH20" s="12"/>
      <c r="FI20" s="12"/>
      <c r="FJ20" s="12"/>
      <c r="FK20" s="12"/>
      <c r="FL20" s="12"/>
      <c r="FM20" s="12"/>
      <c r="FN20" s="12"/>
      <c r="FO20" s="12"/>
      <c r="FP20" s="12"/>
      <c r="FQ20" s="12"/>
      <c r="FR20" s="12"/>
      <c r="FS20" s="12"/>
      <c r="FT20" s="12"/>
      <c r="FU20" s="12"/>
      <c r="FV20" s="12"/>
      <c r="FW20" s="12"/>
      <c r="FX20" s="12"/>
      <c r="FY20" s="12"/>
      <c r="FZ20" s="12"/>
      <c r="GA20" s="12"/>
      <c r="GB20" s="12"/>
      <c r="GC20" s="12"/>
      <c r="GD20" s="12"/>
      <c r="GE20" s="12"/>
    </row>
    <row r="21" spans="1:187" ht="21" customHeight="1">
      <c r="A21" s="45"/>
      <c r="B21" s="86" t="s">
        <v>11</v>
      </c>
      <c r="C21" s="10" t="s">
        <v>70</v>
      </c>
      <c r="D21" s="10" t="s">
        <v>321</v>
      </c>
      <c r="E21" s="35">
        <v>498.798</v>
      </c>
      <c r="F21" s="35">
        <f>690.259-E21</f>
        <v>191.46100000000001</v>
      </c>
      <c r="G21" s="35">
        <v>38.567</v>
      </c>
      <c r="H21" s="35">
        <f>387-G21</f>
        <v>348.43299999999999</v>
      </c>
      <c r="I21" s="35">
        <f t="shared" si="0"/>
        <v>1077.259</v>
      </c>
      <c r="J21" s="56">
        <v>1058.6299999999999</v>
      </c>
      <c r="K21" s="49">
        <v>2258.94</v>
      </c>
      <c r="L21" s="49">
        <v>2349.2976000000003</v>
      </c>
      <c r="M21" s="49">
        <v>1869.17</v>
      </c>
      <c r="N21" s="49">
        <v>1938.3292899999999</v>
      </c>
      <c r="O21" s="56">
        <f t="shared" si="1"/>
        <v>389.77</v>
      </c>
      <c r="P21" s="1">
        <f t="shared" si="2"/>
        <v>194416.49645999999</v>
      </c>
      <c r="Q21" s="1">
        <f t="shared" si="3"/>
        <v>74625.753970000005</v>
      </c>
      <c r="R21" s="1">
        <f t="shared" si="4"/>
        <v>15849.814811770017</v>
      </c>
      <c r="S21" s="1">
        <f t="shared" si="5"/>
        <v>143194.92115823014</v>
      </c>
      <c r="T21" s="1">
        <f t="shared" si="6"/>
        <v>428086.98640000017</v>
      </c>
      <c r="U21" s="11"/>
      <c r="V21" s="11"/>
      <c r="W21" s="11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12"/>
      <c r="AR21" s="12"/>
      <c r="AS21" s="12"/>
      <c r="AT21" s="12"/>
      <c r="AU21" s="12"/>
      <c r="AV21" s="12"/>
      <c r="AW21" s="12"/>
      <c r="AX21" s="12"/>
      <c r="AY21" s="12"/>
      <c r="AZ21" s="12"/>
      <c r="BA21" s="12"/>
      <c r="BB21" s="12"/>
      <c r="BC21" s="12"/>
      <c r="BD21" s="12"/>
      <c r="BE21" s="12"/>
      <c r="BF21" s="12"/>
      <c r="BG21" s="12"/>
      <c r="BH21" s="12"/>
      <c r="BI21" s="12"/>
      <c r="BJ21" s="12"/>
      <c r="BK21" s="12"/>
      <c r="BL21" s="12"/>
      <c r="BM21" s="12"/>
      <c r="BN21" s="12"/>
      <c r="BO21" s="12"/>
      <c r="BP21" s="12"/>
      <c r="BQ21" s="12"/>
      <c r="BR21" s="12"/>
      <c r="BS21" s="12"/>
      <c r="BT21" s="12"/>
      <c r="BU21" s="12"/>
      <c r="BV21" s="12"/>
      <c r="BW21" s="12"/>
      <c r="BX21" s="12"/>
      <c r="BY21" s="12"/>
      <c r="BZ21" s="12"/>
      <c r="CA21" s="12"/>
      <c r="CB21" s="12"/>
      <c r="CC21" s="12"/>
      <c r="CD21" s="12"/>
      <c r="CE21" s="12"/>
      <c r="CF21" s="12"/>
      <c r="CG21" s="12"/>
      <c r="CH21" s="12"/>
      <c r="CI21" s="12"/>
      <c r="CJ21" s="12"/>
      <c r="CK21" s="12"/>
      <c r="CL21" s="12"/>
      <c r="CM21" s="12"/>
      <c r="CN21" s="12"/>
      <c r="CO21" s="12"/>
      <c r="CP21" s="12"/>
      <c r="CQ21" s="12"/>
      <c r="CR21" s="12"/>
      <c r="CS21" s="12"/>
      <c r="CT21" s="12"/>
      <c r="CU21" s="12"/>
      <c r="CV21" s="12"/>
      <c r="CW21" s="12"/>
      <c r="CX21" s="12"/>
      <c r="CY21" s="12"/>
      <c r="CZ21" s="12"/>
      <c r="DA21" s="12"/>
      <c r="DB21" s="12"/>
      <c r="DC21" s="12"/>
      <c r="DD21" s="12"/>
      <c r="DE21" s="12"/>
      <c r="DF21" s="12"/>
      <c r="DG21" s="12"/>
      <c r="DH21" s="12"/>
      <c r="DI21" s="12"/>
      <c r="DJ21" s="12"/>
      <c r="DK21" s="12"/>
      <c r="DL21" s="12"/>
      <c r="DM21" s="12"/>
      <c r="DN21" s="12"/>
      <c r="DO21" s="12"/>
      <c r="DP21" s="12"/>
      <c r="DQ21" s="12"/>
      <c r="DR21" s="12"/>
      <c r="DS21" s="12"/>
      <c r="DT21" s="12"/>
      <c r="DU21" s="12"/>
      <c r="DV21" s="12"/>
      <c r="DW21" s="12"/>
      <c r="DX21" s="12"/>
      <c r="DY21" s="12"/>
      <c r="DZ21" s="12"/>
      <c r="EA21" s="12"/>
      <c r="EB21" s="12"/>
      <c r="EC21" s="12"/>
      <c r="ED21" s="12"/>
      <c r="EE21" s="12"/>
      <c r="EF21" s="12"/>
      <c r="EG21" s="12"/>
      <c r="EH21" s="12"/>
      <c r="EI21" s="12"/>
      <c r="EJ21" s="12"/>
      <c r="EK21" s="12"/>
      <c r="EL21" s="12"/>
      <c r="EM21" s="12"/>
      <c r="EN21" s="12"/>
      <c r="EO21" s="12"/>
      <c r="EP21" s="12"/>
      <c r="EQ21" s="12"/>
      <c r="ER21" s="12"/>
      <c r="ES21" s="12"/>
      <c r="ET21" s="12"/>
      <c r="EU21" s="12"/>
      <c r="EV21" s="12"/>
      <c r="EW21" s="12"/>
      <c r="EX21" s="12"/>
      <c r="EY21" s="12"/>
      <c r="EZ21" s="12"/>
      <c r="FA21" s="12"/>
      <c r="FB21" s="12"/>
      <c r="FC21" s="12"/>
      <c r="FD21" s="12"/>
      <c r="FE21" s="12"/>
      <c r="FF21" s="12"/>
      <c r="FG21" s="12"/>
      <c r="FH21" s="12"/>
      <c r="FI21" s="12"/>
      <c r="FJ21" s="12"/>
      <c r="FK21" s="12"/>
      <c r="FL21" s="12"/>
      <c r="FM21" s="12"/>
      <c r="FN21" s="12"/>
      <c r="FO21" s="12"/>
      <c r="FP21" s="12"/>
      <c r="FQ21" s="12"/>
      <c r="FR21" s="12"/>
      <c r="FS21" s="12"/>
      <c r="FT21" s="12"/>
      <c r="FU21" s="12"/>
      <c r="FV21" s="12"/>
      <c r="FW21" s="12"/>
      <c r="FX21" s="12"/>
      <c r="FY21" s="12"/>
      <c r="FZ21" s="12"/>
      <c r="GA21" s="12"/>
      <c r="GB21" s="12"/>
      <c r="GC21" s="12"/>
      <c r="GD21" s="12"/>
      <c r="GE21" s="12"/>
    </row>
    <row r="22" spans="1:187" ht="21" customHeight="1">
      <c r="A22" s="45"/>
      <c r="B22" s="86" t="s">
        <v>2</v>
      </c>
      <c r="C22" s="10" t="s">
        <v>68</v>
      </c>
      <c r="D22" s="10" t="s">
        <v>71</v>
      </c>
      <c r="E22" s="35">
        <v>5288.2389999999996</v>
      </c>
      <c r="F22" s="35">
        <f>6956.221-E22</f>
        <v>1667.982</v>
      </c>
      <c r="G22" s="35">
        <v>642.14</v>
      </c>
      <c r="H22" s="35">
        <f>4467.264-G22</f>
        <v>3825.1240000000003</v>
      </c>
      <c r="I22" s="35">
        <f t="shared" si="0"/>
        <v>11423.485000000001</v>
      </c>
      <c r="J22" s="46">
        <v>11830.583000000001</v>
      </c>
      <c r="K22" s="49">
        <v>4616.09</v>
      </c>
      <c r="L22" s="49">
        <v>4616.09</v>
      </c>
      <c r="M22" s="49">
        <v>1614.51</v>
      </c>
      <c r="N22" s="49">
        <v>1674.2468699999999</v>
      </c>
      <c r="O22" s="56">
        <f t="shared" si="1"/>
        <v>3001.58</v>
      </c>
      <c r="P22" s="1">
        <f t="shared" si="2"/>
        <v>15873072.417619998</v>
      </c>
      <c r="Q22" s="1">
        <f t="shared" si="3"/>
        <v>5006581.4115599999</v>
      </c>
      <c r="R22" s="1">
        <f t="shared" si="4"/>
        <v>1889075.1474982002</v>
      </c>
      <c r="S22" s="1">
        <f t="shared" si="5"/>
        <v>11252914.760798121</v>
      </c>
      <c r="T22" s="1">
        <f t="shared" si="6"/>
        <v>34021643.737476319</v>
      </c>
      <c r="U22" s="11"/>
      <c r="V22" s="11"/>
      <c r="W22" s="11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12"/>
      <c r="AR22" s="12"/>
      <c r="AS22" s="12"/>
      <c r="AT22" s="12"/>
      <c r="AU22" s="12"/>
      <c r="AV22" s="12"/>
      <c r="AW22" s="12"/>
      <c r="AX22" s="12"/>
      <c r="AY22" s="12"/>
      <c r="AZ22" s="12"/>
      <c r="BA22" s="12"/>
      <c r="BB22" s="12"/>
      <c r="BC22" s="12"/>
      <c r="BD22" s="12"/>
      <c r="BE22" s="12"/>
      <c r="BF22" s="12"/>
      <c r="BG22" s="12"/>
      <c r="BH22" s="12"/>
      <c r="BI22" s="12"/>
      <c r="BJ22" s="12"/>
      <c r="BK22" s="12"/>
      <c r="BL22" s="12"/>
      <c r="BM22" s="12"/>
      <c r="BN22" s="12"/>
      <c r="BO22" s="12"/>
      <c r="BP22" s="12"/>
      <c r="BQ22" s="12"/>
      <c r="BR22" s="12"/>
      <c r="BS22" s="12"/>
      <c r="BT22" s="12"/>
      <c r="BU22" s="12"/>
      <c r="BV22" s="12"/>
      <c r="BW22" s="12"/>
      <c r="BX22" s="12"/>
      <c r="BY22" s="12"/>
      <c r="BZ22" s="12"/>
      <c r="CA22" s="12"/>
      <c r="CB22" s="12"/>
      <c r="CC22" s="12"/>
      <c r="CD22" s="12"/>
      <c r="CE22" s="12"/>
      <c r="CF22" s="12"/>
      <c r="CG22" s="12"/>
      <c r="CH22" s="12"/>
      <c r="CI22" s="12"/>
      <c r="CJ22" s="12"/>
      <c r="CK22" s="12"/>
      <c r="CL22" s="12"/>
      <c r="CM22" s="12"/>
      <c r="CN22" s="12"/>
      <c r="CO22" s="12"/>
      <c r="CP22" s="12"/>
      <c r="CQ22" s="12"/>
      <c r="CR22" s="12"/>
      <c r="CS22" s="12"/>
      <c r="CT22" s="12"/>
      <c r="CU22" s="12"/>
      <c r="CV22" s="12"/>
      <c r="CW22" s="12"/>
      <c r="CX22" s="12"/>
      <c r="CY22" s="12"/>
      <c r="CZ22" s="12"/>
      <c r="DA22" s="12"/>
      <c r="DB22" s="12"/>
      <c r="DC22" s="12"/>
      <c r="DD22" s="12"/>
      <c r="DE22" s="12"/>
      <c r="DF22" s="12"/>
      <c r="DG22" s="12"/>
      <c r="DH22" s="12"/>
      <c r="DI22" s="12"/>
      <c r="DJ22" s="12"/>
      <c r="DK22" s="12"/>
      <c r="DL22" s="12"/>
      <c r="DM22" s="12"/>
      <c r="DN22" s="12"/>
      <c r="DO22" s="12"/>
      <c r="DP22" s="12"/>
      <c r="DQ22" s="12"/>
      <c r="DR22" s="12"/>
      <c r="DS22" s="12"/>
      <c r="DT22" s="12"/>
      <c r="DU22" s="12"/>
      <c r="DV22" s="12"/>
      <c r="DW22" s="12"/>
      <c r="DX22" s="12"/>
      <c r="DY22" s="12"/>
      <c r="DZ22" s="12"/>
      <c r="EA22" s="12"/>
      <c r="EB22" s="12"/>
      <c r="EC22" s="12"/>
      <c r="ED22" s="12"/>
      <c r="EE22" s="12"/>
      <c r="EF22" s="12"/>
      <c r="EG22" s="12"/>
      <c r="EH22" s="12"/>
      <c r="EI22" s="12"/>
      <c r="EJ22" s="12"/>
      <c r="EK22" s="12"/>
      <c r="EL22" s="12"/>
      <c r="EM22" s="12"/>
      <c r="EN22" s="12"/>
      <c r="EO22" s="12"/>
      <c r="EP22" s="12"/>
      <c r="EQ22" s="12"/>
      <c r="ER22" s="12"/>
      <c r="ES22" s="12"/>
      <c r="ET22" s="12"/>
      <c r="EU22" s="12"/>
      <c r="EV22" s="12"/>
      <c r="EW22" s="12"/>
      <c r="EX22" s="12"/>
      <c r="EY22" s="12"/>
      <c r="EZ22" s="12"/>
      <c r="FA22" s="12"/>
      <c r="FB22" s="12"/>
      <c r="FC22" s="12"/>
      <c r="FD22" s="12"/>
      <c r="FE22" s="12"/>
      <c r="FF22" s="12"/>
      <c r="FG22" s="12"/>
      <c r="FH22" s="12"/>
      <c r="FI22" s="12"/>
      <c r="FJ22" s="12"/>
      <c r="FK22" s="12"/>
      <c r="FL22" s="12"/>
      <c r="FM22" s="12"/>
      <c r="FN22" s="12"/>
      <c r="FO22" s="12"/>
      <c r="FP22" s="12"/>
      <c r="FQ22" s="12"/>
      <c r="FR22" s="12"/>
      <c r="FS22" s="12"/>
      <c r="FT22" s="12"/>
      <c r="FU22" s="12"/>
      <c r="FV22" s="12"/>
      <c r="FW22" s="12"/>
      <c r="FX22" s="12"/>
      <c r="FY22" s="12"/>
      <c r="FZ22" s="12"/>
      <c r="GA22" s="12"/>
      <c r="GB22" s="12"/>
      <c r="GC22" s="12"/>
      <c r="GD22" s="12"/>
      <c r="GE22" s="12"/>
    </row>
    <row r="23" spans="1:187" ht="21" customHeight="1">
      <c r="A23" s="45"/>
      <c r="B23" s="86" t="s">
        <v>25</v>
      </c>
      <c r="C23" s="10" t="s">
        <v>72</v>
      </c>
      <c r="D23" s="10" t="s">
        <v>73</v>
      </c>
      <c r="E23" s="35">
        <v>574.46799999999996</v>
      </c>
      <c r="F23" s="35">
        <f>861.702-E23</f>
        <v>287.23400000000004</v>
      </c>
      <c r="G23" s="35">
        <v>101.232</v>
      </c>
      <c r="H23" s="35">
        <f>675.844-G23</f>
        <v>574.61200000000008</v>
      </c>
      <c r="I23" s="35">
        <f t="shared" si="0"/>
        <v>1537.546</v>
      </c>
      <c r="J23" s="56">
        <v>1525.2446666666667</v>
      </c>
      <c r="K23" s="49">
        <v>2783.62</v>
      </c>
      <c r="L23" s="49">
        <v>2894.9648000000002</v>
      </c>
      <c r="M23" s="49">
        <v>1586.19</v>
      </c>
      <c r="N23" s="49">
        <v>1644.8790299999998</v>
      </c>
      <c r="O23" s="56">
        <f t="shared" si="1"/>
        <v>1197.4299999999998</v>
      </c>
      <c r="P23" s="1">
        <f t="shared" si="2"/>
        <v>687885.21723999991</v>
      </c>
      <c r="Q23" s="1">
        <f t="shared" si="3"/>
        <v>343942.60862000001</v>
      </c>
      <c r="R23" s="1">
        <f t="shared" si="4"/>
        <v>126548.68266864003</v>
      </c>
      <c r="S23" s="1">
        <f t="shared" si="5"/>
        <v>718314.28447124036</v>
      </c>
      <c r="T23" s="1">
        <f t="shared" si="6"/>
        <v>1876690.7929998804</v>
      </c>
      <c r="U23" s="11"/>
      <c r="V23" s="11"/>
      <c r="W23" s="11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12"/>
      <c r="AR23" s="12"/>
      <c r="AS23" s="12"/>
      <c r="AT23" s="12"/>
      <c r="AU23" s="12"/>
      <c r="AV23" s="12"/>
      <c r="AW23" s="12"/>
      <c r="AX23" s="12"/>
      <c r="AY23" s="12"/>
      <c r="AZ23" s="12"/>
      <c r="BA23" s="12"/>
      <c r="BB23" s="12"/>
      <c r="BC23" s="12"/>
      <c r="BD23" s="12"/>
      <c r="BE23" s="12"/>
      <c r="BF23" s="12"/>
      <c r="BG23" s="12"/>
      <c r="BH23" s="12"/>
      <c r="BI23" s="12"/>
      <c r="BJ23" s="12"/>
      <c r="BK23" s="12"/>
      <c r="BL23" s="12"/>
      <c r="BM23" s="12"/>
      <c r="BN23" s="12"/>
      <c r="BO23" s="12"/>
      <c r="BP23" s="12"/>
      <c r="BQ23" s="12"/>
      <c r="BR23" s="12"/>
      <c r="BS23" s="12"/>
      <c r="BT23" s="12"/>
      <c r="BU23" s="12"/>
      <c r="BV23" s="12"/>
      <c r="BW23" s="12"/>
      <c r="BX23" s="12"/>
      <c r="BY23" s="12"/>
      <c r="BZ23" s="12"/>
      <c r="CA23" s="12"/>
      <c r="CB23" s="12"/>
      <c r="CC23" s="12"/>
      <c r="CD23" s="12"/>
      <c r="CE23" s="12"/>
      <c r="CF23" s="12"/>
      <c r="CG23" s="12"/>
      <c r="CH23" s="12"/>
      <c r="CI23" s="12"/>
      <c r="CJ23" s="12"/>
      <c r="CK23" s="12"/>
      <c r="CL23" s="12"/>
      <c r="CM23" s="12"/>
      <c r="CN23" s="12"/>
      <c r="CO23" s="12"/>
      <c r="CP23" s="12"/>
      <c r="CQ23" s="12"/>
      <c r="CR23" s="12"/>
      <c r="CS23" s="12"/>
      <c r="CT23" s="12"/>
      <c r="CU23" s="12"/>
      <c r="CV23" s="12"/>
      <c r="CW23" s="12"/>
      <c r="CX23" s="12"/>
      <c r="CY23" s="12"/>
      <c r="CZ23" s="12"/>
      <c r="DA23" s="12"/>
      <c r="DB23" s="12"/>
      <c r="DC23" s="12"/>
      <c r="DD23" s="12"/>
      <c r="DE23" s="12"/>
      <c r="DF23" s="12"/>
      <c r="DG23" s="12"/>
      <c r="DH23" s="12"/>
      <c r="DI23" s="12"/>
      <c r="DJ23" s="12"/>
      <c r="DK23" s="12"/>
      <c r="DL23" s="12"/>
      <c r="DM23" s="12"/>
      <c r="DN23" s="12"/>
      <c r="DO23" s="12"/>
      <c r="DP23" s="12"/>
      <c r="DQ23" s="12"/>
      <c r="DR23" s="12"/>
      <c r="DS23" s="12"/>
      <c r="DT23" s="12"/>
      <c r="DU23" s="12"/>
      <c r="DV23" s="12"/>
      <c r="DW23" s="12"/>
      <c r="DX23" s="12"/>
      <c r="DY23" s="12"/>
      <c r="DZ23" s="12"/>
      <c r="EA23" s="12"/>
      <c r="EB23" s="12"/>
      <c r="EC23" s="12"/>
      <c r="ED23" s="12"/>
      <c r="EE23" s="12"/>
      <c r="EF23" s="12"/>
      <c r="EG23" s="12"/>
      <c r="EH23" s="12"/>
      <c r="EI23" s="12"/>
      <c r="EJ23" s="12"/>
      <c r="EK23" s="12"/>
      <c r="EL23" s="12"/>
      <c r="EM23" s="12"/>
      <c r="EN23" s="12"/>
      <c r="EO23" s="12"/>
      <c r="EP23" s="12"/>
      <c r="EQ23" s="12"/>
      <c r="ER23" s="12"/>
      <c r="ES23" s="12"/>
      <c r="ET23" s="12"/>
      <c r="EU23" s="12"/>
      <c r="EV23" s="12"/>
      <c r="EW23" s="12"/>
      <c r="EX23" s="12"/>
      <c r="EY23" s="12"/>
      <c r="EZ23" s="12"/>
      <c r="FA23" s="12"/>
      <c r="FB23" s="12"/>
      <c r="FC23" s="12"/>
      <c r="FD23" s="12"/>
      <c r="FE23" s="12"/>
      <c r="FF23" s="12"/>
      <c r="FG23" s="12"/>
      <c r="FH23" s="12"/>
      <c r="FI23" s="12"/>
      <c r="FJ23" s="12"/>
      <c r="FK23" s="12"/>
      <c r="FL23" s="12"/>
      <c r="FM23" s="12"/>
      <c r="FN23" s="12"/>
      <c r="FO23" s="12"/>
      <c r="FP23" s="12"/>
      <c r="FQ23" s="12"/>
      <c r="FR23" s="12"/>
      <c r="FS23" s="12"/>
      <c r="FT23" s="12"/>
      <c r="FU23" s="12"/>
      <c r="FV23" s="12"/>
      <c r="FW23" s="12"/>
      <c r="FX23" s="12"/>
      <c r="FY23" s="12"/>
      <c r="FZ23" s="12"/>
      <c r="GA23" s="12"/>
      <c r="GB23" s="12"/>
      <c r="GC23" s="12"/>
      <c r="GD23" s="12"/>
      <c r="GE23" s="12"/>
    </row>
    <row r="24" spans="1:187" ht="21" customHeight="1">
      <c r="A24" s="45"/>
      <c r="B24" s="86" t="s">
        <v>6</v>
      </c>
      <c r="C24" s="10" t="s">
        <v>77</v>
      </c>
      <c r="D24" s="10" t="s">
        <v>78</v>
      </c>
      <c r="E24" s="35">
        <v>296.10000000000002</v>
      </c>
      <c r="F24" s="35">
        <f>444.15-E24</f>
        <v>148.04999999999995</v>
      </c>
      <c r="G24" s="35">
        <v>49.35</v>
      </c>
      <c r="H24" s="35">
        <f>345.45-G24</f>
        <v>296.09999999999997</v>
      </c>
      <c r="I24" s="35">
        <f t="shared" si="0"/>
        <v>789.59999999999991</v>
      </c>
      <c r="J24" s="11">
        <v>789.33</v>
      </c>
      <c r="K24" s="65">
        <v>2744.86</v>
      </c>
      <c r="L24" s="65">
        <v>2854.6544000000004</v>
      </c>
      <c r="M24" s="65">
        <v>1813.94</v>
      </c>
      <c r="N24" s="65">
        <v>1881.0557799999999</v>
      </c>
      <c r="O24" s="56">
        <f t="shared" si="1"/>
        <v>930.92000000000007</v>
      </c>
      <c r="P24" s="1">
        <f t="shared" si="2"/>
        <v>275645.41200000007</v>
      </c>
      <c r="Q24" s="1">
        <f t="shared" si="3"/>
        <v>137822.70599999998</v>
      </c>
      <c r="R24" s="1">
        <f t="shared" si="4"/>
        <v>48047.09189700002</v>
      </c>
      <c r="S24" s="1">
        <f t="shared" si="5"/>
        <v>288282.55138200009</v>
      </c>
      <c r="T24" s="1">
        <f t="shared" si="6"/>
        <v>749797.7612790002</v>
      </c>
      <c r="U24" s="11"/>
      <c r="V24" s="11"/>
      <c r="W24" s="11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12"/>
      <c r="AR24" s="12"/>
      <c r="AS24" s="12"/>
      <c r="AT24" s="12"/>
      <c r="AU24" s="12"/>
      <c r="AV24" s="12"/>
      <c r="AW24" s="12"/>
      <c r="AX24" s="12"/>
      <c r="AY24" s="12"/>
      <c r="AZ24" s="12"/>
      <c r="BA24" s="12"/>
      <c r="BB24" s="12"/>
      <c r="BC24" s="12"/>
      <c r="BD24" s="12"/>
      <c r="BE24" s="12"/>
      <c r="BF24" s="12"/>
      <c r="BG24" s="12"/>
      <c r="BH24" s="12"/>
      <c r="BI24" s="12"/>
      <c r="BJ24" s="12"/>
      <c r="BK24" s="12"/>
      <c r="BL24" s="12"/>
      <c r="BM24" s="12"/>
      <c r="BN24" s="12"/>
      <c r="BO24" s="12"/>
      <c r="BP24" s="12"/>
      <c r="BQ24" s="12"/>
      <c r="BR24" s="12"/>
      <c r="BS24" s="12"/>
      <c r="BT24" s="12"/>
      <c r="BU24" s="12"/>
      <c r="BV24" s="12"/>
      <c r="BW24" s="12"/>
      <c r="BX24" s="12"/>
      <c r="BY24" s="12"/>
      <c r="BZ24" s="12"/>
      <c r="CA24" s="12"/>
      <c r="CB24" s="12"/>
      <c r="CC24" s="12"/>
      <c r="CD24" s="12"/>
      <c r="CE24" s="12"/>
      <c r="CF24" s="12"/>
      <c r="CG24" s="12"/>
      <c r="CH24" s="12"/>
      <c r="CI24" s="12"/>
      <c r="CJ24" s="12"/>
      <c r="CK24" s="12"/>
      <c r="CL24" s="12"/>
      <c r="CM24" s="12"/>
      <c r="CN24" s="12"/>
      <c r="CO24" s="12"/>
      <c r="CP24" s="12"/>
      <c r="CQ24" s="12"/>
      <c r="CR24" s="12"/>
      <c r="CS24" s="12"/>
      <c r="CT24" s="12"/>
      <c r="CU24" s="12"/>
      <c r="CV24" s="12"/>
      <c r="CW24" s="12"/>
      <c r="CX24" s="12"/>
      <c r="CY24" s="12"/>
      <c r="CZ24" s="12"/>
      <c r="DA24" s="12"/>
      <c r="DB24" s="12"/>
      <c r="DC24" s="12"/>
      <c r="DD24" s="12"/>
      <c r="DE24" s="12"/>
      <c r="DF24" s="12"/>
      <c r="DG24" s="12"/>
      <c r="DH24" s="12"/>
      <c r="DI24" s="12"/>
      <c r="DJ24" s="12"/>
      <c r="DK24" s="12"/>
      <c r="DL24" s="12"/>
      <c r="DM24" s="12"/>
      <c r="DN24" s="12"/>
      <c r="DO24" s="12"/>
      <c r="DP24" s="12"/>
      <c r="DQ24" s="12"/>
      <c r="DR24" s="12"/>
      <c r="DS24" s="12"/>
      <c r="DT24" s="12"/>
      <c r="DU24" s="12"/>
      <c r="DV24" s="12"/>
      <c r="DW24" s="12"/>
      <c r="DX24" s="12"/>
      <c r="DY24" s="12"/>
      <c r="DZ24" s="12"/>
      <c r="EA24" s="12"/>
      <c r="EB24" s="12"/>
      <c r="EC24" s="12"/>
      <c r="ED24" s="12"/>
      <c r="EE24" s="12"/>
      <c r="EF24" s="12"/>
      <c r="EG24" s="12"/>
      <c r="EH24" s="12"/>
      <c r="EI24" s="12"/>
      <c r="EJ24" s="12"/>
      <c r="EK24" s="12"/>
      <c r="EL24" s="12"/>
      <c r="EM24" s="12"/>
      <c r="EN24" s="12"/>
      <c r="EO24" s="12"/>
      <c r="EP24" s="12"/>
      <c r="EQ24" s="12"/>
      <c r="ER24" s="12"/>
      <c r="ES24" s="12"/>
      <c r="ET24" s="12"/>
      <c r="EU24" s="12"/>
      <c r="EV24" s="12"/>
      <c r="EW24" s="12"/>
      <c r="EX24" s="12"/>
      <c r="EY24" s="12"/>
      <c r="EZ24" s="12"/>
      <c r="FA24" s="12"/>
      <c r="FB24" s="12"/>
      <c r="FC24" s="12"/>
      <c r="FD24" s="12"/>
      <c r="FE24" s="12"/>
      <c r="FF24" s="12"/>
      <c r="FG24" s="12"/>
      <c r="FH24" s="12"/>
      <c r="FI24" s="12"/>
      <c r="FJ24" s="12"/>
      <c r="FK24" s="12"/>
      <c r="FL24" s="12"/>
      <c r="FM24" s="12"/>
      <c r="FN24" s="12"/>
      <c r="FO24" s="12"/>
      <c r="FP24" s="12"/>
      <c r="FQ24" s="12"/>
      <c r="FR24" s="12"/>
      <c r="FS24" s="12"/>
      <c r="FT24" s="12"/>
      <c r="FU24" s="12"/>
      <c r="FV24" s="12"/>
      <c r="FW24" s="12"/>
      <c r="FX24" s="12"/>
      <c r="FY24" s="12"/>
      <c r="FZ24" s="12"/>
      <c r="GA24" s="12"/>
      <c r="GB24" s="12"/>
      <c r="GC24" s="12"/>
      <c r="GD24" s="12"/>
      <c r="GE24" s="12"/>
    </row>
    <row r="25" spans="1:187" ht="21" customHeight="1">
      <c r="A25" s="45"/>
      <c r="B25" s="101" t="s">
        <v>81</v>
      </c>
      <c r="C25" s="101"/>
      <c r="D25" s="101"/>
      <c r="E25" s="34"/>
      <c r="F25" s="34"/>
      <c r="G25" s="34"/>
      <c r="H25" s="34"/>
      <c r="I25" s="35">
        <f t="shared" si="0"/>
        <v>0</v>
      </c>
      <c r="J25" s="11"/>
      <c r="K25" s="64"/>
      <c r="L25" s="64"/>
      <c r="M25" s="64"/>
      <c r="N25" s="64"/>
      <c r="O25" s="56">
        <f t="shared" si="1"/>
        <v>0</v>
      </c>
      <c r="P25" s="1">
        <f t="shared" si="2"/>
        <v>0</v>
      </c>
      <c r="Q25" s="1">
        <f t="shared" si="3"/>
        <v>0</v>
      </c>
      <c r="R25" s="1">
        <f t="shared" si="4"/>
        <v>0</v>
      </c>
      <c r="S25" s="1">
        <f t="shared" si="5"/>
        <v>0</v>
      </c>
      <c r="T25" s="1">
        <f t="shared" si="6"/>
        <v>0</v>
      </c>
      <c r="U25" s="45"/>
      <c r="V25" s="45"/>
      <c r="W25" s="45"/>
    </row>
    <row r="26" spans="1:187" ht="21" customHeight="1">
      <c r="A26" s="45"/>
      <c r="B26" s="86" t="s">
        <v>433</v>
      </c>
      <c r="C26" s="10" t="s">
        <v>432</v>
      </c>
      <c r="D26" s="10" t="s">
        <v>83</v>
      </c>
      <c r="E26" s="35">
        <v>48.66</v>
      </c>
      <c r="F26" s="35">
        <f>79.47-E26</f>
        <v>30.810000000000002</v>
      </c>
      <c r="G26" s="35">
        <v>8.0299999999999994</v>
      </c>
      <c r="H26" s="35">
        <f>56.69-G26</f>
        <v>48.66</v>
      </c>
      <c r="I26" s="35">
        <f t="shared" si="0"/>
        <v>136.16</v>
      </c>
      <c r="J26" s="56">
        <v>139.4</v>
      </c>
      <c r="K26" s="49">
        <v>3943.62</v>
      </c>
      <c r="L26" s="49">
        <v>4228.66</v>
      </c>
      <c r="M26" s="49">
        <v>1519.73</v>
      </c>
      <c r="N26" s="49">
        <v>1580.52</v>
      </c>
      <c r="O26" s="56">
        <f t="shared" si="1"/>
        <v>2423.89</v>
      </c>
      <c r="P26" s="1">
        <f t="shared" si="2"/>
        <v>117946.48739999998</v>
      </c>
      <c r="Q26" s="1">
        <f t="shared" si="3"/>
        <v>74680.050900000002</v>
      </c>
      <c r="R26" s="1">
        <f t="shared" si="4"/>
        <v>21264.564199999997</v>
      </c>
      <c r="S26" s="1">
        <f t="shared" si="5"/>
        <v>128858.49239999999</v>
      </c>
      <c r="T26" s="1">
        <f t="shared" si="6"/>
        <v>342749.59489999997</v>
      </c>
      <c r="U26" s="11"/>
      <c r="V26" s="11"/>
      <c r="W26" s="11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  <c r="AZ26" s="12"/>
      <c r="BA26" s="12"/>
      <c r="BB26" s="12"/>
      <c r="BC26" s="12"/>
      <c r="BD26" s="12"/>
      <c r="BE26" s="12"/>
      <c r="BF26" s="12"/>
      <c r="BG26" s="12"/>
      <c r="BH26" s="12"/>
      <c r="BI26" s="12"/>
      <c r="BJ26" s="12"/>
      <c r="BK26" s="12"/>
      <c r="BL26" s="12"/>
      <c r="BM26" s="12"/>
      <c r="BN26" s="12"/>
      <c r="BO26" s="12"/>
      <c r="BP26" s="12"/>
      <c r="BQ26" s="12"/>
      <c r="BR26" s="12"/>
      <c r="BS26" s="12"/>
      <c r="BT26" s="12"/>
      <c r="BU26" s="12"/>
      <c r="BV26" s="12"/>
      <c r="BW26" s="12"/>
      <c r="BX26" s="12"/>
      <c r="BY26" s="12"/>
      <c r="BZ26" s="12"/>
      <c r="CA26" s="12"/>
      <c r="CB26" s="12"/>
      <c r="CC26" s="12"/>
      <c r="CD26" s="12"/>
      <c r="CE26" s="12"/>
      <c r="CF26" s="12"/>
      <c r="CG26" s="12"/>
      <c r="CH26" s="12"/>
      <c r="CI26" s="12"/>
      <c r="CJ26" s="12"/>
      <c r="CK26" s="12"/>
      <c r="CL26" s="12"/>
      <c r="CM26" s="12"/>
      <c r="CN26" s="12"/>
      <c r="CO26" s="12"/>
      <c r="CP26" s="12"/>
      <c r="CQ26" s="12"/>
      <c r="CR26" s="12"/>
      <c r="CS26" s="12"/>
      <c r="CT26" s="12"/>
      <c r="CU26" s="12"/>
      <c r="CV26" s="12"/>
      <c r="CW26" s="12"/>
      <c r="CX26" s="12"/>
      <c r="CY26" s="12"/>
      <c r="CZ26" s="12"/>
      <c r="DA26" s="12"/>
      <c r="DB26" s="12"/>
      <c r="DC26" s="12"/>
      <c r="DD26" s="12"/>
      <c r="DE26" s="12"/>
      <c r="DF26" s="12"/>
      <c r="DG26" s="12"/>
      <c r="DH26" s="12"/>
      <c r="DI26" s="12"/>
      <c r="DJ26" s="12"/>
      <c r="DK26" s="12"/>
      <c r="DL26" s="12"/>
      <c r="DM26" s="12"/>
      <c r="DN26" s="12"/>
      <c r="DO26" s="12"/>
      <c r="DP26" s="12"/>
      <c r="DQ26" s="12"/>
      <c r="DR26" s="12"/>
      <c r="DS26" s="12"/>
      <c r="DT26" s="12"/>
      <c r="DU26" s="12"/>
      <c r="DV26" s="12"/>
      <c r="DW26" s="12"/>
      <c r="DX26" s="12"/>
      <c r="DY26" s="12"/>
      <c r="DZ26" s="12"/>
      <c r="EA26" s="12"/>
      <c r="EB26" s="12"/>
      <c r="EC26" s="12"/>
      <c r="ED26" s="12"/>
      <c r="EE26" s="12"/>
      <c r="EF26" s="12"/>
      <c r="EG26" s="12"/>
      <c r="EH26" s="12"/>
      <c r="EI26" s="12"/>
      <c r="EJ26" s="12"/>
      <c r="EK26" s="12"/>
      <c r="EL26" s="12"/>
      <c r="EM26" s="12"/>
      <c r="EN26" s="12"/>
      <c r="EO26" s="12"/>
      <c r="EP26" s="12"/>
      <c r="EQ26" s="12"/>
      <c r="ER26" s="12"/>
      <c r="ES26" s="12"/>
      <c r="ET26" s="12"/>
      <c r="EU26" s="12"/>
      <c r="EV26" s="12"/>
      <c r="EW26" s="12"/>
      <c r="EX26" s="12"/>
      <c r="EY26" s="12"/>
      <c r="EZ26" s="12"/>
      <c r="FA26" s="12"/>
      <c r="FB26" s="12"/>
      <c r="FC26" s="12"/>
      <c r="FD26" s="12"/>
      <c r="FE26" s="12"/>
      <c r="FF26" s="12"/>
      <c r="FG26" s="12"/>
      <c r="FH26" s="12"/>
      <c r="FI26" s="12"/>
      <c r="FJ26" s="12"/>
      <c r="FK26" s="12"/>
      <c r="FL26" s="12"/>
      <c r="FM26" s="12"/>
      <c r="FN26" s="12"/>
      <c r="FO26" s="12"/>
      <c r="FP26" s="12"/>
      <c r="FQ26" s="12"/>
      <c r="FR26" s="12"/>
      <c r="FS26" s="12"/>
      <c r="FT26" s="12"/>
      <c r="FU26" s="12"/>
      <c r="FV26" s="12"/>
      <c r="FW26" s="12"/>
      <c r="FX26" s="12"/>
      <c r="FY26" s="12"/>
      <c r="FZ26" s="12"/>
      <c r="GA26" s="12"/>
      <c r="GB26" s="12"/>
      <c r="GC26" s="12"/>
      <c r="GD26" s="12"/>
      <c r="GE26" s="12"/>
    </row>
    <row r="27" spans="1:187">
      <c r="A27" s="45"/>
      <c r="B27" s="86" t="s">
        <v>289</v>
      </c>
      <c r="C27" s="10" t="s">
        <v>60</v>
      </c>
      <c r="D27" s="10" t="s">
        <v>82</v>
      </c>
      <c r="E27" s="35">
        <v>107.28</v>
      </c>
      <c r="F27" s="35">
        <f>178.8-E27</f>
        <v>71.52000000000001</v>
      </c>
      <c r="G27" s="35">
        <v>35.76</v>
      </c>
      <c r="H27" s="35">
        <f>143.04-G27</f>
        <v>107.28</v>
      </c>
      <c r="I27" s="35">
        <f t="shared" si="0"/>
        <v>321.84000000000003</v>
      </c>
      <c r="J27" s="48">
        <v>288.51</v>
      </c>
      <c r="K27" s="49">
        <v>4409.84</v>
      </c>
      <c r="L27" s="49">
        <v>4409.84</v>
      </c>
      <c r="M27" s="49">
        <v>1548.95</v>
      </c>
      <c r="N27" s="49">
        <v>1606.26</v>
      </c>
      <c r="O27" s="56">
        <f t="shared" si="1"/>
        <v>2860.8900000000003</v>
      </c>
      <c r="P27" s="1">
        <f t="shared" si="2"/>
        <v>306916.27920000005</v>
      </c>
      <c r="Q27" s="1">
        <f t="shared" si="3"/>
        <v>204610.85280000005</v>
      </c>
      <c r="R27" s="1">
        <f t="shared" si="4"/>
        <v>100256.0208</v>
      </c>
      <c r="S27" s="1">
        <f t="shared" si="5"/>
        <v>300768.0624</v>
      </c>
      <c r="T27" s="1">
        <f t="shared" si="6"/>
        <v>912551.21519999998</v>
      </c>
      <c r="U27" s="11"/>
      <c r="V27" s="11"/>
      <c r="W27" s="11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2"/>
      <c r="BF27" s="12"/>
      <c r="BG27" s="12"/>
      <c r="BH27" s="12"/>
      <c r="BI27" s="12"/>
      <c r="BJ27" s="12"/>
      <c r="BK27" s="12"/>
      <c r="BL27" s="12"/>
      <c r="BM27" s="12"/>
      <c r="BN27" s="12"/>
      <c r="BO27" s="12"/>
      <c r="BP27" s="12"/>
      <c r="BQ27" s="12"/>
      <c r="BR27" s="12"/>
      <c r="BS27" s="12"/>
      <c r="BT27" s="12"/>
      <c r="BU27" s="12"/>
      <c r="BV27" s="12"/>
      <c r="BW27" s="12"/>
      <c r="BX27" s="12"/>
      <c r="BY27" s="12"/>
      <c r="BZ27" s="12"/>
      <c r="CA27" s="12"/>
      <c r="CB27" s="12"/>
      <c r="CC27" s="12"/>
      <c r="CD27" s="12"/>
      <c r="CE27" s="12"/>
      <c r="CF27" s="12"/>
      <c r="CG27" s="12"/>
      <c r="CH27" s="12"/>
      <c r="CI27" s="12"/>
      <c r="CJ27" s="12"/>
      <c r="CK27" s="12"/>
      <c r="CL27" s="12"/>
      <c r="CM27" s="12"/>
      <c r="CN27" s="12"/>
      <c r="CO27" s="12"/>
      <c r="CP27" s="12"/>
      <c r="CQ27" s="12"/>
      <c r="CR27" s="12"/>
      <c r="CS27" s="12"/>
      <c r="CT27" s="12"/>
      <c r="CU27" s="12"/>
      <c r="CV27" s="12"/>
      <c r="CW27" s="12"/>
      <c r="CX27" s="12"/>
      <c r="CY27" s="12"/>
      <c r="CZ27" s="12"/>
      <c r="DA27" s="12"/>
      <c r="DB27" s="12"/>
      <c r="DC27" s="12"/>
      <c r="DD27" s="12"/>
      <c r="DE27" s="12"/>
      <c r="DF27" s="12"/>
      <c r="DG27" s="12"/>
      <c r="DH27" s="12"/>
      <c r="DI27" s="12"/>
      <c r="DJ27" s="12"/>
      <c r="DK27" s="12"/>
      <c r="DL27" s="12"/>
      <c r="DM27" s="12"/>
      <c r="DN27" s="12"/>
      <c r="DO27" s="12"/>
      <c r="DP27" s="12"/>
      <c r="DQ27" s="12"/>
      <c r="DR27" s="12"/>
      <c r="DS27" s="12"/>
      <c r="DT27" s="12"/>
      <c r="DU27" s="12"/>
      <c r="DV27" s="12"/>
      <c r="DW27" s="12"/>
      <c r="DX27" s="12"/>
      <c r="DY27" s="12"/>
      <c r="DZ27" s="12"/>
      <c r="EA27" s="12"/>
      <c r="EB27" s="12"/>
      <c r="EC27" s="12"/>
      <c r="ED27" s="12"/>
      <c r="EE27" s="12"/>
      <c r="EF27" s="12"/>
      <c r="EG27" s="12"/>
      <c r="EH27" s="12"/>
      <c r="EI27" s="12"/>
      <c r="EJ27" s="12"/>
      <c r="EK27" s="12"/>
      <c r="EL27" s="12"/>
      <c r="EM27" s="12"/>
      <c r="EN27" s="12"/>
      <c r="EO27" s="12"/>
      <c r="EP27" s="12"/>
      <c r="EQ27" s="12"/>
      <c r="ER27" s="12"/>
      <c r="ES27" s="12"/>
      <c r="ET27" s="12"/>
      <c r="EU27" s="12"/>
      <c r="EV27" s="12"/>
      <c r="EW27" s="12"/>
      <c r="EX27" s="12"/>
      <c r="EY27" s="12"/>
      <c r="EZ27" s="12"/>
      <c r="FA27" s="12"/>
      <c r="FB27" s="12"/>
      <c r="FC27" s="12"/>
      <c r="FD27" s="12"/>
      <c r="FE27" s="12"/>
      <c r="FF27" s="12"/>
      <c r="FG27" s="12"/>
      <c r="FH27" s="12"/>
      <c r="FI27" s="12"/>
      <c r="FJ27" s="12"/>
      <c r="FK27" s="12"/>
      <c r="FL27" s="12"/>
      <c r="FM27" s="12"/>
      <c r="FN27" s="12"/>
      <c r="FO27" s="12"/>
      <c r="FP27" s="12"/>
      <c r="FQ27" s="12"/>
      <c r="FR27" s="12"/>
      <c r="FS27" s="12"/>
      <c r="FT27" s="12"/>
      <c r="FU27" s="12"/>
      <c r="FV27" s="12"/>
      <c r="FW27" s="12"/>
      <c r="FX27" s="12"/>
      <c r="FY27" s="12"/>
      <c r="FZ27" s="12"/>
      <c r="GA27" s="12"/>
      <c r="GB27" s="12"/>
      <c r="GC27" s="12"/>
      <c r="GD27" s="12"/>
      <c r="GE27" s="12"/>
    </row>
    <row r="28" spans="1:187" ht="21" customHeight="1">
      <c r="A28" s="45"/>
      <c r="B28" s="86" t="s">
        <v>289</v>
      </c>
      <c r="C28" s="10" t="s">
        <v>60</v>
      </c>
      <c r="D28" s="10" t="s">
        <v>83</v>
      </c>
      <c r="E28" s="35">
        <v>423.51900000000001</v>
      </c>
      <c r="F28" s="35">
        <f>705.865-E28</f>
        <v>282.346</v>
      </c>
      <c r="G28" s="35">
        <v>141.173</v>
      </c>
      <c r="H28" s="35">
        <f>564.692-G28</f>
        <v>423.51900000000001</v>
      </c>
      <c r="I28" s="35">
        <f t="shared" si="0"/>
        <v>1270.557</v>
      </c>
      <c r="J28" s="47">
        <v>1258.2</v>
      </c>
      <c r="K28" s="49">
        <v>4144.25</v>
      </c>
      <c r="L28" s="49">
        <v>4144.25</v>
      </c>
      <c r="M28" s="49">
        <v>1548.95</v>
      </c>
      <c r="N28" s="49">
        <v>1606.26</v>
      </c>
      <c r="O28" s="56">
        <f t="shared" si="1"/>
        <v>2595.3000000000002</v>
      </c>
      <c r="P28" s="1">
        <f t="shared" si="2"/>
        <v>1099158.8607000001</v>
      </c>
      <c r="Q28" s="1">
        <f t="shared" si="3"/>
        <v>732772.57380000001</v>
      </c>
      <c r="R28" s="1">
        <f t="shared" si="4"/>
        <v>358295.66226999997</v>
      </c>
      <c r="S28" s="1">
        <f t="shared" si="5"/>
        <v>1074886.9868099999</v>
      </c>
      <c r="T28" s="1">
        <f t="shared" si="6"/>
        <v>3265114.0835799994</v>
      </c>
      <c r="U28" s="11"/>
      <c r="V28" s="11"/>
      <c r="W28" s="11"/>
      <c r="X28" s="12"/>
      <c r="Y28" s="12"/>
      <c r="Z28" s="12"/>
      <c r="AA28" s="12"/>
      <c r="AB28" s="12"/>
      <c r="AC28" s="12"/>
      <c r="AD28" s="12"/>
      <c r="AE28" s="12"/>
      <c r="AF28" s="12"/>
      <c r="AG28" s="12"/>
      <c r="AH28" s="12"/>
      <c r="AI28" s="12"/>
      <c r="AJ28" s="12"/>
      <c r="AK28" s="12"/>
      <c r="AL28" s="12"/>
      <c r="AM28" s="12"/>
      <c r="AN28" s="12"/>
      <c r="AO28" s="12"/>
      <c r="AP28" s="12"/>
      <c r="AQ28" s="12"/>
      <c r="AR28" s="12"/>
      <c r="AS28" s="12"/>
      <c r="AT28" s="12"/>
      <c r="AU28" s="12"/>
      <c r="AV28" s="12"/>
      <c r="AW28" s="12"/>
      <c r="AX28" s="12"/>
      <c r="AY28" s="12"/>
      <c r="AZ28" s="12"/>
      <c r="BA28" s="12"/>
      <c r="BB28" s="12"/>
      <c r="BC28" s="12"/>
      <c r="BD28" s="12"/>
      <c r="BE28" s="12"/>
      <c r="BF28" s="12"/>
      <c r="BG28" s="12"/>
      <c r="BH28" s="12"/>
      <c r="BI28" s="12"/>
      <c r="BJ28" s="12"/>
      <c r="BK28" s="12"/>
      <c r="BL28" s="12"/>
      <c r="BM28" s="12"/>
      <c r="BN28" s="12"/>
      <c r="BO28" s="12"/>
      <c r="BP28" s="12"/>
      <c r="BQ28" s="12"/>
      <c r="BR28" s="12"/>
      <c r="BS28" s="12"/>
      <c r="BT28" s="12"/>
      <c r="BU28" s="12"/>
      <c r="BV28" s="12"/>
      <c r="BW28" s="12"/>
      <c r="BX28" s="12"/>
      <c r="BY28" s="12"/>
      <c r="BZ28" s="12"/>
      <c r="CA28" s="12"/>
      <c r="CB28" s="12"/>
      <c r="CC28" s="12"/>
      <c r="CD28" s="12"/>
      <c r="CE28" s="12"/>
      <c r="CF28" s="12"/>
      <c r="CG28" s="12"/>
      <c r="CH28" s="12"/>
      <c r="CI28" s="12"/>
      <c r="CJ28" s="12"/>
      <c r="CK28" s="12"/>
      <c r="CL28" s="12"/>
      <c r="CM28" s="12"/>
      <c r="CN28" s="12"/>
      <c r="CO28" s="12"/>
      <c r="CP28" s="12"/>
      <c r="CQ28" s="12"/>
      <c r="CR28" s="12"/>
      <c r="CS28" s="12"/>
      <c r="CT28" s="12"/>
      <c r="CU28" s="12"/>
      <c r="CV28" s="12"/>
      <c r="CW28" s="12"/>
      <c r="CX28" s="12"/>
      <c r="CY28" s="12"/>
      <c r="CZ28" s="12"/>
      <c r="DA28" s="12"/>
      <c r="DB28" s="12"/>
      <c r="DC28" s="12"/>
      <c r="DD28" s="12"/>
      <c r="DE28" s="12"/>
      <c r="DF28" s="12"/>
      <c r="DG28" s="12"/>
      <c r="DH28" s="12"/>
      <c r="DI28" s="12"/>
      <c r="DJ28" s="12"/>
      <c r="DK28" s="12"/>
      <c r="DL28" s="12"/>
      <c r="DM28" s="12"/>
      <c r="DN28" s="12"/>
      <c r="DO28" s="12"/>
      <c r="DP28" s="12"/>
      <c r="DQ28" s="12"/>
      <c r="DR28" s="12"/>
      <c r="DS28" s="12"/>
      <c r="DT28" s="12"/>
      <c r="DU28" s="12"/>
      <c r="DV28" s="12"/>
      <c r="DW28" s="12"/>
      <c r="DX28" s="12"/>
      <c r="DY28" s="12"/>
      <c r="DZ28" s="12"/>
      <c r="EA28" s="12"/>
      <c r="EB28" s="12"/>
      <c r="EC28" s="12"/>
      <c r="ED28" s="12"/>
      <c r="EE28" s="12"/>
      <c r="EF28" s="12"/>
      <c r="EG28" s="12"/>
      <c r="EH28" s="12"/>
      <c r="EI28" s="12"/>
      <c r="EJ28" s="12"/>
      <c r="EK28" s="12"/>
      <c r="EL28" s="12"/>
      <c r="EM28" s="12"/>
      <c r="EN28" s="12"/>
      <c r="EO28" s="12"/>
      <c r="EP28" s="12"/>
      <c r="EQ28" s="12"/>
      <c r="ER28" s="12"/>
      <c r="ES28" s="12"/>
      <c r="ET28" s="12"/>
      <c r="EU28" s="12"/>
      <c r="EV28" s="12"/>
      <c r="EW28" s="12"/>
      <c r="EX28" s="12"/>
      <c r="EY28" s="12"/>
      <c r="EZ28" s="12"/>
      <c r="FA28" s="12"/>
      <c r="FB28" s="12"/>
      <c r="FC28" s="12"/>
      <c r="FD28" s="12"/>
      <c r="FE28" s="12"/>
      <c r="FF28" s="12"/>
      <c r="FG28" s="12"/>
      <c r="FH28" s="12"/>
      <c r="FI28" s="12"/>
      <c r="FJ28" s="12"/>
      <c r="FK28" s="12"/>
      <c r="FL28" s="12"/>
      <c r="FM28" s="12"/>
      <c r="FN28" s="12"/>
      <c r="FO28" s="12"/>
      <c r="FP28" s="12"/>
      <c r="FQ28" s="12"/>
      <c r="FR28" s="12"/>
      <c r="FS28" s="12"/>
      <c r="FT28" s="12"/>
      <c r="FU28" s="12"/>
      <c r="FV28" s="12"/>
      <c r="FW28" s="12"/>
      <c r="FX28" s="12"/>
      <c r="FY28" s="12"/>
      <c r="FZ28" s="12"/>
      <c r="GA28" s="12"/>
      <c r="GB28" s="12"/>
      <c r="GC28" s="12"/>
      <c r="GD28" s="12"/>
      <c r="GE28" s="12"/>
    </row>
    <row r="29" spans="1:187" ht="21" customHeight="1">
      <c r="A29" s="45"/>
      <c r="B29" s="86" t="s">
        <v>289</v>
      </c>
      <c r="C29" s="10" t="s">
        <v>60</v>
      </c>
      <c r="D29" s="10" t="s">
        <v>89</v>
      </c>
      <c r="E29" s="35">
        <v>525.59699999999998</v>
      </c>
      <c r="F29" s="35">
        <f>875.995-E29</f>
        <v>350.39800000000002</v>
      </c>
      <c r="G29" s="35">
        <v>175.19900000000001</v>
      </c>
      <c r="H29" s="35">
        <f>700.796-G29</f>
        <v>525.59699999999998</v>
      </c>
      <c r="I29" s="35">
        <f t="shared" si="0"/>
        <v>1576.7909999999999</v>
      </c>
      <c r="J29" s="56">
        <v>1613</v>
      </c>
      <c r="K29" s="49">
        <v>4409.84</v>
      </c>
      <c r="L29" s="49">
        <v>4409.84</v>
      </c>
      <c r="M29" s="49">
        <v>1717.38</v>
      </c>
      <c r="N29" s="49">
        <v>1780.92</v>
      </c>
      <c r="O29" s="56">
        <f t="shared" si="1"/>
        <v>2692.46</v>
      </c>
      <c r="P29" s="1">
        <f t="shared" si="2"/>
        <v>1415148.8986199999</v>
      </c>
      <c r="Q29" s="1">
        <f t="shared" si="3"/>
        <v>943432.59908000007</v>
      </c>
      <c r="R29" s="1">
        <f t="shared" si="4"/>
        <v>460584.15508000006</v>
      </c>
      <c r="S29" s="1">
        <f t="shared" si="5"/>
        <v>1381752.46524</v>
      </c>
      <c r="T29" s="1">
        <f t="shared" si="6"/>
        <v>4200918.1180199999</v>
      </c>
      <c r="U29" s="11"/>
      <c r="V29" s="11"/>
      <c r="W29" s="11"/>
      <c r="X29" s="12"/>
      <c r="Y29" s="12"/>
      <c r="Z29" s="12"/>
      <c r="AA29" s="12"/>
      <c r="AB29" s="12"/>
      <c r="AC29" s="12"/>
      <c r="AD29" s="12"/>
      <c r="AE29" s="12"/>
      <c r="AF29" s="12"/>
      <c r="AG29" s="12"/>
      <c r="AH29" s="12"/>
      <c r="AI29" s="12"/>
      <c r="AJ29" s="12"/>
      <c r="AK29" s="12"/>
      <c r="AL29" s="12"/>
      <c r="AM29" s="12"/>
      <c r="AN29" s="12"/>
      <c r="AO29" s="12"/>
      <c r="AP29" s="12"/>
      <c r="AQ29" s="12"/>
      <c r="AR29" s="12"/>
      <c r="AS29" s="12"/>
      <c r="AT29" s="12"/>
      <c r="AU29" s="12"/>
      <c r="AV29" s="12"/>
      <c r="AW29" s="12"/>
      <c r="AX29" s="12"/>
      <c r="AY29" s="12"/>
      <c r="AZ29" s="12"/>
      <c r="BA29" s="12"/>
      <c r="BB29" s="12"/>
      <c r="BC29" s="12"/>
      <c r="BD29" s="12"/>
      <c r="BE29" s="12"/>
      <c r="BF29" s="12"/>
      <c r="BG29" s="12"/>
      <c r="BH29" s="12"/>
      <c r="BI29" s="12"/>
      <c r="BJ29" s="12"/>
      <c r="BK29" s="12"/>
      <c r="BL29" s="12"/>
      <c r="BM29" s="12"/>
      <c r="BN29" s="12"/>
      <c r="BO29" s="12"/>
      <c r="BP29" s="12"/>
      <c r="BQ29" s="12"/>
      <c r="BR29" s="12"/>
      <c r="BS29" s="12"/>
      <c r="BT29" s="12"/>
      <c r="BU29" s="12"/>
      <c r="BV29" s="12"/>
      <c r="BW29" s="12"/>
      <c r="BX29" s="12"/>
      <c r="BY29" s="12"/>
      <c r="BZ29" s="12"/>
      <c r="CA29" s="12"/>
      <c r="CB29" s="12"/>
      <c r="CC29" s="12"/>
      <c r="CD29" s="12"/>
      <c r="CE29" s="12"/>
      <c r="CF29" s="12"/>
      <c r="CG29" s="12"/>
      <c r="CH29" s="12"/>
      <c r="CI29" s="12"/>
      <c r="CJ29" s="12"/>
      <c r="CK29" s="12"/>
      <c r="CL29" s="12"/>
      <c r="CM29" s="12"/>
      <c r="CN29" s="12"/>
      <c r="CO29" s="12"/>
      <c r="CP29" s="12"/>
      <c r="CQ29" s="12"/>
      <c r="CR29" s="12"/>
      <c r="CS29" s="12"/>
      <c r="CT29" s="12"/>
      <c r="CU29" s="12"/>
      <c r="CV29" s="12"/>
      <c r="CW29" s="12"/>
      <c r="CX29" s="12"/>
      <c r="CY29" s="12"/>
      <c r="CZ29" s="12"/>
      <c r="DA29" s="12"/>
      <c r="DB29" s="12"/>
      <c r="DC29" s="12"/>
      <c r="DD29" s="12"/>
      <c r="DE29" s="12"/>
      <c r="DF29" s="12"/>
      <c r="DG29" s="12"/>
      <c r="DH29" s="12"/>
      <c r="DI29" s="12"/>
      <c r="DJ29" s="12"/>
      <c r="DK29" s="12"/>
      <c r="DL29" s="12"/>
      <c r="DM29" s="12"/>
      <c r="DN29" s="12"/>
      <c r="DO29" s="12"/>
      <c r="DP29" s="12"/>
      <c r="DQ29" s="12"/>
      <c r="DR29" s="12"/>
      <c r="DS29" s="12"/>
      <c r="DT29" s="12"/>
      <c r="DU29" s="12"/>
      <c r="DV29" s="12"/>
      <c r="DW29" s="12"/>
      <c r="DX29" s="12"/>
      <c r="DY29" s="12"/>
      <c r="DZ29" s="12"/>
      <c r="EA29" s="12"/>
      <c r="EB29" s="12"/>
      <c r="EC29" s="12"/>
      <c r="ED29" s="12"/>
      <c r="EE29" s="12"/>
      <c r="EF29" s="12"/>
      <c r="EG29" s="12"/>
      <c r="EH29" s="12"/>
      <c r="EI29" s="12"/>
      <c r="EJ29" s="12"/>
      <c r="EK29" s="12"/>
      <c r="EL29" s="12"/>
      <c r="EM29" s="12"/>
      <c r="EN29" s="12"/>
      <c r="EO29" s="12"/>
      <c r="EP29" s="12"/>
      <c r="EQ29" s="12"/>
      <c r="ER29" s="12"/>
      <c r="ES29" s="12"/>
      <c r="ET29" s="12"/>
      <c r="EU29" s="12"/>
      <c r="EV29" s="12"/>
      <c r="EW29" s="12"/>
      <c r="EX29" s="12"/>
      <c r="EY29" s="12"/>
      <c r="EZ29" s="12"/>
      <c r="FA29" s="12"/>
      <c r="FB29" s="12"/>
      <c r="FC29" s="12"/>
      <c r="FD29" s="12"/>
      <c r="FE29" s="12"/>
      <c r="FF29" s="12"/>
      <c r="FG29" s="12"/>
      <c r="FH29" s="12"/>
      <c r="FI29" s="12"/>
      <c r="FJ29" s="12"/>
      <c r="FK29" s="12"/>
      <c r="FL29" s="12"/>
      <c r="FM29" s="12"/>
      <c r="FN29" s="12"/>
      <c r="FO29" s="12"/>
      <c r="FP29" s="12"/>
      <c r="FQ29" s="12"/>
      <c r="FR29" s="12"/>
      <c r="FS29" s="12"/>
      <c r="FT29" s="12"/>
      <c r="FU29" s="12"/>
      <c r="FV29" s="12"/>
      <c r="FW29" s="12"/>
      <c r="FX29" s="12"/>
      <c r="FY29" s="12"/>
      <c r="FZ29" s="12"/>
      <c r="GA29" s="12"/>
      <c r="GB29" s="12"/>
      <c r="GC29" s="12"/>
      <c r="GD29" s="12"/>
      <c r="GE29" s="12"/>
    </row>
    <row r="30" spans="1:187" ht="21" customHeight="1">
      <c r="A30" s="45"/>
      <c r="B30" s="86" t="s">
        <v>4</v>
      </c>
      <c r="C30" s="10" t="s">
        <v>87</v>
      </c>
      <c r="D30" s="10" t="s">
        <v>83</v>
      </c>
      <c r="E30" s="35">
        <v>6888.8509999999997</v>
      </c>
      <c r="F30" s="35">
        <f>11451.705-E30</f>
        <v>4562.8540000000003</v>
      </c>
      <c r="G30" s="35">
        <v>2275.94</v>
      </c>
      <c r="H30" s="35">
        <f>9161.333-G30</f>
        <v>6885.393</v>
      </c>
      <c r="I30" s="35">
        <f t="shared" si="0"/>
        <v>20613.038</v>
      </c>
      <c r="J30" s="56">
        <v>20894</v>
      </c>
      <c r="K30" s="49">
        <v>4402.63</v>
      </c>
      <c r="L30" s="49">
        <v>4578.74</v>
      </c>
      <c r="M30" s="49">
        <v>1519.73</v>
      </c>
      <c r="N30" s="49">
        <v>1575.96</v>
      </c>
      <c r="O30" s="56">
        <f t="shared" si="1"/>
        <v>2882.9</v>
      </c>
      <c r="P30" s="1">
        <f t="shared" si="2"/>
        <v>19859868.547899999</v>
      </c>
      <c r="Q30" s="1">
        <f t="shared" si="3"/>
        <v>13154251.796600001</v>
      </c>
      <c r="R30" s="1">
        <f t="shared" si="4"/>
        <v>6834147.1131999996</v>
      </c>
      <c r="S30" s="1">
        <f t="shared" si="5"/>
        <v>20675320.392539997</v>
      </c>
      <c r="T30" s="1">
        <f t="shared" si="6"/>
        <v>60523587.850239992</v>
      </c>
      <c r="U30" s="11"/>
      <c r="V30" s="11"/>
      <c r="W30" s="11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2"/>
      <c r="AJ30" s="12"/>
      <c r="AK30" s="12"/>
      <c r="AL30" s="12"/>
      <c r="AM30" s="12"/>
      <c r="AN30" s="12"/>
      <c r="AO30" s="12"/>
      <c r="AP30" s="12"/>
      <c r="AQ30" s="12"/>
      <c r="AR30" s="12"/>
      <c r="AS30" s="12"/>
      <c r="AT30" s="12"/>
      <c r="AU30" s="12"/>
      <c r="AV30" s="12"/>
      <c r="AW30" s="12"/>
      <c r="AX30" s="12"/>
      <c r="AY30" s="12"/>
      <c r="AZ30" s="12"/>
      <c r="BA30" s="12"/>
      <c r="BB30" s="12"/>
      <c r="BC30" s="12"/>
      <c r="BD30" s="12"/>
      <c r="BE30" s="12"/>
      <c r="BF30" s="12"/>
      <c r="BG30" s="12"/>
      <c r="BH30" s="12"/>
      <c r="BI30" s="12"/>
      <c r="BJ30" s="12"/>
      <c r="BK30" s="12"/>
      <c r="BL30" s="12"/>
      <c r="BM30" s="12"/>
      <c r="BN30" s="12"/>
      <c r="BO30" s="12"/>
      <c r="BP30" s="12"/>
      <c r="BQ30" s="12"/>
      <c r="BR30" s="12"/>
      <c r="BS30" s="12"/>
      <c r="BT30" s="12"/>
      <c r="BU30" s="12"/>
      <c r="BV30" s="12"/>
      <c r="BW30" s="12"/>
      <c r="BX30" s="12"/>
      <c r="BY30" s="12"/>
      <c r="BZ30" s="12"/>
      <c r="CA30" s="12"/>
      <c r="CB30" s="12"/>
      <c r="CC30" s="12"/>
      <c r="CD30" s="12"/>
      <c r="CE30" s="12"/>
      <c r="CF30" s="12"/>
      <c r="CG30" s="12"/>
      <c r="CH30" s="12"/>
      <c r="CI30" s="12"/>
      <c r="CJ30" s="12"/>
      <c r="CK30" s="12"/>
      <c r="CL30" s="12"/>
      <c r="CM30" s="12"/>
      <c r="CN30" s="12"/>
      <c r="CO30" s="12"/>
      <c r="CP30" s="12"/>
      <c r="CQ30" s="12"/>
      <c r="CR30" s="12"/>
      <c r="CS30" s="12"/>
      <c r="CT30" s="12"/>
      <c r="CU30" s="12"/>
      <c r="CV30" s="12"/>
      <c r="CW30" s="12"/>
      <c r="CX30" s="12"/>
      <c r="CY30" s="12"/>
      <c r="CZ30" s="12"/>
      <c r="DA30" s="12"/>
      <c r="DB30" s="12"/>
      <c r="DC30" s="12"/>
      <c r="DD30" s="12"/>
      <c r="DE30" s="12"/>
      <c r="DF30" s="12"/>
      <c r="DG30" s="12"/>
      <c r="DH30" s="12"/>
      <c r="DI30" s="12"/>
      <c r="DJ30" s="12"/>
      <c r="DK30" s="12"/>
      <c r="DL30" s="12"/>
      <c r="DM30" s="12"/>
      <c r="DN30" s="12"/>
      <c r="DO30" s="12"/>
      <c r="DP30" s="12"/>
      <c r="DQ30" s="12"/>
      <c r="DR30" s="12"/>
      <c r="DS30" s="12"/>
      <c r="DT30" s="12"/>
      <c r="DU30" s="12"/>
      <c r="DV30" s="12"/>
      <c r="DW30" s="12"/>
      <c r="DX30" s="12"/>
      <c r="DY30" s="12"/>
      <c r="DZ30" s="12"/>
      <c r="EA30" s="12"/>
      <c r="EB30" s="12"/>
      <c r="EC30" s="12"/>
      <c r="ED30" s="12"/>
      <c r="EE30" s="12"/>
      <c r="EF30" s="12"/>
      <c r="EG30" s="12"/>
      <c r="EH30" s="12"/>
      <c r="EI30" s="12"/>
      <c r="EJ30" s="12"/>
      <c r="EK30" s="12"/>
      <c r="EL30" s="12"/>
      <c r="EM30" s="12"/>
      <c r="EN30" s="12"/>
      <c r="EO30" s="12"/>
      <c r="EP30" s="12"/>
      <c r="EQ30" s="12"/>
      <c r="ER30" s="12"/>
      <c r="ES30" s="12"/>
      <c r="ET30" s="12"/>
      <c r="EU30" s="12"/>
      <c r="EV30" s="12"/>
      <c r="EW30" s="12"/>
      <c r="EX30" s="12"/>
      <c r="EY30" s="12"/>
      <c r="EZ30" s="12"/>
      <c r="FA30" s="12"/>
      <c r="FB30" s="12"/>
      <c r="FC30" s="12"/>
      <c r="FD30" s="12"/>
      <c r="FE30" s="12"/>
      <c r="FF30" s="12"/>
      <c r="FG30" s="12"/>
      <c r="FH30" s="12"/>
      <c r="FI30" s="12"/>
      <c r="FJ30" s="12"/>
      <c r="FK30" s="12"/>
      <c r="FL30" s="12"/>
      <c r="FM30" s="12"/>
      <c r="FN30" s="12"/>
      <c r="FO30" s="12"/>
      <c r="FP30" s="12"/>
      <c r="FQ30" s="12"/>
      <c r="FR30" s="12"/>
      <c r="FS30" s="12"/>
      <c r="FT30" s="12"/>
      <c r="FU30" s="12"/>
      <c r="FV30" s="12"/>
      <c r="FW30" s="12"/>
      <c r="FX30" s="12"/>
      <c r="FY30" s="12"/>
      <c r="FZ30" s="12"/>
      <c r="GA30" s="12"/>
      <c r="GB30" s="12"/>
      <c r="GC30" s="12"/>
      <c r="GD30" s="12"/>
      <c r="GE30" s="12"/>
    </row>
    <row r="31" spans="1:187" ht="21" customHeight="1">
      <c r="A31" s="45"/>
      <c r="B31" s="86" t="s">
        <v>27</v>
      </c>
      <c r="C31" s="10" t="s">
        <v>84</v>
      </c>
      <c r="D31" s="10" t="s">
        <v>85</v>
      </c>
      <c r="E31" s="35">
        <v>2033.8820000000001</v>
      </c>
      <c r="F31" s="35">
        <f>3118.18941-E31</f>
        <v>1084.3074099999999</v>
      </c>
      <c r="G31" s="35">
        <v>549.54</v>
      </c>
      <c r="H31" s="35">
        <f>2580.537-G31</f>
        <v>2030.9969999999998</v>
      </c>
      <c r="I31" s="35">
        <f t="shared" si="0"/>
        <v>5698.7264099999993</v>
      </c>
      <c r="J31" s="56">
        <v>5916.95</v>
      </c>
      <c r="K31" s="49">
        <v>4920.1099999999997</v>
      </c>
      <c r="L31" s="49">
        <v>5116.9143999999997</v>
      </c>
      <c r="M31" s="49">
        <v>1717.37</v>
      </c>
      <c r="N31" s="49">
        <v>1780.9126899999997</v>
      </c>
      <c r="O31" s="56">
        <f t="shared" si="1"/>
        <v>3202.74</v>
      </c>
      <c r="P31" s="1">
        <f t="shared" si="2"/>
        <v>6513995.2366800001</v>
      </c>
      <c r="Q31" s="1">
        <f t="shared" si="3"/>
        <v>3472754.7143033994</v>
      </c>
      <c r="R31" s="1">
        <f t="shared" si="4"/>
        <v>1833266.3797133998</v>
      </c>
      <c r="S31" s="1">
        <f t="shared" si="5"/>
        <v>6775409.4650048697</v>
      </c>
      <c r="T31" s="1">
        <f t="shared" si="6"/>
        <v>18595425.795701668</v>
      </c>
      <c r="U31" s="11"/>
      <c r="V31" s="11"/>
      <c r="W31" s="11"/>
      <c r="X31" s="12"/>
      <c r="Y31" s="12"/>
      <c r="Z31" s="12"/>
      <c r="AA31" s="12"/>
      <c r="AB31" s="12"/>
      <c r="AC31" s="12"/>
      <c r="AD31" s="12"/>
      <c r="AE31" s="12"/>
      <c r="AF31" s="12"/>
      <c r="AG31" s="12"/>
      <c r="AH31" s="12"/>
      <c r="AI31" s="12"/>
      <c r="AJ31" s="12"/>
      <c r="AK31" s="12"/>
      <c r="AL31" s="12"/>
      <c r="AM31" s="12"/>
      <c r="AN31" s="12"/>
      <c r="AO31" s="12"/>
      <c r="AP31" s="12"/>
      <c r="AQ31" s="12"/>
      <c r="AR31" s="12"/>
      <c r="AS31" s="12"/>
      <c r="AT31" s="12"/>
      <c r="AU31" s="12"/>
      <c r="AV31" s="12"/>
      <c r="AW31" s="12"/>
      <c r="AX31" s="12"/>
      <c r="AY31" s="12"/>
      <c r="AZ31" s="12"/>
      <c r="BA31" s="12"/>
      <c r="BB31" s="12"/>
      <c r="BC31" s="12"/>
      <c r="BD31" s="12"/>
      <c r="BE31" s="12"/>
      <c r="BF31" s="12"/>
      <c r="BG31" s="12"/>
      <c r="BH31" s="12"/>
      <c r="BI31" s="12"/>
      <c r="BJ31" s="12"/>
      <c r="BK31" s="12"/>
      <c r="BL31" s="12"/>
      <c r="BM31" s="12"/>
      <c r="BN31" s="12"/>
      <c r="BO31" s="12"/>
      <c r="BP31" s="12"/>
      <c r="BQ31" s="12"/>
      <c r="BR31" s="12"/>
      <c r="BS31" s="12"/>
      <c r="BT31" s="12"/>
      <c r="BU31" s="12"/>
      <c r="BV31" s="12"/>
      <c r="BW31" s="12"/>
      <c r="BX31" s="12"/>
      <c r="BY31" s="12"/>
      <c r="BZ31" s="12"/>
      <c r="CA31" s="12"/>
      <c r="CB31" s="12"/>
      <c r="CC31" s="12"/>
      <c r="CD31" s="12"/>
      <c r="CE31" s="12"/>
      <c r="CF31" s="12"/>
      <c r="CG31" s="12"/>
      <c r="CH31" s="12"/>
      <c r="CI31" s="12"/>
      <c r="CJ31" s="12"/>
      <c r="CK31" s="12"/>
      <c r="CL31" s="12"/>
      <c r="CM31" s="12"/>
      <c r="CN31" s="12"/>
      <c r="CO31" s="12"/>
      <c r="CP31" s="12"/>
      <c r="CQ31" s="12"/>
      <c r="CR31" s="12"/>
      <c r="CS31" s="12"/>
      <c r="CT31" s="12"/>
      <c r="CU31" s="12"/>
      <c r="CV31" s="12"/>
      <c r="CW31" s="12"/>
      <c r="CX31" s="12"/>
      <c r="CY31" s="12"/>
      <c r="CZ31" s="12"/>
      <c r="DA31" s="12"/>
      <c r="DB31" s="12"/>
      <c r="DC31" s="12"/>
      <c r="DD31" s="12"/>
      <c r="DE31" s="12"/>
      <c r="DF31" s="12"/>
      <c r="DG31" s="12"/>
      <c r="DH31" s="12"/>
      <c r="DI31" s="12"/>
      <c r="DJ31" s="12"/>
      <c r="DK31" s="12"/>
      <c r="DL31" s="12"/>
      <c r="DM31" s="12"/>
      <c r="DN31" s="12"/>
      <c r="DO31" s="12"/>
      <c r="DP31" s="12"/>
      <c r="DQ31" s="12"/>
      <c r="DR31" s="12"/>
      <c r="DS31" s="12"/>
      <c r="DT31" s="12"/>
      <c r="DU31" s="12"/>
      <c r="DV31" s="12"/>
      <c r="DW31" s="12"/>
      <c r="DX31" s="12"/>
      <c r="DY31" s="12"/>
      <c r="DZ31" s="12"/>
      <c r="EA31" s="12"/>
      <c r="EB31" s="12"/>
      <c r="EC31" s="12"/>
      <c r="ED31" s="12"/>
      <c r="EE31" s="12"/>
      <c r="EF31" s="12"/>
      <c r="EG31" s="12"/>
      <c r="EH31" s="12"/>
      <c r="EI31" s="12"/>
      <c r="EJ31" s="12"/>
      <c r="EK31" s="12"/>
      <c r="EL31" s="12"/>
      <c r="EM31" s="12"/>
      <c r="EN31" s="12"/>
      <c r="EO31" s="12"/>
      <c r="EP31" s="12"/>
      <c r="EQ31" s="12"/>
      <c r="ER31" s="12"/>
      <c r="ES31" s="12"/>
      <c r="ET31" s="12"/>
      <c r="EU31" s="12"/>
      <c r="EV31" s="12"/>
      <c r="EW31" s="12"/>
      <c r="EX31" s="12"/>
      <c r="EY31" s="12"/>
      <c r="EZ31" s="12"/>
      <c r="FA31" s="12"/>
      <c r="FB31" s="12"/>
      <c r="FC31" s="12"/>
      <c r="FD31" s="12"/>
      <c r="FE31" s="12"/>
      <c r="FF31" s="12"/>
      <c r="FG31" s="12"/>
      <c r="FH31" s="12"/>
      <c r="FI31" s="12"/>
      <c r="FJ31" s="12"/>
      <c r="FK31" s="12"/>
      <c r="FL31" s="12"/>
      <c r="FM31" s="12"/>
      <c r="FN31" s="12"/>
      <c r="FO31" s="12"/>
      <c r="FP31" s="12"/>
      <c r="FQ31" s="12"/>
      <c r="FR31" s="12"/>
      <c r="FS31" s="12"/>
      <c r="FT31" s="12"/>
      <c r="FU31" s="12"/>
      <c r="FV31" s="12"/>
      <c r="FW31" s="12"/>
      <c r="FX31" s="12"/>
      <c r="FY31" s="12"/>
      <c r="FZ31" s="12"/>
      <c r="GA31" s="12"/>
      <c r="GB31" s="12"/>
      <c r="GC31" s="12"/>
      <c r="GD31" s="12"/>
      <c r="GE31" s="12"/>
    </row>
    <row r="32" spans="1:187" ht="21" customHeight="1">
      <c r="A32" s="45"/>
      <c r="B32" s="86" t="s">
        <v>385</v>
      </c>
      <c r="C32" s="10" t="s">
        <v>386</v>
      </c>
      <c r="D32" s="10" t="s">
        <v>86</v>
      </c>
      <c r="E32" s="35">
        <v>3104.0459999999998</v>
      </c>
      <c r="F32" s="35">
        <f>5124.507-E32</f>
        <v>2020.4609999999998</v>
      </c>
      <c r="G32" s="35">
        <v>1121.43</v>
      </c>
      <c r="H32" s="35">
        <v>3439.04</v>
      </c>
      <c r="I32" s="35">
        <f t="shared" si="0"/>
        <v>9684.976999999999</v>
      </c>
      <c r="J32" s="56">
        <v>10364.700000000001</v>
      </c>
      <c r="K32" s="49">
        <v>3956.25</v>
      </c>
      <c r="L32" s="49">
        <v>3956.25</v>
      </c>
      <c r="M32" s="49">
        <v>1284.42</v>
      </c>
      <c r="N32" s="49">
        <v>1331.94</v>
      </c>
      <c r="O32" s="56">
        <f t="shared" si="1"/>
        <v>2671.83</v>
      </c>
      <c r="P32" s="1">
        <f t="shared" si="2"/>
        <v>8293483.224179999</v>
      </c>
      <c r="Q32" s="1">
        <f t="shared" si="3"/>
        <v>5398328.3136299988</v>
      </c>
      <c r="R32" s="1">
        <f t="shared" si="4"/>
        <v>2942979.9632999999</v>
      </c>
      <c r="S32" s="1">
        <f t="shared" si="5"/>
        <v>9025107.0624000002</v>
      </c>
      <c r="T32" s="1">
        <f t="shared" si="6"/>
        <v>25659898.563510001</v>
      </c>
      <c r="U32" s="11"/>
      <c r="V32" s="11"/>
      <c r="W32" s="11"/>
      <c r="X32" s="12"/>
      <c r="Y32" s="12"/>
      <c r="Z32" s="12"/>
      <c r="AA32" s="12"/>
      <c r="AB32" s="12"/>
      <c r="AC32" s="12"/>
      <c r="AD32" s="12"/>
      <c r="AE32" s="12"/>
      <c r="AF32" s="12"/>
      <c r="AG32" s="12"/>
      <c r="AH32" s="12"/>
      <c r="AI32" s="12"/>
      <c r="AJ32" s="12"/>
      <c r="AK32" s="12"/>
      <c r="AL32" s="12"/>
      <c r="AM32" s="12"/>
      <c r="AN32" s="12"/>
      <c r="AO32" s="12"/>
      <c r="AP32" s="12"/>
      <c r="AQ32" s="12"/>
      <c r="AR32" s="12"/>
      <c r="AS32" s="12"/>
      <c r="AT32" s="12"/>
      <c r="AU32" s="12"/>
      <c r="AV32" s="12"/>
      <c r="AW32" s="12"/>
      <c r="AX32" s="12"/>
      <c r="AY32" s="12"/>
      <c r="AZ32" s="12"/>
      <c r="BA32" s="12"/>
      <c r="BB32" s="12"/>
      <c r="BC32" s="12"/>
      <c r="BD32" s="12"/>
      <c r="BE32" s="12"/>
      <c r="BF32" s="12"/>
      <c r="BG32" s="12"/>
      <c r="BH32" s="12"/>
      <c r="BI32" s="12"/>
      <c r="BJ32" s="12"/>
      <c r="BK32" s="12"/>
      <c r="BL32" s="12"/>
      <c r="BM32" s="12"/>
      <c r="BN32" s="12"/>
      <c r="BO32" s="12"/>
      <c r="BP32" s="12"/>
      <c r="BQ32" s="12"/>
      <c r="BR32" s="12"/>
      <c r="BS32" s="12"/>
      <c r="BT32" s="12"/>
      <c r="BU32" s="12"/>
      <c r="BV32" s="12"/>
      <c r="BW32" s="12"/>
      <c r="BX32" s="12"/>
      <c r="BY32" s="12"/>
      <c r="BZ32" s="12"/>
      <c r="CA32" s="12"/>
      <c r="CB32" s="12"/>
      <c r="CC32" s="12"/>
      <c r="CD32" s="12"/>
      <c r="CE32" s="12"/>
      <c r="CF32" s="12"/>
      <c r="CG32" s="12"/>
      <c r="CH32" s="12"/>
      <c r="CI32" s="12"/>
      <c r="CJ32" s="12"/>
      <c r="CK32" s="12"/>
      <c r="CL32" s="12"/>
      <c r="CM32" s="12"/>
      <c r="CN32" s="12"/>
      <c r="CO32" s="12"/>
      <c r="CP32" s="12"/>
      <c r="CQ32" s="12"/>
      <c r="CR32" s="12"/>
      <c r="CS32" s="12"/>
      <c r="CT32" s="12"/>
      <c r="CU32" s="12"/>
      <c r="CV32" s="12"/>
      <c r="CW32" s="12"/>
      <c r="CX32" s="12"/>
      <c r="CY32" s="12"/>
      <c r="CZ32" s="12"/>
      <c r="DA32" s="12"/>
      <c r="DB32" s="12"/>
      <c r="DC32" s="12"/>
      <c r="DD32" s="12"/>
      <c r="DE32" s="12"/>
      <c r="DF32" s="12"/>
      <c r="DG32" s="12"/>
      <c r="DH32" s="12"/>
      <c r="DI32" s="12"/>
      <c r="DJ32" s="12"/>
      <c r="DK32" s="12"/>
      <c r="DL32" s="12"/>
      <c r="DM32" s="12"/>
      <c r="DN32" s="12"/>
      <c r="DO32" s="12"/>
      <c r="DP32" s="12"/>
      <c r="DQ32" s="12"/>
      <c r="DR32" s="12"/>
      <c r="DS32" s="12"/>
      <c r="DT32" s="12"/>
      <c r="DU32" s="12"/>
      <c r="DV32" s="12"/>
      <c r="DW32" s="12"/>
      <c r="DX32" s="12"/>
      <c r="DY32" s="12"/>
      <c r="DZ32" s="12"/>
      <c r="EA32" s="12"/>
      <c r="EB32" s="12"/>
      <c r="EC32" s="12"/>
      <c r="ED32" s="12"/>
      <c r="EE32" s="12"/>
      <c r="EF32" s="12"/>
      <c r="EG32" s="12"/>
      <c r="EH32" s="12"/>
      <c r="EI32" s="12"/>
      <c r="EJ32" s="12"/>
      <c r="EK32" s="12"/>
      <c r="EL32" s="12"/>
      <c r="EM32" s="12"/>
      <c r="EN32" s="12"/>
      <c r="EO32" s="12"/>
      <c r="EP32" s="12"/>
      <c r="EQ32" s="12"/>
      <c r="ER32" s="12"/>
      <c r="ES32" s="12"/>
      <c r="ET32" s="12"/>
      <c r="EU32" s="12"/>
      <c r="EV32" s="12"/>
      <c r="EW32" s="12"/>
      <c r="EX32" s="12"/>
      <c r="EY32" s="12"/>
      <c r="EZ32" s="12"/>
      <c r="FA32" s="12"/>
      <c r="FB32" s="12"/>
      <c r="FC32" s="12"/>
      <c r="FD32" s="12"/>
      <c r="FE32" s="12"/>
      <c r="FF32" s="12"/>
      <c r="FG32" s="12"/>
      <c r="FH32" s="12"/>
      <c r="FI32" s="12"/>
      <c r="FJ32" s="12"/>
      <c r="FK32" s="12"/>
      <c r="FL32" s="12"/>
      <c r="FM32" s="12"/>
      <c r="FN32" s="12"/>
      <c r="FO32" s="12"/>
      <c r="FP32" s="12"/>
      <c r="FQ32" s="12"/>
      <c r="FR32" s="12"/>
      <c r="FS32" s="12"/>
      <c r="FT32" s="12"/>
      <c r="FU32" s="12"/>
      <c r="FV32" s="12"/>
      <c r="FW32" s="12"/>
      <c r="FX32" s="12"/>
      <c r="FY32" s="12"/>
      <c r="FZ32" s="12"/>
      <c r="GA32" s="12"/>
      <c r="GB32" s="12"/>
      <c r="GC32" s="12"/>
      <c r="GD32" s="12"/>
      <c r="GE32" s="12"/>
    </row>
    <row r="33" spans="1:187" ht="21" customHeight="1">
      <c r="A33" s="45"/>
      <c r="B33" s="101" t="s">
        <v>90</v>
      </c>
      <c r="C33" s="101"/>
      <c r="D33" s="101"/>
      <c r="E33" s="34"/>
      <c r="F33" s="34"/>
      <c r="G33" s="34"/>
      <c r="H33" s="34"/>
      <c r="I33" s="35">
        <f t="shared" si="0"/>
        <v>0</v>
      </c>
      <c r="J33" s="11"/>
      <c r="K33" s="64"/>
      <c r="L33" s="64"/>
      <c r="M33" s="64"/>
      <c r="N33" s="64"/>
      <c r="O33" s="56">
        <f t="shared" si="1"/>
        <v>0</v>
      </c>
      <c r="P33" s="1">
        <f t="shared" si="2"/>
        <v>0</v>
      </c>
      <c r="Q33" s="1">
        <f t="shared" si="3"/>
        <v>0</v>
      </c>
      <c r="R33" s="1">
        <f t="shared" si="4"/>
        <v>0</v>
      </c>
      <c r="S33" s="1">
        <f t="shared" si="5"/>
        <v>0</v>
      </c>
      <c r="T33" s="1">
        <f t="shared" si="6"/>
        <v>0</v>
      </c>
      <c r="U33" s="45"/>
      <c r="V33" s="45"/>
      <c r="W33" s="45"/>
    </row>
    <row r="34" spans="1:187" ht="21" customHeight="1">
      <c r="A34" s="45"/>
      <c r="B34" s="86" t="s">
        <v>12</v>
      </c>
      <c r="C34" s="10" t="s">
        <v>296</v>
      </c>
      <c r="D34" s="10" t="s">
        <v>95</v>
      </c>
      <c r="E34" s="35">
        <v>4943.6170000000002</v>
      </c>
      <c r="F34" s="35">
        <f>6988.967-E34</f>
        <v>2045.3499999999995</v>
      </c>
      <c r="G34" s="35">
        <v>676.85400000000004</v>
      </c>
      <c r="H34" s="35">
        <f>4738.53-G34</f>
        <v>4061.6759999999995</v>
      </c>
      <c r="I34" s="35">
        <f t="shared" si="0"/>
        <v>11727.496999999999</v>
      </c>
      <c r="J34" s="56">
        <v>12183.3</v>
      </c>
      <c r="K34" s="49">
        <v>2926.27</v>
      </c>
      <c r="L34" s="49">
        <v>3043.32</v>
      </c>
      <c r="M34" s="49">
        <v>1486.01</v>
      </c>
      <c r="N34" s="49">
        <v>1540.99</v>
      </c>
      <c r="O34" s="56">
        <f t="shared" si="1"/>
        <v>1440.26</v>
      </c>
      <c r="P34" s="1">
        <f t="shared" si="2"/>
        <v>7120093.8204199998</v>
      </c>
      <c r="Q34" s="1">
        <f t="shared" si="3"/>
        <v>2945835.7909999993</v>
      </c>
      <c r="R34" s="1">
        <f t="shared" si="4"/>
        <v>1016858.0698200002</v>
      </c>
      <c r="S34" s="1">
        <f t="shared" si="5"/>
        <v>6101977.7050799998</v>
      </c>
      <c r="T34" s="1">
        <f t="shared" si="6"/>
        <v>17184765.386319999</v>
      </c>
      <c r="U34" s="11"/>
      <c r="V34" s="11"/>
      <c r="W34" s="11"/>
      <c r="X34" s="12"/>
      <c r="Y34" s="12"/>
      <c r="Z34" s="12"/>
      <c r="AA34" s="12"/>
      <c r="AB34" s="12"/>
      <c r="AC34" s="12"/>
      <c r="AD34" s="12"/>
      <c r="AE34" s="12"/>
      <c r="AF34" s="12"/>
      <c r="AG34" s="12"/>
      <c r="AH34" s="12"/>
      <c r="AI34" s="12"/>
      <c r="AJ34" s="12"/>
      <c r="AK34" s="12"/>
      <c r="AL34" s="12"/>
      <c r="AM34" s="12"/>
      <c r="AN34" s="12"/>
      <c r="AO34" s="12"/>
      <c r="AP34" s="12"/>
      <c r="AQ34" s="12"/>
      <c r="AR34" s="12"/>
      <c r="AS34" s="12"/>
      <c r="AT34" s="12"/>
      <c r="AU34" s="12"/>
      <c r="AV34" s="12"/>
      <c r="AW34" s="12"/>
      <c r="AX34" s="12"/>
      <c r="AY34" s="12"/>
      <c r="AZ34" s="12"/>
      <c r="BA34" s="12"/>
      <c r="BB34" s="12"/>
      <c r="BC34" s="12"/>
      <c r="BD34" s="12"/>
      <c r="BE34" s="12"/>
      <c r="BF34" s="12"/>
      <c r="BG34" s="12"/>
      <c r="BH34" s="12"/>
      <c r="BI34" s="12"/>
      <c r="BJ34" s="12"/>
      <c r="BK34" s="12"/>
      <c r="BL34" s="12"/>
      <c r="BM34" s="12"/>
      <c r="BN34" s="12"/>
      <c r="BO34" s="12"/>
      <c r="BP34" s="12"/>
      <c r="BQ34" s="12"/>
      <c r="BR34" s="12"/>
      <c r="BS34" s="12"/>
      <c r="BT34" s="12"/>
      <c r="BU34" s="12"/>
      <c r="BV34" s="12"/>
      <c r="BW34" s="12"/>
      <c r="BX34" s="12"/>
      <c r="BY34" s="12"/>
      <c r="BZ34" s="12"/>
      <c r="CA34" s="12"/>
      <c r="CB34" s="12"/>
      <c r="CC34" s="12"/>
      <c r="CD34" s="12"/>
      <c r="CE34" s="12"/>
      <c r="CF34" s="12"/>
      <c r="CG34" s="12"/>
      <c r="CH34" s="12"/>
      <c r="CI34" s="12"/>
      <c r="CJ34" s="12"/>
      <c r="CK34" s="12"/>
      <c r="CL34" s="12"/>
      <c r="CM34" s="12"/>
      <c r="CN34" s="12"/>
      <c r="CO34" s="12"/>
      <c r="CP34" s="12"/>
      <c r="CQ34" s="12"/>
      <c r="CR34" s="12"/>
      <c r="CS34" s="12"/>
      <c r="CT34" s="12"/>
      <c r="CU34" s="12"/>
      <c r="CV34" s="12"/>
      <c r="CW34" s="12"/>
      <c r="CX34" s="12"/>
      <c r="CY34" s="12"/>
      <c r="CZ34" s="12"/>
      <c r="DA34" s="12"/>
      <c r="DB34" s="12"/>
      <c r="DC34" s="12"/>
      <c r="DD34" s="12"/>
      <c r="DE34" s="12"/>
      <c r="DF34" s="12"/>
      <c r="DG34" s="12"/>
      <c r="DH34" s="12"/>
      <c r="DI34" s="12"/>
      <c r="DJ34" s="12"/>
      <c r="DK34" s="12"/>
      <c r="DL34" s="12"/>
      <c r="DM34" s="12"/>
      <c r="DN34" s="12"/>
      <c r="DO34" s="12"/>
      <c r="DP34" s="12"/>
      <c r="DQ34" s="12"/>
      <c r="DR34" s="12"/>
      <c r="DS34" s="12"/>
      <c r="DT34" s="12"/>
      <c r="DU34" s="12"/>
      <c r="DV34" s="12"/>
      <c r="DW34" s="12"/>
      <c r="DX34" s="12"/>
      <c r="DY34" s="12"/>
      <c r="DZ34" s="12"/>
      <c r="EA34" s="12"/>
      <c r="EB34" s="12"/>
      <c r="EC34" s="12"/>
      <c r="ED34" s="12"/>
      <c r="EE34" s="12"/>
      <c r="EF34" s="12"/>
      <c r="EG34" s="12"/>
      <c r="EH34" s="12"/>
      <c r="EI34" s="12"/>
      <c r="EJ34" s="12"/>
      <c r="EK34" s="12"/>
      <c r="EL34" s="12"/>
      <c r="EM34" s="12"/>
      <c r="EN34" s="12"/>
      <c r="EO34" s="12"/>
      <c r="EP34" s="12"/>
      <c r="EQ34" s="12"/>
      <c r="ER34" s="12"/>
      <c r="ES34" s="12"/>
      <c r="ET34" s="12"/>
      <c r="EU34" s="12"/>
      <c r="EV34" s="12"/>
      <c r="EW34" s="12"/>
      <c r="EX34" s="12"/>
      <c r="EY34" s="12"/>
      <c r="EZ34" s="12"/>
      <c r="FA34" s="12"/>
      <c r="FB34" s="12"/>
      <c r="FC34" s="12"/>
      <c r="FD34" s="12"/>
      <c r="FE34" s="12"/>
      <c r="FF34" s="12"/>
      <c r="FG34" s="12"/>
      <c r="FH34" s="12"/>
      <c r="FI34" s="12"/>
      <c r="FJ34" s="12"/>
      <c r="FK34" s="12"/>
      <c r="FL34" s="12"/>
      <c r="FM34" s="12"/>
      <c r="FN34" s="12"/>
      <c r="FO34" s="12"/>
      <c r="FP34" s="12"/>
      <c r="FQ34" s="12"/>
      <c r="FR34" s="12"/>
      <c r="FS34" s="12"/>
      <c r="FT34" s="12"/>
      <c r="FU34" s="12"/>
      <c r="FV34" s="12"/>
      <c r="FW34" s="12"/>
      <c r="FX34" s="12"/>
      <c r="FY34" s="12"/>
      <c r="FZ34" s="12"/>
      <c r="GA34" s="12"/>
      <c r="GB34" s="12"/>
      <c r="GC34" s="12"/>
      <c r="GD34" s="12"/>
      <c r="GE34" s="12"/>
    </row>
    <row r="35" spans="1:187" ht="21" customHeight="1">
      <c r="A35" s="45" t="s">
        <v>337</v>
      </c>
      <c r="B35" s="86" t="s">
        <v>368</v>
      </c>
      <c r="C35" s="10" t="s">
        <v>369</v>
      </c>
      <c r="D35" s="10" t="s">
        <v>95</v>
      </c>
      <c r="E35" s="35">
        <f>328.2832*0.4</f>
        <v>131.31328000000002</v>
      </c>
      <c r="F35" s="35">
        <f>328.2832*0.6</f>
        <v>196.96992</v>
      </c>
      <c r="G35" s="35">
        <f>257.9368*0.2</f>
        <v>51.587360000000004</v>
      </c>
      <c r="H35" s="35">
        <f>257.9368*0.8</f>
        <v>206.34944000000002</v>
      </c>
      <c r="I35" s="35">
        <f t="shared" si="0"/>
        <v>586.22</v>
      </c>
      <c r="J35" s="56">
        <v>586.22</v>
      </c>
      <c r="K35" s="49">
        <v>2213.83</v>
      </c>
      <c r="L35" s="49">
        <v>2302.3832000000002</v>
      </c>
      <c r="M35" s="49">
        <v>1486.01</v>
      </c>
      <c r="N35" s="49">
        <v>1540.9923699999999</v>
      </c>
      <c r="O35" s="56">
        <f t="shared" si="1"/>
        <v>727.81999999999994</v>
      </c>
      <c r="P35" s="1">
        <f t="shared" si="2"/>
        <v>95572.431449600001</v>
      </c>
      <c r="Q35" s="1">
        <f t="shared" si="3"/>
        <v>143358.64717439999</v>
      </c>
      <c r="R35" s="1">
        <f t="shared" si="4"/>
        <v>39278.142847908821</v>
      </c>
      <c r="S35" s="1">
        <f t="shared" si="5"/>
        <v>157112.57139163528</v>
      </c>
      <c r="T35" s="1">
        <f t="shared" si="6"/>
        <v>435321.79286354408</v>
      </c>
      <c r="U35" s="11"/>
      <c r="V35" s="11"/>
      <c r="W35" s="11"/>
      <c r="X35" s="12"/>
      <c r="Y35" s="12"/>
      <c r="Z35" s="12"/>
      <c r="AA35" s="12"/>
      <c r="AB35" s="12"/>
      <c r="AC35" s="12"/>
      <c r="AD35" s="12"/>
      <c r="AE35" s="12"/>
      <c r="AF35" s="12"/>
      <c r="AG35" s="12"/>
      <c r="AH35" s="12"/>
      <c r="AI35" s="12"/>
      <c r="AJ35" s="12"/>
      <c r="AK35" s="12"/>
      <c r="AL35" s="12"/>
      <c r="AM35" s="12"/>
      <c r="AN35" s="12"/>
      <c r="AO35" s="12"/>
      <c r="AP35" s="12"/>
      <c r="AQ35" s="12"/>
      <c r="AR35" s="12"/>
      <c r="AS35" s="12"/>
      <c r="AT35" s="12"/>
      <c r="AU35" s="12"/>
      <c r="AV35" s="12"/>
      <c r="AW35" s="12"/>
      <c r="AX35" s="12"/>
      <c r="AY35" s="12"/>
      <c r="AZ35" s="12"/>
      <c r="BA35" s="12"/>
      <c r="BB35" s="12"/>
      <c r="BC35" s="12"/>
      <c r="BD35" s="12"/>
      <c r="BE35" s="12"/>
      <c r="BF35" s="12"/>
      <c r="BG35" s="12"/>
      <c r="BH35" s="12"/>
      <c r="BI35" s="12"/>
      <c r="BJ35" s="12"/>
      <c r="BK35" s="12"/>
      <c r="BL35" s="12"/>
      <c r="BM35" s="12"/>
      <c r="BN35" s="12"/>
      <c r="BO35" s="12"/>
      <c r="BP35" s="12"/>
      <c r="BQ35" s="12"/>
      <c r="BR35" s="12"/>
      <c r="BS35" s="12"/>
      <c r="BT35" s="12"/>
      <c r="BU35" s="12"/>
      <c r="BV35" s="12"/>
      <c r="BW35" s="12"/>
      <c r="BX35" s="12"/>
      <c r="BY35" s="12"/>
      <c r="BZ35" s="12"/>
      <c r="CA35" s="12"/>
      <c r="CB35" s="12"/>
      <c r="CC35" s="12"/>
      <c r="CD35" s="12"/>
      <c r="CE35" s="12"/>
      <c r="CF35" s="12"/>
      <c r="CG35" s="12"/>
      <c r="CH35" s="12"/>
      <c r="CI35" s="12"/>
      <c r="CJ35" s="12"/>
      <c r="CK35" s="12"/>
      <c r="CL35" s="12"/>
      <c r="CM35" s="12"/>
      <c r="CN35" s="12"/>
      <c r="CO35" s="12"/>
      <c r="CP35" s="12"/>
      <c r="CQ35" s="12"/>
      <c r="CR35" s="12"/>
      <c r="CS35" s="12"/>
      <c r="CT35" s="12"/>
      <c r="CU35" s="12"/>
      <c r="CV35" s="12"/>
      <c r="CW35" s="12"/>
      <c r="CX35" s="12"/>
      <c r="CY35" s="12"/>
      <c r="CZ35" s="12"/>
      <c r="DA35" s="12"/>
      <c r="DB35" s="12"/>
      <c r="DC35" s="12"/>
      <c r="DD35" s="12"/>
      <c r="DE35" s="12"/>
      <c r="DF35" s="12"/>
      <c r="DG35" s="12"/>
      <c r="DH35" s="12"/>
      <c r="DI35" s="12"/>
      <c r="DJ35" s="12"/>
      <c r="DK35" s="12"/>
      <c r="DL35" s="12"/>
      <c r="DM35" s="12"/>
      <c r="DN35" s="12"/>
      <c r="DO35" s="12"/>
      <c r="DP35" s="12"/>
      <c r="DQ35" s="12"/>
      <c r="DR35" s="12"/>
      <c r="DS35" s="12"/>
      <c r="DT35" s="12"/>
      <c r="DU35" s="12"/>
      <c r="DV35" s="12"/>
      <c r="DW35" s="12"/>
      <c r="DX35" s="12"/>
      <c r="DY35" s="12"/>
      <c r="DZ35" s="12"/>
      <c r="EA35" s="12"/>
      <c r="EB35" s="12"/>
      <c r="EC35" s="12"/>
      <c r="ED35" s="12"/>
      <c r="EE35" s="12"/>
      <c r="EF35" s="12"/>
      <c r="EG35" s="12"/>
      <c r="EH35" s="12"/>
      <c r="EI35" s="12"/>
      <c r="EJ35" s="12"/>
      <c r="EK35" s="12"/>
      <c r="EL35" s="12"/>
      <c r="EM35" s="12"/>
      <c r="EN35" s="12"/>
      <c r="EO35" s="12"/>
      <c r="EP35" s="12"/>
      <c r="EQ35" s="12"/>
      <c r="ER35" s="12"/>
      <c r="ES35" s="12"/>
      <c r="ET35" s="12"/>
      <c r="EU35" s="12"/>
      <c r="EV35" s="12"/>
      <c r="EW35" s="12"/>
      <c r="EX35" s="12"/>
      <c r="EY35" s="12"/>
      <c r="EZ35" s="12"/>
      <c r="FA35" s="12"/>
      <c r="FB35" s="12"/>
      <c r="FC35" s="12"/>
      <c r="FD35" s="12"/>
      <c r="FE35" s="12"/>
      <c r="FF35" s="12"/>
      <c r="FG35" s="12"/>
      <c r="FH35" s="12"/>
      <c r="FI35" s="12"/>
      <c r="FJ35" s="12"/>
      <c r="FK35" s="12"/>
      <c r="FL35" s="12"/>
      <c r="FM35" s="12"/>
      <c r="FN35" s="12"/>
      <c r="FO35" s="12"/>
      <c r="FP35" s="12"/>
      <c r="FQ35" s="12"/>
      <c r="FR35" s="12"/>
      <c r="FS35" s="12"/>
      <c r="FT35" s="12"/>
      <c r="FU35" s="12"/>
      <c r="FV35" s="12"/>
      <c r="FW35" s="12"/>
      <c r="FX35" s="12"/>
      <c r="FY35" s="12"/>
      <c r="FZ35" s="12"/>
      <c r="GA35" s="12"/>
      <c r="GB35" s="12"/>
      <c r="GC35" s="12"/>
      <c r="GD35" s="12"/>
      <c r="GE35" s="12"/>
    </row>
    <row r="36" spans="1:187" ht="21" customHeight="1">
      <c r="A36" s="45"/>
      <c r="B36" s="86" t="s">
        <v>37</v>
      </c>
      <c r="C36" s="10" t="s">
        <v>99</v>
      </c>
      <c r="D36" s="10" t="s">
        <v>373</v>
      </c>
      <c r="E36" s="35">
        <v>249.64500000000001</v>
      </c>
      <c r="F36" s="35">
        <f>416.075-E36</f>
        <v>166.42999999999998</v>
      </c>
      <c r="G36" s="35">
        <v>81.010000000000005</v>
      </c>
      <c r="H36" s="35">
        <v>243.03</v>
      </c>
      <c r="I36" s="35">
        <f t="shared" si="0"/>
        <v>740.11500000000001</v>
      </c>
      <c r="J36" s="56">
        <v>762.24527999999975</v>
      </c>
      <c r="K36" s="49">
        <v>3452.1</v>
      </c>
      <c r="L36" s="49">
        <v>3590.1840000000002</v>
      </c>
      <c r="M36" s="49">
        <v>1443.23</v>
      </c>
      <c r="N36" s="49">
        <v>1496.62951</v>
      </c>
      <c r="O36" s="56">
        <f t="shared" si="1"/>
        <v>2008.87</v>
      </c>
      <c r="P36" s="1">
        <f t="shared" si="2"/>
        <v>501504.35115</v>
      </c>
      <c r="Q36" s="1">
        <f t="shared" si="3"/>
        <v>334336.23409999994</v>
      </c>
      <c r="R36" s="1">
        <f t="shared" si="4"/>
        <v>169598.84923490006</v>
      </c>
      <c r="S36" s="1">
        <f t="shared" si="5"/>
        <v>508796.54770470009</v>
      </c>
      <c r="T36" s="1">
        <f t="shared" si="6"/>
        <v>1514235.9821896001</v>
      </c>
      <c r="U36" s="11"/>
      <c r="V36" s="11"/>
      <c r="W36" s="11"/>
      <c r="X36" s="12"/>
      <c r="Y36" s="12"/>
      <c r="Z36" s="12"/>
      <c r="AA36" s="12"/>
      <c r="AB36" s="12"/>
      <c r="AC36" s="12"/>
      <c r="AD36" s="12"/>
      <c r="AE36" s="12"/>
      <c r="AF36" s="12"/>
      <c r="AG36" s="12"/>
      <c r="AH36" s="12"/>
      <c r="AI36" s="12"/>
      <c r="AJ36" s="12"/>
      <c r="AK36" s="12"/>
      <c r="AL36" s="12"/>
      <c r="AM36" s="12"/>
      <c r="AN36" s="12"/>
      <c r="AO36" s="12"/>
      <c r="AP36" s="12"/>
      <c r="AQ36" s="12"/>
      <c r="AR36" s="12"/>
      <c r="AS36" s="12"/>
      <c r="AT36" s="12"/>
      <c r="AU36" s="12"/>
      <c r="AV36" s="12"/>
      <c r="AW36" s="12"/>
      <c r="AX36" s="12"/>
      <c r="AY36" s="12"/>
      <c r="AZ36" s="12"/>
      <c r="BA36" s="12"/>
      <c r="BB36" s="12"/>
      <c r="BC36" s="12"/>
      <c r="BD36" s="12"/>
      <c r="BE36" s="12"/>
      <c r="BF36" s="12"/>
      <c r="BG36" s="12"/>
      <c r="BH36" s="12"/>
      <c r="BI36" s="12"/>
      <c r="BJ36" s="12"/>
      <c r="BK36" s="12"/>
      <c r="BL36" s="12"/>
      <c r="BM36" s="12"/>
      <c r="BN36" s="12"/>
      <c r="BO36" s="12"/>
      <c r="BP36" s="12"/>
      <c r="BQ36" s="12"/>
      <c r="BR36" s="12"/>
      <c r="BS36" s="12"/>
      <c r="BT36" s="12"/>
      <c r="BU36" s="12"/>
      <c r="BV36" s="12"/>
      <c r="BW36" s="12"/>
      <c r="BX36" s="12"/>
      <c r="BY36" s="12"/>
      <c r="BZ36" s="12"/>
      <c r="CA36" s="12"/>
      <c r="CB36" s="12"/>
      <c r="CC36" s="12"/>
      <c r="CD36" s="12"/>
      <c r="CE36" s="12"/>
      <c r="CF36" s="12"/>
      <c r="CG36" s="12"/>
      <c r="CH36" s="12"/>
      <c r="CI36" s="12"/>
      <c r="CJ36" s="12"/>
      <c r="CK36" s="12"/>
      <c r="CL36" s="12"/>
      <c r="CM36" s="12"/>
      <c r="CN36" s="12"/>
      <c r="CO36" s="12"/>
      <c r="CP36" s="12"/>
      <c r="CQ36" s="12"/>
      <c r="CR36" s="12"/>
      <c r="CS36" s="12"/>
      <c r="CT36" s="12"/>
      <c r="CU36" s="12"/>
      <c r="CV36" s="12"/>
      <c r="CW36" s="12"/>
      <c r="CX36" s="12"/>
      <c r="CY36" s="12"/>
      <c r="CZ36" s="12"/>
      <c r="DA36" s="12"/>
      <c r="DB36" s="12"/>
      <c r="DC36" s="12"/>
      <c r="DD36" s="12"/>
      <c r="DE36" s="12"/>
      <c r="DF36" s="12"/>
      <c r="DG36" s="12"/>
      <c r="DH36" s="12"/>
      <c r="DI36" s="12"/>
      <c r="DJ36" s="12"/>
      <c r="DK36" s="12"/>
      <c r="DL36" s="12"/>
      <c r="DM36" s="12"/>
      <c r="DN36" s="12"/>
      <c r="DO36" s="12"/>
      <c r="DP36" s="12"/>
      <c r="DQ36" s="12"/>
      <c r="DR36" s="12"/>
      <c r="DS36" s="12"/>
      <c r="DT36" s="12"/>
      <c r="DU36" s="12"/>
      <c r="DV36" s="12"/>
      <c r="DW36" s="12"/>
      <c r="DX36" s="12"/>
      <c r="DY36" s="12"/>
      <c r="DZ36" s="12"/>
      <c r="EA36" s="12"/>
      <c r="EB36" s="12"/>
      <c r="EC36" s="12"/>
      <c r="ED36" s="12"/>
      <c r="EE36" s="12"/>
      <c r="EF36" s="12"/>
      <c r="EG36" s="12"/>
      <c r="EH36" s="12"/>
      <c r="EI36" s="12"/>
      <c r="EJ36" s="12"/>
      <c r="EK36" s="12"/>
      <c r="EL36" s="12"/>
      <c r="EM36" s="12"/>
      <c r="EN36" s="12"/>
      <c r="EO36" s="12"/>
      <c r="EP36" s="12"/>
      <c r="EQ36" s="12"/>
      <c r="ER36" s="12"/>
      <c r="ES36" s="12"/>
      <c r="ET36" s="12"/>
      <c r="EU36" s="12"/>
      <c r="EV36" s="12"/>
      <c r="EW36" s="12"/>
      <c r="EX36" s="12"/>
      <c r="EY36" s="12"/>
      <c r="EZ36" s="12"/>
      <c r="FA36" s="12"/>
      <c r="FB36" s="12"/>
      <c r="FC36" s="12"/>
      <c r="FD36" s="12"/>
      <c r="FE36" s="12"/>
      <c r="FF36" s="12"/>
      <c r="FG36" s="12"/>
      <c r="FH36" s="12"/>
      <c r="FI36" s="12"/>
      <c r="FJ36" s="12"/>
      <c r="FK36" s="12"/>
      <c r="FL36" s="12"/>
      <c r="FM36" s="12"/>
      <c r="FN36" s="12"/>
      <c r="FO36" s="12"/>
      <c r="FP36" s="12"/>
      <c r="FQ36" s="12"/>
      <c r="FR36" s="12"/>
      <c r="FS36" s="12"/>
      <c r="FT36" s="12"/>
      <c r="FU36" s="12"/>
      <c r="FV36" s="12"/>
      <c r="FW36" s="12"/>
      <c r="FX36" s="12"/>
      <c r="FY36" s="12"/>
      <c r="FZ36" s="12"/>
      <c r="GA36" s="12"/>
      <c r="GB36" s="12"/>
      <c r="GC36" s="12"/>
      <c r="GD36" s="12"/>
      <c r="GE36" s="12"/>
    </row>
    <row r="37" spans="1:187" ht="21" customHeight="1">
      <c r="A37" s="45"/>
      <c r="B37" s="86" t="s">
        <v>372</v>
      </c>
      <c r="C37" s="10" t="s">
        <v>99</v>
      </c>
      <c r="D37" s="10" t="s">
        <v>374</v>
      </c>
      <c r="E37" s="35">
        <v>181.44499999999999</v>
      </c>
      <c r="F37" s="35">
        <f>280.895-E37</f>
        <v>99.449999999999989</v>
      </c>
      <c r="G37" s="35">
        <v>56.17</v>
      </c>
      <c r="H37" s="35">
        <v>157.97</v>
      </c>
      <c r="I37" s="35">
        <f t="shared" si="0"/>
        <v>495.03499999999997</v>
      </c>
      <c r="J37" s="56">
        <v>505.57</v>
      </c>
      <c r="K37" s="49">
        <v>2988.19</v>
      </c>
      <c r="L37" s="49">
        <v>3107.7175999999999</v>
      </c>
      <c r="M37" s="49">
        <v>1486.01</v>
      </c>
      <c r="N37" s="49">
        <v>1540.9923699999999</v>
      </c>
      <c r="O37" s="56"/>
      <c r="P37" s="1">
        <f t="shared" ref="P37" si="7">(K37-M37)*E37</f>
        <v>272563.05009999999</v>
      </c>
      <c r="Q37" s="1">
        <f t="shared" si="3"/>
        <v>149391.80099999998</v>
      </c>
      <c r="R37" s="1">
        <f t="shared" si="4"/>
        <v>88002.956169099998</v>
      </c>
      <c r="S37" s="1">
        <f t="shared" si="5"/>
        <v>247495.58458309999</v>
      </c>
      <c r="T37" s="1">
        <f t="shared" si="6"/>
        <v>757453.39185220003</v>
      </c>
      <c r="U37" s="11"/>
      <c r="V37" s="11"/>
      <c r="W37" s="11"/>
      <c r="X37" s="12"/>
      <c r="Y37" s="12"/>
      <c r="Z37" s="12"/>
      <c r="AA37" s="12"/>
      <c r="AB37" s="12"/>
      <c r="AC37" s="12"/>
      <c r="AD37" s="12"/>
      <c r="AE37" s="12"/>
      <c r="AF37" s="12"/>
      <c r="AG37" s="12"/>
      <c r="AH37" s="12"/>
      <c r="AI37" s="12"/>
      <c r="AJ37" s="12"/>
      <c r="AK37" s="12"/>
      <c r="AL37" s="12"/>
      <c r="AM37" s="12"/>
      <c r="AN37" s="12"/>
      <c r="AO37" s="12"/>
      <c r="AP37" s="12"/>
      <c r="AQ37" s="12"/>
      <c r="AR37" s="12"/>
      <c r="AS37" s="12"/>
      <c r="AT37" s="12"/>
      <c r="AU37" s="12"/>
      <c r="AV37" s="12"/>
      <c r="AW37" s="12"/>
      <c r="AX37" s="12"/>
      <c r="AY37" s="12"/>
      <c r="AZ37" s="12"/>
      <c r="BA37" s="12"/>
      <c r="BB37" s="12"/>
      <c r="BC37" s="12"/>
      <c r="BD37" s="12"/>
      <c r="BE37" s="12"/>
      <c r="BF37" s="12"/>
      <c r="BG37" s="12"/>
      <c r="BH37" s="12"/>
      <c r="BI37" s="12"/>
      <c r="BJ37" s="12"/>
      <c r="BK37" s="12"/>
      <c r="BL37" s="12"/>
      <c r="BM37" s="12"/>
      <c r="BN37" s="12"/>
      <c r="BO37" s="12"/>
      <c r="BP37" s="12"/>
      <c r="BQ37" s="12"/>
      <c r="BR37" s="12"/>
      <c r="BS37" s="12"/>
      <c r="BT37" s="12"/>
      <c r="BU37" s="12"/>
      <c r="BV37" s="12"/>
      <c r="BW37" s="12"/>
      <c r="BX37" s="12"/>
      <c r="BY37" s="12"/>
      <c r="BZ37" s="12"/>
      <c r="CA37" s="12"/>
      <c r="CB37" s="12"/>
      <c r="CC37" s="12"/>
      <c r="CD37" s="12"/>
      <c r="CE37" s="12"/>
      <c r="CF37" s="12"/>
      <c r="CG37" s="12"/>
      <c r="CH37" s="12"/>
      <c r="CI37" s="12"/>
      <c r="CJ37" s="12"/>
      <c r="CK37" s="12"/>
      <c r="CL37" s="12"/>
      <c r="CM37" s="12"/>
      <c r="CN37" s="12"/>
      <c r="CO37" s="12"/>
      <c r="CP37" s="12"/>
      <c r="CQ37" s="12"/>
      <c r="CR37" s="12"/>
      <c r="CS37" s="12"/>
      <c r="CT37" s="12"/>
      <c r="CU37" s="12"/>
      <c r="CV37" s="12"/>
      <c r="CW37" s="12"/>
      <c r="CX37" s="12"/>
      <c r="CY37" s="12"/>
      <c r="CZ37" s="12"/>
      <c r="DA37" s="12"/>
      <c r="DB37" s="12"/>
      <c r="DC37" s="12"/>
      <c r="DD37" s="12"/>
      <c r="DE37" s="12"/>
      <c r="DF37" s="12"/>
      <c r="DG37" s="12"/>
      <c r="DH37" s="12"/>
      <c r="DI37" s="12"/>
      <c r="DJ37" s="12"/>
      <c r="DK37" s="12"/>
      <c r="DL37" s="12"/>
      <c r="DM37" s="12"/>
      <c r="DN37" s="12"/>
      <c r="DO37" s="12"/>
      <c r="DP37" s="12"/>
      <c r="DQ37" s="12"/>
      <c r="DR37" s="12"/>
      <c r="DS37" s="12"/>
      <c r="DT37" s="12"/>
      <c r="DU37" s="12"/>
      <c r="DV37" s="12"/>
      <c r="DW37" s="12"/>
      <c r="DX37" s="12"/>
      <c r="DY37" s="12"/>
      <c r="DZ37" s="12"/>
      <c r="EA37" s="12"/>
      <c r="EB37" s="12"/>
      <c r="EC37" s="12"/>
      <c r="ED37" s="12"/>
      <c r="EE37" s="12"/>
      <c r="EF37" s="12"/>
      <c r="EG37" s="12"/>
      <c r="EH37" s="12"/>
      <c r="EI37" s="12"/>
      <c r="EJ37" s="12"/>
      <c r="EK37" s="12"/>
      <c r="EL37" s="12"/>
      <c r="EM37" s="12"/>
      <c r="EN37" s="12"/>
      <c r="EO37" s="12"/>
      <c r="EP37" s="12"/>
      <c r="EQ37" s="12"/>
      <c r="ER37" s="12"/>
      <c r="ES37" s="12"/>
      <c r="ET37" s="12"/>
      <c r="EU37" s="12"/>
      <c r="EV37" s="12"/>
      <c r="EW37" s="12"/>
      <c r="EX37" s="12"/>
      <c r="EY37" s="12"/>
      <c r="EZ37" s="12"/>
      <c r="FA37" s="12"/>
      <c r="FB37" s="12"/>
      <c r="FC37" s="12"/>
      <c r="FD37" s="12"/>
      <c r="FE37" s="12"/>
      <c r="FF37" s="12"/>
      <c r="FG37" s="12"/>
      <c r="FH37" s="12"/>
      <c r="FI37" s="12"/>
      <c r="FJ37" s="12"/>
      <c r="FK37" s="12"/>
      <c r="FL37" s="12"/>
      <c r="FM37" s="12"/>
      <c r="FN37" s="12"/>
      <c r="FO37" s="12"/>
      <c r="FP37" s="12"/>
      <c r="FQ37" s="12"/>
      <c r="FR37" s="12"/>
      <c r="FS37" s="12"/>
      <c r="FT37" s="12"/>
      <c r="FU37" s="12"/>
      <c r="FV37" s="12"/>
      <c r="FW37" s="12"/>
      <c r="FX37" s="12"/>
      <c r="FY37" s="12"/>
      <c r="FZ37" s="12"/>
      <c r="GA37" s="12"/>
      <c r="GB37" s="12"/>
      <c r="GC37" s="12"/>
      <c r="GD37" s="12"/>
      <c r="GE37" s="12"/>
    </row>
    <row r="38" spans="1:187" ht="21" customHeight="1">
      <c r="A38" s="45"/>
      <c r="B38" s="86" t="s">
        <v>39</v>
      </c>
      <c r="C38" s="10" t="s">
        <v>100</v>
      </c>
      <c r="D38" s="10" t="s">
        <v>101</v>
      </c>
      <c r="E38" s="35">
        <v>115.476</v>
      </c>
      <c r="F38" s="35">
        <f>193.742-E38</f>
        <v>78.265999999999991</v>
      </c>
      <c r="G38" s="35">
        <v>35.96</v>
      </c>
      <c r="H38" s="35">
        <f>147.418-G38</f>
        <v>111.458</v>
      </c>
      <c r="I38" s="35">
        <f t="shared" si="0"/>
        <v>341.15999999999997</v>
      </c>
      <c r="J38" s="56">
        <v>461.75490179999997</v>
      </c>
      <c r="K38" s="49">
        <v>4066.67</v>
      </c>
      <c r="L38" s="49">
        <v>4229.3368</v>
      </c>
      <c r="M38" s="49">
        <v>1415.42</v>
      </c>
      <c r="N38" s="49">
        <v>1467.79054</v>
      </c>
      <c r="O38" s="56">
        <f t="shared" si="1"/>
        <v>2651.25</v>
      </c>
      <c r="P38" s="1">
        <f t="shared" si="2"/>
        <v>306155.745</v>
      </c>
      <c r="Q38" s="1">
        <f t="shared" si="3"/>
        <v>207502.73249999998</v>
      </c>
      <c r="R38" s="1">
        <f t="shared" si="4"/>
        <v>99305.203509600004</v>
      </c>
      <c r="S38" s="1">
        <f t="shared" si="5"/>
        <v>307796.42304708</v>
      </c>
      <c r="T38" s="1">
        <f t="shared" si="6"/>
        <v>920760.10405667988</v>
      </c>
      <c r="U38" s="11"/>
      <c r="V38" s="11"/>
      <c r="W38" s="11"/>
      <c r="X38" s="12"/>
      <c r="Y38" s="12"/>
      <c r="Z38" s="12"/>
      <c r="AA38" s="12"/>
      <c r="AB38" s="12"/>
      <c r="AC38" s="12"/>
      <c r="AD38" s="12"/>
      <c r="AE38" s="12"/>
      <c r="AF38" s="12"/>
      <c r="AG38" s="12"/>
      <c r="AH38" s="12"/>
      <c r="AI38" s="12"/>
      <c r="AJ38" s="12"/>
      <c r="AK38" s="12"/>
      <c r="AL38" s="12"/>
      <c r="AM38" s="12"/>
      <c r="AN38" s="12"/>
      <c r="AO38" s="12"/>
      <c r="AP38" s="12"/>
      <c r="AQ38" s="12"/>
      <c r="AR38" s="12"/>
      <c r="AS38" s="12"/>
      <c r="AT38" s="12"/>
      <c r="AU38" s="12"/>
      <c r="AV38" s="12"/>
      <c r="AW38" s="12"/>
      <c r="AX38" s="12"/>
      <c r="AY38" s="12"/>
      <c r="AZ38" s="12"/>
      <c r="BA38" s="12"/>
      <c r="BB38" s="12"/>
      <c r="BC38" s="12"/>
      <c r="BD38" s="12"/>
      <c r="BE38" s="12"/>
      <c r="BF38" s="12"/>
      <c r="BG38" s="12"/>
      <c r="BH38" s="12"/>
      <c r="BI38" s="12"/>
      <c r="BJ38" s="12"/>
      <c r="BK38" s="12"/>
      <c r="BL38" s="12"/>
      <c r="BM38" s="12"/>
      <c r="BN38" s="12"/>
      <c r="BO38" s="12"/>
      <c r="BP38" s="12"/>
      <c r="BQ38" s="12"/>
      <c r="BR38" s="12"/>
      <c r="BS38" s="12"/>
      <c r="BT38" s="12"/>
      <c r="BU38" s="12"/>
      <c r="BV38" s="12"/>
      <c r="BW38" s="12"/>
      <c r="BX38" s="12"/>
      <c r="BY38" s="12"/>
      <c r="BZ38" s="12"/>
      <c r="CA38" s="12"/>
      <c r="CB38" s="12"/>
      <c r="CC38" s="12"/>
      <c r="CD38" s="12"/>
      <c r="CE38" s="12"/>
      <c r="CF38" s="12"/>
      <c r="CG38" s="12"/>
      <c r="CH38" s="12"/>
      <c r="CI38" s="12"/>
      <c r="CJ38" s="12"/>
      <c r="CK38" s="12"/>
      <c r="CL38" s="12"/>
      <c r="CM38" s="12"/>
      <c r="CN38" s="12"/>
      <c r="CO38" s="12"/>
      <c r="CP38" s="12"/>
      <c r="CQ38" s="12"/>
      <c r="CR38" s="12"/>
      <c r="CS38" s="12"/>
      <c r="CT38" s="12"/>
      <c r="CU38" s="12"/>
      <c r="CV38" s="12"/>
      <c r="CW38" s="12"/>
      <c r="CX38" s="12"/>
      <c r="CY38" s="12"/>
      <c r="CZ38" s="12"/>
      <c r="DA38" s="12"/>
      <c r="DB38" s="12"/>
      <c r="DC38" s="12"/>
      <c r="DD38" s="12"/>
      <c r="DE38" s="12"/>
      <c r="DF38" s="12"/>
      <c r="DG38" s="12"/>
      <c r="DH38" s="12"/>
      <c r="DI38" s="12"/>
      <c r="DJ38" s="12"/>
      <c r="DK38" s="12"/>
      <c r="DL38" s="12"/>
      <c r="DM38" s="12"/>
      <c r="DN38" s="12"/>
      <c r="DO38" s="12"/>
      <c r="DP38" s="12"/>
      <c r="DQ38" s="12"/>
      <c r="DR38" s="12"/>
      <c r="DS38" s="12"/>
      <c r="DT38" s="12"/>
      <c r="DU38" s="12"/>
      <c r="DV38" s="12"/>
      <c r="DW38" s="12"/>
      <c r="DX38" s="12"/>
      <c r="DY38" s="12"/>
      <c r="DZ38" s="12"/>
      <c r="EA38" s="12"/>
      <c r="EB38" s="12"/>
      <c r="EC38" s="12"/>
      <c r="ED38" s="12"/>
      <c r="EE38" s="12"/>
      <c r="EF38" s="12"/>
      <c r="EG38" s="12"/>
      <c r="EH38" s="12"/>
      <c r="EI38" s="12"/>
      <c r="EJ38" s="12"/>
      <c r="EK38" s="12"/>
      <c r="EL38" s="12"/>
      <c r="EM38" s="12"/>
      <c r="EN38" s="12"/>
      <c r="EO38" s="12"/>
      <c r="EP38" s="12"/>
      <c r="EQ38" s="12"/>
      <c r="ER38" s="12"/>
      <c r="ES38" s="12"/>
      <c r="ET38" s="12"/>
      <c r="EU38" s="12"/>
      <c r="EV38" s="12"/>
      <c r="EW38" s="12"/>
      <c r="EX38" s="12"/>
      <c r="EY38" s="12"/>
      <c r="EZ38" s="12"/>
      <c r="FA38" s="12"/>
      <c r="FB38" s="12"/>
      <c r="FC38" s="12"/>
      <c r="FD38" s="12"/>
      <c r="FE38" s="12"/>
      <c r="FF38" s="12"/>
      <c r="FG38" s="12"/>
      <c r="FH38" s="12"/>
      <c r="FI38" s="12"/>
      <c r="FJ38" s="12"/>
      <c r="FK38" s="12"/>
      <c r="FL38" s="12"/>
      <c r="FM38" s="12"/>
      <c r="FN38" s="12"/>
      <c r="FO38" s="12"/>
      <c r="FP38" s="12"/>
      <c r="FQ38" s="12"/>
      <c r="FR38" s="12"/>
      <c r="FS38" s="12"/>
      <c r="FT38" s="12"/>
      <c r="FU38" s="12"/>
      <c r="FV38" s="12"/>
      <c r="FW38" s="12"/>
      <c r="FX38" s="12"/>
      <c r="FY38" s="12"/>
      <c r="FZ38" s="12"/>
      <c r="GA38" s="12"/>
      <c r="GB38" s="12"/>
      <c r="GC38" s="12"/>
      <c r="GD38" s="12"/>
      <c r="GE38" s="12"/>
    </row>
    <row r="39" spans="1:187" ht="21" customHeight="1">
      <c r="A39" s="45"/>
      <c r="B39" s="86" t="s">
        <v>38</v>
      </c>
      <c r="C39" s="10" t="s">
        <v>93</v>
      </c>
      <c r="D39" s="10" t="s">
        <v>94</v>
      </c>
      <c r="E39" s="35">
        <v>141.56100000000001</v>
      </c>
      <c r="F39" s="35">
        <f>219.191-E39</f>
        <v>77.63</v>
      </c>
      <c r="G39" s="35">
        <v>21.262</v>
      </c>
      <c r="H39" s="35">
        <f>157.95-G39</f>
        <v>136.68799999999999</v>
      </c>
      <c r="I39" s="35">
        <f t="shared" si="0"/>
        <v>377.14099999999996</v>
      </c>
      <c r="J39" s="56">
        <v>380</v>
      </c>
      <c r="K39" s="49">
        <v>2933.87</v>
      </c>
      <c r="L39" s="49">
        <v>3051.2248</v>
      </c>
      <c r="M39" s="49">
        <v>1595.47</v>
      </c>
      <c r="N39" s="49">
        <v>1654.5023899999999</v>
      </c>
      <c r="O39" s="56">
        <f t="shared" si="1"/>
        <v>1338.3999999999999</v>
      </c>
      <c r="P39" s="1">
        <f t="shared" si="2"/>
        <v>189465.24239999999</v>
      </c>
      <c r="Q39" s="1">
        <f t="shared" si="3"/>
        <v>103899.99199999998</v>
      </c>
      <c r="R39" s="1">
        <f t="shared" si="4"/>
        <v>29697.111881420002</v>
      </c>
      <c r="S39" s="1">
        <f t="shared" si="5"/>
        <v>190915.19277808</v>
      </c>
      <c r="T39" s="1">
        <f t="shared" si="6"/>
        <v>513977.53905949998</v>
      </c>
      <c r="U39" s="11"/>
      <c r="V39" s="11"/>
      <c r="W39" s="11"/>
      <c r="X39" s="12"/>
      <c r="Y39" s="12"/>
      <c r="Z39" s="12"/>
      <c r="AA39" s="12"/>
      <c r="AB39" s="12"/>
      <c r="AC39" s="12"/>
      <c r="AD39" s="12"/>
      <c r="AE39" s="12"/>
      <c r="AF39" s="12"/>
      <c r="AG39" s="12"/>
      <c r="AH39" s="12"/>
      <c r="AI39" s="12"/>
      <c r="AJ39" s="12"/>
      <c r="AK39" s="12"/>
      <c r="AL39" s="12"/>
      <c r="AM39" s="12"/>
      <c r="AN39" s="12"/>
      <c r="AO39" s="12"/>
      <c r="AP39" s="12"/>
      <c r="AQ39" s="12"/>
      <c r="AR39" s="12"/>
      <c r="AS39" s="12"/>
      <c r="AT39" s="12"/>
      <c r="AU39" s="12"/>
      <c r="AV39" s="12"/>
      <c r="AW39" s="12"/>
      <c r="AX39" s="12"/>
      <c r="AY39" s="12"/>
      <c r="AZ39" s="12"/>
      <c r="BA39" s="12"/>
      <c r="BB39" s="12"/>
      <c r="BC39" s="12"/>
      <c r="BD39" s="12"/>
      <c r="BE39" s="12"/>
      <c r="BF39" s="12"/>
      <c r="BG39" s="12"/>
      <c r="BH39" s="12"/>
      <c r="BI39" s="12"/>
      <c r="BJ39" s="12"/>
      <c r="BK39" s="12"/>
      <c r="BL39" s="12"/>
      <c r="BM39" s="12"/>
      <c r="BN39" s="12"/>
      <c r="BO39" s="12"/>
      <c r="BP39" s="12"/>
      <c r="BQ39" s="12"/>
      <c r="BR39" s="12"/>
      <c r="BS39" s="12"/>
      <c r="BT39" s="12"/>
      <c r="BU39" s="12"/>
      <c r="BV39" s="12"/>
      <c r="BW39" s="12"/>
      <c r="BX39" s="12"/>
      <c r="BY39" s="12"/>
      <c r="BZ39" s="12"/>
      <c r="CA39" s="12"/>
      <c r="CB39" s="12"/>
      <c r="CC39" s="12"/>
      <c r="CD39" s="12"/>
      <c r="CE39" s="12"/>
      <c r="CF39" s="12"/>
      <c r="CG39" s="12"/>
      <c r="CH39" s="12"/>
      <c r="CI39" s="12"/>
      <c r="CJ39" s="12"/>
      <c r="CK39" s="12"/>
      <c r="CL39" s="12"/>
      <c r="CM39" s="12"/>
      <c r="CN39" s="12"/>
      <c r="CO39" s="12"/>
      <c r="CP39" s="12"/>
      <c r="CQ39" s="12"/>
      <c r="CR39" s="12"/>
      <c r="CS39" s="12"/>
      <c r="CT39" s="12"/>
      <c r="CU39" s="12"/>
      <c r="CV39" s="12"/>
      <c r="CW39" s="12"/>
      <c r="CX39" s="12"/>
      <c r="CY39" s="12"/>
      <c r="CZ39" s="12"/>
      <c r="DA39" s="12"/>
      <c r="DB39" s="12"/>
      <c r="DC39" s="12"/>
      <c r="DD39" s="12"/>
      <c r="DE39" s="12"/>
      <c r="DF39" s="12"/>
      <c r="DG39" s="12"/>
      <c r="DH39" s="12"/>
      <c r="DI39" s="12"/>
      <c r="DJ39" s="12"/>
      <c r="DK39" s="12"/>
      <c r="DL39" s="12"/>
      <c r="DM39" s="12"/>
      <c r="DN39" s="12"/>
      <c r="DO39" s="12"/>
      <c r="DP39" s="12"/>
      <c r="DQ39" s="12"/>
      <c r="DR39" s="12"/>
      <c r="DS39" s="12"/>
      <c r="DT39" s="12"/>
      <c r="DU39" s="12"/>
      <c r="DV39" s="12"/>
      <c r="DW39" s="12"/>
      <c r="DX39" s="12"/>
      <c r="DY39" s="12"/>
      <c r="DZ39" s="12"/>
      <c r="EA39" s="12"/>
      <c r="EB39" s="12"/>
      <c r="EC39" s="12"/>
      <c r="ED39" s="12"/>
      <c r="EE39" s="12"/>
      <c r="EF39" s="12"/>
      <c r="EG39" s="12"/>
      <c r="EH39" s="12"/>
      <c r="EI39" s="12"/>
      <c r="EJ39" s="12"/>
      <c r="EK39" s="12"/>
      <c r="EL39" s="12"/>
      <c r="EM39" s="12"/>
      <c r="EN39" s="12"/>
      <c r="EO39" s="12"/>
      <c r="EP39" s="12"/>
      <c r="EQ39" s="12"/>
      <c r="ER39" s="12"/>
      <c r="ES39" s="12"/>
      <c r="ET39" s="12"/>
      <c r="EU39" s="12"/>
      <c r="EV39" s="12"/>
      <c r="EW39" s="12"/>
      <c r="EX39" s="12"/>
      <c r="EY39" s="12"/>
      <c r="EZ39" s="12"/>
      <c r="FA39" s="12"/>
      <c r="FB39" s="12"/>
      <c r="FC39" s="12"/>
      <c r="FD39" s="12"/>
      <c r="FE39" s="12"/>
      <c r="FF39" s="12"/>
      <c r="FG39" s="12"/>
      <c r="FH39" s="12"/>
      <c r="FI39" s="12"/>
      <c r="FJ39" s="12"/>
      <c r="FK39" s="12"/>
      <c r="FL39" s="12"/>
      <c r="FM39" s="12"/>
      <c r="FN39" s="12"/>
      <c r="FO39" s="12"/>
      <c r="FP39" s="12"/>
      <c r="FQ39" s="12"/>
      <c r="FR39" s="12"/>
      <c r="FS39" s="12"/>
      <c r="FT39" s="12"/>
      <c r="FU39" s="12"/>
      <c r="FV39" s="12"/>
      <c r="FW39" s="12"/>
      <c r="FX39" s="12"/>
      <c r="FY39" s="12"/>
      <c r="FZ39" s="12"/>
      <c r="GA39" s="12"/>
      <c r="GB39" s="12"/>
      <c r="GC39" s="12"/>
      <c r="GD39" s="12"/>
      <c r="GE39" s="12"/>
    </row>
    <row r="40" spans="1:187" ht="21" customHeight="1">
      <c r="A40" s="45"/>
      <c r="B40" s="86" t="s">
        <v>288</v>
      </c>
      <c r="C40" s="10" t="s">
        <v>91</v>
      </c>
      <c r="D40" s="10" t="s">
        <v>92</v>
      </c>
      <c r="E40" s="35">
        <v>182.91</v>
      </c>
      <c r="F40" s="35">
        <f>275.79-E40</f>
        <v>92.880000000000024</v>
      </c>
      <c r="G40" s="35">
        <v>23.78</v>
      </c>
      <c r="H40" s="35">
        <f>196.59-G40</f>
        <v>172.81</v>
      </c>
      <c r="I40" s="35">
        <f t="shared" si="0"/>
        <v>472.38000000000005</v>
      </c>
      <c r="J40" s="56">
        <v>619.14540599999998</v>
      </c>
      <c r="K40" s="49">
        <v>3393.35</v>
      </c>
      <c r="L40" s="49">
        <v>3529.0839999999998</v>
      </c>
      <c r="M40" s="49">
        <v>1386.68</v>
      </c>
      <c r="N40" s="49">
        <v>1437.9871599999999</v>
      </c>
      <c r="O40" s="56">
        <f t="shared" si="1"/>
        <v>2006.6699999999998</v>
      </c>
      <c r="P40" s="1">
        <f t="shared" si="2"/>
        <v>367040.00969999994</v>
      </c>
      <c r="Q40" s="1">
        <f t="shared" si="3"/>
        <v>186379.50960000002</v>
      </c>
      <c r="R40" s="1">
        <f t="shared" si="4"/>
        <v>49726.282855200006</v>
      </c>
      <c r="S40" s="1">
        <f t="shared" si="5"/>
        <v>361362.44492040004</v>
      </c>
      <c r="T40" s="1">
        <f t="shared" si="6"/>
        <v>964508.24707559997</v>
      </c>
      <c r="U40" s="11"/>
      <c r="V40" s="11"/>
      <c r="W40" s="11"/>
      <c r="X40" s="12"/>
      <c r="Y40" s="12"/>
      <c r="Z40" s="12"/>
      <c r="AA40" s="12"/>
      <c r="AB40" s="12"/>
      <c r="AC40" s="12"/>
      <c r="AD40" s="12"/>
      <c r="AE40" s="12"/>
      <c r="AF40" s="12"/>
      <c r="AG40" s="12"/>
      <c r="AH40" s="12"/>
      <c r="AI40" s="12"/>
      <c r="AJ40" s="12"/>
      <c r="AK40" s="12"/>
      <c r="AL40" s="12"/>
      <c r="AM40" s="12"/>
      <c r="AN40" s="12"/>
      <c r="AO40" s="12"/>
      <c r="AP40" s="12"/>
      <c r="AQ40" s="12"/>
      <c r="AR40" s="12"/>
      <c r="AS40" s="12"/>
      <c r="AT40" s="12"/>
      <c r="AU40" s="12"/>
      <c r="AV40" s="12"/>
      <c r="AW40" s="12"/>
      <c r="AX40" s="12"/>
      <c r="AY40" s="12"/>
      <c r="AZ40" s="12"/>
      <c r="BA40" s="12"/>
      <c r="BB40" s="12"/>
      <c r="BC40" s="12"/>
      <c r="BD40" s="12"/>
      <c r="BE40" s="12"/>
      <c r="BF40" s="12"/>
      <c r="BG40" s="12"/>
      <c r="BH40" s="12"/>
      <c r="BI40" s="12"/>
      <c r="BJ40" s="12"/>
      <c r="BK40" s="12"/>
      <c r="BL40" s="12"/>
      <c r="BM40" s="12"/>
      <c r="BN40" s="12"/>
      <c r="BO40" s="12"/>
      <c r="BP40" s="12"/>
      <c r="BQ40" s="12"/>
      <c r="BR40" s="12"/>
      <c r="BS40" s="12"/>
      <c r="BT40" s="12"/>
      <c r="BU40" s="12"/>
      <c r="BV40" s="12"/>
      <c r="BW40" s="12"/>
      <c r="BX40" s="12"/>
      <c r="BY40" s="12"/>
      <c r="BZ40" s="12"/>
      <c r="CA40" s="12"/>
      <c r="CB40" s="12"/>
      <c r="CC40" s="12"/>
      <c r="CD40" s="12"/>
      <c r="CE40" s="12"/>
      <c r="CF40" s="12"/>
      <c r="CG40" s="12"/>
      <c r="CH40" s="12"/>
      <c r="CI40" s="12"/>
      <c r="CJ40" s="12"/>
      <c r="CK40" s="12"/>
      <c r="CL40" s="12"/>
      <c r="CM40" s="12"/>
      <c r="CN40" s="12"/>
      <c r="CO40" s="12"/>
      <c r="CP40" s="12"/>
      <c r="CQ40" s="12"/>
      <c r="CR40" s="12"/>
      <c r="CS40" s="12"/>
      <c r="CT40" s="12"/>
      <c r="CU40" s="12"/>
      <c r="CV40" s="12"/>
      <c r="CW40" s="12"/>
      <c r="CX40" s="12"/>
      <c r="CY40" s="12"/>
      <c r="CZ40" s="12"/>
      <c r="DA40" s="12"/>
      <c r="DB40" s="12"/>
      <c r="DC40" s="12"/>
      <c r="DD40" s="12"/>
      <c r="DE40" s="12"/>
      <c r="DF40" s="12"/>
      <c r="DG40" s="12"/>
      <c r="DH40" s="12"/>
      <c r="DI40" s="12"/>
      <c r="DJ40" s="12"/>
      <c r="DK40" s="12"/>
      <c r="DL40" s="12"/>
      <c r="DM40" s="12"/>
      <c r="DN40" s="12"/>
      <c r="DO40" s="12"/>
      <c r="DP40" s="12"/>
      <c r="DQ40" s="12"/>
      <c r="DR40" s="12"/>
      <c r="DS40" s="12"/>
      <c r="DT40" s="12"/>
      <c r="DU40" s="12"/>
      <c r="DV40" s="12"/>
      <c r="DW40" s="12"/>
      <c r="DX40" s="12"/>
      <c r="DY40" s="12"/>
      <c r="DZ40" s="12"/>
      <c r="EA40" s="12"/>
      <c r="EB40" s="12"/>
      <c r="EC40" s="12"/>
      <c r="ED40" s="12"/>
      <c r="EE40" s="12"/>
      <c r="EF40" s="12"/>
      <c r="EG40" s="12"/>
      <c r="EH40" s="12"/>
      <c r="EI40" s="12"/>
      <c r="EJ40" s="12"/>
      <c r="EK40" s="12"/>
      <c r="EL40" s="12"/>
      <c r="EM40" s="12"/>
      <c r="EN40" s="12"/>
      <c r="EO40" s="12"/>
      <c r="EP40" s="12"/>
      <c r="EQ40" s="12"/>
      <c r="ER40" s="12"/>
      <c r="ES40" s="12"/>
      <c r="ET40" s="12"/>
      <c r="EU40" s="12"/>
      <c r="EV40" s="12"/>
      <c r="EW40" s="12"/>
      <c r="EX40" s="12"/>
      <c r="EY40" s="12"/>
      <c r="EZ40" s="12"/>
      <c r="FA40" s="12"/>
      <c r="FB40" s="12"/>
      <c r="FC40" s="12"/>
      <c r="FD40" s="12"/>
      <c r="FE40" s="12"/>
      <c r="FF40" s="12"/>
      <c r="FG40" s="12"/>
      <c r="FH40" s="12"/>
      <c r="FI40" s="12"/>
      <c r="FJ40" s="12"/>
      <c r="FK40" s="12"/>
      <c r="FL40" s="12"/>
      <c r="FM40" s="12"/>
      <c r="FN40" s="12"/>
      <c r="FO40" s="12"/>
      <c r="FP40" s="12"/>
      <c r="FQ40" s="12"/>
      <c r="FR40" s="12"/>
      <c r="FS40" s="12"/>
      <c r="FT40" s="12"/>
      <c r="FU40" s="12"/>
      <c r="FV40" s="12"/>
      <c r="FW40" s="12"/>
      <c r="FX40" s="12"/>
      <c r="FY40" s="12"/>
      <c r="FZ40" s="12"/>
      <c r="GA40" s="12"/>
      <c r="GB40" s="12"/>
      <c r="GC40" s="12"/>
      <c r="GD40" s="12"/>
      <c r="GE40" s="12"/>
    </row>
    <row r="41" spans="1:187" ht="21" customHeight="1">
      <c r="A41" s="45"/>
      <c r="B41" s="86" t="s">
        <v>36</v>
      </c>
      <c r="C41" s="10" t="s">
        <v>97</v>
      </c>
      <c r="D41" s="10" t="s">
        <v>98</v>
      </c>
      <c r="E41" s="35">
        <v>156.34200000000001</v>
      </c>
      <c r="F41" s="35">
        <f>243.759-E41</f>
        <v>87.416999999999973</v>
      </c>
      <c r="G41" s="35">
        <v>24.32</v>
      </c>
      <c r="H41" s="35">
        <f>180.66-G41</f>
        <v>156.34</v>
      </c>
      <c r="I41" s="35">
        <f t="shared" si="0"/>
        <v>424.41899999999998</v>
      </c>
      <c r="J41" s="56">
        <v>460.33416</v>
      </c>
      <c r="K41" s="49">
        <v>4233.6499999999996</v>
      </c>
      <c r="L41" s="49">
        <v>4402.9960000000001</v>
      </c>
      <c r="M41" s="49">
        <v>1497.65</v>
      </c>
      <c r="N41" s="49">
        <v>1553.06305</v>
      </c>
      <c r="O41" s="56">
        <f t="shared" si="1"/>
        <v>2735.9999999999995</v>
      </c>
      <c r="P41" s="1">
        <f t="shared" si="2"/>
        <v>427751.71199999994</v>
      </c>
      <c r="Q41" s="1">
        <f t="shared" si="3"/>
        <v>239172.91199999989</v>
      </c>
      <c r="R41" s="1">
        <f t="shared" si="4"/>
        <v>69310.369344000006</v>
      </c>
      <c r="S41" s="1">
        <f t="shared" si="5"/>
        <v>445558.51740300009</v>
      </c>
      <c r="T41" s="1">
        <f t="shared" si="6"/>
        <v>1181793.5107469999</v>
      </c>
      <c r="U41" s="11"/>
      <c r="V41" s="11"/>
      <c r="W41" s="11"/>
      <c r="X41" s="12"/>
      <c r="Y41" s="12"/>
      <c r="Z41" s="12"/>
      <c r="AA41" s="12"/>
      <c r="AB41" s="12"/>
      <c r="AC41" s="12"/>
      <c r="AD41" s="12"/>
      <c r="AE41" s="12"/>
      <c r="AF41" s="12"/>
      <c r="AG41" s="12"/>
      <c r="AH41" s="12"/>
      <c r="AI41" s="12"/>
      <c r="AJ41" s="12"/>
      <c r="AK41" s="12"/>
      <c r="AL41" s="12"/>
      <c r="AM41" s="12"/>
      <c r="AN41" s="12"/>
      <c r="AO41" s="12"/>
      <c r="AP41" s="12"/>
      <c r="AQ41" s="12"/>
      <c r="AR41" s="12"/>
      <c r="AS41" s="12"/>
      <c r="AT41" s="12"/>
      <c r="AU41" s="12"/>
      <c r="AV41" s="12"/>
      <c r="AW41" s="12"/>
      <c r="AX41" s="12"/>
      <c r="AY41" s="12"/>
      <c r="AZ41" s="12"/>
      <c r="BA41" s="12"/>
      <c r="BB41" s="12"/>
      <c r="BC41" s="12"/>
      <c r="BD41" s="12"/>
      <c r="BE41" s="12"/>
      <c r="BF41" s="12"/>
      <c r="BG41" s="12"/>
      <c r="BH41" s="12"/>
      <c r="BI41" s="12"/>
      <c r="BJ41" s="12"/>
      <c r="BK41" s="12"/>
      <c r="BL41" s="12"/>
      <c r="BM41" s="12"/>
      <c r="BN41" s="12"/>
      <c r="BO41" s="12"/>
      <c r="BP41" s="12"/>
      <c r="BQ41" s="12"/>
      <c r="BR41" s="12"/>
      <c r="BS41" s="12"/>
      <c r="BT41" s="12"/>
      <c r="BU41" s="12"/>
      <c r="BV41" s="12"/>
      <c r="BW41" s="12"/>
      <c r="BX41" s="12"/>
      <c r="BY41" s="12"/>
      <c r="BZ41" s="12"/>
      <c r="CA41" s="12"/>
      <c r="CB41" s="12"/>
      <c r="CC41" s="12"/>
      <c r="CD41" s="12"/>
      <c r="CE41" s="12"/>
      <c r="CF41" s="12"/>
      <c r="CG41" s="12"/>
      <c r="CH41" s="12"/>
      <c r="CI41" s="12"/>
      <c r="CJ41" s="12"/>
      <c r="CK41" s="12"/>
      <c r="CL41" s="12"/>
      <c r="CM41" s="12"/>
      <c r="CN41" s="12"/>
      <c r="CO41" s="12"/>
      <c r="CP41" s="12"/>
      <c r="CQ41" s="12"/>
      <c r="CR41" s="12"/>
      <c r="CS41" s="12"/>
      <c r="CT41" s="12"/>
      <c r="CU41" s="12"/>
      <c r="CV41" s="12"/>
      <c r="CW41" s="12"/>
      <c r="CX41" s="12"/>
      <c r="CY41" s="12"/>
      <c r="CZ41" s="12"/>
      <c r="DA41" s="12"/>
      <c r="DB41" s="12"/>
      <c r="DC41" s="12"/>
      <c r="DD41" s="12"/>
      <c r="DE41" s="12"/>
      <c r="DF41" s="12"/>
      <c r="DG41" s="12"/>
      <c r="DH41" s="12"/>
      <c r="DI41" s="12"/>
      <c r="DJ41" s="12"/>
      <c r="DK41" s="12"/>
      <c r="DL41" s="12"/>
      <c r="DM41" s="12"/>
      <c r="DN41" s="12"/>
      <c r="DO41" s="12"/>
      <c r="DP41" s="12"/>
      <c r="DQ41" s="12"/>
      <c r="DR41" s="12"/>
      <c r="DS41" s="12"/>
      <c r="DT41" s="12"/>
      <c r="DU41" s="12"/>
      <c r="DV41" s="12"/>
      <c r="DW41" s="12"/>
      <c r="DX41" s="12"/>
      <c r="DY41" s="12"/>
      <c r="DZ41" s="12"/>
      <c r="EA41" s="12"/>
      <c r="EB41" s="12"/>
      <c r="EC41" s="12"/>
      <c r="ED41" s="12"/>
      <c r="EE41" s="12"/>
      <c r="EF41" s="12"/>
      <c r="EG41" s="12"/>
      <c r="EH41" s="12"/>
      <c r="EI41" s="12"/>
      <c r="EJ41" s="12"/>
      <c r="EK41" s="12"/>
      <c r="EL41" s="12"/>
      <c r="EM41" s="12"/>
      <c r="EN41" s="12"/>
      <c r="EO41" s="12"/>
      <c r="EP41" s="12"/>
      <c r="EQ41" s="12"/>
      <c r="ER41" s="12"/>
      <c r="ES41" s="12"/>
      <c r="ET41" s="12"/>
      <c r="EU41" s="12"/>
      <c r="EV41" s="12"/>
      <c r="EW41" s="12"/>
      <c r="EX41" s="12"/>
      <c r="EY41" s="12"/>
      <c r="EZ41" s="12"/>
      <c r="FA41" s="12"/>
      <c r="FB41" s="12"/>
      <c r="FC41" s="12"/>
      <c r="FD41" s="12"/>
      <c r="FE41" s="12"/>
      <c r="FF41" s="12"/>
      <c r="FG41" s="12"/>
      <c r="FH41" s="12"/>
      <c r="FI41" s="12"/>
      <c r="FJ41" s="12"/>
      <c r="FK41" s="12"/>
      <c r="FL41" s="12"/>
      <c r="FM41" s="12"/>
      <c r="FN41" s="12"/>
      <c r="FO41" s="12"/>
      <c r="FP41" s="12"/>
      <c r="FQ41" s="12"/>
      <c r="FR41" s="12"/>
      <c r="FS41" s="12"/>
      <c r="FT41" s="12"/>
      <c r="FU41" s="12"/>
      <c r="FV41" s="12"/>
      <c r="FW41" s="12"/>
      <c r="FX41" s="12"/>
      <c r="FY41" s="12"/>
      <c r="FZ41" s="12"/>
      <c r="GA41" s="12"/>
      <c r="GB41" s="12"/>
      <c r="GC41" s="12"/>
      <c r="GD41" s="12"/>
      <c r="GE41" s="12"/>
    </row>
    <row r="42" spans="1:187" ht="21" customHeight="1">
      <c r="A42" s="45"/>
      <c r="B42" s="86" t="s">
        <v>40</v>
      </c>
      <c r="C42" s="10" t="s">
        <v>96</v>
      </c>
      <c r="D42" s="10" t="s">
        <v>94</v>
      </c>
      <c r="E42" s="35">
        <v>146.316</v>
      </c>
      <c r="F42" s="35">
        <f>226.554-E42</f>
        <v>80.238</v>
      </c>
      <c r="G42" s="35">
        <v>21.359000000000002</v>
      </c>
      <c r="H42" s="35">
        <f>166.609-G42</f>
        <v>145.25</v>
      </c>
      <c r="I42" s="35">
        <f t="shared" si="0"/>
        <v>393.16300000000001</v>
      </c>
      <c r="J42" s="56">
        <v>350.4</v>
      </c>
      <c r="K42" s="49">
        <v>3954.18</v>
      </c>
      <c r="L42" s="49">
        <v>4112.3472000000002</v>
      </c>
      <c r="M42" s="49">
        <v>1573.36</v>
      </c>
      <c r="N42" s="49">
        <v>1631.5743199999997</v>
      </c>
      <c r="O42" s="56">
        <f t="shared" si="1"/>
        <v>2380.8199999999997</v>
      </c>
      <c r="P42" s="1">
        <f t="shared" si="2"/>
        <v>348352.05911999999</v>
      </c>
      <c r="Q42" s="1">
        <f t="shared" si="3"/>
        <v>191032.23515999998</v>
      </c>
      <c r="R42" s="1">
        <f t="shared" si="4"/>
        <v>52986.827943920012</v>
      </c>
      <c r="S42" s="1">
        <f t="shared" si="5"/>
        <v>360332.26082000008</v>
      </c>
      <c r="T42" s="1">
        <f t="shared" si="6"/>
        <v>952703.38304392016</v>
      </c>
      <c r="U42" s="11"/>
      <c r="V42" s="11"/>
      <c r="W42" s="11"/>
      <c r="X42" s="12"/>
      <c r="Y42" s="12"/>
      <c r="Z42" s="12"/>
      <c r="AA42" s="12"/>
      <c r="AB42" s="12"/>
      <c r="AC42" s="12"/>
      <c r="AD42" s="12"/>
      <c r="AE42" s="12"/>
      <c r="AF42" s="12"/>
      <c r="AG42" s="12"/>
      <c r="AH42" s="12"/>
      <c r="AI42" s="12"/>
      <c r="AJ42" s="12"/>
      <c r="AK42" s="12"/>
      <c r="AL42" s="12"/>
      <c r="AM42" s="12"/>
      <c r="AN42" s="12"/>
      <c r="AO42" s="12"/>
      <c r="AP42" s="12"/>
      <c r="AQ42" s="12"/>
      <c r="AR42" s="12"/>
      <c r="AS42" s="12"/>
      <c r="AT42" s="12"/>
      <c r="AU42" s="12"/>
      <c r="AV42" s="12"/>
      <c r="AW42" s="12"/>
      <c r="AX42" s="12"/>
      <c r="AY42" s="12"/>
      <c r="AZ42" s="12"/>
      <c r="BA42" s="12"/>
      <c r="BB42" s="12"/>
      <c r="BC42" s="12"/>
      <c r="BD42" s="12"/>
      <c r="BE42" s="12"/>
      <c r="BF42" s="12"/>
      <c r="BG42" s="12"/>
      <c r="BH42" s="12"/>
      <c r="BI42" s="12"/>
      <c r="BJ42" s="12"/>
      <c r="BK42" s="12"/>
      <c r="BL42" s="12"/>
      <c r="BM42" s="12"/>
      <c r="BN42" s="12"/>
      <c r="BO42" s="12"/>
      <c r="BP42" s="12"/>
      <c r="BQ42" s="12"/>
      <c r="BR42" s="12"/>
      <c r="BS42" s="12"/>
      <c r="BT42" s="12"/>
      <c r="BU42" s="12"/>
      <c r="BV42" s="12"/>
      <c r="BW42" s="12"/>
      <c r="BX42" s="12"/>
      <c r="BY42" s="12"/>
      <c r="BZ42" s="12"/>
      <c r="CA42" s="12"/>
      <c r="CB42" s="12"/>
      <c r="CC42" s="12"/>
      <c r="CD42" s="12"/>
      <c r="CE42" s="12"/>
      <c r="CF42" s="12"/>
      <c r="CG42" s="12"/>
      <c r="CH42" s="12"/>
      <c r="CI42" s="12"/>
      <c r="CJ42" s="12"/>
      <c r="CK42" s="12"/>
      <c r="CL42" s="12"/>
      <c r="CM42" s="12"/>
      <c r="CN42" s="12"/>
      <c r="CO42" s="12"/>
      <c r="CP42" s="12"/>
      <c r="CQ42" s="12"/>
      <c r="CR42" s="12"/>
      <c r="CS42" s="12"/>
      <c r="CT42" s="12"/>
      <c r="CU42" s="12"/>
      <c r="CV42" s="12"/>
      <c r="CW42" s="12"/>
      <c r="CX42" s="12"/>
      <c r="CY42" s="12"/>
      <c r="CZ42" s="12"/>
      <c r="DA42" s="12"/>
      <c r="DB42" s="12"/>
      <c r="DC42" s="12"/>
      <c r="DD42" s="12"/>
      <c r="DE42" s="12"/>
      <c r="DF42" s="12"/>
      <c r="DG42" s="12"/>
      <c r="DH42" s="12"/>
      <c r="DI42" s="12"/>
      <c r="DJ42" s="12"/>
      <c r="DK42" s="12"/>
      <c r="DL42" s="12"/>
      <c r="DM42" s="12"/>
      <c r="DN42" s="12"/>
      <c r="DO42" s="12"/>
      <c r="DP42" s="12"/>
      <c r="DQ42" s="12"/>
      <c r="DR42" s="12"/>
      <c r="DS42" s="12"/>
      <c r="DT42" s="12"/>
      <c r="DU42" s="12"/>
      <c r="DV42" s="12"/>
      <c r="DW42" s="12"/>
      <c r="DX42" s="12"/>
      <c r="DY42" s="12"/>
      <c r="DZ42" s="12"/>
      <c r="EA42" s="12"/>
      <c r="EB42" s="12"/>
      <c r="EC42" s="12"/>
      <c r="ED42" s="12"/>
      <c r="EE42" s="12"/>
      <c r="EF42" s="12"/>
      <c r="EG42" s="12"/>
      <c r="EH42" s="12"/>
      <c r="EI42" s="12"/>
      <c r="EJ42" s="12"/>
      <c r="EK42" s="12"/>
      <c r="EL42" s="12"/>
      <c r="EM42" s="12"/>
      <c r="EN42" s="12"/>
      <c r="EO42" s="12"/>
      <c r="EP42" s="12"/>
      <c r="EQ42" s="12"/>
      <c r="ER42" s="12"/>
      <c r="ES42" s="12"/>
      <c r="ET42" s="12"/>
      <c r="EU42" s="12"/>
      <c r="EV42" s="12"/>
      <c r="EW42" s="12"/>
      <c r="EX42" s="12"/>
      <c r="EY42" s="12"/>
      <c r="EZ42" s="12"/>
      <c r="FA42" s="12"/>
      <c r="FB42" s="12"/>
      <c r="FC42" s="12"/>
      <c r="FD42" s="12"/>
      <c r="FE42" s="12"/>
      <c r="FF42" s="12"/>
      <c r="FG42" s="12"/>
      <c r="FH42" s="12"/>
      <c r="FI42" s="12"/>
      <c r="FJ42" s="12"/>
      <c r="FK42" s="12"/>
      <c r="FL42" s="12"/>
      <c r="FM42" s="12"/>
      <c r="FN42" s="12"/>
      <c r="FO42" s="12"/>
      <c r="FP42" s="12"/>
      <c r="FQ42" s="12"/>
      <c r="FR42" s="12"/>
      <c r="FS42" s="12"/>
      <c r="FT42" s="12"/>
      <c r="FU42" s="12"/>
      <c r="FV42" s="12"/>
      <c r="FW42" s="12"/>
      <c r="FX42" s="12"/>
      <c r="FY42" s="12"/>
      <c r="FZ42" s="12"/>
      <c r="GA42" s="12"/>
      <c r="GB42" s="12"/>
      <c r="GC42" s="12"/>
      <c r="GD42" s="12"/>
      <c r="GE42" s="12"/>
    </row>
    <row r="43" spans="1:187" ht="21" customHeight="1">
      <c r="A43" s="45"/>
      <c r="B43" s="101" t="s">
        <v>102</v>
      </c>
      <c r="C43" s="101"/>
      <c r="D43" s="101"/>
      <c r="E43" s="34"/>
      <c r="F43" s="34"/>
      <c r="G43" s="34"/>
      <c r="H43" s="34"/>
      <c r="I43" s="35">
        <f t="shared" si="0"/>
        <v>0</v>
      </c>
      <c r="J43" s="11"/>
      <c r="K43" s="64"/>
      <c r="L43" s="64"/>
      <c r="M43" s="64"/>
      <c r="N43" s="64"/>
      <c r="O43" s="56">
        <f t="shared" si="1"/>
        <v>0</v>
      </c>
      <c r="P43" s="1">
        <f t="shared" si="2"/>
        <v>0</v>
      </c>
      <c r="Q43" s="1">
        <f t="shared" si="3"/>
        <v>0</v>
      </c>
      <c r="R43" s="1">
        <f t="shared" si="4"/>
        <v>0</v>
      </c>
      <c r="S43" s="1">
        <f t="shared" si="5"/>
        <v>0</v>
      </c>
      <c r="T43" s="1">
        <f t="shared" si="6"/>
        <v>0</v>
      </c>
      <c r="U43" s="45"/>
      <c r="V43" s="45"/>
      <c r="W43" s="45"/>
    </row>
    <row r="44" spans="1:187" ht="21" customHeight="1">
      <c r="A44" s="45"/>
      <c r="B44" s="90" t="s">
        <v>19</v>
      </c>
      <c r="C44" s="83" t="s">
        <v>111</v>
      </c>
      <c r="D44" s="18" t="s">
        <v>306</v>
      </c>
      <c r="E44" s="41">
        <v>110.09099999999999</v>
      </c>
      <c r="F44" s="41">
        <f>188.523-E44</f>
        <v>78.432000000000002</v>
      </c>
      <c r="G44" s="41">
        <v>51.164000000000001</v>
      </c>
      <c r="H44" s="41">
        <f>166.495-G44</f>
        <v>115.331</v>
      </c>
      <c r="I44" s="35">
        <f t="shared" si="0"/>
        <v>355.01800000000003</v>
      </c>
      <c r="J44" s="46">
        <v>430.2</v>
      </c>
      <c r="K44" s="66">
        <v>3309.55</v>
      </c>
      <c r="L44" s="66">
        <v>3441.9320000000002</v>
      </c>
      <c r="M44" s="66">
        <v>1640.31</v>
      </c>
      <c r="N44" s="66">
        <v>1701.0014699999999</v>
      </c>
      <c r="O44" s="56">
        <f t="shared" si="1"/>
        <v>1669.2400000000002</v>
      </c>
      <c r="P44" s="1">
        <f t="shared" si="2"/>
        <v>183768.30084000001</v>
      </c>
      <c r="Q44" s="1">
        <f t="shared" si="3"/>
        <v>130921.83168000002</v>
      </c>
      <c r="R44" s="1">
        <f t="shared" si="4"/>
        <v>89072.969636920025</v>
      </c>
      <c r="S44" s="1">
        <f t="shared" si="5"/>
        <v>200783.25895543004</v>
      </c>
      <c r="T44" s="1">
        <f t="shared" si="6"/>
        <v>604546.36111235013</v>
      </c>
      <c r="U44" s="45"/>
      <c r="V44" s="45"/>
      <c r="W44" s="45"/>
    </row>
    <row r="45" spans="1:187" ht="21" customHeight="1">
      <c r="A45" s="45"/>
      <c r="B45" s="86" t="s">
        <v>286</v>
      </c>
      <c r="C45" s="10" t="s">
        <v>108</v>
      </c>
      <c r="D45" s="10" t="s">
        <v>107</v>
      </c>
      <c r="E45" s="35">
        <v>785.19</v>
      </c>
      <c r="F45" s="35">
        <f>1234.15-E45</f>
        <v>448.96000000000004</v>
      </c>
      <c r="G45" s="35">
        <v>172.06800000000001</v>
      </c>
      <c r="H45" s="35">
        <f>901.474-G45</f>
        <v>729.40600000000006</v>
      </c>
      <c r="I45" s="35">
        <f t="shared" si="0"/>
        <v>2135.6240000000003</v>
      </c>
      <c r="J45" s="56">
        <v>2848.4</v>
      </c>
      <c r="K45" s="49">
        <v>4063.05</v>
      </c>
      <c r="L45" s="49">
        <v>4225.5720000000001</v>
      </c>
      <c r="M45" s="49">
        <v>1517.05</v>
      </c>
      <c r="N45" s="49">
        <v>1573.1808499999997</v>
      </c>
      <c r="O45" s="56">
        <f t="shared" si="1"/>
        <v>2546</v>
      </c>
      <c r="P45" s="1">
        <f t="shared" si="2"/>
        <v>1999093.7400000002</v>
      </c>
      <c r="Q45" s="1">
        <f t="shared" si="3"/>
        <v>1143052.1600000001</v>
      </c>
      <c r="R45" s="1">
        <f t="shared" si="4"/>
        <v>456391.64039820008</v>
      </c>
      <c r="S45" s="1">
        <f t="shared" si="5"/>
        <v>1934670.0191569005</v>
      </c>
      <c r="T45" s="1">
        <f t="shared" si="6"/>
        <v>5533207.5595551012</v>
      </c>
      <c r="U45" s="11"/>
      <c r="V45" s="11"/>
      <c r="W45" s="11"/>
      <c r="X45" s="12"/>
      <c r="Y45" s="12"/>
      <c r="Z45" s="12"/>
      <c r="AA45" s="12"/>
      <c r="AB45" s="12"/>
      <c r="AC45" s="12"/>
      <c r="AD45" s="12"/>
      <c r="AE45" s="12"/>
      <c r="AF45" s="12"/>
      <c r="AG45" s="12"/>
      <c r="AH45" s="12"/>
      <c r="AI45" s="12"/>
      <c r="AJ45" s="12"/>
      <c r="AK45" s="12"/>
      <c r="AL45" s="12"/>
      <c r="AM45" s="12"/>
      <c r="AN45" s="12"/>
      <c r="AO45" s="12"/>
      <c r="AP45" s="12"/>
      <c r="AQ45" s="12"/>
      <c r="AR45" s="12"/>
      <c r="AS45" s="12"/>
      <c r="AT45" s="12"/>
      <c r="AU45" s="12"/>
      <c r="AV45" s="12"/>
      <c r="AW45" s="12"/>
      <c r="AX45" s="12"/>
      <c r="AY45" s="12"/>
      <c r="AZ45" s="12"/>
      <c r="BA45" s="12"/>
      <c r="BB45" s="12"/>
      <c r="BC45" s="12"/>
      <c r="BD45" s="12"/>
      <c r="BE45" s="12"/>
      <c r="BF45" s="12"/>
      <c r="BG45" s="12"/>
      <c r="BH45" s="12"/>
      <c r="BI45" s="12"/>
      <c r="BJ45" s="12"/>
      <c r="BK45" s="12"/>
      <c r="BL45" s="12"/>
      <c r="BM45" s="12"/>
      <c r="BN45" s="12"/>
      <c r="BO45" s="12"/>
      <c r="BP45" s="12"/>
      <c r="BQ45" s="12"/>
      <c r="BR45" s="12"/>
      <c r="BS45" s="12"/>
      <c r="BT45" s="12"/>
      <c r="BU45" s="12"/>
      <c r="BV45" s="12"/>
      <c r="BW45" s="12"/>
      <c r="BX45" s="12"/>
      <c r="BY45" s="12"/>
      <c r="BZ45" s="12"/>
      <c r="CA45" s="12"/>
      <c r="CB45" s="12"/>
      <c r="CC45" s="12"/>
      <c r="CD45" s="12"/>
      <c r="CE45" s="12"/>
      <c r="CF45" s="12"/>
      <c r="CG45" s="12"/>
      <c r="CH45" s="12"/>
      <c r="CI45" s="12"/>
      <c r="CJ45" s="12"/>
      <c r="CK45" s="12"/>
      <c r="CL45" s="12"/>
      <c r="CM45" s="12"/>
      <c r="CN45" s="12"/>
      <c r="CO45" s="12"/>
      <c r="CP45" s="12"/>
      <c r="CQ45" s="12"/>
      <c r="CR45" s="12"/>
      <c r="CS45" s="12"/>
      <c r="CT45" s="12"/>
      <c r="CU45" s="12"/>
      <c r="CV45" s="12"/>
      <c r="CW45" s="12"/>
      <c r="CX45" s="12"/>
      <c r="CY45" s="12"/>
      <c r="CZ45" s="12"/>
      <c r="DA45" s="12"/>
      <c r="DB45" s="12"/>
      <c r="DC45" s="12"/>
      <c r="DD45" s="12"/>
      <c r="DE45" s="12"/>
      <c r="DF45" s="12"/>
      <c r="DG45" s="12"/>
      <c r="DH45" s="12"/>
      <c r="DI45" s="12"/>
      <c r="DJ45" s="12"/>
      <c r="DK45" s="12"/>
      <c r="DL45" s="12"/>
      <c r="DM45" s="12"/>
      <c r="DN45" s="12"/>
      <c r="DO45" s="12"/>
      <c r="DP45" s="12"/>
      <c r="DQ45" s="12"/>
      <c r="DR45" s="12"/>
      <c r="DS45" s="12"/>
      <c r="DT45" s="12"/>
      <c r="DU45" s="12"/>
      <c r="DV45" s="12"/>
      <c r="DW45" s="12"/>
      <c r="DX45" s="12"/>
      <c r="DY45" s="12"/>
      <c r="DZ45" s="12"/>
      <c r="EA45" s="12"/>
      <c r="EB45" s="12"/>
      <c r="EC45" s="12"/>
      <c r="ED45" s="12"/>
      <c r="EE45" s="12"/>
      <c r="EF45" s="12"/>
      <c r="EG45" s="12"/>
      <c r="EH45" s="12"/>
      <c r="EI45" s="12"/>
      <c r="EJ45" s="12"/>
      <c r="EK45" s="12"/>
      <c r="EL45" s="12"/>
      <c r="EM45" s="12"/>
      <c r="EN45" s="12"/>
      <c r="EO45" s="12"/>
      <c r="EP45" s="12"/>
      <c r="EQ45" s="12"/>
      <c r="ER45" s="12"/>
      <c r="ES45" s="12"/>
      <c r="ET45" s="12"/>
      <c r="EU45" s="12"/>
      <c r="EV45" s="12"/>
      <c r="EW45" s="12"/>
      <c r="EX45" s="12"/>
      <c r="EY45" s="12"/>
      <c r="EZ45" s="12"/>
      <c r="FA45" s="12"/>
      <c r="FB45" s="12"/>
      <c r="FC45" s="12"/>
      <c r="FD45" s="12"/>
      <c r="FE45" s="12"/>
      <c r="FF45" s="12"/>
      <c r="FG45" s="12"/>
      <c r="FH45" s="12"/>
      <c r="FI45" s="12"/>
      <c r="FJ45" s="12"/>
      <c r="FK45" s="12"/>
      <c r="FL45" s="12"/>
      <c r="FM45" s="12"/>
      <c r="FN45" s="12"/>
      <c r="FO45" s="12"/>
      <c r="FP45" s="12"/>
      <c r="FQ45" s="12"/>
      <c r="FR45" s="12"/>
      <c r="FS45" s="12"/>
      <c r="FT45" s="12"/>
      <c r="FU45" s="12"/>
      <c r="FV45" s="12"/>
      <c r="FW45" s="12"/>
      <c r="FX45" s="12"/>
      <c r="FY45" s="12"/>
      <c r="FZ45" s="12"/>
      <c r="GA45" s="12"/>
      <c r="GB45" s="12"/>
      <c r="GC45" s="12"/>
      <c r="GD45" s="12"/>
      <c r="GE45" s="12"/>
    </row>
    <row r="46" spans="1:187" ht="21" customHeight="1">
      <c r="A46" s="45"/>
      <c r="B46" s="86" t="s">
        <v>32</v>
      </c>
      <c r="C46" s="10" t="s">
        <v>104</v>
      </c>
      <c r="D46" s="10" t="s">
        <v>105</v>
      </c>
      <c r="E46" s="35">
        <v>3392.1039999999998</v>
      </c>
      <c r="F46" s="35">
        <f>5654.57-E46</f>
        <v>2262.4659999999999</v>
      </c>
      <c r="G46" s="35">
        <v>569.38499999999999</v>
      </c>
      <c r="H46" s="35">
        <f>3970.557-G46</f>
        <v>3401.1719999999996</v>
      </c>
      <c r="I46" s="35">
        <f t="shared" si="0"/>
        <v>9625.1270000000004</v>
      </c>
      <c r="J46" s="56">
        <v>9081.1</v>
      </c>
      <c r="K46" s="49">
        <v>3049.85</v>
      </c>
      <c r="L46" s="49">
        <v>3506.25</v>
      </c>
      <c r="M46" s="49">
        <v>1563.1</v>
      </c>
      <c r="N46" s="49">
        <v>1620.9346999999998</v>
      </c>
      <c r="O46" s="56">
        <f t="shared" si="1"/>
        <v>1486.75</v>
      </c>
      <c r="P46" s="1">
        <f t="shared" si="2"/>
        <v>5043210.6219999995</v>
      </c>
      <c r="Q46" s="1">
        <f t="shared" si="3"/>
        <v>3363721.3254999998</v>
      </c>
      <c r="R46" s="1">
        <f t="shared" si="4"/>
        <v>1073470.2520905002</v>
      </c>
      <c r="S46" s="1">
        <f t="shared" si="5"/>
        <v>6412281.6095316</v>
      </c>
      <c r="T46" s="1">
        <f t="shared" si="6"/>
        <v>15892683.8091221</v>
      </c>
      <c r="U46" s="11"/>
      <c r="V46" s="11"/>
      <c r="W46" s="11"/>
      <c r="X46" s="12"/>
      <c r="Y46" s="12"/>
      <c r="Z46" s="12"/>
      <c r="AA46" s="12"/>
      <c r="AB46" s="12"/>
      <c r="AC46" s="12"/>
      <c r="AD46" s="12"/>
      <c r="AE46" s="12"/>
      <c r="AF46" s="12"/>
      <c r="AG46" s="12"/>
      <c r="AH46" s="12"/>
      <c r="AI46" s="12"/>
      <c r="AJ46" s="12"/>
      <c r="AK46" s="12"/>
      <c r="AL46" s="12"/>
      <c r="AM46" s="12"/>
      <c r="AN46" s="12"/>
      <c r="AO46" s="12"/>
      <c r="AP46" s="12"/>
      <c r="AQ46" s="12"/>
      <c r="AR46" s="12"/>
      <c r="AS46" s="12"/>
      <c r="AT46" s="12"/>
      <c r="AU46" s="12"/>
      <c r="AV46" s="12"/>
      <c r="AW46" s="12"/>
      <c r="AX46" s="12"/>
      <c r="AY46" s="12"/>
      <c r="AZ46" s="12"/>
      <c r="BA46" s="12"/>
      <c r="BB46" s="12"/>
      <c r="BC46" s="12"/>
      <c r="BD46" s="12"/>
      <c r="BE46" s="12"/>
      <c r="BF46" s="12"/>
      <c r="BG46" s="12"/>
      <c r="BH46" s="12"/>
      <c r="BI46" s="12"/>
      <c r="BJ46" s="12"/>
      <c r="BK46" s="12"/>
      <c r="BL46" s="12"/>
      <c r="BM46" s="12"/>
      <c r="BN46" s="12"/>
      <c r="BO46" s="12"/>
      <c r="BP46" s="12"/>
      <c r="BQ46" s="12"/>
      <c r="BR46" s="12"/>
      <c r="BS46" s="12"/>
      <c r="BT46" s="12"/>
      <c r="BU46" s="12"/>
      <c r="BV46" s="12"/>
      <c r="BW46" s="12"/>
      <c r="BX46" s="12"/>
      <c r="BY46" s="12"/>
      <c r="BZ46" s="12"/>
      <c r="CA46" s="12"/>
      <c r="CB46" s="12"/>
      <c r="CC46" s="12"/>
      <c r="CD46" s="12"/>
      <c r="CE46" s="12"/>
      <c r="CF46" s="12"/>
      <c r="CG46" s="12"/>
      <c r="CH46" s="12"/>
      <c r="CI46" s="12"/>
      <c r="CJ46" s="12"/>
      <c r="CK46" s="12"/>
      <c r="CL46" s="12"/>
      <c r="CM46" s="12"/>
      <c r="CN46" s="12"/>
      <c r="CO46" s="12"/>
      <c r="CP46" s="12"/>
      <c r="CQ46" s="12"/>
      <c r="CR46" s="12"/>
      <c r="CS46" s="12"/>
      <c r="CT46" s="12"/>
      <c r="CU46" s="12"/>
      <c r="CV46" s="12"/>
      <c r="CW46" s="12"/>
      <c r="CX46" s="12"/>
      <c r="CY46" s="12"/>
      <c r="CZ46" s="12"/>
      <c r="DA46" s="12"/>
      <c r="DB46" s="12"/>
      <c r="DC46" s="12"/>
      <c r="DD46" s="12"/>
      <c r="DE46" s="12"/>
      <c r="DF46" s="12"/>
      <c r="DG46" s="12"/>
      <c r="DH46" s="12"/>
      <c r="DI46" s="12"/>
      <c r="DJ46" s="12"/>
      <c r="DK46" s="12"/>
      <c r="DL46" s="12"/>
      <c r="DM46" s="12"/>
      <c r="DN46" s="12"/>
      <c r="DO46" s="12"/>
      <c r="DP46" s="12"/>
      <c r="DQ46" s="12"/>
      <c r="DR46" s="12"/>
      <c r="DS46" s="12"/>
      <c r="DT46" s="12"/>
      <c r="DU46" s="12"/>
      <c r="DV46" s="12"/>
      <c r="DW46" s="12"/>
      <c r="DX46" s="12"/>
      <c r="DY46" s="12"/>
      <c r="DZ46" s="12"/>
      <c r="EA46" s="12"/>
      <c r="EB46" s="12"/>
      <c r="EC46" s="12"/>
      <c r="ED46" s="12"/>
      <c r="EE46" s="12"/>
      <c r="EF46" s="12"/>
      <c r="EG46" s="12"/>
      <c r="EH46" s="12"/>
      <c r="EI46" s="12"/>
      <c r="EJ46" s="12"/>
      <c r="EK46" s="12"/>
      <c r="EL46" s="12"/>
      <c r="EM46" s="12"/>
      <c r="EN46" s="12"/>
      <c r="EO46" s="12"/>
      <c r="EP46" s="12"/>
      <c r="EQ46" s="12"/>
      <c r="ER46" s="12"/>
      <c r="ES46" s="12"/>
      <c r="ET46" s="12"/>
      <c r="EU46" s="12"/>
      <c r="EV46" s="12"/>
      <c r="EW46" s="12"/>
      <c r="EX46" s="12"/>
      <c r="EY46" s="12"/>
      <c r="EZ46" s="12"/>
      <c r="FA46" s="12"/>
      <c r="FB46" s="12"/>
      <c r="FC46" s="12"/>
      <c r="FD46" s="12"/>
      <c r="FE46" s="12"/>
      <c r="FF46" s="12"/>
      <c r="FG46" s="12"/>
      <c r="FH46" s="12"/>
      <c r="FI46" s="12"/>
      <c r="FJ46" s="12"/>
      <c r="FK46" s="12"/>
      <c r="FL46" s="12"/>
      <c r="FM46" s="12"/>
      <c r="FN46" s="12"/>
      <c r="FO46" s="12"/>
      <c r="FP46" s="12"/>
      <c r="FQ46" s="12"/>
      <c r="FR46" s="12"/>
      <c r="FS46" s="12"/>
      <c r="FT46" s="12"/>
      <c r="FU46" s="12"/>
      <c r="FV46" s="12"/>
      <c r="FW46" s="12"/>
      <c r="FX46" s="12"/>
      <c r="FY46" s="12"/>
      <c r="FZ46" s="12"/>
      <c r="GA46" s="12"/>
      <c r="GB46" s="12"/>
      <c r="GC46" s="12"/>
      <c r="GD46" s="12"/>
      <c r="GE46" s="12"/>
    </row>
    <row r="47" spans="1:187" ht="21" customHeight="1">
      <c r="A47" s="45"/>
      <c r="B47" s="86" t="s">
        <v>32</v>
      </c>
      <c r="C47" s="10" t="s">
        <v>104</v>
      </c>
      <c r="D47" s="38" t="s">
        <v>376</v>
      </c>
      <c r="E47" s="35">
        <v>69.369</v>
      </c>
      <c r="F47" s="35">
        <f>115.615-E47</f>
        <v>46.245999999999995</v>
      </c>
      <c r="G47" s="35">
        <v>20.98</v>
      </c>
      <c r="H47" s="35">
        <v>62.93</v>
      </c>
      <c r="I47" s="35">
        <f t="shared" si="0"/>
        <v>199.52500000000001</v>
      </c>
      <c r="J47" s="56">
        <v>211.4</v>
      </c>
      <c r="K47" s="49">
        <v>3282.31</v>
      </c>
      <c r="L47" s="49">
        <v>3413.6024000000002</v>
      </c>
      <c r="M47" s="49">
        <v>1545.41</v>
      </c>
      <c r="N47" s="49">
        <v>1602.5901699999999</v>
      </c>
      <c r="O47" s="56">
        <f t="shared" si="1"/>
        <v>1736.8999999999999</v>
      </c>
      <c r="P47" s="1">
        <f t="shared" si="2"/>
        <v>120487.01609999999</v>
      </c>
      <c r="Q47" s="1">
        <f t="shared" si="3"/>
        <v>80324.677399999986</v>
      </c>
      <c r="R47" s="1">
        <f t="shared" si="4"/>
        <v>37995.036585400005</v>
      </c>
      <c r="S47" s="1">
        <f t="shared" si="5"/>
        <v>113966.99963390002</v>
      </c>
      <c r="T47" s="1">
        <f t="shared" si="6"/>
        <v>352773.7297193</v>
      </c>
      <c r="U47" s="11"/>
      <c r="V47" s="11"/>
      <c r="W47" s="11"/>
      <c r="X47" s="12"/>
      <c r="Y47" s="12"/>
      <c r="Z47" s="12"/>
      <c r="AA47" s="12"/>
      <c r="AB47" s="12"/>
      <c r="AC47" s="12"/>
      <c r="AD47" s="12"/>
      <c r="AE47" s="12"/>
      <c r="AF47" s="12"/>
      <c r="AG47" s="12"/>
      <c r="AH47" s="12"/>
      <c r="AI47" s="12"/>
      <c r="AJ47" s="12"/>
      <c r="AK47" s="12"/>
      <c r="AL47" s="12"/>
      <c r="AM47" s="12"/>
      <c r="AN47" s="12"/>
      <c r="AO47" s="12"/>
      <c r="AP47" s="12"/>
      <c r="AQ47" s="12"/>
      <c r="AR47" s="12"/>
      <c r="AS47" s="12"/>
      <c r="AT47" s="12"/>
      <c r="AU47" s="12"/>
      <c r="AV47" s="12"/>
      <c r="AW47" s="12"/>
      <c r="AX47" s="12"/>
      <c r="AY47" s="12"/>
      <c r="AZ47" s="12"/>
      <c r="BA47" s="12"/>
      <c r="BB47" s="12"/>
      <c r="BC47" s="12"/>
      <c r="BD47" s="12"/>
      <c r="BE47" s="12"/>
      <c r="BF47" s="12"/>
      <c r="BG47" s="12"/>
      <c r="BH47" s="12"/>
      <c r="BI47" s="12"/>
      <c r="BJ47" s="12"/>
      <c r="BK47" s="12"/>
      <c r="BL47" s="12"/>
      <c r="BM47" s="12"/>
      <c r="BN47" s="12"/>
      <c r="BO47" s="12"/>
      <c r="BP47" s="12"/>
      <c r="BQ47" s="12"/>
      <c r="BR47" s="12"/>
      <c r="BS47" s="12"/>
      <c r="BT47" s="12"/>
      <c r="BU47" s="12"/>
      <c r="BV47" s="12"/>
      <c r="BW47" s="12"/>
      <c r="BX47" s="12"/>
      <c r="BY47" s="12"/>
      <c r="BZ47" s="12"/>
      <c r="CA47" s="12"/>
      <c r="CB47" s="12"/>
      <c r="CC47" s="12"/>
      <c r="CD47" s="12"/>
      <c r="CE47" s="12"/>
      <c r="CF47" s="12"/>
      <c r="CG47" s="12"/>
      <c r="CH47" s="12"/>
      <c r="CI47" s="12"/>
      <c r="CJ47" s="12"/>
      <c r="CK47" s="12"/>
      <c r="CL47" s="12"/>
      <c r="CM47" s="12"/>
      <c r="CN47" s="12"/>
      <c r="CO47" s="12"/>
      <c r="CP47" s="12"/>
      <c r="CQ47" s="12"/>
      <c r="CR47" s="12"/>
      <c r="CS47" s="12"/>
      <c r="CT47" s="12"/>
      <c r="CU47" s="12"/>
      <c r="CV47" s="12"/>
      <c r="CW47" s="12"/>
      <c r="CX47" s="12"/>
      <c r="CY47" s="12"/>
      <c r="CZ47" s="12"/>
      <c r="DA47" s="12"/>
      <c r="DB47" s="12"/>
      <c r="DC47" s="12"/>
      <c r="DD47" s="12"/>
      <c r="DE47" s="12"/>
      <c r="DF47" s="12"/>
      <c r="DG47" s="12"/>
      <c r="DH47" s="12"/>
      <c r="DI47" s="12"/>
      <c r="DJ47" s="12"/>
      <c r="DK47" s="12"/>
      <c r="DL47" s="12"/>
      <c r="DM47" s="12"/>
      <c r="DN47" s="12"/>
      <c r="DO47" s="12"/>
      <c r="DP47" s="12"/>
      <c r="DQ47" s="12"/>
      <c r="DR47" s="12"/>
      <c r="DS47" s="12"/>
      <c r="DT47" s="12"/>
      <c r="DU47" s="12"/>
      <c r="DV47" s="12"/>
      <c r="DW47" s="12"/>
      <c r="DX47" s="12"/>
      <c r="DY47" s="12"/>
      <c r="DZ47" s="12"/>
      <c r="EA47" s="12"/>
      <c r="EB47" s="12"/>
      <c r="EC47" s="12"/>
      <c r="ED47" s="12"/>
      <c r="EE47" s="12"/>
      <c r="EF47" s="12"/>
      <c r="EG47" s="12"/>
      <c r="EH47" s="12"/>
      <c r="EI47" s="12"/>
      <c r="EJ47" s="12"/>
      <c r="EK47" s="12"/>
      <c r="EL47" s="12"/>
      <c r="EM47" s="12"/>
      <c r="EN47" s="12"/>
      <c r="EO47" s="12"/>
      <c r="EP47" s="12"/>
      <c r="EQ47" s="12"/>
      <c r="ER47" s="12"/>
      <c r="ES47" s="12"/>
      <c r="ET47" s="12"/>
      <c r="EU47" s="12"/>
      <c r="EV47" s="12"/>
      <c r="EW47" s="12"/>
      <c r="EX47" s="12"/>
      <c r="EY47" s="12"/>
      <c r="EZ47" s="12"/>
      <c r="FA47" s="12"/>
      <c r="FB47" s="12"/>
      <c r="FC47" s="12"/>
      <c r="FD47" s="12"/>
      <c r="FE47" s="12"/>
      <c r="FF47" s="12"/>
      <c r="FG47" s="12"/>
      <c r="FH47" s="12"/>
      <c r="FI47" s="12"/>
      <c r="FJ47" s="12"/>
      <c r="FK47" s="12"/>
      <c r="FL47" s="12"/>
      <c r="FM47" s="12"/>
      <c r="FN47" s="12"/>
      <c r="FO47" s="12"/>
      <c r="FP47" s="12"/>
      <c r="FQ47" s="12"/>
      <c r="FR47" s="12"/>
      <c r="FS47" s="12"/>
      <c r="FT47" s="12"/>
      <c r="FU47" s="12"/>
      <c r="FV47" s="12"/>
      <c r="FW47" s="12"/>
      <c r="FX47" s="12"/>
      <c r="FY47" s="12"/>
      <c r="FZ47" s="12"/>
      <c r="GA47" s="12"/>
      <c r="GB47" s="12"/>
      <c r="GC47" s="12"/>
      <c r="GD47" s="12"/>
      <c r="GE47" s="12"/>
    </row>
    <row r="48" spans="1:187" ht="21" customHeight="1">
      <c r="A48" s="45"/>
      <c r="B48" s="86" t="s">
        <v>375</v>
      </c>
      <c r="C48" s="10" t="s">
        <v>104</v>
      </c>
      <c r="D48" s="38" t="s">
        <v>377</v>
      </c>
      <c r="E48" s="35">
        <v>48.848999999999997</v>
      </c>
      <c r="F48" s="35">
        <f>81.415-E48</f>
        <v>32.56600000000001</v>
      </c>
      <c r="G48" s="35">
        <v>21.524999999999999</v>
      </c>
      <c r="H48" s="35">
        <v>64.575000000000003</v>
      </c>
      <c r="I48" s="35">
        <f t="shared" si="0"/>
        <v>167.51499999999999</v>
      </c>
      <c r="J48" s="56">
        <v>210</v>
      </c>
      <c r="K48" s="49">
        <v>5552.43</v>
      </c>
      <c r="L48" s="49">
        <v>5774.5272000000004</v>
      </c>
      <c r="M48" s="49">
        <v>1545.41</v>
      </c>
      <c r="N48" s="49">
        <v>1602.5901699999999</v>
      </c>
      <c r="O48" s="56"/>
      <c r="P48" s="1">
        <f t="shared" ref="P48" si="8">(K48-M48)*E48</f>
        <v>195738.91998000001</v>
      </c>
      <c r="Q48" s="1">
        <f t="shared" si="3"/>
        <v>130492.61332000005</v>
      </c>
      <c r="R48" s="1">
        <f t="shared" si="4"/>
        <v>89800.944570750013</v>
      </c>
      <c r="S48" s="1">
        <f t="shared" si="5"/>
        <v>269402.83371225005</v>
      </c>
      <c r="T48" s="1">
        <f t="shared" si="6"/>
        <v>685435.31158300012</v>
      </c>
      <c r="U48" s="11"/>
      <c r="V48" s="11"/>
      <c r="W48" s="11"/>
      <c r="X48" s="12"/>
      <c r="Y48" s="12"/>
      <c r="Z48" s="12"/>
      <c r="AA48" s="12"/>
      <c r="AB48" s="12"/>
      <c r="AC48" s="12"/>
      <c r="AD48" s="12"/>
      <c r="AE48" s="12"/>
      <c r="AF48" s="12"/>
      <c r="AG48" s="12"/>
      <c r="AH48" s="12"/>
      <c r="AI48" s="12"/>
      <c r="AJ48" s="12"/>
      <c r="AK48" s="12"/>
      <c r="AL48" s="12"/>
      <c r="AM48" s="12"/>
      <c r="AN48" s="12"/>
      <c r="AO48" s="12"/>
      <c r="AP48" s="12"/>
      <c r="AQ48" s="12"/>
      <c r="AR48" s="12"/>
      <c r="AS48" s="12"/>
      <c r="AT48" s="12"/>
      <c r="AU48" s="12"/>
      <c r="AV48" s="12"/>
      <c r="AW48" s="12"/>
      <c r="AX48" s="12"/>
      <c r="AY48" s="12"/>
      <c r="AZ48" s="12"/>
      <c r="BA48" s="12"/>
      <c r="BB48" s="12"/>
      <c r="BC48" s="12"/>
      <c r="BD48" s="12"/>
      <c r="BE48" s="12"/>
      <c r="BF48" s="12"/>
      <c r="BG48" s="12"/>
      <c r="BH48" s="12"/>
      <c r="BI48" s="12"/>
      <c r="BJ48" s="12"/>
      <c r="BK48" s="12"/>
      <c r="BL48" s="12"/>
      <c r="BM48" s="12"/>
      <c r="BN48" s="12"/>
      <c r="BO48" s="12"/>
      <c r="BP48" s="12"/>
      <c r="BQ48" s="12"/>
      <c r="BR48" s="12"/>
      <c r="BS48" s="12"/>
      <c r="BT48" s="12"/>
      <c r="BU48" s="12"/>
      <c r="BV48" s="12"/>
      <c r="BW48" s="12"/>
      <c r="BX48" s="12"/>
      <c r="BY48" s="12"/>
      <c r="BZ48" s="12"/>
      <c r="CA48" s="12"/>
      <c r="CB48" s="12"/>
      <c r="CC48" s="12"/>
      <c r="CD48" s="12"/>
      <c r="CE48" s="12"/>
      <c r="CF48" s="12"/>
      <c r="CG48" s="12"/>
      <c r="CH48" s="12"/>
      <c r="CI48" s="12"/>
      <c r="CJ48" s="12"/>
      <c r="CK48" s="12"/>
      <c r="CL48" s="12"/>
      <c r="CM48" s="12"/>
      <c r="CN48" s="12"/>
      <c r="CO48" s="12"/>
      <c r="CP48" s="12"/>
      <c r="CQ48" s="12"/>
      <c r="CR48" s="12"/>
      <c r="CS48" s="12"/>
      <c r="CT48" s="12"/>
      <c r="CU48" s="12"/>
      <c r="CV48" s="12"/>
      <c r="CW48" s="12"/>
      <c r="CX48" s="12"/>
      <c r="CY48" s="12"/>
      <c r="CZ48" s="12"/>
      <c r="DA48" s="12"/>
      <c r="DB48" s="12"/>
      <c r="DC48" s="12"/>
      <c r="DD48" s="12"/>
      <c r="DE48" s="12"/>
      <c r="DF48" s="12"/>
      <c r="DG48" s="12"/>
      <c r="DH48" s="12"/>
      <c r="DI48" s="12"/>
      <c r="DJ48" s="12"/>
      <c r="DK48" s="12"/>
      <c r="DL48" s="12"/>
      <c r="DM48" s="12"/>
      <c r="DN48" s="12"/>
      <c r="DO48" s="12"/>
      <c r="DP48" s="12"/>
      <c r="DQ48" s="12"/>
      <c r="DR48" s="12"/>
      <c r="DS48" s="12"/>
      <c r="DT48" s="12"/>
      <c r="DU48" s="12"/>
      <c r="DV48" s="12"/>
      <c r="DW48" s="12"/>
      <c r="DX48" s="12"/>
      <c r="DY48" s="12"/>
      <c r="DZ48" s="12"/>
      <c r="EA48" s="12"/>
      <c r="EB48" s="12"/>
      <c r="EC48" s="12"/>
      <c r="ED48" s="12"/>
      <c r="EE48" s="12"/>
      <c r="EF48" s="12"/>
      <c r="EG48" s="12"/>
      <c r="EH48" s="12"/>
      <c r="EI48" s="12"/>
      <c r="EJ48" s="12"/>
      <c r="EK48" s="12"/>
      <c r="EL48" s="12"/>
      <c r="EM48" s="12"/>
      <c r="EN48" s="12"/>
      <c r="EO48" s="12"/>
      <c r="EP48" s="12"/>
      <c r="EQ48" s="12"/>
      <c r="ER48" s="12"/>
      <c r="ES48" s="12"/>
      <c r="ET48" s="12"/>
      <c r="EU48" s="12"/>
      <c r="EV48" s="12"/>
      <c r="EW48" s="12"/>
      <c r="EX48" s="12"/>
      <c r="EY48" s="12"/>
      <c r="EZ48" s="12"/>
      <c r="FA48" s="12"/>
      <c r="FB48" s="12"/>
      <c r="FC48" s="12"/>
      <c r="FD48" s="12"/>
      <c r="FE48" s="12"/>
      <c r="FF48" s="12"/>
      <c r="FG48" s="12"/>
      <c r="FH48" s="12"/>
      <c r="FI48" s="12"/>
      <c r="FJ48" s="12"/>
      <c r="FK48" s="12"/>
      <c r="FL48" s="12"/>
      <c r="FM48" s="12"/>
      <c r="FN48" s="12"/>
      <c r="FO48" s="12"/>
      <c r="FP48" s="12"/>
      <c r="FQ48" s="12"/>
      <c r="FR48" s="12"/>
      <c r="FS48" s="12"/>
      <c r="FT48" s="12"/>
      <c r="FU48" s="12"/>
      <c r="FV48" s="12"/>
      <c r="FW48" s="12"/>
      <c r="FX48" s="12"/>
      <c r="FY48" s="12"/>
      <c r="FZ48" s="12"/>
      <c r="GA48" s="12"/>
      <c r="GB48" s="12"/>
      <c r="GC48" s="12"/>
      <c r="GD48" s="12"/>
      <c r="GE48" s="12"/>
    </row>
    <row r="49" spans="1:187" ht="21" customHeight="1">
      <c r="A49" s="45"/>
      <c r="B49" s="86" t="s">
        <v>380</v>
      </c>
      <c r="C49" s="10" t="s">
        <v>381</v>
      </c>
      <c r="D49" s="10" t="s">
        <v>107</v>
      </c>
      <c r="E49" s="35">
        <v>11070.43</v>
      </c>
      <c r="F49" s="35">
        <f>16666.36-E49</f>
        <v>5595.93</v>
      </c>
      <c r="G49" s="35">
        <v>1622.62</v>
      </c>
      <c r="H49" s="35">
        <v>9104.64</v>
      </c>
      <c r="I49" s="35">
        <f t="shared" si="0"/>
        <v>27393.62</v>
      </c>
      <c r="J49" s="56">
        <v>27938.84</v>
      </c>
      <c r="K49" s="49">
        <v>4388.72</v>
      </c>
      <c r="L49" s="49">
        <v>4564.2688000000007</v>
      </c>
      <c r="M49" s="49">
        <v>1452.32</v>
      </c>
      <c r="N49" s="49">
        <v>1506.0558399999998</v>
      </c>
      <c r="O49" s="56">
        <f t="shared" si="1"/>
        <v>2936.4000000000005</v>
      </c>
      <c r="P49" s="1">
        <f t="shared" si="2"/>
        <v>32507210.652000006</v>
      </c>
      <c r="Q49" s="1">
        <f t="shared" si="3"/>
        <v>16431888.852000004</v>
      </c>
      <c r="R49" s="1">
        <f t="shared" si="4"/>
        <v>4962317.5131552005</v>
      </c>
      <c r="S49" s="1">
        <f t="shared" si="5"/>
        <v>27843928.044134405</v>
      </c>
      <c r="T49" s="1">
        <f t="shared" si="6"/>
        <v>81745345.061289608</v>
      </c>
      <c r="U49" s="11"/>
      <c r="V49" s="11"/>
      <c r="W49" s="11"/>
      <c r="X49" s="12"/>
      <c r="Y49" s="12"/>
      <c r="Z49" s="12"/>
      <c r="AA49" s="12"/>
      <c r="AB49" s="12"/>
      <c r="AC49" s="12"/>
      <c r="AD49" s="12"/>
      <c r="AE49" s="12"/>
      <c r="AF49" s="12"/>
      <c r="AG49" s="12"/>
      <c r="AH49" s="12"/>
      <c r="AI49" s="12"/>
      <c r="AJ49" s="12"/>
      <c r="AK49" s="12"/>
      <c r="AL49" s="12"/>
      <c r="AM49" s="12"/>
      <c r="AN49" s="12"/>
      <c r="AO49" s="12"/>
      <c r="AP49" s="12"/>
      <c r="AQ49" s="12"/>
      <c r="AR49" s="12"/>
      <c r="AS49" s="12"/>
      <c r="AT49" s="12"/>
      <c r="AU49" s="12"/>
      <c r="AV49" s="12"/>
      <c r="AW49" s="12"/>
      <c r="AX49" s="12"/>
      <c r="AY49" s="12"/>
      <c r="AZ49" s="12"/>
      <c r="BA49" s="12"/>
      <c r="BB49" s="12"/>
      <c r="BC49" s="12"/>
      <c r="BD49" s="12"/>
      <c r="BE49" s="12"/>
      <c r="BF49" s="12"/>
      <c r="BG49" s="12"/>
      <c r="BH49" s="12"/>
      <c r="BI49" s="12"/>
      <c r="BJ49" s="12"/>
      <c r="BK49" s="12"/>
      <c r="BL49" s="12"/>
      <c r="BM49" s="12"/>
      <c r="BN49" s="12"/>
      <c r="BO49" s="12"/>
      <c r="BP49" s="12"/>
      <c r="BQ49" s="12"/>
      <c r="BR49" s="12"/>
      <c r="BS49" s="12"/>
      <c r="BT49" s="12"/>
      <c r="BU49" s="12"/>
      <c r="BV49" s="12"/>
      <c r="BW49" s="12"/>
      <c r="BX49" s="12"/>
      <c r="BY49" s="12"/>
      <c r="BZ49" s="12"/>
      <c r="CA49" s="12"/>
      <c r="CB49" s="12"/>
      <c r="CC49" s="12"/>
      <c r="CD49" s="12"/>
      <c r="CE49" s="12"/>
      <c r="CF49" s="12"/>
      <c r="CG49" s="12"/>
      <c r="CH49" s="12"/>
      <c r="CI49" s="12"/>
      <c r="CJ49" s="12"/>
      <c r="CK49" s="12"/>
      <c r="CL49" s="12"/>
      <c r="CM49" s="12"/>
      <c r="CN49" s="12"/>
      <c r="CO49" s="12"/>
      <c r="CP49" s="12"/>
      <c r="CQ49" s="12"/>
      <c r="CR49" s="12"/>
      <c r="CS49" s="12"/>
      <c r="CT49" s="12"/>
      <c r="CU49" s="12"/>
      <c r="CV49" s="12"/>
      <c r="CW49" s="12"/>
      <c r="CX49" s="12"/>
      <c r="CY49" s="12"/>
      <c r="CZ49" s="12"/>
      <c r="DA49" s="12"/>
      <c r="DB49" s="12"/>
      <c r="DC49" s="12"/>
      <c r="DD49" s="12"/>
      <c r="DE49" s="12"/>
      <c r="DF49" s="12"/>
      <c r="DG49" s="12"/>
      <c r="DH49" s="12"/>
      <c r="DI49" s="12"/>
      <c r="DJ49" s="12"/>
      <c r="DK49" s="12"/>
      <c r="DL49" s="12"/>
      <c r="DM49" s="12"/>
      <c r="DN49" s="12"/>
      <c r="DO49" s="12"/>
      <c r="DP49" s="12"/>
      <c r="DQ49" s="12"/>
      <c r="DR49" s="12"/>
      <c r="DS49" s="12"/>
      <c r="DT49" s="12"/>
      <c r="DU49" s="12"/>
      <c r="DV49" s="12"/>
      <c r="DW49" s="12"/>
      <c r="DX49" s="12"/>
      <c r="DY49" s="12"/>
      <c r="DZ49" s="12"/>
      <c r="EA49" s="12"/>
      <c r="EB49" s="12"/>
      <c r="EC49" s="12"/>
      <c r="ED49" s="12"/>
      <c r="EE49" s="12"/>
      <c r="EF49" s="12"/>
      <c r="EG49" s="12"/>
      <c r="EH49" s="12"/>
      <c r="EI49" s="12"/>
      <c r="EJ49" s="12"/>
      <c r="EK49" s="12"/>
      <c r="EL49" s="12"/>
      <c r="EM49" s="12"/>
      <c r="EN49" s="12"/>
      <c r="EO49" s="12"/>
      <c r="EP49" s="12"/>
      <c r="EQ49" s="12"/>
      <c r="ER49" s="12"/>
      <c r="ES49" s="12"/>
      <c r="ET49" s="12"/>
      <c r="EU49" s="12"/>
      <c r="EV49" s="12"/>
      <c r="EW49" s="12"/>
      <c r="EX49" s="12"/>
      <c r="EY49" s="12"/>
      <c r="EZ49" s="12"/>
      <c r="FA49" s="12"/>
      <c r="FB49" s="12"/>
      <c r="FC49" s="12"/>
      <c r="FD49" s="12"/>
      <c r="FE49" s="12"/>
      <c r="FF49" s="12"/>
      <c r="FG49" s="12"/>
      <c r="FH49" s="12"/>
      <c r="FI49" s="12"/>
      <c r="FJ49" s="12"/>
      <c r="FK49" s="12"/>
      <c r="FL49" s="12"/>
      <c r="FM49" s="12"/>
      <c r="FN49" s="12"/>
      <c r="FO49" s="12"/>
      <c r="FP49" s="12"/>
      <c r="FQ49" s="12"/>
      <c r="FR49" s="12"/>
      <c r="FS49" s="12"/>
      <c r="FT49" s="12"/>
      <c r="FU49" s="12"/>
      <c r="FV49" s="12"/>
      <c r="FW49" s="12"/>
      <c r="FX49" s="12"/>
      <c r="FY49" s="12"/>
      <c r="FZ49" s="12"/>
      <c r="GA49" s="12"/>
      <c r="GB49" s="12"/>
      <c r="GC49" s="12"/>
      <c r="GD49" s="12"/>
      <c r="GE49" s="12"/>
    </row>
    <row r="50" spans="1:187" ht="21" customHeight="1">
      <c r="A50" s="45"/>
      <c r="B50" s="86" t="s">
        <v>408</v>
      </c>
      <c r="C50" s="10" t="s">
        <v>407</v>
      </c>
      <c r="D50" s="10" t="s">
        <v>103</v>
      </c>
      <c r="E50" s="35">
        <v>76.23</v>
      </c>
      <c r="F50" s="35">
        <f>115.45-E50</f>
        <v>39.22</v>
      </c>
      <c r="G50" s="35">
        <v>8.48</v>
      </c>
      <c r="H50" s="35">
        <v>83.42</v>
      </c>
      <c r="I50" s="35">
        <f t="shared" si="0"/>
        <v>207.35000000000002</v>
      </c>
      <c r="J50" s="56">
        <v>217.3</v>
      </c>
      <c r="K50" s="49">
        <v>3805.82</v>
      </c>
      <c r="L50" s="49">
        <v>3958.0528000000004</v>
      </c>
      <c r="M50" s="49">
        <v>1640.89</v>
      </c>
      <c r="N50" s="49">
        <v>1701.60293</v>
      </c>
      <c r="O50" s="56">
        <f t="shared" si="1"/>
        <v>2164.9300000000003</v>
      </c>
      <c r="P50" s="1">
        <f t="shared" si="2"/>
        <v>165032.61390000003</v>
      </c>
      <c r="Q50" s="1">
        <f t="shared" si="3"/>
        <v>84908.554600000003</v>
      </c>
      <c r="R50" s="1">
        <f t="shared" si="4"/>
        <v>19134.694897600006</v>
      </c>
      <c r="S50" s="1">
        <f t="shared" si="5"/>
        <v>188233.04815540003</v>
      </c>
      <c r="T50" s="1">
        <f t="shared" si="6"/>
        <v>457308.91155300004</v>
      </c>
      <c r="U50" s="11"/>
      <c r="V50" s="11"/>
      <c r="W50" s="11"/>
      <c r="X50" s="12"/>
      <c r="Y50" s="12"/>
      <c r="Z50" s="12"/>
      <c r="AA50" s="12"/>
      <c r="AB50" s="12"/>
      <c r="AC50" s="12"/>
      <c r="AD50" s="12"/>
      <c r="AE50" s="12"/>
      <c r="AF50" s="12"/>
      <c r="AG50" s="12"/>
      <c r="AH50" s="12"/>
      <c r="AI50" s="12"/>
      <c r="AJ50" s="12"/>
      <c r="AK50" s="12"/>
      <c r="AL50" s="12"/>
      <c r="AM50" s="12"/>
      <c r="AN50" s="12"/>
      <c r="AO50" s="12"/>
      <c r="AP50" s="12"/>
      <c r="AQ50" s="12"/>
      <c r="AR50" s="12"/>
      <c r="AS50" s="12"/>
      <c r="AT50" s="12"/>
      <c r="AU50" s="12"/>
      <c r="AV50" s="12"/>
      <c r="AW50" s="12"/>
      <c r="AX50" s="12"/>
      <c r="AY50" s="12"/>
      <c r="AZ50" s="12"/>
      <c r="BA50" s="12"/>
      <c r="BB50" s="12"/>
      <c r="BC50" s="12"/>
      <c r="BD50" s="12"/>
      <c r="BE50" s="12"/>
      <c r="BF50" s="12"/>
      <c r="BG50" s="12"/>
      <c r="BH50" s="12"/>
      <c r="BI50" s="12"/>
      <c r="BJ50" s="12"/>
      <c r="BK50" s="12"/>
      <c r="BL50" s="12"/>
      <c r="BM50" s="12"/>
      <c r="BN50" s="12"/>
      <c r="BO50" s="12"/>
      <c r="BP50" s="12"/>
      <c r="BQ50" s="12"/>
      <c r="BR50" s="12"/>
      <c r="BS50" s="12"/>
      <c r="BT50" s="12"/>
      <c r="BU50" s="12"/>
      <c r="BV50" s="12"/>
      <c r="BW50" s="12"/>
      <c r="BX50" s="12"/>
      <c r="BY50" s="12"/>
      <c r="BZ50" s="12"/>
      <c r="CA50" s="12"/>
      <c r="CB50" s="12"/>
      <c r="CC50" s="12"/>
      <c r="CD50" s="12"/>
      <c r="CE50" s="12"/>
      <c r="CF50" s="12"/>
      <c r="CG50" s="12"/>
      <c r="CH50" s="12"/>
      <c r="CI50" s="12"/>
      <c r="CJ50" s="12"/>
      <c r="CK50" s="12"/>
      <c r="CL50" s="12"/>
      <c r="CM50" s="12"/>
      <c r="CN50" s="12"/>
      <c r="CO50" s="12"/>
      <c r="CP50" s="12"/>
      <c r="CQ50" s="12"/>
      <c r="CR50" s="12"/>
      <c r="CS50" s="12"/>
      <c r="CT50" s="12"/>
      <c r="CU50" s="12"/>
      <c r="CV50" s="12"/>
      <c r="CW50" s="12"/>
      <c r="CX50" s="12"/>
      <c r="CY50" s="12"/>
      <c r="CZ50" s="12"/>
      <c r="DA50" s="12"/>
      <c r="DB50" s="12"/>
      <c r="DC50" s="12"/>
      <c r="DD50" s="12"/>
      <c r="DE50" s="12"/>
      <c r="DF50" s="12"/>
      <c r="DG50" s="12"/>
      <c r="DH50" s="12"/>
      <c r="DI50" s="12"/>
      <c r="DJ50" s="12"/>
      <c r="DK50" s="12"/>
      <c r="DL50" s="12"/>
      <c r="DM50" s="12"/>
      <c r="DN50" s="12"/>
      <c r="DO50" s="12"/>
      <c r="DP50" s="12"/>
      <c r="DQ50" s="12"/>
      <c r="DR50" s="12"/>
      <c r="DS50" s="12"/>
      <c r="DT50" s="12"/>
      <c r="DU50" s="12"/>
      <c r="DV50" s="12"/>
      <c r="DW50" s="12"/>
      <c r="DX50" s="12"/>
      <c r="DY50" s="12"/>
      <c r="DZ50" s="12"/>
      <c r="EA50" s="12"/>
      <c r="EB50" s="12"/>
      <c r="EC50" s="12"/>
      <c r="ED50" s="12"/>
      <c r="EE50" s="12"/>
      <c r="EF50" s="12"/>
      <c r="EG50" s="12"/>
      <c r="EH50" s="12"/>
      <c r="EI50" s="12"/>
      <c r="EJ50" s="12"/>
      <c r="EK50" s="12"/>
      <c r="EL50" s="12"/>
      <c r="EM50" s="12"/>
      <c r="EN50" s="12"/>
      <c r="EO50" s="12"/>
      <c r="EP50" s="12"/>
      <c r="EQ50" s="12"/>
      <c r="ER50" s="12"/>
      <c r="ES50" s="12"/>
      <c r="ET50" s="12"/>
      <c r="EU50" s="12"/>
      <c r="EV50" s="12"/>
      <c r="EW50" s="12"/>
      <c r="EX50" s="12"/>
      <c r="EY50" s="12"/>
      <c r="EZ50" s="12"/>
      <c r="FA50" s="12"/>
      <c r="FB50" s="12"/>
      <c r="FC50" s="12"/>
      <c r="FD50" s="12"/>
      <c r="FE50" s="12"/>
      <c r="FF50" s="12"/>
      <c r="FG50" s="12"/>
      <c r="FH50" s="12"/>
      <c r="FI50" s="12"/>
      <c r="FJ50" s="12"/>
      <c r="FK50" s="12"/>
      <c r="FL50" s="12"/>
      <c r="FM50" s="12"/>
      <c r="FN50" s="12"/>
      <c r="FO50" s="12"/>
      <c r="FP50" s="12"/>
      <c r="FQ50" s="12"/>
      <c r="FR50" s="12"/>
      <c r="FS50" s="12"/>
      <c r="FT50" s="12"/>
      <c r="FU50" s="12"/>
      <c r="FV50" s="12"/>
      <c r="FW50" s="12"/>
      <c r="FX50" s="12"/>
      <c r="FY50" s="12"/>
      <c r="FZ50" s="12"/>
      <c r="GA50" s="12"/>
      <c r="GB50" s="12"/>
      <c r="GC50" s="12"/>
      <c r="GD50" s="12"/>
      <c r="GE50" s="12"/>
    </row>
    <row r="51" spans="1:187" ht="21" customHeight="1">
      <c r="A51" s="45"/>
      <c r="B51" s="86" t="s">
        <v>408</v>
      </c>
      <c r="C51" s="10" t="s">
        <v>407</v>
      </c>
      <c r="D51" s="10" t="s">
        <v>109</v>
      </c>
      <c r="E51" s="35">
        <v>34.56</v>
      </c>
      <c r="F51" s="35">
        <f>57.6-E51</f>
        <v>23.04</v>
      </c>
      <c r="G51" s="35">
        <v>5.25</v>
      </c>
      <c r="H51" s="35">
        <v>28.6</v>
      </c>
      <c r="I51" s="35">
        <f t="shared" si="0"/>
        <v>91.45</v>
      </c>
      <c r="J51" s="104">
        <v>279.3</v>
      </c>
      <c r="K51" s="49">
        <v>5864.53</v>
      </c>
      <c r="L51" s="49">
        <v>6099.1112000000003</v>
      </c>
      <c r="M51" s="49">
        <v>1563.1</v>
      </c>
      <c r="N51" s="49">
        <v>1620.9346999999998</v>
      </c>
      <c r="O51" s="56">
        <f t="shared" si="1"/>
        <v>4301.43</v>
      </c>
      <c r="P51" s="1">
        <f t="shared" si="2"/>
        <v>148657.42080000002</v>
      </c>
      <c r="Q51" s="1">
        <f t="shared" si="3"/>
        <v>99104.94720000001</v>
      </c>
      <c r="R51" s="1">
        <f t="shared" si="4"/>
        <v>23510.426625000004</v>
      </c>
      <c r="S51" s="1">
        <f t="shared" si="5"/>
        <v>128075.84790000002</v>
      </c>
      <c r="T51" s="1">
        <f t="shared" si="6"/>
        <v>399348.64252500003</v>
      </c>
      <c r="U51" s="11"/>
      <c r="V51" s="11"/>
      <c r="W51" s="11"/>
      <c r="X51" s="12"/>
      <c r="Y51" s="12"/>
      <c r="Z51" s="12"/>
      <c r="AA51" s="12"/>
      <c r="AB51" s="12"/>
      <c r="AC51" s="12"/>
      <c r="AD51" s="12"/>
      <c r="AE51" s="12"/>
      <c r="AF51" s="12"/>
      <c r="AG51" s="12"/>
      <c r="AH51" s="12"/>
      <c r="AI51" s="12"/>
      <c r="AJ51" s="12"/>
      <c r="AK51" s="12"/>
      <c r="AL51" s="12"/>
      <c r="AM51" s="12"/>
      <c r="AN51" s="12"/>
      <c r="AO51" s="12"/>
      <c r="AP51" s="12"/>
      <c r="AQ51" s="12"/>
      <c r="AR51" s="12"/>
      <c r="AS51" s="12"/>
      <c r="AT51" s="12"/>
      <c r="AU51" s="12"/>
      <c r="AV51" s="12"/>
      <c r="AW51" s="12"/>
      <c r="AX51" s="12"/>
      <c r="AY51" s="12"/>
      <c r="AZ51" s="12"/>
      <c r="BA51" s="12"/>
      <c r="BB51" s="12"/>
      <c r="BC51" s="12"/>
      <c r="BD51" s="12"/>
      <c r="BE51" s="12"/>
      <c r="BF51" s="12"/>
      <c r="BG51" s="12"/>
      <c r="BH51" s="12"/>
      <c r="BI51" s="12"/>
      <c r="BJ51" s="12"/>
      <c r="BK51" s="12"/>
      <c r="BL51" s="12"/>
      <c r="BM51" s="12"/>
      <c r="BN51" s="12"/>
      <c r="BO51" s="12"/>
      <c r="BP51" s="12"/>
      <c r="BQ51" s="12"/>
      <c r="BR51" s="12"/>
      <c r="BS51" s="12"/>
      <c r="BT51" s="12"/>
      <c r="BU51" s="12"/>
      <c r="BV51" s="12"/>
      <c r="BW51" s="12"/>
      <c r="BX51" s="12"/>
      <c r="BY51" s="12"/>
      <c r="BZ51" s="12"/>
      <c r="CA51" s="12"/>
      <c r="CB51" s="12"/>
      <c r="CC51" s="12"/>
      <c r="CD51" s="12"/>
      <c r="CE51" s="12"/>
      <c r="CF51" s="12"/>
      <c r="CG51" s="12"/>
      <c r="CH51" s="12"/>
      <c r="CI51" s="12"/>
      <c r="CJ51" s="12"/>
      <c r="CK51" s="12"/>
      <c r="CL51" s="12"/>
      <c r="CM51" s="12"/>
      <c r="CN51" s="12"/>
      <c r="CO51" s="12"/>
      <c r="CP51" s="12"/>
      <c r="CQ51" s="12"/>
      <c r="CR51" s="12"/>
      <c r="CS51" s="12"/>
      <c r="CT51" s="12"/>
      <c r="CU51" s="12"/>
      <c r="CV51" s="12"/>
      <c r="CW51" s="12"/>
      <c r="CX51" s="12"/>
      <c r="CY51" s="12"/>
      <c r="CZ51" s="12"/>
      <c r="DA51" s="12"/>
      <c r="DB51" s="12"/>
      <c r="DC51" s="12"/>
      <c r="DD51" s="12"/>
      <c r="DE51" s="12"/>
      <c r="DF51" s="12"/>
      <c r="DG51" s="12"/>
      <c r="DH51" s="12"/>
      <c r="DI51" s="12"/>
      <c r="DJ51" s="12"/>
      <c r="DK51" s="12"/>
      <c r="DL51" s="12"/>
      <c r="DM51" s="12"/>
      <c r="DN51" s="12"/>
      <c r="DO51" s="12"/>
      <c r="DP51" s="12"/>
      <c r="DQ51" s="12"/>
      <c r="DR51" s="12"/>
      <c r="DS51" s="12"/>
      <c r="DT51" s="12"/>
      <c r="DU51" s="12"/>
      <c r="DV51" s="12"/>
      <c r="DW51" s="12"/>
      <c r="DX51" s="12"/>
      <c r="DY51" s="12"/>
      <c r="DZ51" s="12"/>
      <c r="EA51" s="12"/>
      <c r="EB51" s="12"/>
      <c r="EC51" s="12"/>
      <c r="ED51" s="12"/>
      <c r="EE51" s="12"/>
      <c r="EF51" s="12"/>
      <c r="EG51" s="12"/>
      <c r="EH51" s="12"/>
      <c r="EI51" s="12"/>
      <c r="EJ51" s="12"/>
      <c r="EK51" s="12"/>
      <c r="EL51" s="12"/>
      <c r="EM51" s="12"/>
      <c r="EN51" s="12"/>
      <c r="EO51" s="12"/>
      <c r="EP51" s="12"/>
      <c r="EQ51" s="12"/>
      <c r="ER51" s="12"/>
      <c r="ES51" s="12"/>
      <c r="ET51" s="12"/>
      <c r="EU51" s="12"/>
      <c r="EV51" s="12"/>
      <c r="EW51" s="12"/>
      <c r="EX51" s="12"/>
      <c r="EY51" s="12"/>
      <c r="EZ51" s="12"/>
      <c r="FA51" s="12"/>
      <c r="FB51" s="12"/>
      <c r="FC51" s="12"/>
      <c r="FD51" s="12"/>
      <c r="FE51" s="12"/>
      <c r="FF51" s="12"/>
      <c r="FG51" s="12"/>
      <c r="FH51" s="12"/>
      <c r="FI51" s="12"/>
      <c r="FJ51" s="12"/>
      <c r="FK51" s="12"/>
      <c r="FL51" s="12"/>
      <c r="FM51" s="12"/>
      <c r="FN51" s="12"/>
      <c r="FO51" s="12"/>
      <c r="FP51" s="12"/>
      <c r="FQ51" s="12"/>
      <c r="FR51" s="12"/>
      <c r="FS51" s="12"/>
      <c r="FT51" s="12"/>
      <c r="FU51" s="12"/>
      <c r="FV51" s="12"/>
      <c r="FW51" s="12"/>
      <c r="FX51" s="12"/>
      <c r="FY51" s="12"/>
      <c r="FZ51" s="12"/>
      <c r="GA51" s="12"/>
      <c r="GB51" s="12"/>
      <c r="GC51" s="12"/>
      <c r="GD51" s="12"/>
      <c r="GE51" s="12"/>
    </row>
    <row r="52" spans="1:187" ht="21" customHeight="1">
      <c r="A52" s="45"/>
      <c r="B52" s="86" t="s">
        <v>408</v>
      </c>
      <c r="C52" s="10" t="s">
        <v>407</v>
      </c>
      <c r="D52" s="10" t="s">
        <v>110</v>
      </c>
      <c r="E52" s="35">
        <v>71.150000000000006</v>
      </c>
      <c r="F52" s="35">
        <f>107.11-E52</f>
        <v>35.959999999999994</v>
      </c>
      <c r="G52" s="35">
        <v>11.93</v>
      </c>
      <c r="H52" s="35">
        <v>72.36</v>
      </c>
      <c r="I52" s="35">
        <f t="shared" si="0"/>
        <v>191.39999999999998</v>
      </c>
      <c r="J52" s="104"/>
      <c r="K52" s="49">
        <v>5864.53</v>
      </c>
      <c r="L52" s="49">
        <v>6099.1112000000003</v>
      </c>
      <c r="M52" s="49">
        <v>1563.1</v>
      </c>
      <c r="N52" s="49">
        <v>1620.9346999999998</v>
      </c>
      <c r="O52" s="56">
        <f t="shared" si="1"/>
        <v>4301.43</v>
      </c>
      <c r="P52" s="1">
        <f t="shared" si="2"/>
        <v>306046.74450000003</v>
      </c>
      <c r="Q52" s="1">
        <f t="shared" si="3"/>
        <v>154679.42279999997</v>
      </c>
      <c r="R52" s="1">
        <f t="shared" si="4"/>
        <v>53424.645645000004</v>
      </c>
      <c r="S52" s="1">
        <f t="shared" si="5"/>
        <v>324040.85154000006</v>
      </c>
      <c r="T52" s="1">
        <f t="shared" si="6"/>
        <v>838191.66448500007</v>
      </c>
      <c r="U52" s="11"/>
      <c r="V52" s="11"/>
      <c r="W52" s="11"/>
      <c r="X52" s="12"/>
      <c r="Y52" s="12"/>
      <c r="Z52" s="12"/>
      <c r="AA52" s="12"/>
      <c r="AB52" s="12"/>
      <c r="AC52" s="12"/>
      <c r="AD52" s="12"/>
      <c r="AE52" s="12"/>
      <c r="AF52" s="12"/>
      <c r="AG52" s="12"/>
      <c r="AH52" s="12"/>
      <c r="AI52" s="12"/>
      <c r="AJ52" s="12"/>
      <c r="AK52" s="12"/>
      <c r="AL52" s="12"/>
      <c r="AM52" s="12"/>
      <c r="AN52" s="12"/>
      <c r="AO52" s="12"/>
      <c r="AP52" s="12"/>
      <c r="AQ52" s="12"/>
      <c r="AR52" s="12"/>
      <c r="AS52" s="12"/>
      <c r="AT52" s="12"/>
      <c r="AU52" s="12"/>
      <c r="AV52" s="12"/>
      <c r="AW52" s="12"/>
      <c r="AX52" s="12"/>
      <c r="AY52" s="12"/>
      <c r="AZ52" s="12"/>
      <c r="BA52" s="12"/>
      <c r="BB52" s="12"/>
      <c r="BC52" s="12"/>
      <c r="BD52" s="12"/>
      <c r="BE52" s="12"/>
      <c r="BF52" s="12"/>
      <c r="BG52" s="12"/>
      <c r="BH52" s="12"/>
      <c r="BI52" s="12"/>
      <c r="BJ52" s="12"/>
      <c r="BK52" s="12"/>
      <c r="BL52" s="12"/>
      <c r="BM52" s="12"/>
      <c r="BN52" s="12"/>
      <c r="BO52" s="12"/>
      <c r="BP52" s="12"/>
      <c r="BQ52" s="12"/>
      <c r="BR52" s="12"/>
      <c r="BS52" s="12"/>
      <c r="BT52" s="12"/>
      <c r="BU52" s="12"/>
      <c r="BV52" s="12"/>
      <c r="BW52" s="12"/>
      <c r="BX52" s="12"/>
      <c r="BY52" s="12"/>
      <c r="BZ52" s="12"/>
      <c r="CA52" s="12"/>
      <c r="CB52" s="12"/>
      <c r="CC52" s="12"/>
      <c r="CD52" s="12"/>
      <c r="CE52" s="12"/>
      <c r="CF52" s="12"/>
      <c r="CG52" s="12"/>
      <c r="CH52" s="12"/>
      <c r="CI52" s="12"/>
      <c r="CJ52" s="12"/>
      <c r="CK52" s="12"/>
      <c r="CL52" s="12"/>
      <c r="CM52" s="12"/>
      <c r="CN52" s="12"/>
      <c r="CO52" s="12"/>
      <c r="CP52" s="12"/>
      <c r="CQ52" s="12"/>
      <c r="CR52" s="12"/>
      <c r="CS52" s="12"/>
      <c r="CT52" s="12"/>
      <c r="CU52" s="12"/>
      <c r="CV52" s="12"/>
      <c r="CW52" s="12"/>
      <c r="CX52" s="12"/>
      <c r="CY52" s="12"/>
      <c r="CZ52" s="12"/>
      <c r="DA52" s="12"/>
      <c r="DB52" s="12"/>
      <c r="DC52" s="12"/>
      <c r="DD52" s="12"/>
      <c r="DE52" s="12"/>
      <c r="DF52" s="12"/>
      <c r="DG52" s="12"/>
      <c r="DH52" s="12"/>
      <c r="DI52" s="12"/>
      <c r="DJ52" s="12"/>
      <c r="DK52" s="12"/>
      <c r="DL52" s="12"/>
      <c r="DM52" s="12"/>
      <c r="DN52" s="12"/>
      <c r="DO52" s="12"/>
      <c r="DP52" s="12"/>
      <c r="DQ52" s="12"/>
      <c r="DR52" s="12"/>
      <c r="DS52" s="12"/>
      <c r="DT52" s="12"/>
      <c r="DU52" s="12"/>
      <c r="DV52" s="12"/>
      <c r="DW52" s="12"/>
      <c r="DX52" s="12"/>
      <c r="DY52" s="12"/>
      <c r="DZ52" s="12"/>
      <c r="EA52" s="12"/>
      <c r="EB52" s="12"/>
      <c r="EC52" s="12"/>
      <c r="ED52" s="12"/>
      <c r="EE52" s="12"/>
      <c r="EF52" s="12"/>
      <c r="EG52" s="12"/>
      <c r="EH52" s="12"/>
      <c r="EI52" s="12"/>
      <c r="EJ52" s="12"/>
      <c r="EK52" s="12"/>
      <c r="EL52" s="12"/>
      <c r="EM52" s="12"/>
      <c r="EN52" s="12"/>
      <c r="EO52" s="12"/>
      <c r="EP52" s="12"/>
      <c r="EQ52" s="12"/>
      <c r="ER52" s="12"/>
      <c r="ES52" s="12"/>
      <c r="ET52" s="12"/>
      <c r="EU52" s="12"/>
      <c r="EV52" s="12"/>
      <c r="EW52" s="12"/>
      <c r="EX52" s="12"/>
      <c r="EY52" s="12"/>
      <c r="EZ52" s="12"/>
      <c r="FA52" s="12"/>
      <c r="FB52" s="12"/>
      <c r="FC52" s="12"/>
      <c r="FD52" s="12"/>
      <c r="FE52" s="12"/>
      <c r="FF52" s="12"/>
      <c r="FG52" s="12"/>
      <c r="FH52" s="12"/>
      <c r="FI52" s="12"/>
      <c r="FJ52" s="12"/>
      <c r="FK52" s="12"/>
      <c r="FL52" s="12"/>
      <c r="FM52" s="12"/>
      <c r="FN52" s="12"/>
      <c r="FO52" s="12"/>
      <c r="FP52" s="12"/>
      <c r="FQ52" s="12"/>
      <c r="FR52" s="12"/>
      <c r="FS52" s="12"/>
      <c r="FT52" s="12"/>
      <c r="FU52" s="12"/>
      <c r="FV52" s="12"/>
      <c r="FW52" s="12"/>
      <c r="FX52" s="12"/>
      <c r="FY52" s="12"/>
      <c r="FZ52" s="12"/>
      <c r="GA52" s="12"/>
      <c r="GB52" s="12"/>
      <c r="GC52" s="12"/>
      <c r="GD52" s="12"/>
      <c r="GE52" s="12"/>
    </row>
    <row r="53" spans="1:187" ht="21" customHeight="1">
      <c r="A53" s="45"/>
      <c r="B53" s="86" t="s">
        <v>287</v>
      </c>
      <c r="C53" s="10" t="s">
        <v>106</v>
      </c>
      <c r="D53" s="10" t="s">
        <v>107</v>
      </c>
      <c r="E53" s="35">
        <v>224.732</v>
      </c>
      <c r="F53" s="35">
        <f>333.143-E53</f>
        <v>108.41099999999997</v>
      </c>
      <c r="G53" s="35">
        <v>16.138999999999999</v>
      </c>
      <c r="H53" s="35">
        <f>153.679-G53</f>
        <v>137.54</v>
      </c>
      <c r="I53" s="35">
        <f t="shared" si="0"/>
        <v>486.822</v>
      </c>
      <c r="J53" s="56">
        <v>557.70000000000005</v>
      </c>
      <c r="K53" s="49">
        <v>3477.38</v>
      </c>
      <c r="L53" s="49">
        <v>3616.4752000000003</v>
      </c>
      <c r="M53" s="49">
        <v>2092</v>
      </c>
      <c r="N53" s="49">
        <v>2169.404</v>
      </c>
      <c r="O53" s="56">
        <f t="shared" si="1"/>
        <v>1385.38</v>
      </c>
      <c r="P53" s="1">
        <f t="shared" si="2"/>
        <v>311339.21816000005</v>
      </c>
      <c r="Q53" s="1">
        <f t="shared" si="3"/>
        <v>150190.43117999999</v>
      </c>
      <c r="R53" s="1">
        <f t="shared" si="4"/>
        <v>23354.282096800005</v>
      </c>
      <c r="S53" s="1">
        <f t="shared" si="5"/>
        <v>199030.17284800005</v>
      </c>
      <c r="T53" s="1">
        <f t="shared" si="6"/>
        <v>683914.10428480001</v>
      </c>
      <c r="U53" s="11"/>
      <c r="V53" s="11"/>
      <c r="W53" s="11"/>
      <c r="X53" s="12"/>
      <c r="Y53" s="12"/>
      <c r="Z53" s="12"/>
      <c r="AA53" s="12"/>
      <c r="AB53" s="12"/>
      <c r="AC53" s="12"/>
      <c r="AD53" s="12"/>
      <c r="AE53" s="12"/>
      <c r="AF53" s="12"/>
      <c r="AG53" s="12"/>
      <c r="AH53" s="12"/>
      <c r="AI53" s="12"/>
      <c r="AJ53" s="12"/>
      <c r="AK53" s="12"/>
      <c r="AL53" s="12"/>
      <c r="AM53" s="12"/>
      <c r="AN53" s="12"/>
      <c r="AO53" s="12"/>
      <c r="AP53" s="12"/>
      <c r="AQ53" s="12"/>
      <c r="AR53" s="12"/>
      <c r="AS53" s="12"/>
      <c r="AT53" s="12"/>
      <c r="AU53" s="12"/>
      <c r="AV53" s="12"/>
      <c r="AW53" s="12"/>
      <c r="AX53" s="12"/>
      <c r="AY53" s="12"/>
      <c r="AZ53" s="12"/>
      <c r="BA53" s="12"/>
      <c r="BB53" s="12"/>
      <c r="BC53" s="12"/>
      <c r="BD53" s="12"/>
      <c r="BE53" s="12"/>
      <c r="BF53" s="12"/>
      <c r="BG53" s="12"/>
      <c r="BH53" s="12"/>
      <c r="BI53" s="12"/>
      <c r="BJ53" s="12"/>
      <c r="BK53" s="12"/>
      <c r="BL53" s="12"/>
      <c r="BM53" s="12"/>
      <c r="BN53" s="12"/>
      <c r="BO53" s="12"/>
      <c r="BP53" s="12"/>
      <c r="BQ53" s="12"/>
      <c r="BR53" s="12"/>
      <c r="BS53" s="12"/>
      <c r="BT53" s="12"/>
      <c r="BU53" s="12"/>
      <c r="BV53" s="12"/>
      <c r="BW53" s="12"/>
      <c r="BX53" s="12"/>
      <c r="BY53" s="12"/>
      <c r="BZ53" s="12"/>
      <c r="CA53" s="12"/>
      <c r="CB53" s="12"/>
      <c r="CC53" s="12"/>
      <c r="CD53" s="12"/>
      <c r="CE53" s="12"/>
      <c r="CF53" s="12"/>
      <c r="CG53" s="12"/>
      <c r="CH53" s="12"/>
      <c r="CI53" s="12"/>
      <c r="CJ53" s="12"/>
      <c r="CK53" s="12"/>
      <c r="CL53" s="12"/>
      <c r="CM53" s="12"/>
      <c r="CN53" s="12"/>
      <c r="CO53" s="12"/>
      <c r="CP53" s="12"/>
      <c r="CQ53" s="12"/>
      <c r="CR53" s="12"/>
      <c r="CS53" s="12"/>
      <c r="CT53" s="12"/>
      <c r="CU53" s="12"/>
      <c r="CV53" s="12"/>
      <c r="CW53" s="12"/>
      <c r="CX53" s="12"/>
      <c r="CY53" s="12"/>
      <c r="CZ53" s="12"/>
      <c r="DA53" s="12"/>
      <c r="DB53" s="12"/>
      <c r="DC53" s="12"/>
      <c r="DD53" s="12"/>
      <c r="DE53" s="12"/>
      <c r="DF53" s="12"/>
      <c r="DG53" s="12"/>
      <c r="DH53" s="12"/>
      <c r="DI53" s="12"/>
      <c r="DJ53" s="12"/>
      <c r="DK53" s="12"/>
      <c r="DL53" s="12"/>
      <c r="DM53" s="12"/>
      <c r="DN53" s="12"/>
      <c r="DO53" s="12"/>
      <c r="DP53" s="12"/>
      <c r="DQ53" s="12"/>
      <c r="DR53" s="12"/>
      <c r="DS53" s="12"/>
      <c r="DT53" s="12"/>
      <c r="DU53" s="12"/>
      <c r="DV53" s="12"/>
      <c r="DW53" s="12"/>
      <c r="DX53" s="12"/>
      <c r="DY53" s="12"/>
      <c r="DZ53" s="12"/>
      <c r="EA53" s="12"/>
      <c r="EB53" s="12"/>
      <c r="EC53" s="12"/>
      <c r="ED53" s="12"/>
      <c r="EE53" s="12"/>
      <c r="EF53" s="12"/>
      <c r="EG53" s="12"/>
      <c r="EH53" s="12"/>
      <c r="EI53" s="12"/>
      <c r="EJ53" s="12"/>
      <c r="EK53" s="12"/>
      <c r="EL53" s="12"/>
      <c r="EM53" s="12"/>
      <c r="EN53" s="12"/>
      <c r="EO53" s="12"/>
      <c r="EP53" s="12"/>
      <c r="EQ53" s="12"/>
      <c r="ER53" s="12"/>
      <c r="ES53" s="12"/>
      <c r="ET53" s="12"/>
      <c r="EU53" s="12"/>
      <c r="EV53" s="12"/>
      <c r="EW53" s="12"/>
      <c r="EX53" s="12"/>
      <c r="EY53" s="12"/>
      <c r="EZ53" s="12"/>
      <c r="FA53" s="12"/>
      <c r="FB53" s="12"/>
      <c r="FC53" s="12"/>
      <c r="FD53" s="12"/>
      <c r="FE53" s="12"/>
      <c r="FF53" s="12"/>
      <c r="FG53" s="12"/>
      <c r="FH53" s="12"/>
      <c r="FI53" s="12"/>
      <c r="FJ53" s="12"/>
      <c r="FK53" s="12"/>
      <c r="FL53" s="12"/>
      <c r="FM53" s="12"/>
      <c r="FN53" s="12"/>
      <c r="FO53" s="12"/>
      <c r="FP53" s="12"/>
      <c r="FQ53" s="12"/>
      <c r="FR53" s="12"/>
      <c r="FS53" s="12"/>
      <c r="FT53" s="12"/>
      <c r="FU53" s="12"/>
      <c r="FV53" s="12"/>
      <c r="FW53" s="12"/>
      <c r="FX53" s="12"/>
      <c r="FY53" s="12"/>
      <c r="FZ53" s="12"/>
      <c r="GA53" s="12"/>
      <c r="GB53" s="12"/>
      <c r="GC53" s="12"/>
      <c r="GD53" s="12"/>
      <c r="GE53" s="12"/>
    </row>
    <row r="54" spans="1:187" ht="21" customHeight="1">
      <c r="A54" s="45" t="s">
        <v>337</v>
      </c>
      <c r="B54" s="86">
        <v>7729314745</v>
      </c>
      <c r="C54" s="10" t="s">
        <v>341</v>
      </c>
      <c r="D54" s="10" t="s">
        <v>107</v>
      </c>
      <c r="E54" s="35">
        <f>476.839*0.6</f>
        <v>286.10339999999997</v>
      </c>
      <c r="F54" s="35">
        <f>476.839*0.4</f>
        <v>190.73560000000001</v>
      </c>
      <c r="G54" s="35">
        <f>390.141*0.8</f>
        <v>312.11280000000005</v>
      </c>
      <c r="H54" s="35">
        <f>390.141*0.2</f>
        <v>78.028200000000012</v>
      </c>
      <c r="I54" s="35">
        <f t="shared" si="0"/>
        <v>866.98</v>
      </c>
      <c r="J54" s="56">
        <v>867</v>
      </c>
      <c r="K54" s="49">
        <v>2887.64</v>
      </c>
      <c r="L54" s="49">
        <v>3003.1455999999998</v>
      </c>
      <c r="M54" s="49">
        <v>1618.59</v>
      </c>
      <c r="N54" s="49">
        <v>1678.4778299999998</v>
      </c>
      <c r="O54" s="56">
        <f t="shared" si="1"/>
        <v>1269.05</v>
      </c>
      <c r="P54" s="1">
        <f t="shared" si="2"/>
        <v>363079.51976999996</v>
      </c>
      <c r="Q54" s="1">
        <f t="shared" si="3"/>
        <v>242053.01318000001</v>
      </c>
      <c r="R54" s="1">
        <f t="shared" si="4"/>
        <v>413445.76676445606</v>
      </c>
      <c r="S54" s="1">
        <f t="shared" si="5"/>
        <v>103361.44169111401</v>
      </c>
      <c r="T54" s="1">
        <f t="shared" si="6"/>
        <v>1121939.7414055699</v>
      </c>
      <c r="U54" s="11"/>
      <c r="V54" s="11"/>
      <c r="W54" s="11"/>
      <c r="X54" s="12"/>
      <c r="Y54" s="12"/>
      <c r="Z54" s="12"/>
      <c r="AA54" s="12"/>
      <c r="AB54" s="12"/>
      <c r="AC54" s="12"/>
      <c r="AD54" s="12"/>
      <c r="AE54" s="12"/>
      <c r="AF54" s="12"/>
      <c r="AG54" s="12"/>
      <c r="AH54" s="12"/>
      <c r="AI54" s="12"/>
      <c r="AJ54" s="12"/>
      <c r="AK54" s="12"/>
      <c r="AL54" s="12"/>
      <c r="AM54" s="12"/>
      <c r="AN54" s="12"/>
      <c r="AO54" s="12"/>
      <c r="AP54" s="12"/>
      <c r="AQ54" s="12"/>
      <c r="AR54" s="12"/>
      <c r="AS54" s="12"/>
      <c r="AT54" s="12"/>
      <c r="AU54" s="12"/>
      <c r="AV54" s="12"/>
      <c r="AW54" s="12"/>
      <c r="AX54" s="12"/>
      <c r="AY54" s="12"/>
      <c r="AZ54" s="12"/>
      <c r="BA54" s="12"/>
      <c r="BB54" s="12"/>
      <c r="BC54" s="12"/>
      <c r="BD54" s="12"/>
      <c r="BE54" s="12"/>
      <c r="BF54" s="12"/>
      <c r="BG54" s="12"/>
      <c r="BH54" s="12"/>
      <c r="BI54" s="12"/>
      <c r="BJ54" s="12"/>
      <c r="BK54" s="12"/>
      <c r="BL54" s="12"/>
      <c r="BM54" s="12"/>
      <c r="BN54" s="12"/>
      <c r="BO54" s="12"/>
      <c r="BP54" s="12"/>
      <c r="BQ54" s="12"/>
      <c r="BR54" s="12"/>
      <c r="BS54" s="12"/>
      <c r="BT54" s="12"/>
      <c r="BU54" s="12"/>
      <c r="BV54" s="12"/>
      <c r="BW54" s="12"/>
      <c r="BX54" s="12"/>
      <c r="BY54" s="12"/>
      <c r="BZ54" s="12"/>
      <c r="CA54" s="12"/>
      <c r="CB54" s="12"/>
      <c r="CC54" s="12"/>
      <c r="CD54" s="12"/>
      <c r="CE54" s="12"/>
      <c r="CF54" s="12"/>
      <c r="CG54" s="12"/>
      <c r="CH54" s="12"/>
      <c r="CI54" s="12"/>
      <c r="CJ54" s="12"/>
      <c r="CK54" s="12"/>
      <c r="CL54" s="12"/>
      <c r="CM54" s="12"/>
      <c r="CN54" s="12"/>
      <c r="CO54" s="12"/>
      <c r="CP54" s="12"/>
      <c r="CQ54" s="12"/>
      <c r="CR54" s="12"/>
      <c r="CS54" s="12"/>
      <c r="CT54" s="12"/>
      <c r="CU54" s="12"/>
      <c r="CV54" s="12"/>
      <c r="CW54" s="12"/>
      <c r="CX54" s="12"/>
      <c r="CY54" s="12"/>
      <c r="CZ54" s="12"/>
      <c r="DA54" s="12"/>
      <c r="DB54" s="12"/>
      <c r="DC54" s="12"/>
      <c r="DD54" s="12"/>
      <c r="DE54" s="12"/>
      <c r="DF54" s="12"/>
      <c r="DG54" s="12"/>
      <c r="DH54" s="12"/>
      <c r="DI54" s="12"/>
      <c r="DJ54" s="12"/>
      <c r="DK54" s="12"/>
      <c r="DL54" s="12"/>
      <c r="DM54" s="12"/>
      <c r="DN54" s="12"/>
      <c r="DO54" s="12"/>
      <c r="DP54" s="12"/>
      <c r="DQ54" s="12"/>
      <c r="DR54" s="12"/>
      <c r="DS54" s="12"/>
      <c r="DT54" s="12"/>
      <c r="DU54" s="12"/>
      <c r="DV54" s="12"/>
      <c r="DW54" s="12"/>
      <c r="DX54" s="12"/>
      <c r="DY54" s="12"/>
      <c r="DZ54" s="12"/>
      <c r="EA54" s="12"/>
      <c r="EB54" s="12"/>
      <c r="EC54" s="12"/>
      <c r="ED54" s="12"/>
      <c r="EE54" s="12"/>
      <c r="EF54" s="12"/>
      <c r="EG54" s="12"/>
      <c r="EH54" s="12"/>
      <c r="EI54" s="12"/>
      <c r="EJ54" s="12"/>
      <c r="EK54" s="12"/>
      <c r="EL54" s="12"/>
      <c r="EM54" s="12"/>
      <c r="EN54" s="12"/>
      <c r="EO54" s="12"/>
      <c r="EP54" s="12"/>
      <c r="EQ54" s="12"/>
      <c r="ER54" s="12"/>
      <c r="ES54" s="12"/>
      <c r="ET54" s="12"/>
      <c r="EU54" s="12"/>
      <c r="EV54" s="12"/>
      <c r="EW54" s="12"/>
      <c r="EX54" s="12"/>
      <c r="EY54" s="12"/>
      <c r="EZ54" s="12"/>
      <c r="FA54" s="12"/>
      <c r="FB54" s="12"/>
      <c r="FC54" s="12"/>
      <c r="FD54" s="12"/>
      <c r="FE54" s="12"/>
      <c r="FF54" s="12"/>
      <c r="FG54" s="12"/>
      <c r="FH54" s="12"/>
      <c r="FI54" s="12"/>
      <c r="FJ54" s="12"/>
      <c r="FK54" s="12"/>
      <c r="FL54" s="12"/>
      <c r="FM54" s="12"/>
      <c r="FN54" s="12"/>
      <c r="FO54" s="12"/>
      <c r="FP54" s="12"/>
      <c r="FQ54" s="12"/>
      <c r="FR54" s="12"/>
      <c r="FS54" s="12"/>
      <c r="FT54" s="12"/>
      <c r="FU54" s="12"/>
      <c r="FV54" s="12"/>
      <c r="FW54" s="12"/>
      <c r="FX54" s="12"/>
      <c r="FY54" s="12"/>
      <c r="FZ54" s="12"/>
      <c r="GA54" s="12"/>
      <c r="GB54" s="12"/>
      <c r="GC54" s="12"/>
      <c r="GD54" s="12"/>
      <c r="GE54" s="12"/>
    </row>
    <row r="55" spans="1:187" ht="21" customHeight="1">
      <c r="A55" s="45"/>
      <c r="B55" s="101" t="s">
        <v>114</v>
      </c>
      <c r="C55" s="101"/>
      <c r="D55" s="101"/>
      <c r="E55" s="34"/>
      <c r="F55" s="34"/>
      <c r="G55" s="34"/>
      <c r="H55" s="34"/>
      <c r="I55" s="35">
        <f t="shared" si="0"/>
        <v>0</v>
      </c>
      <c r="J55" s="11"/>
      <c r="K55" s="64"/>
      <c r="L55" s="64"/>
      <c r="M55" s="64"/>
      <c r="N55" s="64"/>
      <c r="O55" s="56">
        <f t="shared" si="1"/>
        <v>0</v>
      </c>
      <c r="P55" s="1">
        <f t="shared" si="2"/>
        <v>0</v>
      </c>
      <c r="Q55" s="1">
        <f t="shared" si="3"/>
        <v>0</v>
      </c>
      <c r="R55" s="1">
        <f t="shared" si="4"/>
        <v>0</v>
      </c>
      <c r="S55" s="1">
        <f t="shared" si="5"/>
        <v>0</v>
      </c>
      <c r="T55" s="1">
        <f t="shared" si="6"/>
        <v>0</v>
      </c>
      <c r="U55" s="45"/>
      <c r="V55" s="45"/>
      <c r="W55" s="45"/>
    </row>
    <row r="56" spans="1:187" ht="21" customHeight="1">
      <c r="A56" s="45"/>
      <c r="B56" s="86" t="s">
        <v>26</v>
      </c>
      <c r="C56" s="10" t="s">
        <v>118</v>
      </c>
      <c r="D56" s="10" t="s">
        <v>116</v>
      </c>
      <c r="E56" s="35">
        <v>189.34100000000001</v>
      </c>
      <c r="F56" s="35">
        <f>259.186-E56</f>
        <v>69.84499999999997</v>
      </c>
      <c r="G56" s="35">
        <v>26.37</v>
      </c>
      <c r="H56" s="35">
        <f>189.71</f>
        <v>189.71</v>
      </c>
      <c r="I56" s="35">
        <f t="shared" si="0"/>
        <v>475.26599999999996</v>
      </c>
      <c r="J56" s="56">
        <v>447</v>
      </c>
      <c r="K56" s="49">
        <v>5850.58</v>
      </c>
      <c r="L56" s="49">
        <v>6084.6</v>
      </c>
      <c r="M56" s="49">
        <v>1545.34</v>
      </c>
      <c r="N56" s="49">
        <v>1602.52</v>
      </c>
      <c r="O56" s="56">
        <f t="shared" si="1"/>
        <v>4305.24</v>
      </c>
      <c r="P56" s="1">
        <f t="shared" si="2"/>
        <v>815158.44683999999</v>
      </c>
      <c r="Q56" s="1">
        <f t="shared" si="3"/>
        <v>300699.48779999989</v>
      </c>
      <c r="R56" s="1">
        <f t="shared" si="4"/>
        <v>118192.44960000001</v>
      </c>
      <c r="S56" s="1">
        <f t="shared" si="5"/>
        <v>850295.39679999999</v>
      </c>
      <c r="T56" s="1">
        <f t="shared" si="6"/>
        <v>2084345.7810399998</v>
      </c>
      <c r="U56" s="11"/>
      <c r="V56" s="11"/>
      <c r="W56" s="11"/>
      <c r="X56" s="12"/>
      <c r="Y56" s="12"/>
      <c r="Z56" s="12"/>
      <c r="AA56" s="12"/>
      <c r="AB56" s="12"/>
      <c r="AC56" s="12"/>
      <c r="AD56" s="12"/>
      <c r="AE56" s="12"/>
      <c r="AF56" s="12"/>
      <c r="AG56" s="12"/>
      <c r="AH56" s="12"/>
      <c r="AI56" s="12"/>
      <c r="AJ56" s="12"/>
      <c r="AK56" s="12"/>
      <c r="AL56" s="12"/>
      <c r="AM56" s="12"/>
      <c r="AN56" s="12"/>
      <c r="AO56" s="12"/>
      <c r="AP56" s="12"/>
      <c r="AQ56" s="12"/>
      <c r="AR56" s="12"/>
      <c r="AS56" s="12"/>
      <c r="AT56" s="12"/>
      <c r="AU56" s="12"/>
      <c r="AV56" s="12"/>
      <c r="AW56" s="12"/>
      <c r="AX56" s="12"/>
      <c r="AY56" s="12"/>
      <c r="AZ56" s="12"/>
      <c r="BA56" s="12"/>
      <c r="BB56" s="12"/>
      <c r="BC56" s="12"/>
      <c r="BD56" s="12"/>
      <c r="BE56" s="12"/>
      <c r="BF56" s="12"/>
      <c r="BG56" s="12"/>
      <c r="BH56" s="12"/>
      <c r="BI56" s="12"/>
      <c r="BJ56" s="12"/>
      <c r="BK56" s="12"/>
      <c r="BL56" s="12"/>
      <c r="BM56" s="12"/>
      <c r="BN56" s="12"/>
      <c r="BO56" s="12"/>
      <c r="BP56" s="12"/>
      <c r="BQ56" s="12"/>
      <c r="BR56" s="12"/>
      <c r="BS56" s="12"/>
      <c r="BT56" s="12"/>
      <c r="BU56" s="12"/>
      <c r="BV56" s="12"/>
      <c r="BW56" s="12"/>
      <c r="BX56" s="12"/>
      <c r="BY56" s="12"/>
      <c r="BZ56" s="12"/>
      <c r="CA56" s="12"/>
      <c r="CB56" s="12"/>
      <c r="CC56" s="12"/>
      <c r="CD56" s="12"/>
      <c r="CE56" s="12"/>
      <c r="CF56" s="12"/>
      <c r="CG56" s="12"/>
      <c r="CH56" s="12"/>
      <c r="CI56" s="12"/>
      <c r="CJ56" s="12"/>
      <c r="CK56" s="12"/>
      <c r="CL56" s="12"/>
      <c r="CM56" s="12"/>
      <c r="CN56" s="12"/>
      <c r="CO56" s="12"/>
      <c r="CP56" s="12"/>
      <c r="CQ56" s="12"/>
      <c r="CR56" s="12"/>
      <c r="CS56" s="12"/>
      <c r="CT56" s="12"/>
      <c r="CU56" s="12"/>
      <c r="CV56" s="12"/>
      <c r="CW56" s="12"/>
      <c r="CX56" s="12"/>
      <c r="CY56" s="12"/>
      <c r="CZ56" s="12"/>
      <c r="DA56" s="12"/>
      <c r="DB56" s="12"/>
      <c r="DC56" s="12"/>
      <c r="DD56" s="12"/>
      <c r="DE56" s="12"/>
      <c r="DF56" s="12"/>
      <c r="DG56" s="12"/>
      <c r="DH56" s="12"/>
      <c r="DI56" s="12"/>
      <c r="DJ56" s="12"/>
      <c r="DK56" s="12"/>
      <c r="DL56" s="12"/>
      <c r="DM56" s="12"/>
      <c r="DN56" s="12"/>
      <c r="DO56" s="12"/>
      <c r="DP56" s="12"/>
      <c r="DQ56" s="12"/>
      <c r="DR56" s="12"/>
      <c r="DS56" s="12"/>
      <c r="DT56" s="12"/>
      <c r="DU56" s="12"/>
      <c r="DV56" s="12"/>
      <c r="DW56" s="12"/>
      <c r="DX56" s="12"/>
      <c r="DY56" s="12"/>
      <c r="DZ56" s="12"/>
      <c r="EA56" s="12"/>
      <c r="EB56" s="12"/>
      <c r="EC56" s="12"/>
      <c r="ED56" s="12"/>
      <c r="EE56" s="12"/>
      <c r="EF56" s="12"/>
      <c r="EG56" s="12"/>
      <c r="EH56" s="12"/>
      <c r="EI56" s="12"/>
      <c r="EJ56" s="12"/>
      <c r="EK56" s="12"/>
      <c r="EL56" s="12"/>
      <c r="EM56" s="12"/>
      <c r="EN56" s="12"/>
      <c r="EO56" s="12"/>
      <c r="EP56" s="12"/>
      <c r="EQ56" s="12"/>
      <c r="ER56" s="12"/>
      <c r="ES56" s="12"/>
      <c r="ET56" s="12"/>
      <c r="EU56" s="12"/>
      <c r="EV56" s="12"/>
      <c r="EW56" s="12"/>
      <c r="EX56" s="12"/>
      <c r="EY56" s="12"/>
      <c r="EZ56" s="12"/>
      <c r="FA56" s="12"/>
      <c r="FB56" s="12"/>
      <c r="FC56" s="12"/>
      <c r="FD56" s="12"/>
      <c r="FE56" s="12"/>
      <c r="FF56" s="12"/>
      <c r="FG56" s="12"/>
      <c r="FH56" s="12"/>
      <c r="FI56" s="12"/>
      <c r="FJ56" s="12"/>
      <c r="FK56" s="12"/>
      <c r="FL56" s="12"/>
      <c r="FM56" s="12"/>
      <c r="FN56" s="12"/>
      <c r="FO56" s="12"/>
      <c r="FP56" s="12"/>
      <c r="FQ56" s="12"/>
      <c r="FR56" s="12"/>
      <c r="FS56" s="12"/>
      <c r="FT56" s="12"/>
      <c r="FU56" s="12"/>
      <c r="FV56" s="12"/>
      <c r="FW56" s="12"/>
      <c r="FX56" s="12"/>
      <c r="FY56" s="12"/>
      <c r="FZ56" s="12"/>
      <c r="GA56" s="12"/>
      <c r="GB56" s="12"/>
      <c r="GC56" s="12"/>
      <c r="GD56" s="12"/>
      <c r="GE56" s="12"/>
    </row>
    <row r="57" spans="1:187" ht="21" customHeight="1">
      <c r="A57" s="45"/>
      <c r="B57" s="86" t="s">
        <v>395</v>
      </c>
      <c r="C57" s="10" t="s">
        <v>396</v>
      </c>
      <c r="D57" s="10" t="s">
        <v>116</v>
      </c>
      <c r="E57" s="35">
        <v>303.346</v>
      </c>
      <c r="F57" s="35">
        <f>443.621-E57</f>
        <v>140.27499999999998</v>
      </c>
      <c r="G57" s="35">
        <v>31.33</v>
      </c>
      <c r="H57" s="35">
        <v>306.58999999999997</v>
      </c>
      <c r="I57" s="35">
        <f t="shared" si="0"/>
        <v>781.54099999999994</v>
      </c>
      <c r="J57" s="56">
        <v>820.2</v>
      </c>
      <c r="K57" s="49">
        <v>6179.46</v>
      </c>
      <c r="L57" s="49">
        <v>6426.64</v>
      </c>
      <c r="M57" s="49">
        <v>1545.37</v>
      </c>
      <c r="N57" s="49">
        <v>1602.55</v>
      </c>
      <c r="O57" s="56"/>
      <c r="P57" s="1">
        <f t="shared" ref="P57" si="9">(K57-M57)*E57</f>
        <v>1405732.6651400002</v>
      </c>
      <c r="Q57" s="1">
        <f t="shared" si="3"/>
        <v>650046.97474999994</v>
      </c>
      <c r="R57" s="1">
        <f t="shared" si="4"/>
        <v>151138.73970000001</v>
      </c>
      <c r="S57" s="1">
        <f t="shared" si="5"/>
        <v>1479017.7530999999</v>
      </c>
      <c r="T57" s="1">
        <f t="shared" si="6"/>
        <v>3685936.1326899999</v>
      </c>
      <c r="U57" s="11"/>
      <c r="V57" s="11"/>
      <c r="W57" s="11"/>
      <c r="X57" s="12"/>
      <c r="Y57" s="12"/>
      <c r="Z57" s="12"/>
      <c r="AA57" s="12"/>
      <c r="AB57" s="12"/>
      <c r="AC57" s="12"/>
      <c r="AD57" s="12"/>
      <c r="AE57" s="12"/>
      <c r="AF57" s="12"/>
      <c r="AG57" s="12"/>
      <c r="AH57" s="12"/>
      <c r="AI57" s="12"/>
      <c r="AJ57" s="12"/>
      <c r="AK57" s="12"/>
      <c r="AL57" s="12"/>
      <c r="AM57" s="12"/>
      <c r="AN57" s="12"/>
      <c r="AO57" s="12"/>
      <c r="AP57" s="12"/>
      <c r="AQ57" s="12"/>
      <c r="AR57" s="12"/>
      <c r="AS57" s="12"/>
      <c r="AT57" s="12"/>
      <c r="AU57" s="12"/>
      <c r="AV57" s="12"/>
      <c r="AW57" s="12"/>
      <c r="AX57" s="12"/>
      <c r="AY57" s="12"/>
      <c r="AZ57" s="12"/>
      <c r="BA57" s="12"/>
      <c r="BB57" s="12"/>
      <c r="BC57" s="12"/>
      <c r="BD57" s="12"/>
      <c r="BE57" s="12"/>
      <c r="BF57" s="12"/>
      <c r="BG57" s="12"/>
      <c r="BH57" s="12"/>
      <c r="BI57" s="12"/>
      <c r="BJ57" s="12"/>
      <c r="BK57" s="12"/>
      <c r="BL57" s="12"/>
      <c r="BM57" s="12"/>
      <c r="BN57" s="12"/>
      <c r="BO57" s="12"/>
      <c r="BP57" s="12"/>
      <c r="BQ57" s="12"/>
      <c r="BR57" s="12"/>
      <c r="BS57" s="12"/>
      <c r="BT57" s="12"/>
      <c r="BU57" s="12"/>
      <c r="BV57" s="12"/>
      <c r="BW57" s="12"/>
      <c r="BX57" s="12"/>
      <c r="BY57" s="12"/>
      <c r="BZ57" s="12"/>
      <c r="CA57" s="12"/>
      <c r="CB57" s="12"/>
      <c r="CC57" s="12"/>
      <c r="CD57" s="12"/>
      <c r="CE57" s="12"/>
      <c r="CF57" s="12"/>
      <c r="CG57" s="12"/>
      <c r="CH57" s="12"/>
      <c r="CI57" s="12"/>
      <c r="CJ57" s="12"/>
      <c r="CK57" s="12"/>
      <c r="CL57" s="12"/>
      <c r="CM57" s="12"/>
      <c r="CN57" s="12"/>
      <c r="CO57" s="12"/>
      <c r="CP57" s="12"/>
      <c r="CQ57" s="12"/>
      <c r="CR57" s="12"/>
      <c r="CS57" s="12"/>
      <c r="CT57" s="12"/>
      <c r="CU57" s="12"/>
      <c r="CV57" s="12"/>
      <c r="CW57" s="12"/>
      <c r="CX57" s="12"/>
      <c r="CY57" s="12"/>
      <c r="CZ57" s="12"/>
      <c r="DA57" s="12"/>
      <c r="DB57" s="12"/>
      <c r="DC57" s="12"/>
      <c r="DD57" s="12"/>
      <c r="DE57" s="12"/>
      <c r="DF57" s="12"/>
      <c r="DG57" s="12"/>
      <c r="DH57" s="12"/>
      <c r="DI57" s="12"/>
      <c r="DJ57" s="12"/>
      <c r="DK57" s="12"/>
      <c r="DL57" s="12"/>
      <c r="DM57" s="12"/>
      <c r="DN57" s="12"/>
      <c r="DO57" s="12"/>
      <c r="DP57" s="12"/>
      <c r="DQ57" s="12"/>
      <c r="DR57" s="12"/>
      <c r="DS57" s="12"/>
      <c r="DT57" s="12"/>
      <c r="DU57" s="12"/>
      <c r="DV57" s="12"/>
      <c r="DW57" s="12"/>
      <c r="DX57" s="12"/>
      <c r="DY57" s="12"/>
      <c r="DZ57" s="12"/>
      <c r="EA57" s="12"/>
      <c r="EB57" s="12"/>
      <c r="EC57" s="12"/>
      <c r="ED57" s="12"/>
      <c r="EE57" s="12"/>
      <c r="EF57" s="12"/>
      <c r="EG57" s="12"/>
      <c r="EH57" s="12"/>
      <c r="EI57" s="12"/>
      <c r="EJ57" s="12"/>
      <c r="EK57" s="12"/>
      <c r="EL57" s="12"/>
      <c r="EM57" s="12"/>
      <c r="EN57" s="12"/>
      <c r="EO57" s="12"/>
      <c r="EP57" s="12"/>
      <c r="EQ57" s="12"/>
      <c r="ER57" s="12"/>
      <c r="ES57" s="12"/>
      <c r="ET57" s="12"/>
      <c r="EU57" s="12"/>
      <c r="EV57" s="12"/>
      <c r="EW57" s="12"/>
      <c r="EX57" s="12"/>
      <c r="EY57" s="12"/>
      <c r="EZ57" s="12"/>
      <c r="FA57" s="12"/>
      <c r="FB57" s="12"/>
      <c r="FC57" s="12"/>
      <c r="FD57" s="12"/>
      <c r="FE57" s="12"/>
      <c r="FF57" s="12"/>
      <c r="FG57" s="12"/>
      <c r="FH57" s="12"/>
      <c r="FI57" s="12"/>
      <c r="FJ57" s="12"/>
      <c r="FK57" s="12"/>
      <c r="FL57" s="12"/>
      <c r="FM57" s="12"/>
      <c r="FN57" s="12"/>
      <c r="FO57" s="12"/>
      <c r="FP57" s="12"/>
      <c r="FQ57" s="12"/>
      <c r="FR57" s="12"/>
      <c r="FS57" s="12"/>
      <c r="FT57" s="12"/>
      <c r="FU57" s="12"/>
      <c r="FV57" s="12"/>
      <c r="FW57" s="12"/>
      <c r="FX57" s="12"/>
      <c r="FY57" s="12"/>
      <c r="FZ57" s="12"/>
      <c r="GA57" s="12"/>
      <c r="GB57" s="12"/>
      <c r="GC57" s="12"/>
      <c r="GD57" s="12"/>
      <c r="GE57" s="12"/>
    </row>
    <row r="58" spans="1:187" ht="21" customHeight="1">
      <c r="A58" s="45"/>
      <c r="B58" s="86" t="s">
        <v>2</v>
      </c>
      <c r="C58" s="10" t="s">
        <v>68</v>
      </c>
      <c r="D58" s="10" t="s">
        <v>314</v>
      </c>
      <c r="E58" s="35">
        <v>574.91300000000001</v>
      </c>
      <c r="F58" s="35">
        <f>766.55-E58</f>
        <v>191.63699999999994</v>
      </c>
      <c r="G58" s="35">
        <v>191.631</v>
      </c>
      <c r="H58" s="35">
        <f>766.524-G58</f>
        <v>574.89300000000003</v>
      </c>
      <c r="I58" s="35">
        <f t="shared" si="0"/>
        <v>1533.0740000000001</v>
      </c>
      <c r="J58" s="56">
        <v>1630.24</v>
      </c>
      <c r="K58" s="49">
        <v>2920.66</v>
      </c>
      <c r="L58" s="49">
        <v>3037.4863999999998</v>
      </c>
      <c r="M58" s="49">
        <v>1484.17</v>
      </c>
      <c r="N58" s="49">
        <v>1539.08</v>
      </c>
      <c r="O58" s="56">
        <f t="shared" si="1"/>
        <v>1436.4899999999998</v>
      </c>
      <c r="P58" s="1">
        <f t="shared" si="2"/>
        <v>825856.77536999993</v>
      </c>
      <c r="Q58" s="1">
        <f t="shared" si="3"/>
        <v>275284.6341299999</v>
      </c>
      <c r="R58" s="1">
        <f t="shared" si="4"/>
        <v>287141.11683839996</v>
      </c>
      <c r="S58" s="1">
        <f t="shared" si="5"/>
        <v>861423.35051519994</v>
      </c>
      <c r="T58" s="1">
        <f t="shared" si="6"/>
        <v>2249705.8768535997</v>
      </c>
      <c r="U58" s="11"/>
      <c r="V58" s="11"/>
      <c r="W58" s="11"/>
      <c r="X58" s="12"/>
      <c r="Y58" s="12"/>
      <c r="Z58" s="12"/>
      <c r="AA58" s="12"/>
      <c r="AB58" s="12"/>
      <c r="AC58" s="12"/>
      <c r="AD58" s="12"/>
      <c r="AE58" s="12"/>
      <c r="AF58" s="12"/>
      <c r="AG58" s="12"/>
      <c r="AH58" s="12"/>
      <c r="AI58" s="12"/>
      <c r="AJ58" s="12"/>
      <c r="AK58" s="12"/>
      <c r="AL58" s="12"/>
      <c r="AM58" s="12"/>
      <c r="AN58" s="12"/>
      <c r="AO58" s="12"/>
      <c r="AP58" s="12"/>
      <c r="AQ58" s="12"/>
      <c r="AR58" s="12"/>
      <c r="AS58" s="12"/>
      <c r="AT58" s="12"/>
      <c r="AU58" s="12"/>
      <c r="AV58" s="12"/>
      <c r="AW58" s="12"/>
      <c r="AX58" s="12"/>
      <c r="AY58" s="12"/>
      <c r="AZ58" s="12"/>
      <c r="BA58" s="12"/>
      <c r="BB58" s="12"/>
      <c r="BC58" s="12"/>
      <c r="BD58" s="12"/>
      <c r="BE58" s="12"/>
      <c r="BF58" s="12"/>
      <c r="BG58" s="12"/>
      <c r="BH58" s="12"/>
      <c r="BI58" s="12"/>
      <c r="BJ58" s="12"/>
      <c r="BK58" s="12"/>
      <c r="BL58" s="12"/>
      <c r="BM58" s="12"/>
      <c r="BN58" s="12"/>
      <c r="BO58" s="12"/>
      <c r="BP58" s="12"/>
      <c r="BQ58" s="12"/>
      <c r="BR58" s="12"/>
      <c r="BS58" s="12"/>
      <c r="BT58" s="12"/>
      <c r="BU58" s="12"/>
      <c r="BV58" s="12"/>
      <c r="BW58" s="12"/>
      <c r="BX58" s="12"/>
      <c r="BY58" s="12"/>
      <c r="BZ58" s="12"/>
      <c r="CA58" s="12"/>
      <c r="CB58" s="12"/>
      <c r="CC58" s="12"/>
      <c r="CD58" s="12"/>
      <c r="CE58" s="12"/>
      <c r="CF58" s="12"/>
      <c r="CG58" s="12"/>
      <c r="CH58" s="12"/>
      <c r="CI58" s="12"/>
      <c r="CJ58" s="12"/>
      <c r="CK58" s="12"/>
      <c r="CL58" s="12"/>
      <c r="CM58" s="12"/>
      <c r="CN58" s="12"/>
      <c r="CO58" s="12"/>
      <c r="CP58" s="12"/>
      <c r="CQ58" s="12"/>
      <c r="CR58" s="12"/>
      <c r="CS58" s="12"/>
      <c r="CT58" s="12"/>
      <c r="CU58" s="12"/>
      <c r="CV58" s="12"/>
      <c r="CW58" s="12"/>
      <c r="CX58" s="12"/>
      <c r="CY58" s="12"/>
      <c r="CZ58" s="12"/>
      <c r="DA58" s="12"/>
      <c r="DB58" s="12"/>
      <c r="DC58" s="12"/>
      <c r="DD58" s="12"/>
      <c r="DE58" s="12"/>
      <c r="DF58" s="12"/>
      <c r="DG58" s="12"/>
      <c r="DH58" s="12"/>
      <c r="DI58" s="12"/>
      <c r="DJ58" s="12"/>
      <c r="DK58" s="12"/>
      <c r="DL58" s="12"/>
      <c r="DM58" s="12"/>
      <c r="DN58" s="12"/>
      <c r="DO58" s="12"/>
      <c r="DP58" s="12"/>
      <c r="DQ58" s="12"/>
      <c r="DR58" s="12"/>
      <c r="DS58" s="12"/>
      <c r="DT58" s="12"/>
      <c r="DU58" s="12"/>
      <c r="DV58" s="12"/>
      <c r="DW58" s="12"/>
      <c r="DX58" s="12"/>
      <c r="DY58" s="12"/>
      <c r="DZ58" s="12"/>
      <c r="EA58" s="12"/>
      <c r="EB58" s="12"/>
      <c r="EC58" s="12"/>
      <c r="ED58" s="12"/>
      <c r="EE58" s="12"/>
      <c r="EF58" s="12"/>
      <c r="EG58" s="12"/>
      <c r="EH58" s="12"/>
      <c r="EI58" s="12"/>
      <c r="EJ58" s="12"/>
      <c r="EK58" s="12"/>
      <c r="EL58" s="12"/>
      <c r="EM58" s="12"/>
      <c r="EN58" s="12"/>
      <c r="EO58" s="12"/>
      <c r="EP58" s="12"/>
      <c r="EQ58" s="12"/>
      <c r="ER58" s="12"/>
      <c r="ES58" s="12"/>
      <c r="ET58" s="12"/>
      <c r="EU58" s="12"/>
      <c r="EV58" s="12"/>
      <c r="EW58" s="12"/>
      <c r="EX58" s="12"/>
      <c r="EY58" s="12"/>
      <c r="EZ58" s="12"/>
      <c r="FA58" s="12"/>
      <c r="FB58" s="12"/>
      <c r="FC58" s="12"/>
      <c r="FD58" s="12"/>
      <c r="FE58" s="12"/>
      <c r="FF58" s="12"/>
      <c r="FG58" s="12"/>
      <c r="FH58" s="12"/>
      <c r="FI58" s="12"/>
      <c r="FJ58" s="12"/>
      <c r="FK58" s="12"/>
      <c r="FL58" s="12"/>
      <c r="FM58" s="12"/>
      <c r="FN58" s="12"/>
      <c r="FO58" s="12"/>
      <c r="FP58" s="12"/>
      <c r="FQ58" s="12"/>
      <c r="FR58" s="12"/>
      <c r="FS58" s="12"/>
      <c r="FT58" s="12"/>
      <c r="FU58" s="12"/>
      <c r="FV58" s="12"/>
      <c r="FW58" s="12"/>
      <c r="FX58" s="12"/>
      <c r="FY58" s="12"/>
      <c r="FZ58" s="12"/>
      <c r="GA58" s="12"/>
      <c r="GB58" s="12"/>
      <c r="GC58" s="12"/>
      <c r="GD58" s="12"/>
      <c r="GE58" s="12"/>
    </row>
    <row r="59" spans="1:187" ht="21" customHeight="1">
      <c r="A59" s="45"/>
      <c r="B59" s="86" t="s">
        <v>2</v>
      </c>
      <c r="C59" s="10" t="s">
        <v>68</v>
      </c>
      <c r="D59" s="10" t="s">
        <v>315</v>
      </c>
      <c r="E59" s="35">
        <v>711.59400000000005</v>
      </c>
      <c r="F59" s="35">
        <f>948.792-E59</f>
        <v>237.19799999999998</v>
      </c>
      <c r="G59" s="35">
        <v>237.202</v>
      </c>
      <c r="H59" s="35">
        <f>948.808-G59</f>
        <v>711.60599999999999</v>
      </c>
      <c r="I59" s="35">
        <f t="shared" si="0"/>
        <v>1897.6000000000001</v>
      </c>
      <c r="J59" s="56">
        <v>1968.53</v>
      </c>
      <c r="K59" s="49">
        <v>2920.66</v>
      </c>
      <c r="L59" s="49">
        <v>3037.49</v>
      </c>
      <c r="M59" s="49">
        <v>1374.48</v>
      </c>
      <c r="N59" s="49">
        <v>1425.34</v>
      </c>
      <c r="O59" s="56">
        <f t="shared" si="1"/>
        <v>1546.1799999999998</v>
      </c>
      <c r="P59" s="1">
        <f t="shared" si="2"/>
        <v>1100252.4109199999</v>
      </c>
      <c r="Q59" s="1">
        <f t="shared" si="3"/>
        <v>366750.80363999994</v>
      </c>
      <c r="R59" s="1">
        <f t="shared" si="4"/>
        <v>382405.20429999998</v>
      </c>
      <c r="S59" s="1">
        <f t="shared" si="5"/>
        <v>1147215.6128999998</v>
      </c>
      <c r="T59" s="1">
        <f t="shared" si="6"/>
        <v>2996624.0317599997</v>
      </c>
      <c r="U59" s="11"/>
      <c r="V59" s="11"/>
      <c r="W59" s="11"/>
      <c r="X59" s="12"/>
      <c r="Y59" s="12"/>
      <c r="Z59" s="12"/>
      <c r="AA59" s="12"/>
      <c r="AB59" s="12"/>
      <c r="AC59" s="12"/>
      <c r="AD59" s="12"/>
      <c r="AE59" s="12"/>
      <c r="AF59" s="12"/>
      <c r="AG59" s="12"/>
      <c r="AH59" s="12"/>
      <c r="AI59" s="12"/>
      <c r="AJ59" s="12"/>
      <c r="AK59" s="12"/>
      <c r="AL59" s="12"/>
      <c r="AM59" s="12"/>
      <c r="AN59" s="12"/>
      <c r="AO59" s="12"/>
      <c r="AP59" s="12"/>
      <c r="AQ59" s="12"/>
      <c r="AR59" s="12"/>
      <c r="AS59" s="12"/>
      <c r="AT59" s="12"/>
      <c r="AU59" s="12"/>
      <c r="AV59" s="12"/>
      <c r="AW59" s="12"/>
      <c r="AX59" s="12"/>
      <c r="AY59" s="12"/>
      <c r="AZ59" s="12"/>
      <c r="BA59" s="12"/>
      <c r="BB59" s="12"/>
      <c r="BC59" s="12"/>
      <c r="BD59" s="12"/>
      <c r="BE59" s="12"/>
      <c r="BF59" s="12"/>
      <c r="BG59" s="12"/>
      <c r="BH59" s="12"/>
      <c r="BI59" s="12"/>
      <c r="BJ59" s="12"/>
      <c r="BK59" s="12"/>
      <c r="BL59" s="12"/>
      <c r="BM59" s="12"/>
      <c r="BN59" s="12"/>
      <c r="BO59" s="12"/>
      <c r="BP59" s="12"/>
      <c r="BQ59" s="12"/>
      <c r="BR59" s="12"/>
      <c r="BS59" s="12"/>
      <c r="BT59" s="12"/>
      <c r="BU59" s="12"/>
      <c r="BV59" s="12"/>
      <c r="BW59" s="12"/>
      <c r="BX59" s="12"/>
      <c r="BY59" s="12"/>
      <c r="BZ59" s="12"/>
      <c r="CA59" s="12"/>
      <c r="CB59" s="12"/>
      <c r="CC59" s="12"/>
      <c r="CD59" s="12"/>
      <c r="CE59" s="12"/>
      <c r="CF59" s="12"/>
      <c r="CG59" s="12"/>
      <c r="CH59" s="12"/>
      <c r="CI59" s="12"/>
      <c r="CJ59" s="12"/>
      <c r="CK59" s="12"/>
      <c r="CL59" s="12"/>
      <c r="CM59" s="12"/>
      <c r="CN59" s="12"/>
      <c r="CO59" s="12"/>
      <c r="CP59" s="12"/>
      <c r="CQ59" s="12"/>
      <c r="CR59" s="12"/>
      <c r="CS59" s="12"/>
      <c r="CT59" s="12"/>
      <c r="CU59" s="12"/>
      <c r="CV59" s="12"/>
      <c r="CW59" s="12"/>
      <c r="CX59" s="12"/>
      <c r="CY59" s="12"/>
      <c r="CZ59" s="12"/>
      <c r="DA59" s="12"/>
      <c r="DB59" s="12"/>
      <c r="DC59" s="12"/>
      <c r="DD59" s="12"/>
      <c r="DE59" s="12"/>
      <c r="DF59" s="12"/>
      <c r="DG59" s="12"/>
      <c r="DH59" s="12"/>
      <c r="DI59" s="12"/>
      <c r="DJ59" s="12"/>
      <c r="DK59" s="12"/>
      <c r="DL59" s="12"/>
      <c r="DM59" s="12"/>
      <c r="DN59" s="12"/>
      <c r="DO59" s="12"/>
      <c r="DP59" s="12"/>
      <c r="DQ59" s="12"/>
      <c r="DR59" s="12"/>
      <c r="DS59" s="12"/>
      <c r="DT59" s="12"/>
      <c r="DU59" s="12"/>
      <c r="DV59" s="12"/>
      <c r="DW59" s="12"/>
      <c r="DX59" s="12"/>
      <c r="DY59" s="12"/>
      <c r="DZ59" s="12"/>
      <c r="EA59" s="12"/>
      <c r="EB59" s="12"/>
      <c r="EC59" s="12"/>
      <c r="ED59" s="12"/>
      <c r="EE59" s="12"/>
      <c r="EF59" s="12"/>
      <c r="EG59" s="12"/>
      <c r="EH59" s="12"/>
      <c r="EI59" s="12"/>
      <c r="EJ59" s="12"/>
      <c r="EK59" s="12"/>
      <c r="EL59" s="12"/>
      <c r="EM59" s="12"/>
      <c r="EN59" s="12"/>
      <c r="EO59" s="12"/>
      <c r="EP59" s="12"/>
      <c r="EQ59" s="12"/>
      <c r="ER59" s="12"/>
      <c r="ES59" s="12"/>
      <c r="ET59" s="12"/>
      <c r="EU59" s="12"/>
      <c r="EV59" s="12"/>
      <c r="EW59" s="12"/>
      <c r="EX59" s="12"/>
      <c r="EY59" s="12"/>
      <c r="EZ59" s="12"/>
      <c r="FA59" s="12"/>
      <c r="FB59" s="12"/>
      <c r="FC59" s="12"/>
      <c r="FD59" s="12"/>
      <c r="FE59" s="12"/>
      <c r="FF59" s="12"/>
      <c r="FG59" s="12"/>
      <c r="FH59" s="12"/>
      <c r="FI59" s="12"/>
      <c r="FJ59" s="12"/>
      <c r="FK59" s="12"/>
      <c r="FL59" s="12"/>
      <c r="FM59" s="12"/>
      <c r="FN59" s="12"/>
      <c r="FO59" s="12"/>
      <c r="FP59" s="12"/>
      <c r="FQ59" s="12"/>
      <c r="FR59" s="12"/>
      <c r="FS59" s="12"/>
      <c r="FT59" s="12"/>
      <c r="FU59" s="12"/>
      <c r="FV59" s="12"/>
      <c r="FW59" s="12"/>
      <c r="FX59" s="12"/>
      <c r="FY59" s="12"/>
      <c r="FZ59" s="12"/>
      <c r="GA59" s="12"/>
      <c r="GB59" s="12"/>
      <c r="GC59" s="12"/>
      <c r="GD59" s="12"/>
      <c r="GE59" s="12"/>
    </row>
    <row r="60" spans="1:187" ht="21" customHeight="1">
      <c r="A60" s="45"/>
      <c r="B60" s="86" t="s">
        <v>2</v>
      </c>
      <c r="C60" s="10" t="s">
        <v>68</v>
      </c>
      <c r="D60" s="10" t="s">
        <v>117</v>
      </c>
      <c r="E60" s="35">
        <v>4766.9560000000001</v>
      </c>
      <c r="F60" s="35">
        <f>6394.006-E60</f>
        <v>1627.0500000000002</v>
      </c>
      <c r="G60" s="35">
        <v>1627.5</v>
      </c>
      <c r="H60" s="35">
        <f>6385.845-G60</f>
        <v>4758.3450000000003</v>
      </c>
      <c r="I60" s="35">
        <f t="shared" si="0"/>
        <v>12779.851000000001</v>
      </c>
      <c r="J60" s="56">
        <v>13274.039999999999</v>
      </c>
      <c r="K60" s="49">
        <v>2447.5</v>
      </c>
      <c r="L60" s="49">
        <v>2447.5</v>
      </c>
      <c r="M60" s="49">
        <v>1515.27</v>
      </c>
      <c r="N60" s="49">
        <v>1571.33</v>
      </c>
      <c r="O60" s="56">
        <f t="shared" si="1"/>
        <v>932.23</v>
      </c>
      <c r="P60" s="1">
        <f t="shared" si="2"/>
        <v>4443899.39188</v>
      </c>
      <c r="Q60" s="1">
        <f t="shared" si="3"/>
        <v>1516784.8215000003</v>
      </c>
      <c r="R60" s="1">
        <f t="shared" si="4"/>
        <v>1425966.675</v>
      </c>
      <c r="S60" s="1">
        <f t="shared" si="5"/>
        <v>4169119.1386500006</v>
      </c>
      <c r="T60" s="1">
        <f t="shared" si="6"/>
        <v>11555770.02703</v>
      </c>
      <c r="U60" s="11"/>
      <c r="V60" s="11"/>
      <c r="W60" s="11"/>
      <c r="X60" s="12"/>
      <c r="Y60" s="12"/>
      <c r="Z60" s="12"/>
      <c r="AA60" s="12"/>
      <c r="AB60" s="12"/>
      <c r="AC60" s="12"/>
      <c r="AD60" s="12"/>
      <c r="AE60" s="12"/>
      <c r="AF60" s="12"/>
      <c r="AG60" s="12"/>
      <c r="AH60" s="12"/>
      <c r="AI60" s="12"/>
      <c r="AJ60" s="12"/>
      <c r="AK60" s="12"/>
      <c r="AL60" s="12"/>
      <c r="AM60" s="12"/>
      <c r="AN60" s="12"/>
      <c r="AO60" s="12"/>
      <c r="AP60" s="12"/>
      <c r="AQ60" s="12"/>
      <c r="AR60" s="12"/>
      <c r="AS60" s="12"/>
      <c r="AT60" s="12"/>
      <c r="AU60" s="12"/>
      <c r="AV60" s="12"/>
      <c r="AW60" s="12"/>
      <c r="AX60" s="12"/>
      <c r="AY60" s="12"/>
      <c r="AZ60" s="12"/>
      <c r="BA60" s="12"/>
      <c r="BB60" s="12"/>
      <c r="BC60" s="12"/>
      <c r="BD60" s="12"/>
      <c r="BE60" s="12"/>
      <c r="BF60" s="12"/>
      <c r="BG60" s="12"/>
      <c r="BH60" s="12"/>
      <c r="BI60" s="12"/>
      <c r="BJ60" s="12"/>
      <c r="BK60" s="12"/>
      <c r="BL60" s="12"/>
      <c r="BM60" s="12"/>
      <c r="BN60" s="12"/>
      <c r="BO60" s="12"/>
      <c r="BP60" s="12"/>
      <c r="BQ60" s="12"/>
      <c r="BR60" s="12"/>
      <c r="BS60" s="12"/>
      <c r="BT60" s="12"/>
      <c r="BU60" s="12"/>
      <c r="BV60" s="12"/>
      <c r="BW60" s="12"/>
      <c r="BX60" s="12"/>
      <c r="BY60" s="12"/>
      <c r="BZ60" s="12"/>
      <c r="CA60" s="12"/>
      <c r="CB60" s="12"/>
      <c r="CC60" s="12"/>
      <c r="CD60" s="12"/>
      <c r="CE60" s="12"/>
      <c r="CF60" s="12"/>
      <c r="CG60" s="12"/>
      <c r="CH60" s="12"/>
      <c r="CI60" s="12"/>
      <c r="CJ60" s="12"/>
      <c r="CK60" s="12"/>
      <c r="CL60" s="12"/>
      <c r="CM60" s="12"/>
      <c r="CN60" s="12"/>
      <c r="CO60" s="12"/>
      <c r="CP60" s="12"/>
      <c r="CQ60" s="12"/>
      <c r="CR60" s="12"/>
      <c r="CS60" s="12"/>
      <c r="CT60" s="12"/>
      <c r="CU60" s="12"/>
      <c r="CV60" s="12"/>
      <c r="CW60" s="12"/>
      <c r="CX60" s="12"/>
      <c r="CY60" s="12"/>
      <c r="CZ60" s="12"/>
      <c r="DA60" s="12"/>
      <c r="DB60" s="12"/>
      <c r="DC60" s="12"/>
      <c r="DD60" s="12"/>
      <c r="DE60" s="12"/>
      <c r="DF60" s="12"/>
      <c r="DG60" s="12"/>
      <c r="DH60" s="12"/>
      <c r="DI60" s="12"/>
      <c r="DJ60" s="12"/>
      <c r="DK60" s="12"/>
      <c r="DL60" s="12"/>
      <c r="DM60" s="12"/>
      <c r="DN60" s="12"/>
      <c r="DO60" s="12"/>
      <c r="DP60" s="12"/>
      <c r="DQ60" s="12"/>
      <c r="DR60" s="12"/>
      <c r="DS60" s="12"/>
      <c r="DT60" s="12"/>
      <c r="DU60" s="12"/>
      <c r="DV60" s="12"/>
      <c r="DW60" s="12"/>
      <c r="DX60" s="12"/>
      <c r="DY60" s="12"/>
      <c r="DZ60" s="12"/>
      <c r="EA60" s="12"/>
      <c r="EB60" s="12"/>
      <c r="EC60" s="12"/>
      <c r="ED60" s="12"/>
      <c r="EE60" s="12"/>
      <c r="EF60" s="12"/>
      <c r="EG60" s="12"/>
      <c r="EH60" s="12"/>
      <c r="EI60" s="12"/>
      <c r="EJ60" s="12"/>
      <c r="EK60" s="12"/>
      <c r="EL60" s="12"/>
      <c r="EM60" s="12"/>
      <c r="EN60" s="12"/>
      <c r="EO60" s="12"/>
      <c r="EP60" s="12"/>
      <c r="EQ60" s="12"/>
      <c r="ER60" s="12"/>
      <c r="ES60" s="12"/>
      <c r="ET60" s="12"/>
      <c r="EU60" s="12"/>
      <c r="EV60" s="12"/>
      <c r="EW60" s="12"/>
      <c r="EX60" s="12"/>
      <c r="EY60" s="12"/>
      <c r="EZ60" s="12"/>
      <c r="FA60" s="12"/>
      <c r="FB60" s="12"/>
      <c r="FC60" s="12"/>
      <c r="FD60" s="12"/>
      <c r="FE60" s="12"/>
      <c r="FF60" s="12"/>
      <c r="FG60" s="12"/>
      <c r="FH60" s="12"/>
      <c r="FI60" s="12"/>
      <c r="FJ60" s="12"/>
      <c r="FK60" s="12"/>
      <c r="FL60" s="12"/>
      <c r="FM60" s="12"/>
      <c r="FN60" s="12"/>
      <c r="FO60" s="12"/>
      <c r="FP60" s="12"/>
      <c r="FQ60" s="12"/>
      <c r="FR60" s="12"/>
      <c r="FS60" s="12"/>
      <c r="FT60" s="12"/>
      <c r="FU60" s="12"/>
      <c r="FV60" s="12"/>
      <c r="FW60" s="12"/>
      <c r="FX60" s="12"/>
      <c r="FY60" s="12"/>
      <c r="FZ60" s="12"/>
      <c r="GA60" s="12"/>
      <c r="GB60" s="12"/>
      <c r="GC60" s="12"/>
      <c r="GD60" s="12"/>
      <c r="GE60" s="12"/>
    </row>
    <row r="61" spans="1:187" ht="21" customHeight="1">
      <c r="A61" s="45"/>
      <c r="B61" s="86" t="s">
        <v>2</v>
      </c>
      <c r="C61" s="10" t="s">
        <v>68</v>
      </c>
      <c r="D61" s="10" t="s">
        <v>316</v>
      </c>
      <c r="E61" s="35">
        <v>4509.5820000000003</v>
      </c>
      <c r="F61" s="35">
        <f>6010.333-E61</f>
        <v>1500.7509999999993</v>
      </c>
      <c r="G61" s="35">
        <v>482.64</v>
      </c>
      <c r="H61" s="35">
        <f>4422.47-G61</f>
        <v>3939.8300000000004</v>
      </c>
      <c r="I61" s="35">
        <f t="shared" si="0"/>
        <v>10432.803</v>
      </c>
      <c r="J61" s="56">
        <v>11595.17</v>
      </c>
      <c r="K61" s="49">
        <v>5480.59</v>
      </c>
      <c r="L61" s="49">
        <v>5480.59</v>
      </c>
      <c r="M61" s="49">
        <v>1491.31</v>
      </c>
      <c r="N61" s="49">
        <v>1546.4884699999998</v>
      </c>
      <c r="O61" s="56">
        <f t="shared" si="1"/>
        <v>3989.28</v>
      </c>
      <c r="P61" s="1">
        <f t="shared" si="2"/>
        <v>17989985.280960001</v>
      </c>
      <c r="Q61" s="1">
        <f t="shared" si="3"/>
        <v>5986915.9492799975</v>
      </c>
      <c r="R61" s="1">
        <f t="shared" si="4"/>
        <v>1898754.7624392002</v>
      </c>
      <c r="S61" s="1">
        <f t="shared" si="5"/>
        <v>15499691.230939902</v>
      </c>
      <c r="T61" s="1">
        <f t="shared" si="6"/>
        <v>41375347.223619103</v>
      </c>
      <c r="U61" s="11"/>
      <c r="V61" s="11"/>
      <c r="W61" s="11"/>
      <c r="X61" s="12"/>
      <c r="Y61" s="12"/>
      <c r="Z61" s="12"/>
      <c r="AA61" s="12"/>
      <c r="AB61" s="12"/>
      <c r="AC61" s="12"/>
      <c r="AD61" s="12"/>
      <c r="AE61" s="12"/>
      <c r="AF61" s="12"/>
      <c r="AG61" s="12"/>
      <c r="AH61" s="12"/>
      <c r="AI61" s="12"/>
      <c r="AJ61" s="12"/>
      <c r="AK61" s="12"/>
      <c r="AL61" s="12"/>
      <c r="AM61" s="12"/>
      <c r="AN61" s="12"/>
      <c r="AO61" s="12"/>
      <c r="AP61" s="12"/>
      <c r="AQ61" s="12"/>
      <c r="AR61" s="12"/>
      <c r="AS61" s="12"/>
      <c r="AT61" s="12"/>
      <c r="AU61" s="12"/>
      <c r="AV61" s="12"/>
      <c r="AW61" s="12"/>
      <c r="AX61" s="12"/>
      <c r="AY61" s="12"/>
      <c r="AZ61" s="12"/>
      <c r="BA61" s="12"/>
      <c r="BB61" s="12"/>
      <c r="BC61" s="12"/>
      <c r="BD61" s="12"/>
      <c r="BE61" s="12"/>
      <c r="BF61" s="12"/>
      <c r="BG61" s="12"/>
      <c r="BH61" s="12"/>
      <c r="BI61" s="12"/>
      <c r="BJ61" s="12"/>
      <c r="BK61" s="12"/>
      <c r="BL61" s="12"/>
      <c r="BM61" s="12"/>
      <c r="BN61" s="12"/>
      <c r="BO61" s="12"/>
      <c r="BP61" s="12"/>
      <c r="BQ61" s="12"/>
      <c r="BR61" s="12"/>
      <c r="BS61" s="12"/>
      <c r="BT61" s="12"/>
      <c r="BU61" s="12"/>
      <c r="BV61" s="12"/>
      <c r="BW61" s="12"/>
      <c r="BX61" s="12"/>
      <c r="BY61" s="12"/>
      <c r="BZ61" s="12"/>
      <c r="CA61" s="12"/>
      <c r="CB61" s="12"/>
      <c r="CC61" s="12"/>
      <c r="CD61" s="12"/>
      <c r="CE61" s="12"/>
      <c r="CF61" s="12"/>
      <c r="CG61" s="12"/>
      <c r="CH61" s="12"/>
      <c r="CI61" s="12"/>
      <c r="CJ61" s="12"/>
      <c r="CK61" s="12"/>
      <c r="CL61" s="12"/>
      <c r="CM61" s="12"/>
      <c r="CN61" s="12"/>
      <c r="CO61" s="12"/>
      <c r="CP61" s="12"/>
      <c r="CQ61" s="12"/>
      <c r="CR61" s="12"/>
      <c r="CS61" s="12"/>
      <c r="CT61" s="12"/>
      <c r="CU61" s="12"/>
      <c r="CV61" s="12"/>
      <c r="CW61" s="12"/>
      <c r="CX61" s="12"/>
      <c r="CY61" s="12"/>
      <c r="CZ61" s="12"/>
      <c r="DA61" s="12"/>
      <c r="DB61" s="12"/>
      <c r="DC61" s="12"/>
      <c r="DD61" s="12"/>
      <c r="DE61" s="12"/>
      <c r="DF61" s="12"/>
      <c r="DG61" s="12"/>
      <c r="DH61" s="12"/>
      <c r="DI61" s="12"/>
      <c r="DJ61" s="12"/>
      <c r="DK61" s="12"/>
      <c r="DL61" s="12"/>
      <c r="DM61" s="12"/>
      <c r="DN61" s="12"/>
      <c r="DO61" s="12"/>
      <c r="DP61" s="12"/>
      <c r="DQ61" s="12"/>
      <c r="DR61" s="12"/>
      <c r="DS61" s="12"/>
      <c r="DT61" s="12"/>
      <c r="DU61" s="12"/>
      <c r="DV61" s="12"/>
      <c r="DW61" s="12"/>
      <c r="DX61" s="12"/>
      <c r="DY61" s="12"/>
      <c r="DZ61" s="12"/>
      <c r="EA61" s="12"/>
      <c r="EB61" s="12"/>
      <c r="EC61" s="12"/>
      <c r="ED61" s="12"/>
      <c r="EE61" s="12"/>
      <c r="EF61" s="12"/>
      <c r="EG61" s="12"/>
      <c r="EH61" s="12"/>
      <c r="EI61" s="12"/>
      <c r="EJ61" s="12"/>
      <c r="EK61" s="12"/>
      <c r="EL61" s="12"/>
      <c r="EM61" s="12"/>
      <c r="EN61" s="12"/>
      <c r="EO61" s="12"/>
      <c r="EP61" s="12"/>
      <c r="EQ61" s="12"/>
      <c r="ER61" s="12"/>
      <c r="ES61" s="12"/>
      <c r="ET61" s="12"/>
      <c r="EU61" s="12"/>
      <c r="EV61" s="12"/>
      <c r="EW61" s="12"/>
      <c r="EX61" s="12"/>
      <c r="EY61" s="12"/>
      <c r="EZ61" s="12"/>
      <c r="FA61" s="12"/>
      <c r="FB61" s="12"/>
      <c r="FC61" s="12"/>
      <c r="FD61" s="12"/>
      <c r="FE61" s="12"/>
      <c r="FF61" s="12"/>
      <c r="FG61" s="12"/>
      <c r="FH61" s="12"/>
      <c r="FI61" s="12"/>
      <c r="FJ61" s="12"/>
      <c r="FK61" s="12"/>
      <c r="FL61" s="12"/>
      <c r="FM61" s="12"/>
      <c r="FN61" s="12"/>
      <c r="FO61" s="12"/>
      <c r="FP61" s="12"/>
      <c r="FQ61" s="12"/>
      <c r="FR61" s="12"/>
      <c r="FS61" s="12"/>
      <c r="FT61" s="12"/>
      <c r="FU61" s="12"/>
      <c r="FV61" s="12"/>
      <c r="FW61" s="12"/>
      <c r="FX61" s="12"/>
      <c r="FY61" s="12"/>
      <c r="FZ61" s="12"/>
      <c r="GA61" s="12"/>
      <c r="GB61" s="12"/>
      <c r="GC61" s="12"/>
      <c r="GD61" s="12"/>
      <c r="GE61" s="12"/>
    </row>
    <row r="62" spans="1:187" ht="21" customHeight="1">
      <c r="A62" s="45"/>
      <c r="B62" s="86" t="s">
        <v>2</v>
      </c>
      <c r="C62" s="10" t="s">
        <v>68</v>
      </c>
      <c r="D62" s="10" t="s">
        <v>317</v>
      </c>
      <c r="E62" s="35">
        <v>855.90800000000002</v>
      </c>
      <c r="F62" s="35">
        <f>1191.474-E62</f>
        <v>335.56599999999992</v>
      </c>
      <c r="G62" s="35">
        <v>47.448999999999998</v>
      </c>
      <c r="H62" s="35">
        <f>686.951-G62</f>
        <v>639.50200000000007</v>
      </c>
      <c r="I62" s="35">
        <f t="shared" si="0"/>
        <v>1878.4250000000002</v>
      </c>
      <c r="J62" s="56">
        <v>2044.45</v>
      </c>
      <c r="K62" s="49">
        <v>5480.59</v>
      </c>
      <c r="L62" s="49">
        <v>5480.59</v>
      </c>
      <c r="M62" s="49">
        <v>2150.21</v>
      </c>
      <c r="N62" s="49">
        <v>2229.7677699999999</v>
      </c>
      <c r="O62" s="56">
        <f t="shared" si="1"/>
        <v>3330.38</v>
      </c>
      <c r="P62" s="1">
        <f t="shared" si="2"/>
        <v>2850498.8850400001</v>
      </c>
      <c r="Q62" s="1">
        <f t="shared" si="3"/>
        <v>1117562.2950799998</v>
      </c>
      <c r="R62" s="1">
        <f t="shared" si="4"/>
        <v>154248.26399127001</v>
      </c>
      <c r="S62" s="1">
        <f t="shared" si="5"/>
        <v>2078907.3177294603</v>
      </c>
      <c r="T62" s="1">
        <f t="shared" si="6"/>
        <v>6201216.76184073</v>
      </c>
      <c r="U62" s="11"/>
      <c r="V62" s="11"/>
      <c r="W62" s="11"/>
      <c r="X62" s="12"/>
      <c r="Y62" s="12"/>
      <c r="Z62" s="12"/>
      <c r="AA62" s="12"/>
      <c r="AB62" s="12"/>
      <c r="AC62" s="12"/>
      <c r="AD62" s="12"/>
      <c r="AE62" s="12"/>
      <c r="AF62" s="12"/>
      <c r="AG62" s="12"/>
      <c r="AH62" s="12"/>
      <c r="AI62" s="12"/>
      <c r="AJ62" s="12"/>
      <c r="AK62" s="12"/>
      <c r="AL62" s="12"/>
      <c r="AM62" s="12"/>
      <c r="AN62" s="12"/>
      <c r="AO62" s="12"/>
      <c r="AP62" s="12"/>
      <c r="AQ62" s="12"/>
      <c r="AR62" s="12"/>
      <c r="AS62" s="12"/>
      <c r="AT62" s="12"/>
      <c r="AU62" s="12"/>
      <c r="AV62" s="12"/>
      <c r="AW62" s="12"/>
      <c r="AX62" s="12"/>
      <c r="AY62" s="12"/>
      <c r="AZ62" s="12"/>
      <c r="BA62" s="12"/>
      <c r="BB62" s="12"/>
      <c r="BC62" s="12"/>
      <c r="BD62" s="12"/>
      <c r="BE62" s="12"/>
      <c r="BF62" s="12"/>
      <c r="BG62" s="12"/>
      <c r="BH62" s="12"/>
      <c r="BI62" s="12"/>
      <c r="BJ62" s="12"/>
      <c r="BK62" s="12"/>
      <c r="BL62" s="12"/>
      <c r="BM62" s="12"/>
      <c r="BN62" s="12"/>
      <c r="BO62" s="12"/>
      <c r="BP62" s="12"/>
      <c r="BQ62" s="12"/>
      <c r="BR62" s="12"/>
      <c r="BS62" s="12"/>
      <c r="BT62" s="12"/>
      <c r="BU62" s="12"/>
      <c r="BV62" s="12"/>
      <c r="BW62" s="12"/>
      <c r="BX62" s="12"/>
      <c r="BY62" s="12"/>
      <c r="BZ62" s="12"/>
      <c r="CA62" s="12"/>
      <c r="CB62" s="12"/>
      <c r="CC62" s="12"/>
      <c r="CD62" s="12"/>
      <c r="CE62" s="12"/>
      <c r="CF62" s="12"/>
      <c r="CG62" s="12"/>
      <c r="CH62" s="12"/>
      <c r="CI62" s="12"/>
      <c r="CJ62" s="12"/>
      <c r="CK62" s="12"/>
      <c r="CL62" s="12"/>
      <c r="CM62" s="12"/>
      <c r="CN62" s="12"/>
      <c r="CO62" s="12"/>
      <c r="CP62" s="12"/>
      <c r="CQ62" s="12"/>
      <c r="CR62" s="12"/>
      <c r="CS62" s="12"/>
      <c r="CT62" s="12"/>
      <c r="CU62" s="12"/>
      <c r="CV62" s="12"/>
      <c r="CW62" s="12"/>
      <c r="CX62" s="12"/>
      <c r="CY62" s="12"/>
      <c r="CZ62" s="12"/>
      <c r="DA62" s="12"/>
      <c r="DB62" s="12"/>
      <c r="DC62" s="12"/>
      <c r="DD62" s="12"/>
      <c r="DE62" s="12"/>
      <c r="DF62" s="12"/>
      <c r="DG62" s="12"/>
      <c r="DH62" s="12"/>
      <c r="DI62" s="12"/>
      <c r="DJ62" s="12"/>
      <c r="DK62" s="12"/>
      <c r="DL62" s="12"/>
      <c r="DM62" s="12"/>
      <c r="DN62" s="12"/>
      <c r="DO62" s="12"/>
      <c r="DP62" s="12"/>
      <c r="DQ62" s="12"/>
      <c r="DR62" s="12"/>
      <c r="DS62" s="12"/>
      <c r="DT62" s="12"/>
      <c r="DU62" s="12"/>
      <c r="DV62" s="12"/>
      <c r="DW62" s="12"/>
      <c r="DX62" s="12"/>
      <c r="DY62" s="12"/>
      <c r="DZ62" s="12"/>
      <c r="EA62" s="12"/>
      <c r="EB62" s="12"/>
      <c r="EC62" s="12"/>
      <c r="ED62" s="12"/>
      <c r="EE62" s="12"/>
      <c r="EF62" s="12"/>
      <c r="EG62" s="12"/>
      <c r="EH62" s="12"/>
      <c r="EI62" s="12"/>
      <c r="EJ62" s="12"/>
      <c r="EK62" s="12"/>
      <c r="EL62" s="12"/>
      <c r="EM62" s="12"/>
      <c r="EN62" s="12"/>
      <c r="EO62" s="12"/>
      <c r="EP62" s="12"/>
      <c r="EQ62" s="12"/>
      <c r="ER62" s="12"/>
      <c r="ES62" s="12"/>
      <c r="ET62" s="12"/>
      <c r="EU62" s="12"/>
      <c r="EV62" s="12"/>
      <c r="EW62" s="12"/>
      <c r="EX62" s="12"/>
      <c r="EY62" s="12"/>
      <c r="EZ62" s="12"/>
      <c r="FA62" s="12"/>
      <c r="FB62" s="12"/>
      <c r="FC62" s="12"/>
      <c r="FD62" s="12"/>
      <c r="FE62" s="12"/>
      <c r="FF62" s="12"/>
      <c r="FG62" s="12"/>
      <c r="FH62" s="12"/>
      <c r="FI62" s="12"/>
      <c r="FJ62" s="12"/>
      <c r="FK62" s="12"/>
      <c r="FL62" s="12"/>
      <c r="FM62" s="12"/>
      <c r="FN62" s="12"/>
      <c r="FO62" s="12"/>
      <c r="FP62" s="12"/>
      <c r="FQ62" s="12"/>
      <c r="FR62" s="12"/>
      <c r="FS62" s="12"/>
      <c r="FT62" s="12"/>
      <c r="FU62" s="12"/>
      <c r="FV62" s="12"/>
      <c r="FW62" s="12"/>
      <c r="FX62" s="12"/>
      <c r="FY62" s="12"/>
      <c r="FZ62" s="12"/>
      <c r="GA62" s="12"/>
      <c r="GB62" s="12"/>
      <c r="GC62" s="12"/>
      <c r="GD62" s="12"/>
      <c r="GE62" s="12"/>
    </row>
    <row r="63" spans="1:187" ht="21" customHeight="1">
      <c r="A63" s="45"/>
      <c r="B63" s="86" t="s">
        <v>2</v>
      </c>
      <c r="C63" s="10" t="s">
        <v>68</v>
      </c>
      <c r="D63" s="10" t="s">
        <v>318</v>
      </c>
      <c r="E63" s="35">
        <v>457.42</v>
      </c>
      <c r="F63" s="35">
        <f>610.816-E63</f>
        <v>153.39600000000002</v>
      </c>
      <c r="G63" s="35">
        <v>155.20599999999999</v>
      </c>
      <c r="H63" s="35">
        <f>611.715-G63</f>
        <v>456.50900000000001</v>
      </c>
      <c r="I63" s="35">
        <f t="shared" si="0"/>
        <v>1222.5309999999999</v>
      </c>
      <c r="J63" s="56">
        <v>1283.3800000000001</v>
      </c>
      <c r="K63" s="49">
        <v>5480.59</v>
      </c>
      <c r="L63" s="49">
        <v>5480.59</v>
      </c>
      <c r="M63" s="49">
        <v>1400.68</v>
      </c>
      <c r="N63" s="49">
        <v>1452.5051599999999</v>
      </c>
      <c r="O63" s="56">
        <f t="shared" si="1"/>
        <v>4079.91</v>
      </c>
      <c r="P63" s="1">
        <f t="shared" si="2"/>
        <v>1866232.4321999999</v>
      </c>
      <c r="Q63" s="1">
        <f t="shared" si="3"/>
        <v>625841.87436000002</v>
      </c>
      <c r="R63" s="1">
        <f t="shared" si="4"/>
        <v>625182.93567704002</v>
      </c>
      <c r="S63" s="1">
        <f t="shared" si="5"/>
        <v>1838856.9822235603</v>
      </c>
      <c r="T63" s="1">
        <f t="shared" si="6"/>
        <v>4956114.2244605999</v>
      </c>
      <c r="U63" s="11"/>
      <c r="V63" s="11"/>
      <c r="W63" s="11"/>
      <c r="X63" s="12"/>
      <c r="Y63" s="12"/>
      <c r="Z63" s="12"/>
      <c r="AA63" s="12"/>
      <c r="AB63" s="12"/>
      <c r="AC63" s="12"/>
      <c r="AD63" s="12"/>
      <c r="AE63" s="12"/>
      <c r="AF63" s="12"/>
      <c r="AG63" s="12"/>
      <c r="AH63" s="12"/>
      <c r="AI63" s="12"/>
      <c r="AJ63" s="12"/>
      <c r="AK63" s="12"/>
      <c r="AL63" s="12"/>
      <c r="AM63" s="12"/>
      <c r="AN63" s="12"/>
      <c r="AO63" s="12"/>
      <c r="AP63" s="12"/>
      <c r="AQ63" s="12"/>
      <c r="AR63" s="12"/>
      <c r="AS63" s="12"/>
      <c r="AT63" s="12"/>
      <c r="AU63" s="12"/>
      <c r="AV63" s="12"/>
      <c r="AW63" s="12"/>
      <c r="AX63" s="12"/>
      <c r="AY63" s="12"/>
      <c r="AZ63" s="12"/>
      <c r="BA63" s="12"/>
      <c r="BB63" s="12"/>
      <c r="BC63" s="12"/>
      <c r="BD63" s="12"/>
      <c r="BE63" s="12"/>
      <c r="BF63" s="12"/>
      <c r="BG63" s="12"/>
      <c r="BH63" s="12"/>
      <c r="BI63" s="12"/>
      <c r="BJ63" s="12"/>
      <c r="BK63" s="12"/>
      <c r="BL63" s="12"/>
      <c r="BM63" s="12"/>
      <c r="BN63" s="12"/>
      <c r="BO63" s="12"/>
      <c r="BP63" s="12"/>
      <c r="BQ63" s="12"/>
      <c r="BR63" s="12"/>
      <c r="BS63" s="12"/>
      <c r="BT63" s="12"/>
      <c r="BU63" s="12"/>
      <c r="BV63" s="12"/>
      <c r="BW63" s="12"/>
      <c r="BX63" s="12"/>
      <c r="BY63" s="12"/>
      <c r="BZ63" s="12"/>
      <c r="CA63" s="12"/>
      <c r="CB63" s="12"/>
      <c r="CC63" s="12"/>
      <c r="CD63" s="12"/>
      <c r="CE63" s="12"/>
      <c r="CF63" s="12"/>
      <c r="CG63" s="12"/>
      <c r="CH63" s="12"/>
      <c r="CI63" s="12"/>
      <c r="CJ63" s="12"/>
      <c r="CK63" s="12"/>
      <c r="CL63" s="12"/>
      <c r="CM63" s="12"/>
      <c r="CN63" s="12"/>
      <c r="CO63" s="12"/>
      <c r="CP63" s="12"/>
      <c r="CQ63" s="12"/>
      <c r="CR63" s="12"/>
      <c r="CS63" s="12"/>
      <c r="CT63" s="12"/>
      <c r="CU63" s="12"/>
      <c r="CV63" s="12"/>
      <c r="CW63" s="12"/>
      <c r="CX63" s="12"/>
      <c r="CY63" s="12"/>
      <c r="CZ63" s="12"/>
      <c r="DA63" s="12"/>
      <c r="DB63" s="12"/>
      <c r="DC63" s="12"/>
      <c r="DD63" s="12"/>
      <c r="DE63" s="12"/>
      <c r="DF63" s="12"/>
      <c r="DG63" s="12"/>
      <c r="DH63" s="12"/>
      <c r="DI63" s="12"/>
      <c r="DJ63" s="12"/>
      <c r="DK63" s="12"/>
      <c r="DL63" s="12"/>
      <c r="DM63" s="12"/>
      <c r="DN63" s="12"/>
      <c r="DO63" s="12"/>
      <c r="DP63" s="12"/>
      <c r="DQ63" s="12"/>
      <c r="DR63" s="12"/>
      <c r="DS63" s="12"/>
      <c r="DT63" s="12"/>
      <c r="DU63" s="12"/>
      <c r="DV63" s="12"/>
      <c r="DW63" s="12"/>
      <c r="DX63" s="12"/>
      <c r="DY63" s="12"/>
      <c r="DZ63" s="12"/>
      <c r="EA63" s="12"/>
      <c r="EB63" s="12"/>
      <c r="EC63" s="12"/>
      <c r="ED63" s="12"/>
      <c r="EE63" s="12"/>
      <c r="EF63" s="12"/>
      <c r="EG63" s="12"/>
      <c r="EH63" s="12"/>
      <c r="EI63" s="12"/>
      <c r="EJ63" s="12"/>
      <c r="EK63" s="12"/>
      <c r="EL63" s="12"/>
      <c r="EM63" s="12"/>
      <c r="EN63" s="12"/>
      <c r="EO63" s="12"/>
      <c r="EP63" s="12"/>
      <c r="EQ63" s="12"/>
      <c r="ER63" s="12"/>
      <c r="ES63" s="12"/>
      <c r="ET63" s="12"/>
      <c r="EU63" s="12"/>
      <c r="EV63" s="12"/>
      <c r="EW63" s="12"/>
      <c r="EX63" s="12"/>
      <c r="EY63" s="12"/>
      <c r="EZ63" s="12"/>
      <c r="FA63" s="12"/>
      <c r="FB63" s="12"/>
      <c r="FC63" s="12"/>
      <c r="FD63" s="12"/>
      <c r="FE63" s="12"/>
      <c r="FF63" s="12"/>
      <c r="FG63" s="12"/>
      <c r="FH63" s="12"/>
      <c r="FI63" s="12"/>
      <c r="FJ63" s="12"/>
      <c r="FK63" s="12"/>
      <c r="FL63" s="12"/>
      <c r="FM63" s="12"/>
      <c r="FN63" s="12"/>
      <c r="FO63" s="12"/>
      <c r="FP63" s="12"/>
      <c r="FQ63" s="12"/>
      <c r="FR63" s="12"/>
      <c r="FS63" s="12"/>
      <c r="FT63" s="12"/>
      <c r="FU63" s="12"/>
      <c r="FV63" s="12"/>
      <c r="FW63" s="12"/>
      <c r="FX63" s="12"/>
      <c r="FY63" s="12"/>
      <c r="FZ63" s="12"/>
      <c r="GA63" s="12"/>
      <c r="GB63" s="12"/>
      <c r="GC63" s="12"/>
      <c r="GD63" s="12"/>
      <c r="GE63" s="12"/>
    </row>
    <row r="64" spans="1:187" ht="21" customHeight="1">
      <c r="A64" s="45" t="s">
        <v>337</v>
      </c>
      <c r="B64" s="86" t="s">
        <v>334</v>
      </c>
      <c r="C64" s="10" t="s">
        <v>335</v>
      </c>
      <c r="D64" s="10" t="s">
        <v>336</v>
      </c>
      <c r="E64" s="35">
        <f>290.1134384*0.6</f>
        <v>174.06806304</v>
      </c>
      <c r="F64" s="35">
        <f>290.1134384*0.4</f>
        <v>116.04537536000001</v>
      </c>
      <c r="G64" s="35">
        <f>224.4545616*0.2</f>
        <v>44.890912320000005</v>
      </c>
      <c r="H64" s="35">
        <f>224.4545616*0.8</f>
        <v>179.56364928000002</v>
      </c>
      <c r="I64" s="35">
        <f t="shared" si="0"/>
        <v>514.56799999999998</v>
      </c>
      <c r="J64" s="56">
        <v>421.8</v>
      </c>
      <c r="K64" s="49">
        <v>3910.1</v>
      </c>
      <c r="L64" s="49">
        <v>4066.51</v>
      </c>
      <c r="M64" s="49">
        <v>1864.2</v>
      </c>
      <c r="N64" s="49">
        <v>1933.18</v>
      </c>
      <c r="O64" s="56">
        <f t="shared" si="1"/>
        <v>2045.8999999999999</v>
      </c>
      <c r="P64" s="1">
        <f t="shared" si="2"/>
        <v>356125.85017353599</v>
      </c>
      <c r="Q64" s="1">
        <f t="shared" si="3"/>
        <v>237417.233449024</v>
      </c>
      <c r="R64" s="1">
        <f t="shared" si="4"/>
        <v>95767.129979625606</v>
      </c>
      <c r="S64" s="1">
        <f t="shared" si="5"/>
        <v>383068.51991850242</v>
      </c>
      <c r="T64" s="1">
        <f t="shared" si="6"/>
        <v>1072378.733520688</v>
      </c>
      <c r="U64" s="11"/>
      <c r="V64" s="11"/>
      <c r="W64" s="11"/>
      <c r="X64" s="12"/>
      <c r="Y64" s="12"/>
      <c r="Z64" s="12"/>
      <c r="AA64" s="12"/>
      <c r="AB64" s="12"/>
      <c r="AC64" s="12"/>
      <c r="AD64" s="12"/>
      <c r="AE64" s="12"/>
      <c r="AF64" s="12"/>
      <c r="AG64" s="12"/>
      <c r="AH64" s="12"/>
      <c r="AI64" s="12"/>
      <c r="AJ64" s="12"/>
      <c r="AK64" s="12"/>
      <c r="AL64" s="12"/>
      <c r="AM64" s="12"/>
      <c r="AN64" s="12"/>
      <c r="AO64" s="12"/>
      <c r="AP64" s="12"/>
      <c r="AQ64" s="12"/>
      <c r="AR64" s="12"/>
      <c r="AS64" s="12"/>
      <c r="AT64" s="12"/>
      <c r="AU64" s="12"/>
      <c r="AV64" s="12"/>
      <c r="AW64" s="12"/>
      <c r="AX64" s="12"/>
      <c r="AY64" s="12"/>
      <c r="AZ64" s="12"/>
      <c r="BA64" s="12"/>
      <c r="BB64" s="12"/>
      <c r="BC64" s="12"/>
      <c r="BD64" s="12"/>
      <c r="BE64" s="12"/>
      <c r="BF64" s="12"/>
      <c r="BG64" s="12"/>
      <c r="BH64" s="12"/>
      <c r="BI64" s="12"/>
      <c r="BJ64" s="12"/>
      <c r="BK64" s="12"/>
      <c r="BL64" s="12"/>
      <c r="BM64" s="12"/>
      <c r="BN64" s="12"/>
      <c r="BO64" s="12"/>
      <c r="BP64" s="12"/>
      <c r="BQ64" s="12"/>
      <c r="BR64" s="12"/>
      <c r="BS64" s="12"/>
      <c r="BT64" s="12"/>
      <c r="BU64" s="12"/>
      <c r="BV64" s="12"/>
      <c r="BW64" s="12"/>
      <c r="BX64" s="12"/>
      <c r="BY64" s="12"/>
      <c r="BZ64" s="12"/>
      <c r="CA64" s="12"/>
      <c r="CB64" s="12"/>
      <c r="CC64" s="12"/>
      <c r="CD64" s="12"/>
      <c r="CE64" s="12"/>
      <c r="CF64" s="12"/>
      <c r="CG64" s="12"/>
      <c r="CH64" s="12"/>
      <c r="CI64" s="12"/>
      <c r="CJ64" s="12"/>
      <c r="CK64" s="12"/>
      <c r="CL64" s="12"/>
      <c r="CM64" s="12"/>
      <c r="CN64" s="12"/>
      <c r="CO64" s="12"/>
      <c r="CP64" s="12"/>
      <c r="CQ64" s="12"/>
      <c r="CR64" s="12"/>
      <c r="CS64" s="12"/>
      <c r="CT64" s="12"/>
      <c r="CU64" s="12"/>
      <c r="CV64" s="12"/>
      <c r="CW64" s="12"/>
      <c r="CX64" s="12"/>
      <c r="CY64" s="12"/>
      <c r="CZ64" s="12"/>
      <c r="DA64" s="12"/>
      <c r="DB64" s="12"/>
      <c r="DC64" s="12"/>
      <c r="DD64" s="12"/>
      <c r="DE64" s="12"/>
      <c r="DF64" s="12"/>
      <c r="DG64" s="12"/>
      <c r="DH64" s="12"/>
      <c r="DI64" s="12"/>
      <c r="DJ64" s="12"/>
      <c r="DK64" s="12"/>
      <c r="DL64" s="12"/>
      <c r="DM64" s="12"/>
      <c r="DN64" s="12"/>
      <c r="DO64" s="12"/>
      <c r="DP64" s="12"/>
      <c r="DQ64" s="12"/>
      <c r="DR64" s="12"/>
      <c r="DS64" s="12"/>
      <c r="DT64" s="12"/>
      <c r="DU64" s="12"/>
      <c r="DV64" s="12"/>
      <c r="DW64" s="12"/>
      <c r="DX64" s="12"/>
      <c r="DY64" s="12"/>
      <c r="DZ64" s="12"/>
      <c r="EA64" s="12"/>
      <c r="EB64" s="12"/>
      <c r="EC64" s="12"/>
      <c r="ED64" s="12"/>
      <c r="EE64" s="12"/>
      <c r="EF64" s="12"/>
      <c r="EG64" s="12"/>
      <c r="EH64" s="12"/>
      <c r="EI64" s="12"/>
      <c r="EJ64" s="12"/>
      <c r="EK64" s="12"/>
      <c r="EL64" s="12"/>
      <c r="EM64" s="12"/>
      <c r="EN64" s="12"/>
      <c r="EO64" s="12"/>
      <c r="EP64" s="12"/>
      <c r="EQ64" s="12"/>
      <c r="ER64" s="12"/>
      <c r="ES64" s="12"/>
      <c r="ET64" s="12"/>
      <c r="EU64" s="12"/>
      <c r="EV64" s="12"/>
      <c r="EW64" s="12"/>
      <c r="EX64" s="12"/>
      <c r="EY64" s="12"/>
      <c r="EZ64" s="12"/>
      <c r="FA64" s="12"/>
      <c r="FB64" s="12"/>
      <c r="FC64" s="12"/>
      <c r="FD64" s="12"/>
      <c r="FE64" s="12"/>
      <c r="FF64" s="12"/>
      <c r="FG64" s="12"/>
      <c r="FH64" s="12"/>
      <c r="FI64" s="12"/>
      <c r="FJ64" s="12"/>
      <c r="FK64" s="12"/>
      <c r="FL64" s="12"/>
      <c r="FM64" s="12"/>
      <c r="FN64" s="12"/>
      <c r="FO64" s="12"/>
      <c r="FP64" s="12"/>
      <c r="FQ64" s="12"/>
      <c r="FR64" s="12"/>
      <c r="FS64" s="12"/>
      <c r="FT64" s="12"/>
      <c r="FU64" s="12"/>
      <c r="FV64" s="12"/>
      <c r="FW64" s="12"/>
      <c r="FX64" s="12"/>
      <c r="FY64" s="12"/>
      <c r="FZ64" s="12"/>
      <c r="GA64" s="12"/>
      <c r="GB64" s="12"/>
      <c r="GC64" s="12"/>
      <c r="GD64" s="12"/>
      <c r="GE64" s="12"/>
    </row>
    <row r="65" spans="1:187" ht="21" customHeight="1">
      <c r="A65" s="45"/>
      <c r="B65" s="86" t="s">
        <v>338</v>
      </c>
      <c r="C65" s="10" t="s">
        <v>339</v>
      </c>
      <c r="D65" s="10" t="s">
        <v>336</v>
      </c>
      <c r="E65" s="35">
        <f>75.3993952909912*0.6</f>
        <v>45.239637174594712</v>
      </c>
      <c r="F65" s="35">
        <f>75.3993952909912*0.4</f>
        <v>30.159758116396478</v>
      </c>
      <c r="G65" s="35">
        <f>59.4095647090088*0.2</f>
        <v>11.88191294180176</v>
      </c>
      <c r="H65" s="35">
        <f>59.4095647090088*0.8</f>
        <v>47.52765176720704</v>
      </c>
      <c r="I65" s="35">
        <f t="shared" si="0"/>
        <v>134.80895999999998</v>
      </c>
      <c r="J65" s="56">
        <v>134.80896000000001</v>
      </c>
      <c r="K65" s="49">
        <v>1723.4</v>
      </c>
      <c r="L65" s="49">
        <v>1792.3360000000002</v>
      </c>
      <c r="M65" s="49">
        <v>1515.28</v>
      </c>
      <c r="N65" s="49">
        <v>1571.3453599999998</v>
      </c>
      <c r="O65" s="56">
        <f t="shared" si="1"/>
        <v>208.12000000000012</v>
      </c>
      <c r="P65" s="1">
        <f t="shared" si="2"/>
        <v>9415.273288776656</v>
      </c>
      <c r="Q65" s="1">
        <f t="shared" si="3"/>
        <v>6276.8488591844389</v>
      </c>
      <c r="R65" s="1">
        <f t="shared" si="4"/>
        <v>2625.7915454330591</v>
      </c>
      <c r="S65" s="1">
        <f t="shared" si="5"/>
        <v>10503.166181732237</v>
      </c>
      <c r="T65" s="1">
        <f t="shared" si="6"/>
        <v>28821.079875126386</v>
      </c>
      <c r="U65" s="11"/>
      <c r="V65" s="11"/>
      <c r="W65" s="11"/>
      <c r="X65" s="12"/>
      <c r="Y65" s="12"/>
      <c r="Z65" s="12"/>
      <c r="AA65" s="12"/>
      <c r="AB65" s="12"/>
      <c r="AC65" s="12"/>
      <c r="AD65" s="12"/>
      <c r="AE65" s="12"/>
      <c r="AF65" s="12"/>
      <c r="AG65" s="12"/>
      <c r="AH65" s="12"/>
      <c r="AI65" s="12"/>
      <c r="AJ65" s="12"/>
      <c r="AK65" s="12"/>
      <c r="AL65" s="12"/>
      <c r="AM65" s="12"/>
      <c r="AN65" s="12"/>
      <c r="AO65" s="12"/>
      <c r="AP65" s="12"/>
      <c r="AQ65" s="12"/>
      <c r="AR65" s="12"/>
      <c r="AS65" s="12"/>
      <c r="AT65" s="12"/>
      <c r="AU65" s="12"/>
      <c r="AV65" s="12"/>
      <c r="AW65" s="12"/>
      <c r="AX65" s="12"/>
      <c r="AY65" s="12"/>
      <c r="AZ65" s="12"/>
      <c r="BA65" s="12"/>
      <c r="BB65" s="12"/>
      <c r="BC65" s="12"/>
      <c r="BD65" s="12"/>
      <c r="BE65" s="12"/>
      <c r="BF65" s="12"/>
      <c r="BG65" s="12"/>
      <c r="BH65" s="12"/>
      <c r="BI65" s="12"/>
      <c r="BJ65" s="12"/>
      <c r="BK65" s="12"/>
      <c r="BL65" s="12"/>
      <c r="BM65" s="12"/>
      <c r="BN65" s="12"/>
      <c r="BO65" s="12"/>
      <c r="BP65" s="12"/>
      <c r="BQ65" s="12"/>
      <c r="BR65" s="12"/>
      <c r="BS65" s="12"/>
      <c r="BT65" s="12"/>
      <c r="BU65" s="12"/>
      <c r="BV65" s="12"/>
      <c r="BW65" s="12"/>
      <c r="BX65" s="12"/>
      <c r="BY65" s="12"/>
      <c r="BZ65" s="12"/>
      <c r="CA65" s="12"/>
      <c r="CB65" s="12"/>
      <c r="CC65" s="12"/>
      <c r="CD65" s="12"/>
      <c r="CE65" s="12"/>
      <c r="CF65" s="12"/>
      <c r="CG65" s="12"/>
      <c r="CH65" s="12"/>
      <c r="CI65" s="12"/>
      <c r="CJ65" s="12"/>
      <c r="CK65" s="12"/>
      <c r="CL65" s="12"/>
      <c r="CM65" s="12"/>
      <c r="CN65" s="12"/>
      <c r="CO65" s="12"/>
      <c r="CP65" s="12"/>
      <c r="CQ65" s="12"/>
      <c r="CR65" s="12"/>
      <c r="CS65" s="12"/>
      <c r="CT65" s="12"/>
      <c r="CU65" s="12"/>
      <c r="CV65" s="12"/>
      <c r="CW65" s="12"/>
      <c r="CX65" s="12"/>
      <c r="CY65" s="12"/>
      <c r="CZ65" s="12"/>
      <c r="DA65" s="12"/>
      <c r="DB65" s="12"/>
      <c r="DC65" s="12"/>
      <c r="DD65" s="12"/>
      <c r="DE65" s="12"/>
      <c r="DF65" s="12"/>
      <c r="DG65" s="12"/>
      <c r="DH65" s="12"/>
      <c r="DI65" s="12"/>
      <c r="DJ65" s="12"/>
      <c r="DK65" s="12"/>
      <c r="DL65" s="12"/>
      <c r="DM65" s="12"/>
      <c r="DN65" s="12"/>
      <c r="DO65" s="12"/>
      <c r="DP65" s="12"/>
      <c r="DQ65" s="12"/>
      <c r="DR65" s="12"/>
      <c r="DS65" s="12"/>
      <c r="DT65" s="12"/>
      <c r="DU65" s="12"/>
      <c r="DV65" s="12"/>
      <c r="DW65" s="12"/>
      <c r="DX65" s="12"/>
      <c r="DY65" s="12"/>
      <c r="DZ65" s="12"/>
      <c r="EA65" s="12"/>
      <c r="EB65" s="12"/>
      <c r="EC65" s="12"/>
      <c r="ED65" s="12"/>
      <c r="EE65" s="12"/>
      <c r="EF65" s="12"/>
      <c r="EG65" s="12"/>
      <c r="EH65" s="12"/>
      <c r="EI65" s="12"/>
      <c r="EJ65" s="12"/>
      <c r="EK65" s="12"/>
      <c r="EL65" s="12"/>
      <c r="EM65" s="12"/>
      <c r="EN65" s="12"/>
      <c r="EO65" s="12"/>
      <c r="EP65" s="12"/>
      <c r="EQ65" s="12"/>
      <c r="ER65" s="12"/>
      <c r="ES65" s="12"/>
      <c r="ET65" s="12"/>
      <c r="EU65" s="12"/>
      <c r="EV65" s="12"/>
      <c r="EW65" s="12"/>
      <c r="EX65" s="12"/>
      <c r="EY65" s="12"/>
      <c r="EZ65" s="12"/>
      <c r="FA65" s="12"/>
      <c r="FB65" s="12"/>
      <c r="FC65" s="12"/>
      <c r="FD65" s="12"/>
      <c r="FE65" s="12"/>
      <c r="FF65" s="12"/>
      <c r="FG65" s="12"/>
      <c r="FH65" s="12"/>
      <c r="FI65" s="12"/>
      <c r="FJ65" s="12"/>
      <c r="FK65" s="12"/>
      <c r="FL65" s="12"/>
      <c r="FM65" s="12"/>
      <c r="FN65" s="12"/>
      <c r="FO65" s="12"/>
      <c r="FP65" s="12"/>
      <c r="FQ65" s="12"/>
      <c r="FR65" s="12"/>
      <c r="FS65" s="12"/>
      <c r="FT65" s="12"/>
      <c r="FU65" s="12"/>
      <c r="FV65" s="12"/>
      <c r="FW65" s="12"/>
      <c r="FX65" s="12"/>
      <c r="FY65" s="12"/>
      <c r="FZ65" s="12"/>
      <c r="GA65" s="12"/>
      <c r="GB65" s="12"/>
      <c r="GC65" s="12"/>
      <c r="GD65" s="12"/>
      <c r="GE65" s="12"/>
    </row>
    <row r="66" spans="1:187" ht="21" customHeight="1">
      <c r="A66" s="45" t="s">
        <v>337</v>
      </c>
      <c r="B66" s="86">
        <v>7729314745</v>
      </c>
      <c r="C66" s="10" t="s">
        <v>341</v>
      </c>
      <c r="D66" s="10" t="s">
        <v>116</v>
      </c>
      <c r="E66" s="35">
        <f>3995.8985*0.6</f>
        <v>2397.5391</v>
      </c>
      <c r="F66" s="35">
        <f>3995.8985*0.4</f>
        <v>1598.3594000000001</v>
      </c>
      <c r="G66" s="35">
        <f>3269.3715*0.2</f>
        <v>653.87430000000006</v>
      </c>
      <c r="H66" s="35">
        <f>3269.3715*0.8</f>
        <v>2615.4972000000002</v>
      </c>
      <c r="I66" s="35">
        <f t="shared" si="0"/>
        <v>7265.27</v>
      </c>
      <c r="J66" s="56">
        <v>7265.3</v>
      </c>
      <c r="K66" s="49">
        <v>1713.29</v>
      </c>
      <c r="L66" s="49">
        <v>1941.75</v>
      </c>
      <c r="M66" s="49">
        <v>1340.76</v>
      </c>
      <c r="N66" s="49">
        <v>1390.3681199999999</v>
      </c>
      <c r="O66" s="56">
        <f t="shared" si="1"/>
        <v>372.53</v>
      </c>
      <c r="P66" s="1">
        <f t="shared" si="2"/>
        <v>893155.24092299992</v>
      </c>
      <c r="Q66" s="1">
        <f t="shared" si="3"/>
        <v>595436.82728199998</v>
      </c>
      <c r="R66" s="1">
        <f t="shared" si="4"/>
        <v>360534.44081768411</v>
      </c>
      <c r="S66" s="1">
        <f t="shared" si="5"/>
        <v>1442137.7632707364</v>
      </c>
      <c r="T66" s="1">
        <f t="shared" si="6"/>
        <v>3291264.2722934205</v>
      </c>
      <c r="U66" s="11"/>
      <c r="V66" s="11"/>
      <c r="W66" s="11"/>
      <c r="X66" s="12"/>
      <c r="Y66" s="12"/>
      <c r="Z66" s="12"/>
      <c r="AA66" s="12"/>
      <c r="AB66" s="12"/>
      <c r="AC66" s="12"/>
      <c r="AD66" s="12"/>
      <c r="AE66" s="12"/>
      <c r="AF66" s="12"/>
      <c r="AG66" s="12"/>
      <c r="AH66" s="12"/>
      <c r="AI66" s="12"/>
      <c r="AJ66" s="12"/>
      <c r="AK66" s="12"/>
      <c r="AL66" s="12"/>
      <c r="AM66" s="12"/>
      <c r="AN66" s="12"/>
      <c r="AO66" s="12"/>
      <c r="AP66" s="12"/>
      <c r="AQ66" s="12"/>
      <c r="AR66" s="12"/>
      <c r="AS66" s="12"/>
      <c r="AT66" s="12"/>
      <c r="AU66" s="12"/>
      <c r="AV66" s="12"/>
      <c r="AW66" s="12"/>
      <c r="AX66" s="12"/>
      <c r="AY66" s="12"/>
      <c r="AZ66" s="12"/>
      <c r="BA66" s="12"/>
      <c r="BB66" s="12"/>
      <c r="BC66" s="12"/>
      <c r="BD66" s="12"/>
      <c r="BE66" s="12"/>
      <c r="BF66" s="12"/>
      <c r="BG66" s="12"/>
      <c r="BH66" s="12"/>
      <c r="BI66" s="12"/>
      <c r="BJ66" s="12"/>
      <c r="BK66" s="12"/>
      <c r="BL66" s="12"/>
      <c r="BM66" s="12"/>
      <c r="BN66" s="12"/>
      <c r="BO66" s="12"/>
      <c r="BP66" s="12"/>
      <c r="BQ66" s="12"/>
      <c r="BR66" s="12"/>
      <c r="BS66" s="12"/>
      <c r="BT66" s="12"/>
      <c r="BU66" s="12"/>
      <c r="BV66" s="12"/>
      <c r="BW66" s="12"/>
      <c r="BX66" s="12"/>
      <c r="BY66" s="12"/>
      <c r="BZ66" s="12"/>
      <c r="CA66" s="12"/>
      <c r="CB66" s="12"/>
      <c r="CC66" s="12"/>
      <c r="CD66" s="12"/>
      <c r="CE66" s="12"/>
      <c r="CF66" s="12"/>
      <c r="CG66" s="12"/>
      <c r="CH66" s="12"/>
      <c r="CI66" s="12"/>
      <c r="CJ66" s="12"/>
      <c r="CK66" s="12"/>
      <c r="CL66" s="12"/>
      <c r="CM66" s="12"/>
      <c r="CN66" s="12"/>
      <c r="CO66" s="12"/>
      <c r="CP66" s="12"/>
      <c r="CQ66" s="12"/>
      <c r="CR66" s="12"/>
      <c r="CS66" s="12"/>
      <c r="CT66" s="12"/>
      <c r="CU66" s="12"/>
      <c r="CV66" s="12"/>
      <c r="CW66" s="12"/>
      <c r="CX66" s="12"/>
      <c r="CY66" s="12"/>
      <c r="CZ66" s="12"/>
      <c r="DA66" s="12"/>
      <c r="DB66" s="12"/>
      <c r="DC66" s="12"/>
      <c r="DD66" s="12"/>
      <c r="DE66" s="12"/>
      <c r="DF66" s="12"/>
      <c r="DG66" s="12"/>
      <c r="DH66" s="12"/>
      <c r="DI66" s="12"/>
      <c r="DJ66" s="12"/>
      <c r="DK66" s="12"/>
      <c r="DL66" s="12"/>
      <c r="DM66" s="12"/>
      <c r="DN66" s="12"/>
      <c r="DO66" s="12"/>
      <c r="DP66" s="12"/>
      <c r="DQ66" s="12"/>
      <c r="DR66" s="12"/>
      <c r="DS66" s="12"/>
      <c r="DT66" s="12"/>
      <c r="DU66" s="12"/>
      <c r="DV66" s="12"/>
      <c r="DW66" s="12"/>
      <c r="DX66" s="12"/>
      <c r="DY66" s="12"/>
      <c r="DZ66" s="12"/>
      <c r="EA66" s="12"/>
      <c r="EB66" s="12"/>
      <c r="EC66" s="12"/>
      <c r="ED66" s="12"/>
      <c r="EE66" s="12"/>
      <c r="EF66" s="12"/>
      <c r="EG66" s="12"/>
      <c r="EH66" s="12"/>
      <c r="EI66" s="12"/>
      <c r="EJ66" s="12"/>
      <c r="EK66" s="12"/>
      <c r="EL66" s="12"/>
      <c r="EM66" s="12"/>
      <c r="EN66" s="12"/>
      <c r="EO66" s="12"/>
      <c r="EP66" s="12"/>
      <c r="EQ66" s="12"/>
      <c r="ER66" s="12"/>
      <c r="ES66" s="12"/>
      <c r="ET66" s="12"/>
      <c r="EU66" s="12"/>
      <c r="EV66" s="12"/>
      <c r="EW66" s="12"/>
      <c r="EX66" s="12"/>
      <c r="EY66" s="12"/>
      <c r="EZ66" s="12"/>
      <c r="FA66" s="12"/>
      <c r="FB66" s="12"/>
      <c r="FC66" s="12"/>
      <c r="FD66" s="12"/>
      <c r="FE66" s="12"/>
      <c r="FF66" s="12"/>
      <c r="FG66" s="12"/>
      <c r="FH66" s="12"/>
      <c r="FI66" s="12"/>
      <c r="FJ66" s="12"/>
      <c r="FK66" s="12"/>
      <c r="FL66" s="12"/>
      <c r="FM66" s="12"/>
      <c r="FN66" s="12"/>
      <c r="FO66" s="12"/>
      <c r="FP66" s="12"/>
      <c r="FQ66" s="12"/>
      <c r="FR66" s="12"/>
      <c r="FS66" s="12"/>
      <c r="FT66" s="12"/>
      <c r="FU66" s="12"/>
      <c r="FV66" s="12"/>
      <c r="FW66" s="12"/>
      <c r="FX66" s="12"/>
      <c r="FY66" s="12"/>
      <c r="FZ66" s="12"/>
      <c r="GA66" s="12"/>
      <c r="GB66" s="12"/>
      <c r="GC66" s="12"/>
      <c r="GD66" s="12"/>
      <c r="GE66" s="12"/>
    </row>
    <row r="67" spans="1:187" ht="21" customHeight="1">
      <c r="A67" s="45"/>
      <c r="B67" s="86" t="s">
        <v>291</v>
      </c>
      <c r="C67" s="10" t="s">
        <v>66</v>
      </c>
      <c r="D67" s="10" t="s">
        <v>115</v>
      </c>
      <c r="E67" s="35">
        <v>158.941</v>
      </c>
      <c r="F67" s="35">
        <f>232.999-E67</f>
        <v>74.057999999999993</v>
      </c>
      <c r="G67" s="35">
        <v>0</v>
      </c>
      <c r="H67" s="35">
        <f>181.079</f>
        <v>181.07900000000001</v>
      </c>
      <c r="I67" s="35">
        <f t="shared" si="0"/>
        <v>414.07799999999997</v>
      </c>
      <c r="J67" s="11">
        <v>605.5</v>
      </c>
      <c r="K67" s="49">
        <v>5269.39</v>
      </c>
      <c r="L67" s="49">
        <v>5480.17</v>
      </c>
      <c r="M67" s="49">
        <v>1529.45</v>
      </c>
      <c r="N67" s="49">
        <v>1586.04</v>
      </c>
      <c r="O67" s="56">
        <f t="shared" si="1"/>
        <v>3739.9400000000005</v>
      </c>
      <c r="P67" s="1">
        <f t="shared" si="2"/>
        <v>594429.80354000011</v>
      </c>
      <c r="Q67" s="1">
        <f t="shared" si="3"/>
        <v>276972.47652000003</v>
      </c>
      <c r="R67" s="1">
        <f t="shared" si="4"/>
        <v>0</v>
      </c>
      <c r="S67" s="1">
        <f t="shared" si="5"/>
        <v>705145.16627000005</v>
      </c>
      <c r="T67" s="1">
        <f t="shared" si="6"/>
        <v>1576547.4463300002</v>
      </c>
      <c r="U67" s="11"/>
      <c r="V67" s="11"/>
      <c r="W67" s="11"/>
      <c r="X67" s="12"/>
      <c r="Y67" s="12"/>
      <c r="Z67" s="12"/>
      <c r="AA67" s="12"/>
      <c r="AB67" s="12"/>
      <c r="AC67" s="12"/>
      <c r="AD67" s="12"/>
      <c r="AE67" s="12"/>
      <c r="AF67" s="12"/>
      <c r="AG67" s="12"/>
      <c r="AH67" s="12"/>
      <c r="AI67" s="12"/>
      <c r="AJ67" s="12"/>
      <c r="AK67" s="12"/>
      <c r="AL67" s="12"/>
      <c r="AM67" s="12"/>
      <c r="AN67" s="12"/>
      <c r="AO67" s="12"/>
      <c r="AP67" s="12"/>
      <c r="AQ67" s="12"/>
      <c r="AR67" s="12"/>
      <c r="AS67" s="12"/>
      <c r="AT67" s="12"/>
      <c r="AU67" s="12"/>
      <c r="AV67" s="12"/>
      <c r="AW67" s="12"/>
      <c r="AX67" s="12"/>
      <c r="AY67" s="12"/>
      <c r="AZ67" s="12"/>
      <c r="BA67" s="12"/>
      <c r="BB67" s="12"/>
      <c r="BC67" s="12"/>
      <c r="BD67" s="12"/>
      <c r="BE67" s="12"/>
      <c r="BF67" s="12"/>
      <c r="BG67" s="12"/>
      <c r="BH67" s="12"/>
      <c r="BI67" s="12"/>
      <c r="BJ67" s="12"/>
      <c r="BK67" s="12"/>
      <c r="BL67" s="12"/>
      <c r="BM67" s="12"/>
      <c r="BN67" s="12"/>
      <c r="BO67" s="12"/>
      <c r="BP67" s="12"/>
      <c r="BQ67" s="12"/>
      <c r="BR67" s="12"/>
      <c r="BS67" s="12"/>
      <c r="BT67" s="12"/>
      <c r="BU67" s="12"/>
      <c r="BV67" s="12"/>
      <c r="BW67" s="12"/>
      <c r="BX67" s="12"/>
      <c r="BY67" s="12"/>
      <c r="BZ67" s="12"/>
      <c r="CA67" s="12"/>
      <c r="CB67" s="12"/>
      <c r="CC67" s="12"/>
      <c r="CD67" s="12"/>
      <c r="CE67" s="12"/>
      <c r="CF67" s="12"/>
      <c r="CG67" s="12"/>
      <c r="CH67" s="12"/>
      <c r="CI67" s="12"/>
      <c r="CJ67" s="12"/>
      <c r="CK67" s="12"/>
      <c r="CL67" s="12"/>
      <c r="CM67" s="12"/>
      <c r="CN67" s="12"/>
      <c r="CO67" s="12"/>
      <c r="CP67" s="12"/>
      <c r="CQ67" s="12"/>
      <c r="CR67" s="12"/>
      <c r="CS67" s="12"/>
      <c r="CT67" s="12"/>
      <c r="CU67" s="12"/>
      <c r="CV67" s="12"/>
      <c r="CW67" s="12"/>
      <c r="CX67" s="12"/>
      <c r="CY67" s="12"/>
      <c r="CZ67" s="12"/>
      <c r="DA67" s="12"/>
      <c r="DB67" s="12"/>
      <c r="DC67" s="12"/>
      <c r="DD67" s="12"/>
      <c r="DE67" s="12"/>
      <c r="DF67" s="12"/>
      <c r="DG67" s="12"/>
      <c r="DH67" s="12"/>
      <c r="DI67" s="12"/>
      <c r="DJ67" s="12"/>
      <c r="DK67" s="12"/>
      <c r="DL67" s="12"/>
      <c r="DM67" s="12"/>
      <c r="DN67" s="12"/>
      <c r="DO67" s="12"/>
      <c r="DP67" s="12"/>
      <c r="DQ67" s="12"/>
      <c r="DR67" s="12"/>
      <c r="DS67" s="12"/>
      <c r="DT67" s="12"/>
      <c r="DU67" s="12"/>
      <c r="DV67" s="12"/>
      <c r="DW67" s="12"/>
      <c r="DX67" s="12"/>
      <c r="DY67" s="12"/>
      <c r="DZ67" s="12"/>
      <c r="EA67" s="12"/>
      <c r="EB67" s="12"/>
      <c r="EC67" s="12"/>
      <c r="ED67" s="12"/>
      <c r="EE67" s="12"/>
      <c r="EF67" s="12"/>
      <c r="EG67" s="12"/>
      <c r="EH67" s="12"/>
      <c r="EI67" s="12"/>
      <c r="EJ67" s="12"/>
      <c r="EK67" s="12"/>
      <c r="EL67" s="12"/>
      <c r="EM67" s="12"/>
      <c r="EN67" s="12"/>
      <c r="EO67" s="12"/>
      <c r="EP67" s="12"/>
      <c r="EQ67" s="12"/>
      <c r="ER67" s="12"/>
      <c r="ES67" s="12"/>
      <c r="ET67" s="12"/>
      <c r="EU67" s="12"/>
      <c r="EV67" s="12"/>
      <c r="EW67" s="12"/>
      <c r="EX67" s="12"/>
      <c r="EY67" s="12"/>
      <c r="EZ67" s="12"/>
      <c r="FA67" s="12"/>
      <c r="FB67" s="12"/>
      <c r="FC67" s="12"/>
      <c r="FD67" s="12"/>
      <c r="FE67" s="12"/>
      <c r="FF67" s="12"/>
      <c r="FG67" s="12"/>
      <c r="FH67" s="12"/>
      <c r="FI67" s="12"/>
      <c r="FJ67" s="12"/>
      <c r="FK67" s="12"/>
      <c r="FL67" s="12"/>
      <c r="FM67" s="12"/>
      <c r="FN67" s="12"/>
      <c r="FO67" s="12"/>
      <c r="FP67" s="12"/>
      <c r="FQ67" s="12"/>
      <c r="FR67" s="12"/>
      <c r="FS67" s="12"/>
      <c r="FT67" s="12"/>
      <c r="FU67" s="12"/>
      <c r="FV67" s="12"/>
      <c r="FW67" s="12"/>
      <c r="FX67" s="12"/>
      <c r="FY67" s="12"/>
      <c r="FZ67" s="12"/>
      <c r="GA67" s="12"/>
      <c r="GB67" s="12"/>
      <c r="GC67" s="12"/>
      <c r="GD67" s="12"/>
      <c r="GE67" s="12"/>
    </row>
    <row r="68" spans="1:187" s="19" customFormat="1" ht="21" customHeight="1" outlineLevel="1">
      <c r="A68" s="29"/>
      <c r="B68" s="106" t="s">
        <v>112</v>
      </c>
      <c r="C68" s="106"/>
      <c r="D68" s="106"/>
      <c r="E68" s="71"/>
      <c r="F68" s="2"/>
      <c r="G68" s="2"/>
      <c r="H68" s="2"/>
      <c r="I68" s="35">
        <f t="shared" si="0"/>
        <v>0</v>
      </c>
      <c r="J68" s="2"/>
      <c r="K68" s="67"/>
      <c r="L68" s="67"/>
      <c r="M68" s="67"/>
      <c r="N68" s="67"/>
      <c r="O68" s="56">
        <f t="shared" si="1"/>
        <v>0</v>
      </c>
      <c r="P68" s="1">
        <f t="shared" si="2"/>
        <v>0</v>
      </c>
      <c r="Q68" s="1">
        <f t="shared" si="3"/>
        <v>0</v>
      </c>
      <c r="R68" s="1">
        <f t="shared" si="4"/>
        <v>0</v>
      </c>
      <c r="S68" s="1">
        <f t="shared" si="5"/>
        <v>0</v>
      </c>
      <c r="T68" s="1">
        <f t="shared" si="6"/>
        <v>0</v>
      </c>
      <c r="U68" s="1">
        <f>G68*(P68-R68)</f>
        <v>0</v>
      </c>
      <c r="V68" s="1"/>
      <c r="W68" s="1"/>
    </row>
    <row r="69" spans="1:187" s="19" customFormat="1" ht="21" customHeight="1" outlineLevel="1">
      <c r="A69" s="29"/>
      <c r="B69" s="87" t="s">
        <v>19</v>
      </c>
      <c r="C69" s="3" t="s">
        <v>113</v>
      </c>
      <c r="D69" s="3" t="s">
        <v>112</v>
      </c>
      <c r="E69" s="42">
        <v>2758.7080000000001</v>
      </c>
      <c r="F69" s="42">
        <f>3971.809-E69</f>
        <v>1213.1010000000001</v>
      </c>
      <c r="G69" s="42">
        <v>334.017</v>
      </c>
      <c r="H69" s="42">
        <f>2199.106-G69</f>
        <v>1865.0890000000002</v>
      </c>
      <c r="I69" s="35">
        <f t="shared" si="0"/>
        <v>6170.915</v>
      </c>
      <c r="J69" s="44">
        <v>6222.2960000000003</v>
      </c>
      <c r="K69" s="67">
        <v>1755.26</v>
      </c>
      <c r="L69" s="67">
        <v>1825.4704000000002</v>
      </c>
      <c r="M69" s="67">
        <v>1656.07</v>
      </c>
      <c r="N69" s="67">
        <v>1717.3445899999997</v>
      </c>
      <c r="O69" s="56">
        <f t="shared" si="1"/>
        <v>99.190000000000055</v>
      </c>
      <c r="P69" s="1">
        <f t="shared" si="2"/>
        <v>273636.24652000016</v>
      </c>
      <c r="Q69" s="1">
        <f t="shared" si="3"/>
        <v>120327.48819000008</v>
      </c>
      <c r="R69" s="1">
        <f t="shared" si="4"/>
        <v>36115.85867877015</v>
      </c>
      <c r="S69" s="1">
        <f t="shared" si="5"/>
        <v>201664.25884709088</v>
      </c>
      <c r="T69" s="1">
        <f t="shared" si="6"/>
        <v>631743.85223586124</v>
      </c>
      <c r="U69" s="51">
        <f>G69*(P69-R69)</f>
        <v>79335847.385564134</v>
      </c>
      <c r="V69" s="1"/>
      <c r="W69" s="1"/>
    </row>
    <row r="70" spans="1:187" s="19" customFormat="1" ht="21" customHeight="1" outlineLevel="1">
      <c r="A70" s="29" t="s">
        <v>337</v>
      </c>
      <c r="B70" s="86">
        <v>7729314745</v>
      </c>
      <c r="C70" s="10" t="s">
        <v>341</v>
      </c>
      <c r="D70" s="3"/>
      <c r="E70" s="35">
        <f>739.596*0.4</f>
        <v>295.83840000000004</v>
      </c>
      <c r="F70" s="35">
        <f>739.596*0.6</f>
        <v>443.75759999999997</v>
      </c>
      <c r="G70" s="35">
        <f>605.124*0.8</f>
        <v>484.09920000000005</v>
      </c>
      <c r="H70" s="35">
        <f>605.124*0.2</f>
        <v>121.02480000000001</v>
      </c>
      <c r="I70" s="35">
        <f t="shared" si="0"/>
        <v>1344.72</v>
      </c>
      <c r="J70" s="56">
        <v>1344.7</v>
      </c>
      <c r="K70" s="49">
        <v>7409.02</v>
      </c>
      <c r="L70" s="49">
        <v>7705.3808000000008</v>
      </c>
      <c r="M70" s="49">
        <v>1993.82</v>
      </c>
      <c r="N70" s="49">
        <v>2067.5913399999999</v>
      </c>
      <c r="O70" s="56">
        <f t="shared" si="1"/>
        <v>5415.2000000000007</v>
      </c>
      <c r="P70" s="1">
        <f t="shared" si="2"/>
        <v>1602024.1036800004</v>
      </c>
      <c r="Q70" s="1">
        <f t="shared" si="3"/>
        <v>2403036.15552</v>
      </c>
      <c r="R70" s="1">
        <f t="shared" si="4"/>
        <v>2729249.3673544326</v>
      </c>
      <c r="S70" s="1">
        <f t="shared" si="5"/>
        <v>682312.34183860815</v>
      </c>
      <c r="T70" s="1">
        <f t="shared" si="6"/>
        <v>7416621.9683930418</v>
      </c>
      <c r="U70" s="1"/>
      <c r="V70" s="1"/>
      <c r="W70" s="1"/>
    </row>
    <row r="71" spans="1:187" ht="21" customHeight="1">
      <c r="A71" s="45"/>
      <c r="B71" s="101" t="s">
        <v>119</v>
      </c>
      <c r="C71" s="101"/>
      <c r="D71" s="101"/>
      <c r="E71" s="34"/>
      <c r="F71" s="34"/>
      <c r="G71" s="34"/>
      <c r="H71" s="34"/>
      <c r="I71" s="35">
        <f t="shared" si="0"/>
        <v>0</v>
      </c>
      <c r="J71" s="11"/>
      <c r="K71" s="64"/>
      <c r="L71" s="64"/>
      <c r="M71" s="64"/>
      <c r="N71" s="64"/>
      <c r="O71" s="56">
        <f t="shared" si="1"/>
        <v>0</v>
      </c>
      <c r="P71" s="1">
        <f t="shared" si="2"/>
        <v>0</v>
      </c>
      <c r="Q71" s="1">
        <f t="shared" si="3"/>
        <v>0</v>
      </c>
      <c r="R71" s="1">
        <f t="shared" si="4"/>
        <v>0</v>
      </c>
      <c r="S71" s="1">
        <f t="shared" si="5"/>
        <v>0</v>
      </c>
      <c r="T71" s="1">
        <f t="shared" si="6"/>
        <v>0</v>
      </c>
      <c r="U71" s="45"/>
      <c r="V71" s="45"/>
      <c r="W71" s="45"/>
    </row>
    <row r="72" spans="1:187" ht="21" customHeight="1">
      <c r="A72" s="45"/>
      <c r="B72" s="86" t="s">
        <v>43</v>
      </c>
      <c r="C72" s="10" t="s">
        <v>120</v>
      </c>
      <c r="D72" s="10" t="s">
        <v>121</v>
      </c>
      <c r="E72" s="35">
        <v>300.31</v>
      </c>
      <c r="F72" s="35">
        <f>455.02-E72</f>
        <v>154.70999999999998</v>
      </c>
      <c r="G72" s="35">
        <v>36</v>
      </c>
      <c r="H72" s="35">
        <f>330.46-G72</f>
        <v>294.45999999999998</v>
      </c>
      <c r="I72" s="35">
        <f t="shared" si="0"/>
        <v>785.48</v>
      </c>
      <c r="J72" s="56">
        <v>833</v>
      </c>
      <c r="K72" s="49">
        <v>5132.22</v>
      </c>
      <c r="L72" s="49">
        <v>5337.5088000000005</v>
      </c>
      <c r="M72" s="49">
        <v>1673.73</v>
      </c>
      <c r="N72" s="49">
        <v>1735.6580099999999</v>
      </c>
      <c r="O72" s="56">
        <f t="shared" si="1"/>
        <v>3458.4900000000002</v>
      </c>
      <c r="P72" s="1">
        <f t="shared" si="2"/>
        <v>1038619.1319</v>
      </c>
      <c r="Q72" s="1">
        <f t="shared" si="3"/>
        <v>535062.98789999995</v>
      </c>
      <c r="R72" s="1">
        <f t="shared" si="4"/>
        <v>129666.62844000001</v>
      </c>
      <c r="S72" s="1">
        <f t="shared" si="5"/>
        <v>1060600.9836234001</v>
      </c>
      <c r="T72" s="1">
        <f t="shared" si="6"/>
        <v>2763949.7318634</v>
      </c>
      <c r="U72" s="11"/>
      <c r="V72" s="11"/>
      <c r="W72" s="11"/>
      <c r="X72" s="12"/>
      <c r="Y72" s="12"/>
      <c r="Z72" s="12"/>
      <c r="AA72" s="12"/>
      <c r="AB72" s="12"/>
      <c r="AC72" s="12"/>
      <c r="AD72" s="12"/>
      <c r="AE72" s="12"/>
      <c r="AF72" s="12"/>
      <c r="AG72" s="12"/>
      <c r="AH72" s="12"/>
      <c r="AI72" s="12"/>
      <c r="AJ72" s="12"/>
      <c r="AK72" s="12"/>
      <c r="AL72" s="12"/>
      <c r="AM72" s="12"/>
      <c r="AN72" s="12"/>
      <c r="AO72" s="12"/>
      <c r="AP72" s="12"/>
      <c r="AQ72" s="12"/>
      <c r="AR72" s="12"/>
      <c r="AS72" s="12"/>
      <c r="AT72" s="12"/>
      <c r="AU72" s="12"/>
      <c r="AV72" s="12"/>
      <c r="AW72" s="12"/>
      <c r="AX72" s="12"/>
      <c r="AY72" s="12"/>
      <c r="AZ72" s="12"/>
      <c r="BA72" s="12"/>
      <c r="BB72" s="12"/>
      <c r="BC72" s="12"/>
      <c r="BD72" s="12"/>
      <c r="BE72" s="12"/>
      <c r="BF72" s="12"/>
      <c r="BG72" s="12"/>
      <c r="BH72" s="12"/>
      <c r="BI72" s="12"/>
      <c r="BJ72" s="12"/>
      <c r="BK72" s="12"/>
      <c r="BL72" s="12"/>
      <c r="BM72" s="12"/>
      <c r="BN72" s="12"/>
      <c r="BO72" s="12"/>
      <c r="BP72" s="12"/>
      <c r="BQ72" s="12"/>
      <c r="BR72" s="12"/>
      <c r="BS72" s="12"/>
      <c r="BT72" s="12"/>
      <c r="BU72" s="12"/>
      <c r="BV72" s="12"/>
      <c r="BW72" s="12"/>
      <c r="BX72" s="12"/>
      <c r="BY72" s="12"/>
      <c r="BZ72" s="12"/>
      <c r="CA72" s="12"/>
      <c r="CB72" s="12"/>
      <c r="CC72" s="12"/>
      <c r="CD72" s="12"/>
      <c r="CE72" s="12"/>
      <c r="CF72" s="12"/>
      <c r="CG72" s="12"/>
      <c r="CH72" s="12"/>
      <c r="CI72" s="12"/>
      <c r="CJ72" s="12"/>
      <c r="CK72" s="12"/>
      <c r="CL72" s="12"/>
      <c r="CM72" s="12"/>
      <c r="CN72" s="12"/>
      <c r="CO72" s="12"/>
      <c r="CP72" s="12"/>
      <c r="CQ72" s="12"/>
      <c r="CR72" s="12"/>
      <c r="CS72" s="12"/>
      <c r="CT72" s="12"/>
      <c r="CU72" s="12"/>
      <c r="CV72" s="12"/>
      <c r="CW72" s="12"/>
      <c r="CX72" s="12"/>
      <c r="CY72" s="12"/>
      <c r="CZ72" s="12"/>
      <c r="DA72" s="12"/>
      <c r="DB72" s="12"/>
      <c r="DC72" s="12"/>
      <c r="DD72" s="12"/>
      <c r="DE72" s="12"/>
      <c r="DF72" s="12"/>
      <c r="DG72" s="12"/>
      <c r="DH72" s="12"/>
      <c r="DI72" s="12"/>
      <c r="DJ72" s="12"/>
      <c r="DK72" s="12"/>
      <c r="DL72" s="12"/>
      <c r="DM72" s="12"/>
      <c r="DN72" s="12"/>
      <c r="DO72" s="12"/>
      <c r="DP72" s="12"/>
      <c r="DQ72" s="12"/>
      <c r="DR72" s="12"/>
      <c r="DS72" s="12"/>
      <c r="DT72" s="12"/>
      <c r="DU72" s="12"/>
      <c r="DV72" s="12"/>
      <c r="DW72" s="12"/>
      <c r="DX72" s="12"/>
      <c r="DY72" s="12"/>
      <c r="DZ72" s="12"/>
      <c r="EA72" s="12"/>
      <c r="EB72" s="12"/>
      <c r="EC72" s="12"/>
      <c r="ED72" s="12"/>
      <c r="EE72" s="12"/>
      <c r="EF72" s="12"/>
      <c r="EG72" s="12"/>
      <c r="EH72" s="12"/>
      <c r="EI72" s="12"/>
      <c r="EJ72" s="12"/>
      <c r="EK72" s="12"/>
      <c r="EL72" s="12"/>
      <c r="EM72" s="12"/>
      <c r="EN72" s="12"/>
      <c r="EO72" s="12"/>
      <c r="EP72" s="12"/>
      <c r="EQ72" s="12"/>
      <c r="ER72" s="12"/>
      <c r="ES72" s="12"/>
      <c r="ET72" s="12"/>
      <c r="EU72" s="12"/>
      <c r="EV72" s="12"/>
      <c r="EW72" s="12"/>
      <c r="EX72" s="12"/>
      <c r="EY72" s="12"/>
      <c r="EZ72" s="12"/>
      <c r="FA72" s="12"/>
      <c r="FB72" s="12"/>
      <c r="FC72" s="12"/>
      <c r="FD72" s="12"/>
      <c r="FE72" s="12"/>
      <c r="FF72" s="12"/>
      <c r="FG72" s="12"/>
      <c r="FH72" s="12"/>
      <c r="FI72" s="12"/>
      <c r="FJ72" s="12"/>
      <c r="FK72" s="12"/>
      <c r="FL72" s="12"/>
      <c r="FM72" s="12"/>
      <c r="FN72" s="12"/>
      <c r="FO72" s="12"/>
      <c r="FP72" s="12"/>
      <c r="FQ72" s="12"/>
      <c r="FR72" s="12"/>
      <c r="FS72" s="12"/>
      <c r="FT72" s="12"/>
      <c r="FU72" s="12"/>
      <c r="FV72" s="12"/>
      <c r="FW72" s="12"/>
      <c r="FX72" s="12"/>
      <c r="FY72" s="12"/>
      <c r="FZ72" s="12"/>
      <c r="GA72" s="12"/>
      <c r="GB72" s="12"/>
      <c r="GC72" s="12"/>
      <c r="GD72" s="12"/>
      <c r="GE72" s="12"/>
    </row>
    <row r="73" spans="1:187" ht="21" customHeight="1">
      <c r="A73" s="45"/>
      <c r="B73" s="86" t="s">
        <v>297</v>
      </c>
      <c r="C73" s="10" t="s">
        <v>298</v>
      </c>
      <c r="D73" s="10" t="s">
        <v>122</v>
      </c>
      <c r="E73" s="35">
        <v>3262.3429999999998</v>
      </c>
      <c r="F73" s="35">
        <f>4513.742-E73</f>
        <v>1251.3990000000003</v>
      </c>
      <c r="G73" s="35">
        <v>379.71899999999999</v>
      </c>
      <c r="H73" s="35">
        <f>3345.173-G73</f>
        <v>2965.4539999999997</v>
      </c>
      <c r="I73" s="35">
        <f t="shared" ref="I73:I138" si="10">SUM(E73:H73)</f>
        <v>7858.915</v>
      </c>
      <c r="J73" s="56">
        <v>8031.2</v>
      </c>
      <c r="K73" s="49">
        <v>5270.02</v>
      </c>
      <c r="L73" s="49">
        <v>5480.8208000000004</v>
      </c>
      <c r="M73" s="49">
        <v>1627.6</v>
      </c>
      <c r="N73" s="49">
        <v>1687.8211999999999</v>
      </c>
      <c r="O73" s="56">
        <f t="shared" si="1"/>
        <v>3642.4200000000005</v>
      </c>
      <c r="P73" s="1">
        <f t="shared" si="2"/>
        <v>11882823.390060002</v>
      </c>
      <c r="Q73" s="1">
        <f t="shared" si="3"/>
        <v>4558120.7455800017</v>
      </c>
      <c r="R73" s="1">
        <f t="shared" si="4"/>
        <v>1440274.0151124003</v>
      </c>
      <c r="S73" s="1">
        <f t="shared" si="5"/>
        <v>11247965.835818401</v>
      </c>
      <c r="T73" s="1">
        <f t="shared" si="6"/>
        <v>29129183.986570805</v>
      </c>
      <c r="U73" s="11"/>
      <c r="V73" s="11"/>
      <c r="W73" s="11"/>
      <c r="X73" s="12"/>
      <c r="Y73" s="12"/>
      <c r="Z73" s="12"/>
      <c r="AA73" s="12"/>
      <c r="AB73" s="12"/>
      <c r="AC73" s="12"/>
      <c r="AD73" s="12"/>
      <c r="AE73" s="12"/>
      <c r="AF73" s="12"/>
      <c r="AG73" s="12"/>
      <c r="AH73" s="12"/>
      <c r="AI73" s="12"/>
      <c r="AJ73" s="12"/>
      <c r="AK73" s="12"/>
      <c r="AL73" s="12"/>
      <c r="AM73" s="12"/>
      <c r="AN73" s="12"/>
      <c r="AO73" s="12"/>
      <c r="AP73" s="12"/>
      <c r="AQ73" s="12"/>
      <c r="AR73" s="12"/>
      <c r="AS73" s="12"/>
      <c r="AT73" s="12"/>
      <c r="AU73" s="12"/>
      <c r="AV73" s="12"/>
      <c r="AW73" s="12"/>
      <c r="AX73" s="12"/>
      <c r="AY73" s="12"/>
      <c r="AZ73" s="12"/>
      <c r="BA73" s="12"/>
      <c r="BB73" s="12"/>
      <c r="BC73" s="12"/>
      <c r="BD73" s="12"/>
      <c r="BE73" s="12"/>
      <c r="BF73" s="12"/>
      <c r="BG73" s="12"/>
      <c r="BH73" s="12"/>
      <c r="BI73" s="12"/>
      <c r="BJ73" s="12"/>
      <c r="BK73" s="12"/>
      <c r="BL73" s="12"/>
      <c r="BM73" s="12"/>
      <c r="BN73" s="12"/>
      <c r="BO73" s="12"/>
      <c r="BP73" s="12"/>
      <c r="BQ73" s="12"/>
      <c r="BR73" s="12"/>
      <c r="BS73" s="12"/>
      <c r="BT73" s="12"/>
      <c r="BU73" s="12"/>
      <c r="BV73" s="12"/>
      <c r="BW73" s="12"/>
      <c r="BX73" s="12"/>
      <c r="BY73" s="12"/>
      <c r="BZ73" s="12"/>
      <c r="CA73" s="12"/>
      <c r="CB73" s="12"/>
      <c r="CC73" s="12"/>
      <c r="CD73" s="12"/>
      <c r="CE73" s="12"/>
      <c r="CF73" s="12"/>
      <c r="CG73" s="12"/>
      <c r="CH73" s="12"/>
      <c r="CI73" s="12"/>
      <c r="CJ73" s="12"/>
      <c r="CK73" s="12"/>
      <c r="CL73" s="12"/>
      <c r="CM73" s="12"/>
      <c r="CN73" s="12"/>
      <c r="CO73" s="12"/>
      <c r="CP73" s="12"/>
      <c r="CQ73" s="12"/>
      <c r="CR73" s="12"/>
      <c r="CS73" s="12"/>
      <c r="CT73" s="12"/>
      <c r="CU73" s="12"/>
      <c r="CV73" s="12"/>
      <c r="CW73" s="12"/>
      <c r="CX73" s="12"/>
      <c r="CY73" s="12"/>
      <c r="CZ73" s="12"/>
      <c r="DA73" s="12"/>
      <c r="DB73" s="12"/>
      <c r="DC73" s="12"/>
      <c r="DD73" s="12"/>
      <c r="DE73" s="12"/>
      <c r="DF73" s="12"/>
      <c r="DG73" s="12"/>
      <c r="DH73" s="12"/>
      <c r="DI73" s="12"/>
      <c r="DJ73" s="12"/>
      <c r="DK73" s="12"/>
      <c r="DL73" s="12"/>
      <c r="DM73" s="12"/>
      <c r="DN73" s="12"/>
      <c r="DO73" s="12"/>
      <c r="DP73" s="12"/>
      <c r="DQ73" s="12"/>
      <c r="DR73" s="12"/>
      <c r="DS73" s="12"/>
      <c r="DT73" s="12"/>
      <c r="DU73" s="12"/>
      <c r="DV73" s="12"/>
      <c r="DW73" s="12"/>
      <c r="DX73" s="12"/>
      <c r="DY73" s="12"/>
      <c r="DZ73" s="12"/>
      <c r="EA73" s="12"/>
      <c r="EB73" s="12"/>
      <c r="EC73" s="12"/>
      <c r="ED73" s="12"/>
      <c r="EE73" s="12"/>
      <c r="EF73" s="12"/>
      <c r="EG73" s="12"/>
      <c r="EH73" s="12"/>
      <c r="EI73" s="12"/>
      <c r="EJ73" s="12"/>
      <c r="EK73" s="12"/>
      <c r="EL73" s="12"/>
      <c r="EM73" s="12"/>
      <c r="EN73" s="12"/>
      <c r="EO73" s="12"/>
      <c r="EP73" s="12"/>
      <c r="EQ73" s="12"/>
      <c r="ER73" s="12"/>
      <c r="ES73" s="12"/>
      <c r="ET73" s="12"/>
      <c r="EU73" s="12"/>
      <c r="EV73" s="12"/>
      <c r="EW73" s="12"/>
      <c r="EX73" s="12"/>
      <c r="EY73" s="12"/>
      <c r="EZ73" s="12"/>
      <c r="FA73" s="12"/>
      <c r="FB73" s="12"/>
      <c r="FC73" s="12"/>
      <c r="FD73" s="12"/>
      <c r="FE73" s="12"/>
      <c r="FF73" s="12"/>
      <c r="FG73" s="12"/>
      <c r="FH73" s="12"/>
      <c r="FI73" s="12"/>
      <c r="FJ73" s="12"/>
      <c r="FK73" s="12"/>
      <c r="FL73" s="12"/>
      <c r="FM73" s="12"/>
      <c r="FN73" s="12"/>
      <c r="FO73" s="12"/>
      <c r="FP73" s="12"/>
      <c r="FQ73" s="12"/>
      <c r="FR73" s="12"/>
      <c r="FS73" s="12"/>
      <c r="FT73" s="12"/>
      <c r="FU73" s="12"/>
      <c r="FV73" s="12"/>
      <c r="FW73" s="12"/>
      <c r="FX73" s="12"/>
      <c r="FY73" s="12"/>
      <c r="FZ73" s="12"/>
      <c r="GA73" s="12"/>
      <c r="GB73" s="12"/>
      <c r="GC73" s="12"/>
      <c r="GD73" s="12"/>
      <c r="GE73" s="12"/>
    </row>
    <row r="74" spans="1:187" ht="21" customHeight="1">
      <c r="A74" s="45" t="s">
        <v>337</v>
      </c>
      <c r="B74" s="88">
        <v>2914001089</v>
      </c>
      <c r="C74" s="10" t="s">
        <v>331</v>
      </c>
      <c r="D74" s="10" t="s">
        <v>121</v>
      </c>
      <c r="E74" s="35">
        <f>83.9832*0.4</f>
        <v>33.59328</v>
      </c>
      <c r="F74" s="35">
        <f>83.9832*0.6</f>
        <v>50.389919999999996</v>
      </c>
      <c r="G74" s="35">
        <f>65.9868*0.2</f>
        <v>13.197360000000002</v>
      </c>
      <c r="H74" s="35">
        <f>65.9868*0.8</f>
        <v>52.789440000000006</v>
      </c>
      <c r="I74" s="35">
        <f t="shared" si="10"/>
        <v>149.97</v>
      </c>
      <c r="J74" s="56">
        <v>150</v>
      </c>
      <c r="K74" s="49">
        <v>9480.83</v>
      </c>
      <c r="L74" s="49">
        <v>9860.0632000000005</v>
      </c>
      <c r="M74" s="49">
        <v>1673.73</v>
      </c>
      <c r="N74" s="49">
        <v>1735.6580099999999</v>
      </c>
      <c r="O74" s="56">
        <f t="shared" si="1"/>
        <v>7807.1</v>
      </c>
      <c r="P74" s="1">
        <f t="shared" si="2"/>
        <v>262266.096288</v>
      </c>
      <c r="Q74" s="1">
        <f t="shared" ref="Q74:Q137" si="11">(K74-M74)*F74</f>
        <v>393399.144432</v>
      </c>
      <c r="R74" s="1">
        <f t="shared" ref="R74:R137" si="12">(L74-N74)*G74</f>
        <v>107220.70007829841</v>
      </c>
      <c r="S74" s="1">
        <f t="shared" ref="S74:S137" si="13">(H74*(L74-N74))</f>
        <v>428882.80031319364</v>
      </c>
      <c r="T74" s="1">
        <f t="shared" ref="T74:T137" si="14">SUM(P74:S74)</f>
        <v>1191768.741111492</v>
      </c>
      <c r="U74" s="11"/>
      <c r="V74" s="11"/>
      <c r="W74" s="11"/>
      <c r="X74" s="12"/>
      <c r="Y74" s="12"/>
      <c r="Z74" s="12"/>
      <c r="AA74" s="12"/>
      <c r="AB74" s="12"/>
      <c r="AC74" s="12"/>
      <c r="AD74" s="12"/>
      <c r="AE74" s="12"/>
      <c r="AF74" s="12"/>
      <c r="AG74" s="12"/>
      <c r="AH74" s="12"/>
      <c r="AI74" s="12"/>
      <c r="AJ74" s="12"/>
      <c r="AK74" s="12"/>
      <c r="AL74" s="12"/>
      <c r="AM74" s="12"/>
      <c r="AN74" s="12"/>
      <c r="AO74" s="12"/>
      <c r="AP74" s="12"/>
      <c r="AQ74" s="12"/>
      <c r="AR74" s="12"/>
      <c r="AS74" s="12"/>
      <c r="AT74" s="12"/>
      <c r="AU74" s="12"/>
      <c r="AV74" s="12"/>
      <c r="AW74" s="12"/>
      <c r="AX74" s="12"/>
      <c r="AY74" s="12"/>
      <c r="AZ74" s="12"/>
      <c r="BA74" s="12"/>
      <c r="BB74" s="12"/>
      <c r="BC74" s="12"/>
      <c r="BD74" s="12"/>
      <c r="BE74" s="12"/>
      <c r="BF74" s="12"/>
      <c r="BG74" s="12"/>
      <c r="BH74" s="12"/>
      <c r="BI74" s="12"/>
      <c r="BJ74" s="12"/>
      <c r="BK74" s="12"/>
      <c r="BL74" s="12"/>
      <c r="BM74" s="12"/>
      <c r="BN74" s="12"/>
      <c r="BO74" s="12"/>
      <c r="BP74" s="12"/>
      <c r="BQ74" s="12"/>
      <c r="BR74" s="12"/>
      <c r="BS74" s="12"/>
      <c r="BT74" s="12"/>
      <c r="BU74" s="12"/>
      <c r="BV74" s="12"/>
      <c r="BW74" s="12"/>
      <c r="BX74" s="12"/>
      <c r="BY74" s="12"/>
      <c r="BZ74" s="12"/>
      <c r="CA74" s="12"/>
      <c r="CB74" s="12"/>
      <c r="CC74" s="12"/>
      <c r="CD74" s="12"/>
      <c r="CE74" s="12"/>
      <c r="CF74" s="12"/>
      <c r="CG74" s="12"/>
      <c r="CH74" s="12"/>
      <c r="CI74" s="12"/>
      <c r="CJ74" s="12"/>
      <c r="CK74" s="12"/>
      <c r="CL74" s="12"/>
      <c r="CM74" s="12"/>
      <c r="CN74" s="12"/>
      <c r="CO74" s="12"/>
      <c r="CP74" s="12"/>
      <c r="CQ74" s="12"/>
      <c r="CR74" s="12"/>
      <c r="CS74" s="12"/>
      <c r="CT74" s="12"/>
      <c r="CU74" s="12"/>
      <c r="CV74" s="12"/>
      <c r="CW74" s="12"/>
      <c r="CX74" s="12"/>
      <c r="CY74" s="12"/>
      <c r="CZ74" s="12"/>
      <c r="DA74" s="12"/>
      <c r="DB74" s="12"/>
      <c r="DC74" s="12"/>
      <c r="DD74" s="12"/>
      <c r="DE74" s="12"/>
      <c r="DF74" s="12"/>
      <c r="DG74" s="12"/>
      <c r="DH74" s="12"/>
      <c r="DI74" s="12"/>
      <c r="DJ74" s="12"/>
      <c r="DK74" s="12"/>
      <c r="DL74" s="12"/>
      <c r="DM74" s="12"/>
      <c r="DN74" s="12"/>
      <c r="DO74" s="12"/>
      <c r="DP74" s="12"/>
      <c r="DQ74" s="12"/>
      <c r="DR74" s="12"/>
      <c r="DS74" s="12"/>
      <c r="DT74" s="12"/>
      <c r="DU74" s="12"/>
      <c r="DV74" s="12"/>
      <c r="DW74" s="12"/>
      <c r="DX74" s="12"/>
      <c r="DY74" s="12"/>
      <c r="DZ74" s="12"/>
      <c r="EA74" s="12"/>
      <c r="EB74" s="12"/>
      <c r="EC74" s="12"/>
      <c r="ED74" s="12"/>
      <c r="EE74" s="12"/>
      <c r="EF74" s="12"/>
      <c r="EG74" s="12"/>
      <c r="EH74" s="12"/>
      <c r="EI74" s="12"/>
      <c r="EJ74" s="12"/>
      <c r="EK74" s="12"/>
      <c r="EL74" s="12"/>
      <c r="EM74" s="12"/>
      <c r="EN74" s="12"/>
      <c r="EO74" s="12"/>
      <c r="EP74" s="12"/>
      <c r="EQ74" s="12"/>
      <c r="ER74" s="12"/>
      <c r="ES74" s="12"/>
      <c r="ET74" s="12"/>
      <c r="EU74" s="12"/>
      <c r="EV74" s="12"/>
      <c r="EW74" s="12"/>
      <c r="EX74" s="12"/>
      <c r="EY74" s="12"/>
      <c r="EZ74" s="12"/>
      <c r="FA74" s="12"/>
      <c r="FB74" s="12"/>
      <c r="FC74" s="12"/>
      <c r="FD74" s="12"/>
      <c r="FE74" s="12"/>
      <c r="FF74" s="12"/>
      <c r="FG74" s="12"/>
      <c r="FH74" s="12"/>
      <c r="FI74" s="12"/>
      <c r="FJ74" s="12"/>
      <c r="FK74" s="12"/>
      <c r="FL74" s="12"/>
      <c r="FM74" s="12"/>
      <c r="FN74" s="12"/>
      <c r="FO74" s="12"/>
      <c r="FP74" s="12"/>
      <c r="FQ74" s="12"/>
      <c r="FR74" s="12"/>
      <c r="FS74" s="12"/>
      <c r="FT74" s="12"/>
      <c r="FU74" s="12"/>
      <c r="FV74" s="12"/>
      <c r="FW74" s="12"/>
      <c r="FX74" s="12"/>
      <c r="FY74" s="12"/>
      <c r="FZ74" s="12"/>
      <c r="GA74" s="12"/>
      <c r="GB74" s="12"/>
      <c r="GC74" s="12"/>
      <c r="GD74" s="12"/>
      <c r="GE74" s="12"/>
    </row>
    <row r="75" spans="1:187" ht="21" customHeight="1">
      <c r="A75" s="45"/>
      <c r="B75" s="101" t="s">
        <v>123</v>
      </c>
      <c r="C75" s="101"/>
      <c r="D75" s="101"/>
      <c r="E75" s="34"/>
      <c r="F75" s="34"/>
      <c r="G75" s="34"/>
      <c r="H75" s="34"/>
      <c r="I75" s="35">
        <f t="shared" si="10"/>
        <v>0</v>
      </c>
      <c r="J75" s="11"/>
      <c r="K75" s="64"/>
      <c r="L75" s="64"/>
      <c r="M75" s="64"/>
      <c r="N75" s="64"/>
      <c r="O75" s="56">
        <f t="shared" si="1"/>
        <v>0</v>
      </c>
      <c r="P75" s="1">
        <f t="shared" ref="P75:P100" si="15">(K75-M75)*E75</f>
        <v>0</v>
      </c>
      <c r="Q75" s="1">
        <f t="shared" si="11"/>
        <v>0</v>
      </c>
      <c r="R75" s="1">
        <f t="shared" si="12"/>
        <v>0</v>
      </c>
      <c r="S75" s="1">
        <f t="shared" si="13"/>
        <v>0</v>
      </c>
      <c r="T75" s="1">
        <f t="shared" si="14"/>
        <v>0</v>
      </c>
      <c r="U75" s="45"/>
      <c r="V75" s="45"/>
      <c r="W75" s="45"/>
    </row>
    <row r="76" spans="1:187" ht="21" customHeight="1">
      <c r="A76" s="45"/>
      <c r="B76" s="86" t="s">
        <v>285</v>
      </c>
      <c r="C76" s="10" t="s">
        <v>124</v>
      </c>
      <c r="D76" s="10" t="s">
        <v>125</v>
      </c>
      <c r="E76" s="35">
        <v>975.79100000000005</v>
      </c>
      <c r="F76" s="35">
        <f>1430.226-E76</f>
        <v>454.43500000000006</v>
      </c>
      <c r="G76" s="35">
        <v>101.95</v>
      </c>
      <c r="H76" s="35">
        <f>1037.883-G76</f>
        <v>935.93299999999999</v>
      </c>
      <c r="I76" s="35">
        <f t="shared" si="10"/>
        <v>2468.1090000000004</v>
      </c>
      <c r="J76" s="56">
        <v>2719.1</v>
      </c>
      <c r="K76" s="49">
        <v>2382.65</v>
      </c>
      <c r="L76" s="49">
        <v>2477.96</v>
      </c>
      <c r="M76" s="49">
        <v>1634.18</v>
      </c>
      <c r="N76" s="49">
        <v>1694.64</v>
      </c>
      <c r="O76" s="56">
        <f t="shared" ref="O76:O142" si="16">K76-M76</f>
        <v>748.47</v>
      </c>
      <c r="P76" s="1">
        <f t="shared" si="15"/>
        <v>730350.28977000003</v>
      </c>
      <c r="Q76" s="1">
        <f t="shared" si="11"/>
        <v>340130.96445000003</v>
      </c>
      <c r="R76" s="1">
        <f t="shared" si="12"/>
        <v>79859.474000000002</v>
      </c>
      <c r="S76" s="1">
        <f t="shared" si="13"/>
        <v>733135.03755999997</v>
      </c>
      <c r="T76" s="1">
        <f t="shared" si="14"/>
        <v>1883475.76578</v>
      </c>
      <c r="U76" s="11"/>
      <c r="V76" s="11"/>
      <c r="W76" s="11"/>
      <c r="X76" s="12"/>
      <c r="Y76" s="12"/>
      <c r="Z76" s="12"/>
      <c r="AA76" s="12"/>
      <c r="AB76" s="12"/>
      <c r="AC76" s="12"/>
      <c r="AD76" s="12"/>
      <c r="AE76" s="12"/>
      <c r="AF76" s="12"/>
      <c r="AG76" s="12"/>
      <c r="AH76" s="12"/>
      <c r="AI76" s="12"/>
      <c r="AJ76" s="12"/>
      <c r="AK76" s="12"/>
      <c r="AL76" s="12"/>
      <c r="AM76" s="12"/>
      <c r="AN76" s="12"/>
      <c r="AO76" s="12"/>
      <c r="AP76" s="12"/>
      <c r="AQ76" s="12"/>
      <c r="AR76" s="12"/>
      <c r="AS76" s="12"/>
      <c r="AT76" s="12"/>
      <c r="AU76" s="12"/>
      <c r="AV76" s="12"/>
      <c r="AW76" s="12"/>
      <c r="AX76" s="12"/>
      <c r="AY76" s="12"/>
      <c r="AZ76" s="12"/>
      <c r="BA76" s="12"/>
      <c r="BB76" s="12"/>
      <c r="BC76" s="12"/>
      <c r="BD76" s="12"/>
      <c r="BE76" s="12"/>
      <c r="BF76" s="12"/>
      <c r="BG76" s="12"/>
      <c r="BH76" s="12"/>
      <c r="BI76" s="12"/>
      <c r="BJ76" s="12"/>
      <c r="BK76" s="12"/>
      <c r="BL76" s="12"/>
      <c r="BM76" s="12"/>
      <c r="BN76" s="12"/>
      <c r="BO76" s="12"/>
      <c r="BP76" s="12"/>
      <c r="BQ76" s="12"/>
      <c r="BR76" s="12"/>
      <c r="BS76" s="12"/>
      <c r="BT76" s="12"/>
      <c r="BU76" s="12"/>
      <c r="BV76" s="12"/>
      <c r="BW76" s="12"/>
      <c r="BX76" s="12"/>
      <c r="BY76" s="12"/>
      <c r="BZ76" s="12"/>
      <c r="CA76" s="12"/>
      <c r="CB76" s="12"/>
      <c r="CC76" s="12"/>
      <c r="CD76" s="12"/>
      <c r="CE76" s="12"/>
      <c r="CF76" s="12"/>
      <c r="CG76" s="12"/>
      <c r="CH76" s="12"/>
      <c r="CI76" s="12"/>
      <c r="CJ76" s="12"/>
      <c r="CK76" s="12"/>
      <c r="CL76" s="12"/>
      <c r="CM76" s="12"/>
      <c r="CN76" s="12"/>
      <c r="CO76" s="12"/>
      <c r="CP76" s="12"/>
      <c r="CQ76" s="12"/>
      <c r="CR76" s="12"/>
      <c r="CS76" s="12"/>
      <c r="CT76" s="12"/>
      <c r="CU76" s="12"/>
      <c r="CV76" s="12"/>
      <c r="CW76" s="12"/>
      <c r="CX76" s="12"/>
      <c r="CY76" s="12"/>
      <c r="CZ76" s="12"/>
      <c r="DA76" s="12"/>
      <c r="DB76" s="12"/>
      <c r="DC76" s="12"/>
      <c r="DD76" s="12"/>
      <c r="DE76" s="12"/>
      <c r="DF76" s="12"/>
      <c r="DG76" s="12"/>
      <c r="DH76" s="12"/>
      <c r="DI76" s="12"/>
      <c r="DJ76" s="12"/>
      <c r="DK76" s="12"/>
      <c r="DL76" s="12"/>
      <c r="DM76" s="12"/>
      <c r="DN76" s="12"/>
      <c r="DO76" s="12"/>
      <c r="DP76" s="12"/>
      <c r="DQ76" s="12"/>
      <c r="DR76" s="12"/>
      <c r="DS76" s="12"/>
      <c r="DT76" s="12"/>
      <c r="DU76" s="12"/>
      <c r="DV76" s="12"/>
      <c r="DW76" s="12"/>
      <c r="DX76" s="12"/>
      <c r="DY76" s="12"/>
      <c r="DZ76" s="12"/>
      <c r="EA76" s="12"/>
      <c r="EB76" s="12"/>
      <c r="EC76" s="12"/>
      <c r="ED76" s="12"/>
      <c r="EE76" s="12"/>
      <c r="EF76" s="12"/>
      <c r="EG76" s="12"/>
      <c r="EH76" s="12"/>
      <c r="EI76" s="12"/>
      <c r="EJ76" s="12"/>
      <c r="EK76" s="12"/>
      <c r="EL76" s="12"/>
      <c r="EM76" s="12"/>
      <c r="EN76" s="12"/>
      <c r="EO76" s="12"/>
      <c r="EP76" s="12"/>
      <c r="EQ76" s="12"/>
      <c r="ER76" s="12"/>
      <c r="ES76" s="12"/>
      <c r="ET76" s="12"/>
      <c r="EU76" s="12"/>
      <c r="EV76" s="12"/>
      <c r="EW76" s="12"/>
      <c r="EX76" s="12"/>
      <c r="EY76" s="12"/>
      <c r="EZ76" s="12"/>
      <c r="FA76" s="12"/>
      <c r="FB76" s="12"/>
      <c r="FC76" s="12"/>
      <c r="FD76" s="12"/>
      <c r="FE76" s="12"/>
      <c r="FF76" s="12"/>
      <c r="FG76" s="12"/>
      <c r="FH76" s="12"/>
      <c r="FI76" s="12"/>
      <c r="FJ76" s="12"/>
      <c r="FK76" s="12"/>
      <c r="FL76" s="12"/>
      <c r="FM76" s="12"/>
      <c r="FN76" s="12"/>
      <c r="FO76" s="12"/>
      <c r="FP76" s="12"/>
      <c r="FQ76" s="12"/>
      <c r="FR76" s="12"/>
      <c r="FS76" s="12"/>
      <c r="FT76" s="12"/>
      <c r="FU76" s="12"/>
      <c r="FV76" s="12"/>
      <c r="FW76" s="12"/>
      <c r="FX76" s="12"/>
      <c r="FY76" s="12"/>
      <c r="FZ76" s="12"/>
      <c r="GA76" s="12"/>
      <c r="GB76" s="12"/>
      <c r="GC76" s="12"/>
      <c r="GD76" s="12"/>
      <c r="GE76" s="12"/>
    </row>
    <row r="77" spans="1:187" ht="21" customHeight="1">
      <c r="A77" s="45"/>
      <c r="B77" s="86" t="s">
        <v>284</v>
      </c>
      <c r="C77" s="10" t="s">
        <v>128</v>
      </c>
      <c r="D77" s="10" t="s">
        <v>129</v>
      </c>
      <c r="E77" s="35">
        <v>2733.7089999999998</v>
      </c>
      <c r="F77" s="35">
        <f>4168.28-E77</f>
        <v>1434.5709999999999</v>
      </c>
      <c r="G77" s="35">
        <v>321.24299999999999</v>
      </c>
      <c r="H77" s="35">
        <f>2670.231-G77</f>
        <v>2348.9880000000003</v>
      </c>
      <c r="I77" s="35">
        <f t="shared" si="10"/>
        <v>6838.5110000000004</v>
      </c>
      <c r="J77" s="56">
        <v>7149.6</v>
      </c>
      <c r="K77" s="49">
        <v>3901.24</v>
      </c>
      <c r="L77" s="49">
        <v>4057.29</v>
      </c>
      <c r="M77" s="49">
        <v>1409.8</v>
      </c>
      <c r="N77" s="49">
        <v>1461.96</v>
      </c>
      <c r="O77" s="56">
        <f t="shared" si="16"/>
        <v>2491.4399999999996</v>
      </c>
      <c r="P77" s="1">
        <f t="shared" si="15"/>
        <v>6810871.9509599982</v>
      </c>
      <c r="Q77" s="1">
        <f t="shared" si="11"/>
        <v>3574147.5722399992</v>
      </c>
      <c r="R77" s="1">
        <f t="shared" si="12"/>
        <v>833731.59519000002</v>
      </c>
      <c r="S77" s="1">
        <f t="shared" si="13"/>
        <v>6096399.0260400008</v>
      </c>
      <c r="T77" s="1">
        <f t="shared" si="14"/>
        <v>17315150.144429997</v>
      </c>
      <c r="U77" s="11"/>
      <c r="V77" s="11"/>
      <c r="W77" s="11"/>
      <c r="X77" s="12"/>
      <c r="Y77" s="12"/>
      <c r="Z77" s="12"/>
      <c r="AA77" s="12"/>
      <c r="AB77" s="12"/>
      <c r="AC77" s="12"/>
      <c r="AD77" s="12"/>
      <c r="AE77" s="12"/>
      <c r="AF77" s="12"/>
      <c r="AG77" s="12"/>
      <c r="AH77" s="12"/>
      <c r="AI77" s="12"/>
      <c r="AJ77" s="12"/>
      <c r="AK77" s="12"/>
      <c r="AL77" s="12"/>
      <c r="AM77" s="12"/>
      <c r="AN77" s="12"/>
      <c r="AO77" s="12"/>
      <c r="AP77" s="12"/>
      <c r="AQ77" s="12"/>
      <c r="AR77" s="12"/>
      <c r="AS77" s="12"/>
      <c r="AT77" s="12"/>
      <c r="AU77" s="12"/>
      <c r="AV77" s="12"/>
      <c r="AW77" s="12"/>
      <c r="AX77" s="12"/>
      <c r="AY77" s="12"/>
      <c r="AZ77" s="12"/>
      <c r="BA77" s="12"/>
      <c r="BB77" s="12"/>
      <c r="BC77" s="12"/>
      <c r="BD77" s="12"/>
      <c r="BE77" s="12"/>
      <c r="BF77" s="12"/>
      <c r="BG77" s="12"/>
      <c r="BH77" s="12"/>
      <c r="BI77" s="12"/>
      <c r="BJ77" s="12"/>
      <c r="BK77" s="12"/>
      <c r="BL77" s="12"/>
      <c r="BM77" s="12"/>
      <c r="BN77" s="12"/>
      <c r="BO77" s="12"/>
      <c r="BP77" s="12"/>
      <c r="BQ77" s="12"/>
      <c r="BR77" s="12"/>
      <c r="BS77" s="12"/>
      <c r="BT77" s="12"/>
      <c r="BU77" s="12"/>
      <c r="BV77" s="12"/>
      <c r="BW77" s="12"/>
      <c r="BX77" s="12"/>
      <c r="BY77" s="12"/>
      <c r="BZ77" s="12"/>
      <c r="CA77" s="12"/>
      <c r="CB77" s="12"/>
      <c r="CC77" s="12"/>
      <c r="CD77" s="12"/>
      <c r="CE77" s="12"/>
      <c r="CF77" s="12"/>
      <c r="CG77" s="12"/>
      <c r="CH77" s="12"/>
      <c r="CI77" s="12"/>
      <c r="CJ77" s="12"/>
      <c r="CK77" s="12"/>
      <c r="CL77" s="12"/>
      <c r="CM77" s="12"/>
      <c r="CN77" s="12"/>
      <c r="CO77" s="12"/>
      <c r="CP77" s="12"/>
      <c r="CQ77" s="12"/>
      <c r="CR77" s="12"/>
      <c r="CS77" s="12"/>
      <c r="CT77" s="12"/>
      <c r="CU77" s="12"/>
      <c r="CV77" s="12"/>
      <c r="CW77" s="12"/>
      <c r="CX77" s="12"/>
      <c r="CY77" s="12"/>
      <c r="CZ77" s="12"/>
      <c r="DA77" s="12"/>
      <c r="DB77" s="12"/>
      <c r="DC77" s="12"/>
      <c r="DD77" s="12"/>
      <c r="DE77" s="12"/>
      <c r="DF77" s="12"/>
      <c r="DG77" s="12"/>
      <c r="DH77" s="12"/>
      <c r="DI77" s="12"/>
      <c r="DJ77" s="12"/>
      <c r="DK77" s="12"/>
      <c r="DL77" s="12"/>
      <c r="DM77" s="12"/>
      <c r="DN77" s="12"/>
      <c r="DO77" s="12"/>
      <c r="DP77" s="12"/>
      <c r="DQ77" s="12"/>
      <c r="DR77" s="12"/>
      <c r="DS77" s="12"/>
      <c r="DT77" s="12"/>
      <c r="DU77" s="12"/>
      <c r="DV77" s="12"/>
      <c r="DW77" s="12"/>
      <c r="DX77" s="12"/>
      <c r="DY77" s="12"/>
      <c r="DZ77" s="12"/>
      <c r="EA77" s="12"/>
      <c r="EB77" s="12"/>
      <c r="EC77" s="12"/>
      <c r="ED77" s="12"/>
      <c r="EE77" s="12"/>
      <c r="EF77" s="12"/>
      <c r="EG77" s="12"/>
      <c r="EH77" s="12"/>
      <c r="EI77" s="12"/>
      <c r="EJ77" s="12"/>
      <c r="EK77" s="12"/>
      <c r="EL77" s="12"/>
      <c r="EM77" s="12"/>
      <c r="EN77" s="12"/>
      <c r="EO77" s="12"/>
      <c r="EP77" s="12"/>
      <c r="EQ77" s="12"/>
      <c r="ER77" s="12"/>
      <c r="ES77" s="12"/>
      <c r="ET77" s="12"/>
      <c r="EU77" s="12"/>
      <c r="EV77" s="12"/>
      <c r="EW77" s="12"/>
      <c r="EX77" s="12"/>
      <c r="EY77" s="12"/>
      <c r="EZ77" s="12"/>
      <c r="FA77" s="12"/>
      <c r="FB77" s="12"/>
      <c r="FC77" s="12"/>
      <c r="FD77" s="12"/>
      <c r="FE77" s="12"/>
      <c r="FF77" s="12"/>
      <c r="FG77" s="12"/>
      <c r="FH77" s="12"/>
      <c r="FI77" s="12"/>
      <c r="FJ77" s="12"/>
      <c r="FK77" s="12"/>
      <c r="FL77" s="12"/>
      <c r="FM77" s="12"/>
      <c r="FN77" s="12"/>
      <c r="FO77" s="12"/>
      <c r="FP77" s="12"/>
      <c r="FQ77" s="12"/>
      <c r="FR77" s="12"/>
      <c r="FS77" s="12"/>
      <c r="FT77" s="12"/>
      <c r="FU77" s="12"/>
      <c r="FV77" s="12"/>
      <c r="FW77" s="12"/>
      <c r="FX77" s="12"/>
      <c r="FY77" s="12"/>
      <c r="FZ77" s="12"/>
      <c r="GA77" s="12"/>
      <c r="GB77" s="12"/>
      <c r="GC77" s="12"/>
      <c r="GD77" s="12"/>
      <c r="GE77" s="12"/>
    </row>
    <row r="78" spans="1:187" ht="21" customHeight="1">
      <c r="A78" s="45"/>
      <c r="B78" s="86" t="s">
        <v>35</v>
      </c>
      <c r="C78" s="10" t="s">
        <v>126</v>
      </c>
      <c r="D78" s="10" t="s">
        <v>127</v>
      </c>
      <c r="E78" s="35">
        <v>475.92</v>
      </c>
      <c r="F78" s="35">
        <f>702.788-E78</f>
        <v>226.86799999999999</v>
      </c>
      <c r="G78" s="35">
        <v>56.82</v>
      </c>
      <c r="H78" s="35">
        <f>490.15-G78</f>
        <v>433.33</v>
      </c>
      <c r="I78" s="35">
        <f t="shared" si="10"/>
        <v>1192.9380000000001</v>
      </c>
      <c r="J78" s="56">
        <v>1132</v>
      </c>
      <c r="K78" s="49">
        <v>4716.84</v>
      </c>
      <c r="L78" s="49">
        <v>4716.84</v>
      </c>
      <c r="M78" s="49">
        <v>1675.96</v>
      </c>
      <c r="N78" s="49">
        <v>1737.97</v>
      </c>
      <c r="O78" s="56">
        <f t="shared" si="16"/>
        <v>3040.88</v>
      </c>
      <c r="P78" s="1">
        <f t="shared" si="15"/>
        <v>1447215.6096000001</v>
      </c>
      <c r="Q78" s="1">
        <f t="shared" si="11"/>
        <v>689878.36384000001</v>
      </c>
      <c r="R78" s="1">
        <f t="shared" si="12"/>
        <v>169259.3934</v>
      </c>
      <c r="S78" s="1">
        <f t="shared" si="13"/>
        <v>1290833.7370999998</v>
      </c>
      <c r="T78" s="1">
        <f t="shared" si="14"/>
        <v>3597187.1039399998</v>
      </c>
      <c r="U78" s="11"/>
      <c r="V78" s="11"/>
      <c r="W78" s="11"/>
      <c r="X78" s="12"/>
      <c r="Y78" s="12"/>
      <c r="Z78" s="12"/>
      <c r="AA78" s="12"/>
      <c r="AB78" s="12"/>
      <c r="AC78" s="12"/>
      <c r="AD78" s="12"/>
      <c r="AE78" s="12"/>
      <c r="AF78" s="12"/>
      <c r="AG78" s="12"/>
      <c r="AH78" s="12"/>
      <c r="AI78" s="12"/>
      <c r="AJ78" s="12"/>
      <c r="AK78" s="12"/>
      <c r="AL78" s="12"/>
      <c r="AM78" s="12"/>
      <c r="AN78" s="12"/>
      <c r="AO78" s="12"/>
      <c r="AP78" s="12"/>
      <c r="AQ78" s="12"/>
      <c r="AR78" s="12"/>
      <c r="AS78" s="12"/>
      <c r="AT78" s="12"/>
      <c r="AU78" s="12"/>
      <c r="AV78" s="12"/>
      <c r="AW78" s="12"/>
      <c r="AX78" s="12"/>
      <c r="AY78" s="12"/>
      <c r="AZ78" s="12"/>
      <c r="BA78" s="12"/>
      <c r="BB78" s="12"/>
      <c r="BC78" s="12"/>
      <c r="BD78" s="12"/>
      <c r="BE78" s="12"/>
      <c r="BF78" s="12"/>
      <c r="BG78" s="12"/>
      <c r="BH78" s="12"/>
      <c r="BI78" s="12"/>
      <c r="BJ78" s="12"/>
      <c r="BK78" s="12"/>
      <c r="BL78" s="12"/>
      <c r="BM78" s="12"/>
      <c r="BN78" s="12"/>
      <c r="BO78" s="12"/>
      <c r="BP78" s="12"/>
      <c r="BQ78" s="12"/>
      <c r="BR78" s="12"/>
      <c r="BS78" s="12"/>
      <c r="BT78" s="12"/>
      <c r="BU78" s="12"/>
      <c r="BV78" s="12"/>
      <c r="BW78" s="12"/>
      <c r="BX78" s="12"/>
      <c r="BY78" s="12"/>
      <c r="BZ78" s="12"/>
      <c r="CA78" s="12"/>
      <c r="CB78" s="12"/>
      <c r="CC78" s="12"/>
      <c r="CD78" s="12"/>
      <c r="CE78" s="12"/>
      <c r="CF78" s="12"/>
      <c r="CG78" s="12"/>
      <c r="CH78" s="12"/>
      <c r="CI78" s="12"/>
      <c r="CJ78" s="12"/>
      <c r="CK78" s="12"/>
      <c r="CL78" s="12"/>
      <c r="CM78" s="12"/>
      <c r="CN78" s="12"/>
      <c r="CO78" s="12"/>
      <c r="CP78" s="12"/>
      <c r="CQ78" s="12"/>
      <c r="CR78" s="12"/>
      <c r="CS78" s="12"/>
      <c r="CT78" s="12"/>
      <c r="CU78" s="12"/>
      <c r="CV78" s="12"/>
      <c r="CW78" s="12"/>
      <c r="CX78" s="12"/>
      <c r="CY78" s="12"/>
      <c r="CZ78" s="12"/>
      <c r="DA78" s="12"/>
      <c r="DB78" s="12"/>
      <c r="DC78" s="12"/>
      <c r="DD78" s="12"/>
      <c r="DE78" s="12"/>
      <c r="DF78" s="12"/>
      <c r="DG78" s="12"/>
      <c r="DH78" s="12"/>
      <c r="DI78" s="12"/>
      <c r="DJ78" s="12"/>
      <c r="DK78" s="12"/>
      <c r="DL78" s="12"/>
      <c r="DM78" s="12"/>
      <c r="DN78" s="12"/>
      <c r="DO78" s="12"/>
      <c r="DP78" s="12"/>
      <c r="DQ78" s="12"/>
      <c r="DR78" s="12"/>
      <c r="DS78" s="12"/>
      <c r="DT78" s="12"/>
      <c r="DU78" s="12"/>
      <c r="DV78" s="12"/>
      <c r="DW78" s="12"/>
      <c r="DX78" s="12"/>
      <c r="DY78" s="12"/>
      <c r="DZ78" s="12"/>
      <c r="EA78" s="12"/>
      <c r="EB78" s="12"/>
      <c r="EC78" s="12"/>
      <c r="ED78" s="12"/>
      <c r="EE78" s="12"/>
      <c r="EF78" s="12"/>
      <c r="EG78" s="12"/>
      <c r="EH78" s="12"/>
      <c r="EI78" s="12"/>
      <c r="EJ78" s="12"/>
      <c r="EK78" s="12"/>
      <c r="EL78" s="12"/>
      <c r="EM78" s="12"/>
      <c r="EN78" s="12"/>
      <c r="EO78" s="12"/>
      <c r="EP78" s="12"/>
      <c r="EQ78" s="12"/>
      <c r="ER78" s="12"/>
      <c r="ES78" s="12"/>
      <c r="ET78" s="12"/>
      <c r="EU78" s="12"/>
      <c r="EV78" s="12"/>
      <c r="EW78" s="12"/>
      <c r="EX78" s="12"/>
      <c r="EY78" s="12"/>
      <c r="EZ78" s="12"/>
      <c r="FA78" s="12"/>
      <c r="FB78" s="12"/>
      <c r="FC78" s="12"/>
      <c r="FD78" s="12"/>
      <c r="FE78" s="12"/>
      <c r="FF78" s="12"/>
      <c r="FG78" s="12"/>
      <c r="FH78" s="12"/>
      <c r="FI78" s="12"/>
      <c r="FJ78" s="12"/>
      <c r="FK78" s="12"/>
      <c r="FL78" s="12"/>
      <c r="FM78" s="12"/>
      <c r="FN78" s="12"/>
      <c r="FO78" s="12"/>
      <c r="FP78" s="12"/>
      <c r="FQ78" s="12"/>
      <c r="FR78" s="12"/>
      <c r="FS78" s="12"/>
      <c r="FT78" s="12"/>
      <c r="FU78" s="12"/>
      <c r="FV78" s="12"/>
      <c r="FW78" s="12"/>
      <c r="FX78" s="12"/>
      <c r="FY78" s="12"/>
      <c r="FZ78" s="12"/>
      <c r="GA78" s="12"/>
      <c r="GB78" s="12"/>
      <c r="GC78" s="12"/>
      <c r="GD78" s="12"/>
      <c r="GE78" s="12"/>
    </row>
    <row r="79" spans="1:187" ht="21" customHeight="1">
      <c r="A79" s="45"/>
      <c r="B79" s="86" t="s">
        <v>13</v>
      </c>
      <c r="C79" s="10" t="s">
        <v>130</v>
      </c>
      <c r="D79" s="10" t="s">
        <v>129</v>
      </c>
      <c r="E79" s="35">
        <v>44.133000000000003</v>
      </c>
      <c r="F79" s="35">
        <f>67.382-E79</f>
        <v>23.249000000000002</v>
      </c>
      <c r="G79" s="35">
        <v>5.8840000000000003</v>
      </c>
      <c r="H79" s="35">
        <f>50.016</f>
        <v>50.015999999999998</v>
      </c>
      <c r="I79" s="35">
        <f t="shared" si="10"/>
        <v>123.28200000000001</v>
      </c>
      <c r="J79" s="56">
        <v>124.7</v>
      </c>
      <c r="K79" s="68">
        <v>4723.75</v>
      </c>
      <c r="L79" s="68">
        <v>4912.7</v>
      </c>
      <c r="M79" s="68">
        <v>1399.04</v>
      </c>
      <c r="N79" s="68">
        <v>1450.8044799999998</v>
      </c>
      <c r="O79" s="56">
        <f t="shared" si="16"/>
        <v>3324.71</v>
      </c>
      <c r="P79" s="1">
        <f t="shared" si="15"/>
        <v>146729.42643000002</v>
      </c>
      <c r="Q79" s="1">
        <f t="shared" si="11"/>
        <v>77296.182790000006</v>
      </c>
      <c r="R79" s="1">
        <f t="shared" si="12"/>
        <v>20369.793239680002</v>
      </c>
      <c r="S79" s="1">
        <f t="shared" si="13"/>
        <v>173150.16632831999</v>
      </c>
      <c r="T79" s="1">
        <f t="shared" si="14"/>
        <v>417545.56878800003</v>
      </c>
      <c r="U79" s="11"/>
      <c r="V79" s="11"/>
      <c r="W79" s="11"/>
      <c r="X79" s="12"/>
      <c r="Y79" s="12"/>
      <c r="Z79" s="12"/>
      <c r="AA79" s="12"/>
      <c r="AB79" s="12"/>
      <c r="AC79" s="12"/>
      <c r="AD79" s="12"/>
      <c r="AE79" s="12"/>
      <c r="AF79" s="12"/>
      <c r="AG79" s="12"/>
      <c r="AH79" s="12"/>
      <c r="AI79" s="12"/>
      <c r="AJ79" s="12"/>
      <c r="AK79" s="12"/>
      <c r="AL79" s="12"/>
      <c r="AM79" s="12"/>
      <c r="AN79" s="12"/>
      <c r="AO79" s="12"/>
      <c r="AP79" s="12"/>
      <c r="AQ79" s="12"/>
      <c r="AR79" s="12"/>
      <c r="AS79" s="12"/>
      <c r="AT79" s="12"/>
      <c r="AU79" s="12"/>
      <c r="AV79" s="12"/>
      <c r="AW79" s="12"/>
      <c r="AX79" s="12"/>
      <c r="AY79" s="12"/>
      <c r="AZ79" s="12"/>
      <c r="BA79" s="12"/>
      <c r="BB79" s="12"/>
      <c r="BC79" s="12"/>
      <c r="BD79" s="12"/>
      <c r="BE79" s="12"/>
      <c r="BF79" s="12"/>
      <c r="BG79" s="12"/>
      <c r="BH79" s="12"/>
      <c r="BI79" s="12"/>
      <c r="BJ79" s="12"/>
      <c r="BK79" s="12"/>
      <c r="BL79" s="12"/>
      <c r="BM79" s="12"/>
      <c r="BN79" s="12"/>
      <c r="BO79" s="12"/>
      <c r="BP79" s="12"/>
      <c r="BQ79" s="12"/>
      <c r="BR79" s="12"/>
      <c r="BS79" s="12"/>
      <c r="BT79" s="12"/>
      <c r="BU79" s="12"/>
      <c r="BV79" s="12"/>
      <c r="BW79" s="12"/>
      <c r="BX79" s="12"/>
      <c r="BY79" s="12"/>
      <c r="BZ79" s="12"/>
      <c r="CA79" s="12"/>
      <c r="CB79" s="12"/>
      <c r="CC79" s="12"/>
      <c r="CD79" s="12"/>
      <c r="CE79" s="12"/>
      <c r="CF79" s="12"/>
      <c r="CG79" s="12"/>
      <c r="CH79" s="12"/>
      <c r="CI79" s="12"/>
      <c r="CJ79" s="12"/>
      <c r="CK79" s="12"/>
      <c r="CL79" s="12"/>
      <c r="CM79" s="12"/>
      <c r="CN79" s="12"/>
      <c r="CO79" s="12"/>
      <c r="CP79" s="12"/>
      <c r="CQ79" s="12"/>
      <c r="CR79" s="12"/>
      <c r="CS79" s="12"/>
      <c r="CT79" s="12"/>
      <c r="CU79" s="12"/>
      <c r="CV79" s="12"/>
      <c r="CW79" s="12"/>
      <c r="CX79" s="12"/>
      <c r="CY79" s="12"/>
      <c r="CZ79" s="12"/>
      <c r="DA79" s="12"/>
      <c r="DB79" s="12"/>
      <c r="DC79" s="12"/>
      <c r="DD79" s="12"/>
      <c r="DE79" s="12"/>
      <c r="DF79" s="12"/>
      <c r="DG79" s="12"/>
      <c r="DH79" s="12"/>
      <c r="DI79" s="12"/>
      <c r="DJ79" s="12"/>
      <c r="DK79" s="12"/>
      <c r="DL79" s="12"/>
      <c r="DM79" s="12"/>
      <c r="DN79" s="12"/>
      <c r="DO79" s="12"/>
      <c r="DP79" s="12"/>
      <c r="DQ79" s="12"/>
      <c r="DR79" s="12"/>
      <c r="DS79" s="12"/>
      <c r="DT79" s="12"/>
      <c r="DU79" s="12"/>
      <c r="DV79" s="12"/>
      <c r="DW79" s="12"/>
      <c r="DX79" s="12"/>
      <c r="DY79" s="12"/>
      <c r="DZ79" s="12"/>
      <c r="EA79" s="12"/>
      <c r="EB79" s="12"/>
      <c r="EC79" s="12"/>
      <c r="ED79" s="12"/>
      <c r="EE79" s="12"/>
      <c r="EF79" s="12"/>
      <c r="EG79" s="12"/>
      <c r="EH79" s="12"/>
      <c r="EI79" s="12"/>
      <c r="EJ79" s="12"/>
      <c r="EK79" s="12"/>
      <c r="EL79" s="12"/>
      <c r="EM79" s="12"/>
      <c r="EN79" s="12"/>
      <c r="EO79" s="12"/>
      <c r="EP79" s="12"/>
      <c r="EQ79" s="12"/>
      <c r="ER79" s="12"/>
      <c r="ES79" s="12"/>
      <c r="ET79" s="12"/>
      <c r="EU79" s="12"/>
      <c r="EV79" s="12"/>
      <c r="EW79" s="12"/>
      <c r="EX79" s="12"/>
      <c r="EY79" s="12"/>
      <c r="EZ79" s="12"/>
      <c r="FA79" s="12"/>
      <c r="FB79" s="12"/>
      <c r="FC79" s="12"/>
      <c r="FD79" s="12"/>
      <c r="FE79" s="12"/>
      <c r="FF79" s="12"/>
      <c r="FG79" s="12"/>
      <c r="FH79" s="12"/>
      <c r="FI79" s="12"/>
      <c r="FJ79" s="12"/>
      <c r="FK79" s="12"/>
      <c r="FL79" s="12"/>
      <c r="FM79" s="12"/>
      <c r="FN79" s="12"/>
      <c r="FO79" s="12"/>
      <c r="FP79" s="12"/>
      <c r="FQ79" s="12"/>
      <c r="FR79" s="12"/>
      <c r="FS79" s="12"/>
      <c r="FT79" s="12"/>
      <c r="FU79" s="12"/>
      <c r="FV79" s="12"/>
      <c r="FW79" s="12"/>
      <c r="FX79" s="12"/>
      <c r="FY79" s="12"/>
      <c r="FZ79" s="12"/>
      <c r="GA79" s="12"/>
      <c r="GB79" s="12"/>
      <c r="GC79" s="12"/>
      <c r="GD79" s="12"/>
      <c r="GE79" s="12"/>
    </row>
    <row r="80" spans="1:187" ht="21" customHeight="1">
      <c r="A80" s="45"/>
      <c r="B80" s="86" t="s">
        <v>338</v>
      </c>
      <c r="C80" s="10" t="s">
        <v>339</v>
      </c>
      <c r="D80" s="10" t="s">
        <v>129</v>
      </c>
      <c r="E80" s="35">
        <f>12.6340404996014*0.6</f>
        <v>7.58042429976084</v>
      </c>
      <c r="F80" s="35">
        <f>12.6340404996014*0.4</f>
        <v>5.0536161998405609</v>
      </c>
      <c r="G80" s="35">
        <f>9.95475950039862*0.8</f>
        <v>7.963807600318896</v>
      </c>
      <c r="H80" s="35">
        <f>9.95475950039862*0.2</f>
        <v>1.990951900079724</v>
      </c>
      <c r="I80" s="35">
        <f t="shared" si="10"/>
        <v>22.588800000000024</v>
      </c>
      <c r="J80" s="56">
        <v>22.588800000000003</v>
      </c>
      <c r="K80" s="68">
        <v>1896.81</v>
      </c>
      <c r="L80" s="68">
        <v>1972.68</v>
      </c>
      <c r="M80" s="68">
        <v>1425.94</v>
      </c>
      <c r="N80" s="68">
        <v>1478.6997799999999</v>
      </c>
      <c r="O80" s="56">
        <f t="shared" si="16"/>
        <v>470.86999999999989</v>
      </c>
      <c r="P80" s="1">
        <f t="shared" si="15"/>
        <v>3569.3943900283857</v>
      </c>
      <c r="Q80" s="1">
        <f t="shared" si="11"/>
        <v>2379.5962600189246</v>
      </c>
      <c r="R80" s="1">
        <f t="shared" si="12"/>
        <v>3933.9634304432016</v>
      </c>
      <c r="S80" s="1">
        <f t="shared" si="13"/>
        <v>983.49085761080039</v>
      </c>
      <c r="T80" s="1">
        <f t="shared" si="14"/>
        <v>10866.444938101313</v>
      </c>
      <c r="U80" s="11"/>
      <c r="V80" s="11"/>
      <c r="W80" s="11"/>
      <c r="X80" s="12"/>
      <c r="Y80" s="12"/>
      <c r="Z80" s="12"/>
      <c r="AA80" s="12"/>
      <c r="AB80" s="12"/>
      <c r="AC80" s="12"/>
      <c r="AD80" s="12"/>
      <c r="AE80" s="12"/>
      <c r="AF80" s="12"/>
      <c r="AG80" s="12"/>
      <c r="AH80" s="12"/>
      <c r="AI80" s="12"/>
      <c r="AJ80" s="12"/>
      <c r="AK80" s="12"/>
      <c r="AL80" s="12"/>
      <c r="AM80" s="12"/>
      <c r="AN80" s="12"/>
      <c r="AO80" s="12"/>
      <c r="AP80" s="12"/>
      <c r="AQ80" s="12"/>
      <c r="AR80" s="12"/>
      <c r="AS80" s="12"/>
      <c r="AT80" s="12"/>
      <c r="AU80" s="12"/>
      <c r="AV80" s="12"/>
      <c r="AW80" s="12"/>
      <c r="AX80" s="12"/>
      <c r="AY80" s="12"/>
      <c r="AZ80" s="12"/>
      <c r="BA80" s="12"/>
      <c r="BB80" s="12"/>
      <c r="BC80" s="12"/>
      <c r="BD80" s="12"/>
      <c r="BE80" s="12"/>
      <c r="BF80" s="12"/>
      <c r="BG80" s="12"/>
      <c r="BH80" s="12"/>
      <c r="BI80" s="12"/>
      <c r="BJ80" s="12"/>
      <c r="BK80" s="12"/>
      <c r="BL80" s="12"/>
      <c r="BM80" s="12"/>
      <c r="BN80" s="12"/>
      <c r="BO80" s="12"/>
      <c r="BP80" s="12"/>
      <c r="BQ80" s="12"/>
      <c r="BR80" s="12"/>
      <c r="BS80" s="12"/>
      <c r="BT80" s="12"/>
      <c r="BU80" s="12"/>
      <c r="BV80" s="12"/>
      <c r="BW80" s="12"/>
      <c r="BX80" s="12"/>
      <c r="BY80" s="12"/>
      <c r="BZ80" s="12"/>
      <c r="CA80" s="12"/>
      <c r="CB80" s="12"/>
      <c r="CC80" s="12"/>
      <c r="CD80" s="12"/>
      <c r="CE80" s="12"/>
      <c r="CF80" s="12"/>
      <c r="CG80" s="12"/>
      <c r="CH80" s="12"/>
      <c r="CI80" s="12"/>
      <c r="CJ80" s="12"/>
      <c r="CK80" s="12"/>
      <c r="CL80" s="12"/>
      <c r="CM80" s="12"/>
      <c r="CN80" s="12"/>
      <c r="CO80" s="12"/>
      <c r="CP80" s="12"/>
      <c r="CQ80" s="12"/>
      <c r="CR80" s="12"/>
      <c r="CS80" s="12"/>
      <c r="CT80" s="12"/>
      <c r="CU80" s="12"/>
      <c r="CV80" s="12"/>
      <c r="CW80" s="12"/>
      <c r="CX80" s="12"/>
      <c r="CY80" s="12"/>
      <c r="CZ80" s="12"/>
      <c r="DA80" s="12"/>
      <c r="DB80" s="12"/>
      <c r="DC80" s="12"/>
      <c r="DD80" s="12"/>
      <c r="DE80" s="12"/>
      <c r="DF80" s="12"/>
      <c r="DG80" s="12"/>
      <c r="DH80" s="12"/>
      <c r="DI80" s="12"/>
      <c r="DJ80" s="12"/>
      <c r="DK80" s="12"/>
      <c r="DL80" s="12"/>
      <c r="DM80" s="12"/>
      <c r="DN80" s="12"/>
      <c r="DO80" s="12"/>
      <c r="DP80" s="12"/>
      <c r="DQ80" s="12"/>
      <c r="DR80" s="12"/>
      <c r="DS80" s="12"/>
      <c r="DT80" s="12"/>
      <c r="DU80" s="12"/>
      <c r="DV80" s="12"/>
      <c r="DW80" s="12"/>
      <c r="DX80" s="12"/>
      <c r="DY80" s="12"/>
      <c r="DZ80" s="12"/>
      <c r="EA80" s="12"/>
      <c r="EB80" s="12"/>
      <c r="EC80" s="12"/>
      <c r="ED80" s="12"/>
      <c r="EE80" s="12"/>
      <c r="EF80" s="12"/>
      <c r="EG80" s="12"/>
      <c r="EH80" s="12"/>
      <c r="EI80" s="12"/>
      <c r="EJ80" s="12"/>
      <c r="EK80" s="12"/>
      <c r="EL80" s="12"/>
      <c r="EM80" s="12"/>
      <c r="EN80" s="12"/>
      <c r="EO80" s="12"/>
      <c r="EP80" s="12"/>
      <c r="EQ80" s="12"/>
      <c r="ER80" s="12"/>
      <c r="ES80" s="12"/>
      <c r="ET80" s="12"/>
      <c r="EU80" s="12"/>
      <c r="EV80" s="12"/>
      <c r="EW80" s="12"/>
      <c r="EX80" s="12"/>
      <c r="EY80" s="12"/>
      <c r="EZ80" s="12"/>
      <c r="FA80" s="12"/>
      <c r="FB80" s="12"/>
      <c r="FC80" s="12"/>
      <c r="FD80" s="12"/>
      <c r="FE80" s="12"/>
      <c r="FF80" s="12"/>
      <c r="FG80" s="12"/>
      <c r="FH80" s="12"/>
      <c r="FI80" s="12"/>
      <c r="FJ80" s="12"/>
      <c r="FK80" s="12"/>
      <c r="FL80" s="12"/>
      <c r="FM80" s="12"/>
      <c r="FN80" s="12"/>
      <c r="FO80" s="12"/>
      <c r="FP80" s="12"/>
      <c r="FQ80" s="12"/>
      <c r="FR80" s="12"/>
      <c r="FS80" s="12"/>
      <c r="FT80" s="12"/>
      <c r="FU80" s="12"/>
      <c r="FV80" s="12"/>
      <c r="FW80" s="12"/>
      <c r="FX80" s="12"/>
      <c r="FY80" s="12"/>
      <c r="FZ80" s="12"/>
      <c r="GA80" s="12"/>
      <c r="GB80" s="12"/>
      <c r="GC80" s="12"/>
      <c r="GD80" s="12"/>
      <c r="GE80" s="12"/>
    </row>
    <row r="81" spans="1:187" ht="21" customHeight="1">
      <c r="A81" s="45"/>
      <c r="B81" s="87" t="s">
        <v>283</v>
      </c>
      <c r="C81" s="3" t="s">
        <v>131</v>
      </c>
      <c r="D81" s="3" t="s">
        <v>125</v>
      </c>
      <c r="E81" s="2">
        <v>3714.2069999999999</v>
      </c>
      <c r="F81" s="2">
        <f>5534.726+0.021-E81</f>
        <v>1820.5399999999995</v>
      </c>
      <c r="G81" s="2">
        <v>510.56299999999999</v>
      </c>
      <c r="H81" s="2">
        <f>3856.257-G81</f>
        <v>3345.694</v>
      </c>
      <c r="I81" s="35">
        <f t="shared" si="10"/>
        <v>9391.003999999999</v>
      </c>
      <c r="J81" s="56">
        <v>10351.700000000001</v>
      </c>
      <c r="K81" s="68">
        <v>1238.25</v>
      </c>
      <c r="L81" s="68">
        <v>1733.55</v>
      </c>
      <c r="M81" s="68">
        <v>693.29</v>
      </c>
      <c r="N81" s="68">
        <v>718.94</v>
      </c>
      <c r="O81" s="56">
        <f t="shared" si="16"/>
        <v>544.96</v>
      </c>
      <c r="P81" s="1">
        <f t="shared" si="15"/>
        <v>2024094.2467200002</v>
      </c>
      <c r="Q81" s="1">
        <f t="shared" si="11"/>
        <v>992121.47839999979</v>
      </c>
      <c r="R81" s="1">
        <f t="shared" si="12"/>
        <v>518022.32542999991</v>
      </c>
      <c r="S81" s="1">
        <f t="shared" si="13"/>
        <v>3394574.5893399995</v>
      </c>
      <c r="T81" s="1">
        <f t="shared" si="14"/>
        <v>6928812.6398899993</v>
      </c>
      <c r="U81" s="11"/>
      <c r="V81" s="11"/>
      <c r="W81" s="11"/>
      <c r="X81" s="12"/>
      <c r="Y81" s="12"/>
      <c r="Z81" s="12"/>
      <c r="AA81" s="12"/>
      <c r="AB81" s="12"/>
      <c r="AC81" s="12"/>
      <c r="AD81" s="12"/>
      <c r="AE81" s="12"/>
      <c r="AF81" s="12"/>
      <c r="AG81" s="12"/>
      <c r="AH81" s="12"/>
      <c r="AI81" s="12"/>
      <c r="AJ81" s="12"/>
      <c r="AK81" s="12"/>
      <c r="AL81" s="12"/>
      <c r="AM81" s="12"/>
      <c r="AN81" s="12"/>
      <c r="AO81" s="12"/>
      <c r="AP81" s="12"/>
      <c r="AQ81" s="12"/>
      <c r="AR81" s="12"/>
      <c r="AS81" s="12"/>
      <c r="AT81" s="12"/>
      <c r="AU81" s="12"/>
      <c r="AV81" s="12"/>
      <c r="AW81" s="12"/>
      <c r="AX81" s="12"/>
      <c r="AY81" s="12"/>
      <c r="AZ81" s="12"/>
      <c r="BA81" s="12"/>
      <c r="BB81" s="12"/>
      <c r="BC81" s="12"/>
      <c r="BD81" s="12"/>
      <c r="BE81" s="12"/>
      <c r="BF81" s="12"/>
      <c r="BG81" s="12"/>
      <c r="BH81" s="12"/>
      <c r="BI81" s="12"/>
      <c r="BJ81" s="12"/>
      <c r="BK81" s="12"/>
      <c r="BL81" s="12"/>
      <c r="BM81" s="12"/>
      <c r="BN81" s="12"/>
      <c r="BO81" s="12"/>
      <c r="BP81" s="12"/>
      <c r="BQ81" s="12"/>
      <c r="BR81" s="12"/>
      <c r="BS81" s="12"/>
      <c r="BT81" s="12"/>
      <c r="BU81" s="12"/>
      <c r="BV81" s="12"/>
      <c r="BW81" s="12"/>
      <c r="BX81" s="12"/>
      <c r="BY81" s="12"/>
      <c r="BZ81" s="12"/>
      <c r="CA81" s="12"/>
      <c r="CB81" s="12"/>
      <c r="CC81" s="12"/>
      <c r="CD81" s="12"/>
      <c r="CE81" s="12"/>
      <c r="CF81" s="12"/>
      <c r="CG81" s="12"/>
      <c r="CH81" s="12"/>
      <c r="CI81" s="12"/>
      <c r="CJ81" s="12"/>
      <c r="CK81" s="12"/>
      <c r="CL81" s="12"/>
      <c r="CM81" s="12"/>
      <c r="CN81" s="12"/>
      <c r="CO81" s="12"/>
      <c r="CP81" s="12"/>
      <c r="CQ81" s="12"/>
      <c r="CR81" s="12"/>
      <c r="CS81" s="12"/>
      <c r="CT81" s="12"/>
      <c r="CU81" s="12"/>
      <c r="CV81" s="12"/>
      <c r="CW81" s="12"/>
      <c r="CX81" s="12"/>
      <c r="CY81" s="12"/>
      <c r="CZ81" s="12"/>
      <c r="DA81" s="12"/>
      <c r="DB81" s="12"/>
      <c r="DC81" s="12"/>
      <c r="DD81" s="12"/>
      <c r="DE81" s="12"/>
      <c r="DF81" s="12"/>
      <c r="DG81" s="12"/>
      <c r="DH81" s="12"/>
      <c r="DI81" s="12"/>
      <c r="DJ81" s="12"/>
      <c r="DK81" s="12"/>
      <c r="DL81" s="12"/>
      <c r="DM81" s="12"/>
      <c r="DN81" s="12"/>
      <c r="DO81" s="12"/>
      <c r="DP81" s="12"/>
      <c r="DQ81" s="12"/>
      <c r="DR81" s="12"/>
      <c r="DS81" s="12"/>
      <c r="DT81" s="12"/>
      <c r="DU81" s="12"/>
      <c r="DV81" s="12"/>
      <c r="DW81" s="12"/>
      <c r="DX81" s="12"/>
      <c r="DY81" s="12"/>
      <c r="DZ81" s="12"/>
      <c r="EA81" s="12"/>
      <c r="EB81" s="12"/>
      <c r="EC81" s="12"/>
      <c r="ED81" s="12"/>
      <c r="EE81" s="12"/>
      <c r="EF81" s="12"/>
      <c r="EG81" s="12"/>
      <c r="EH81" s="12"/>
      <c r="EI81" s="12"/>
      <c r="EJ81" s="12"/>
      <c r="EK81" s="12"/>
      <c r="EL81" s="12"/>
      <c r="EM81" s="12"/>
      <c r="EN81" s="12"/>
      <c r="EO81" s="12"/>
      <c r="EP81" s="12"/>
      <c r="EQ81" s="12"/>
      <c r="ER81" s="12"/>
      <c r="ES81" s="12"/>
      <c r="ET81" s="12"/>
      <c r="EU81" s="12"/>
      <c r="EV81" s="12"/>
      <c r="EW81" s="12"/>
      <c r="EX81" s="12"/>
      <c r="EY81" s="12"/>
      <c r="EZ81" s="12"/>
      <c r="FA81" s="12"/>
      <c r="FB81" s="12"/>
      <c r="FC81" s="12"/>
      <c r="FD81" s="12"/>
      <c r="FE81" s="12"/>
      <c r="FF81" s="12"/>
      <c r="FG81" s="12"/>
      <c r="FH81" s="12"/>
      <c r="FI81" s="12"/>
      <c r="FJ81" s="12"/>
      <c r="FK81" s="12"/>
      <c r="FL81" s="12"/>
      <c r="FM81" s="12"/>
      <c r="FN81" s="12"/>
      <c r="FO81" s="12"/>
      <c r="FP81" s="12"/>
      <c r="FQ81" s="12"/>
      <c r="FR81" s="12"/>
      <c r="FS81" s="12"/>
      <c r="FT81" s="12"/>
      <c r="FU81" s="12"/>
      <c r="FV81" s="12"/>
      <c r="FW81" s="12"/>
      <c r="FX81" s="12"/>
      <c r="FY81" s="12"/>
      <c r="FZ81" s="12"/>
      <c r="GA81" s="12"/>
      <c r="GB81" s="12"/>
      <c r="GC81" s="12"/>
      <c r="GD81" s="12"/>
      <c r="GE81" s="12"/>
    </row>
    <row r="82" spans="1:187" ht="21" customHeight="1">
      <c r="A82" s="45"/>
      <c r="B82" s="101" t="s">
        <v>132</v>
      </c>
      <c r="C82" s="101"/>
      <c r="D82" s="101"/>
      <c r="E82" s="34"/>
      <c r="F82" s="34"/>
      <c r="G82" s="34"/>
      <c r="H82" s="34"/>
      <c r="I82" s="35">
        <f t="shared" si="10"/>
        <v>0</v>
      </c>
      <c r="J82" s="11"/>
      <c r="K82" s="64"/>
      <c r="L82" s="64"/>
      <c r="M82" s="64"/>
      <c r="N82" s="64"/>
      <c r="O82" s="56">
        <f t="shared" si="16"/>
        <v>0</v>
      </c>
      <c r="P82" s="1">
        <f t="shared" si="15"/>
        <v>0</v>
      </c>
      <c r="Q82" s="1">
        <f t="shared" si="11"/>
        <v>0</v>
      </c>
      <c r="R82" s="1">
        <f t="shared" si="12"/>
        <v>0</v>
      </c>
      <c r="S82" s="1">
        <f t="shared" si="13"/>
        <v>0</v>
      </c>
      <c r="T82" s="1">
        <f t="shared" si="14"/>
        <v>0</v>
      </c>
      <c r="U82" s="45"/>
      <c r="V82" s="45"/>
      <c r="W82" s="45"/>
    </row>
    <row r="83" spans="1:187" ht="21" customHeight="1">
      <c r="A83" s="45"/>
      <c r="B83" s="86" t="s">
        <v>2</v>
      </c>
      <c r="C83" s="10" t="s">
        <v>68</v>
      </c>
      <c r="D83" s="10" t="s">
        <v>303</v>
      </c>
      <c r="E83" s="35">
        <v>4556.0249999999996</v>
      </c>
      <c r="F83" s="35">
        <f>6782.284-E83</f>
        <v>2226.259</v>
      </c>
      <c r="G83" s="35">
        <v>538.45899999999995</v>
      </c>
      <c r="H83" s="35">
        <f>4184.521-G83</f>
        <v>3646.0619999999999</v>
      </c>
      <c r="I83" s="35">
        <f t="shared" si="10"/>
        <v>10966.805</v>
      </c>
      <c r="J83" s="56">
        <v>11530.3</v>
      </c>
      <c r="K83" s="49">
        <v>9006.9699999999993</v>
      </c>
      <c r="L83" s="49">
        <v>9473.18</v>
      </c>
      <c r="M83" s="49">
        <v>1541.82</v>
      </c>
      <c r="N83" s="49">
        <v>1598.8673399999998</v>
      </c>
      <c r="O83" s="56">
        <f t="shared" si="16"/>
        <v>7465.15</v>
      </c>
      <c r="P83" s="1">
        <f t="shared" si="15"/>
        <v>34011410.028749995</v>
      </c>
      <c r="Q83" s="1">
        <f t="shared" si="11"/>
        <v>16619357.373849999</v>
      </c>
      <c r="R83" s="1">
        <f t="shared" si="12"/>
        <v>4239994.5205909396</v>
      </c>
      <c r="S83" s="1">
        <f t="shared" si="13"/>
        <v>28710232.165744919</v>
      </c>
      <c r="T83" s="1">
        <f t="shared" si="14"/>
        <v>83580994.088935852</v>
      </c>
      <c r="U83" s="11"/>
      <c r="V83" s="11"/>
      <c r="W83" s="11"/>
      <c r="X83" s="12"/>
      <c r="Y83" s="12"/>
      <c r="Z83" s="12"/>
      <c r="AA83" s="12"/>
      <c r="AB83" s="12"/>
      <c r="AC83" s="12"/>
      <c r="AD83" s="12"/>
      <c r="AE83" s="12"/>
      <c r="AF83" s="12"/>
      <c r="AG83" s="12"/>
      <c r="AH83" s="12"/>
      <c r="AI83" s="12"/>
      <c r="AJ83" s="12"/>
      <c r="AK83" s="12"/>
      <c r="AL83" s="12"/>
      <c r="AM83" s="12"/>
      <c r="AN83" s="12"/>
      <c r="AO83" s="12"/>
      <c r="AP83" s="12"/>
      <c r="AQ83" s="12"/>
      <c r="AR83" s="12"/>
      <c r="AS83" s="12"/>
      <c r="AT83" s="12"/>
      <c r="AU83" s="12"/>
      <c r="AV83" s="12"/>
      <c r="AW83" s="12"/>
      <c r="AX83" s="12"/>
      <c r="AY83" s="12"/>
      <c r="AZ83" s="12"/>
      <c r="BA83" s="12"/>
      <c r="BB83" s="12"/>
      <c r="BC83" s="12"/>
      <c r="BD83" s="12"/>
      <c r="BE83" s="12"/>
      <c r="BF83" s="12"/>
      <c r="BG83" s="12"/>
      <c r="BH83" s="12"/>
      <c r="BI83" s="12"/>
      <c r="BJ83" s="12"/>
      <c r="BK83" s="12"/>
      <c r="BL83" s="12"/>
      <c r="BM83" s="12"/>
      <c r="BN83" s="12"/>
      <c r="BO83" s="12"/>
      <c r="BP83" s="12"/>
      <c r="BQ83" s="12"/>
      <c r="BR83" s="12"/>
      <c r="BS83" s="12"/>
      <c r="BT83" s="12"/>
      <c r="BU83" s="12"/>
      <c r="BV83" s="12"/>
      <c r="BW83" s="12"/>
      <c r="BX83" s="12"/>
      <c r="BY83" s="12"/>
      <c r="BZ83" s="12"/>
      <c r="CA83" s="12"/>
      <c r="CB83" s="12"/>
      <c r="CC83" s="12"/>
      <c r="CD83" s="12"/>
      <c r="CE83" s="12"/>
      <c r="CF83" s="12"/>
      <c r="CG83" s="12"/>
      <c r="CH83" s="12"/>
      <c r="CI83" s="12"/>
      <c r="CJ83" s="12"/>
      <c r="CK83" s="12"/>
      <c r="CL83" s="12"/>
      <c r="CM83" s="12"/>
      <c r="CN83" s="12"/>
      <c r="CO83" s="12"/>
      <c r="CP83" s="12"/>
      <c r="CQ83" s="12"/>
      <c r="CR83" s="12"/>
      <c r="CS83" s="12"/>
      <c r="CT83" s="12"/>
      <c r="CU83" s="12"/>
      <c r="CV83" s="12"/>
      <c r="CW83" s="12"/>
      <c r="CX83" s="12"/>
      <c r="CY83" s="12"/>
      <c r="CZ83" s="12"/>
      <c r="DA83" s="12"/>
      <c r="DB83" s="12"/>
      <c r="DC83" s="12"/>
      <c r="DD83" s="12"/>
      <c r="DE83" s="12"/>
      <c r="DF83" s="12"/>
      <c r="DG83" s="12"/>
      <c r="DH83" s="12"/>
      <c r="DI83" s="12"/>
      <c r="DJ83" s="12"/>
      <c r="DK83" s="12"/>
      <c r="DL83" s="12"/>
      <c r="DM83" s="12"/>
      <c r="DN83" s="12"/>
      <c r="DO83" s="12"/>
      <c r="DP83" s="12"/>
      <c r="DQ83" s="12"/>
      <c r="DR83" s="12"/>
      <c r="DS83" s="12"/>
      <c r="DT83" s="12"/>
      <c r="DU83" s="12"/>
      <c r="DV83" s="12"/>
      <c r="DW83" s="12"/>
      <c r="DX83" s="12"/>
      <c r="DY83" s="12"/>
      <c r="DZ83" s="12"/>
      <c r="EA83" s="12"/>
      <c r="EB83" s="12"/>
      <c r="EC83" s="12"/>
      <c r="ED83" s="12"/>
      <c r="EE83" s="12"/>
      <c r="EF83" s="12"/>
      <c r="EG83" s="12"/>
      <c r="EH83" s="12"/>
      <c r="EI83" s="12"/>
      <c r="EJ83" s="12"/>
      <c r="EK83" s="12"/>
      <c r="EL83" s="12"/>
      <c r="EM83" s="12"/>
      <c r="EN83" s="12"/>
      <c r="EO83" s="12"/>
      <c r="EP83" s="12"/>
      <c r="EQ83" s="12"/>
      <c r="ER83" s="12"/>
      <c r="ES83" s="12"/>
      <c r="ET83" s="12"/>
      <c r="EU83" s="12"/>
      <c r="EV83" s="12"/>
      <c r="EW83" s="12"/>
      <c r="EX83" s="12"/>
      <c r="EY83" s="12"/>
      <c r="EZ83" s="12"/>
      <c r="FA83" s="12"/>
      <c r="FB83" s="12"/>
      <c r="FC83" s="12"/>
      <c r="FD83" s="12"/>
      <c r="FE83" s="12"/>
      <c r="FF83" s="12"/>
      <c r="FG83" s="12"/>
      <c r="FH83" s="12"/>
      <c r="FI83" s="12"/>
      <c r="FJ83" s="12"/>
      <c r="FK83" s="12"/>
      <c r="FL83" s="12"/>
      <c r="FM83" s="12"/>
      <c r="FN83" s="12"/>
      <c r="FO83" s="12"/>
      <c r="FP83" s="12"/>
      <c r="FQ83" s="12"/>
      <c r="FR83" s="12"/>
      <c r="FS83" s="12"/>
      <c r="FT83" s="12"/>
      <c r="FU83" s="12"/>
      <c r="FV83" s="12"/>
      <c r="FW83" s="12"/>
      <c r="FX83" s="12"/>
      <c r="FY83" s="12"/>
      <c r="FZ83" s="12"/>
      <c r="GA83" s="12"/>
      <c r="GB83" s="12"/>
      <c r="GC83" s="12"/>
      <c r="GD83" s="12"/>
      <c r="GE83" s="12"/>
    </row>
    <row r="84" spans="1:187" ht="21" customHeight="1">
      <c r="A84" s="45"/>
      <c r="B84" s="101" t="s">
        <v>133</v>
      </c>
      <c r="C84" s="101"/>
      <c r="D84" s="101"/>
      <c r="E84" s="34"/>
      <c r="F84" s="34"/>
      <c r="G84" s="34"/>
      <c r="H84" s="34"/>
      <c r="I84" s="35">
        <f t="shared" si="10"/>
        <v>0</v>
      </c>
      <c r="J84" s="11"/>
      <c r="K84" s="64"/>
      <c r="L84" s="64"/>
      <c r="M84" s="64"/>
      <c r="N84" s="64"/>
      <c r="O84" s="56">
        <f t="shared" si="16"/>
        <v>0</v>
      </c>
      <c r="P84" s="1">
        <f t="shared" si="15"/>
        <v>0</v>
      </c>
      <c r="Q84" s="1">
        <f t="shared" si="11"/>
        <v>0</v>
      </c>
      <c r="R84" s="1">
        <f t="shared" si="12"/>
        <v>0</v>
      </c>
      <c r="S84" s="1">
        <f t="shared" si="13"/>
        <v>0</v>
      </c>
      <c r="T84" s="1">
        <f t="shared" si="14"/>
        <v>0</v>
      </c>
      <c r="U84" s="45"/>
      <c r="V84" s="45"/>
      <c r="W84" s="45"/>
    </row>
    <row r="85" spans="1:187" ht="21" customHeight="1">
      <c r="A85" s="45"/>
      <c r="B85" s="86" t="s">
        <v>2</v>
      </c>
      <c r="C85" s="10" t="s">
        <v>68</v>
      </c>
      <c r="D85" s="10" t="s">
        <v>304</v>
      </c>
      <c r="E85" s="35">
        <v>3657.9490000000001</v>
      </c>
      <c r="F85" s="35">
        <f>5650.67-E85</f>
        <v>1992.721</v>
      </c>
      <c r="G85" s="35">
        <v>738.68499999999995</v>
      </c>
      <c r="H85" s="35">
        <f>3951.318-G85</f>
        <v>3212.6330000000003</v>
      </c>
      <c r="I85" s="35">
        <f t="shared" si="10"/>
        <v>9601.9879999999994</v>
      </c>
      <c r="J85" s="56">
        <v>9881.48</v>
      </c>
      <c r="K85" s="49">
        <v>8610.39</v>
      </c>
      <c r="L85" s="49">
        <v>8610.39</v>
      </c>
      <c r="M85" s="49">
        <v>1305.72</v>
      </c>
      <c r="N85" s="49">
        <v>1354.0316399999999</v>
      </c>
      <c r="O85" s="56">
        <f t="shared" si="16"/>
        <v>7304.6699999999992</v>
      </c>
      <c r="P85" s="1">
        <f t="shared" si="15"/>
        <v>26720110.321829997</v>
      </c>
      <c r="Q85" s="1">
        <f t="shared" si="11"/>
        <v>14556169.307069998</v>
      </c>
      <c r="R85" s="1">
        <f t="shared" si="12"/>
        <v>5360163.0751565993</v>
      </c>
      <c r="S85" s="1">
        <f t="shared" si="13"/>
        <v>23312016.327161878</v>
      </c>
      <c r="T85" s="1">
        <f t="shared" si="14"/>
        <v>69948459.031218469</v>
      </c>
      <c r="U85" s="11"/>
      <c r="V85" s="11"/>
      <c r="W85" s="11"/>
      <c r="X85" s="12"/>
      <c r="Y85" s="12"/>
      <c r="Z85" s="12"/>
      <c r="AA85" s="12"/>
      <c r="AB85" s="12"/>
      <c r="AC85" s="12"/>
      <c r="AD85" s="12"/>
      <c r="AE85" s="12"/>
      <c r="AF85" s="12"/>
      <c r="AG85" s="12"/>
      <c r="AH85" s="12"/>
      <c r="AI85" s="12"/>
      <c r="AJ85" s="12"/>
      <c r="AK85" s="12"/>
      <c r="AL85" s="12"/>
      <c r="AM85" s="12"/>
      <c r="AN85" s="12"/>
      <c r="AO85" s="12"/>
      <c r="AP85" s="12"/>
      <c r="AQ85" s="12"/>
      <c r="AR85" s="12"/>
      <c r="AS85" s="12"/>
      <c r="AT85" s="12"/>
      <c r="AU85" s="12"/>
      <c r="AV85" s="12"/>
      <c r="AW85" s="12"/>
      <c r="AX85" s="12"/>
      <c r="AY85" s="12"/>
      <c r="AZ85" s="12"/>
      <c r="BA85" s="12"/>
      <c r="BB85" s="12"/>
      <c r="BC85" s="12"/>
      <c r="BD85" s="12"/>
      <c r="BE85" s="12"/>
      <c r="BF85" s="12"/>
      <c r="BG85" s="12"/>
      <c r="BH85" s="12"/>
      <c r="BI85" s="12"/>
      <c r="BJ85" s="12"/>
      <c r="BK85" s="12"/>
      <c r="BL85" s="12"/>
      <c r="BM85" s="12"/>
      <c r="BN85" s="12"/>
      <c r="BO85" s="12"/>
      <c r="BP85" s="12"/>
      <c r="BQ85" s="12"/>
      <c r="BR85" s="12"/>
      <c r="BS85" s="12"/>
      <c r="BT85" s="12"/>
      <c r="BU85" s="12"/>
      <c r="BV85" s="12"/>
      <c r="BW85" s="12"/>
      <c r="BX85" s="12"/>
      <c r="BY85" s="12"/>
      <c r="BZ85" s="12"/>
      <c r="CA85" s="12"/>
      <c r="CB85" s="12"/>
      <c r="CC85" s="12"/>
      <c r="CD85" s="12"/>
      <c r="CE85" s="12"/>
      <c r="CF85" s="12"/>
      <c r="CG85" s="12"/>
      <c r="CH85" s="12"/>
      <c r="CI85" s="12"/>
      <c r="CJ85" s="12"/>
      <c r="CK85" s="12"/>
      <c r="CL85" s="12"/>
      <c r="CM85" s="12"/>
      <c r="CN85" s="12"/>
      <c r="CO85" s="12"/>
      <c r="CP85" s="12"/>
      <c r="CQ85" s="12"/>
      <c r="CR85" s="12"/>
      <c r="CS85" s="12"/>
      <c r="CT85" s="12"/>
      <c r="CU85" s="12"/>
      <c r="CV85" s="12"/>
      <c r="CW85" s="12"/>
      <c r="CX85" s="12"/>
      <c r="CY85" s="12"/>
      <c r="CZ85" s="12"/>
      <c r="DA85" s="12"/>
      <c r="DB85" s="12"/>
      <c r="DC85" s="12"/>
      <c r="DD85" s="12"/>
      <c r="DE85" s="12"/>
      <c r="DF85" s="12"/>
      <c r="DG85" s="12"/>
      <c r="DH85" s="12"/>
      <c r="DI85" s="12"/>
      <c r="DJ85" s="12"/>
      <c r="DK85" s="12"/>
      <c r="DL85" s="12"/>
      <c r="DM85" s="12"/>
      <c r="DN85" s="12"/>
      <c r="DO85" s="12"/>
      <c r="DP85" s="12"/>
      <c r="DQ85" s="12"/>
      <c r="DR85" s="12"/>
      <c r="DS85" s="12"/>
      <c r="DT85" s="12"/>
      <c r="DU85" s="12"/>
      <c r="DV85" s="12"/>
      <c r="DW85" s="12"/>
      <c r="DX85" s="12"/>
      <c r="DY85" s="12"/>
      <c r="DZ85" s="12"/>
      <c r="EA85" s="12"/>
      <c r="EB85" s="12"/>
      <c r="EC85" s="12"/>
      <c r="ED85" s="12"/>
      <c r="EE85" s="12"/>
      <c r="EF85" s="12"/>
      <c r="EG85" s="12"/>
      <c r="EH85" s="12"/>
      <c r="EI85" s="12"/>
      <c r="EJ85" s="12"/>
      <c r="EK85" s="12"/>
      <c r="EL85" s="12"/>
      <c r="EM85" s="12"/>
      <c r="EN85" s="12"/>
      <c r="EO85" s="12"/>
      <c r="EP85" s="12"/>
      <c r="EQ85" s="12"/>
      <c r="ER85" s="12"/>
      <c r="ES85" s="12"/>
      <c r="ET85" s="12"/>
      <c r="EU85" s="12"/>
      <c r="EV85" s="12"/>
      <c r="EW85" s="12"/>
      <c r="EX85" s="12"/>
      <c r="EY85" s="12"/>
      <c r="EZ85" s="12"/>
      <c r="FA85" s="12"/>
      <c r="FB85" s="12"/>
      <c r="FC85" s="12"/>
      <c r="FD85" s="12"/>
      <c r="FE85" s="12"/>
      <c r="FF85" s="12"/>
      <c r="FG85" s="12"/>
      <c r="FH85" s="12"/>
      <c r="FI85" s="12"/>
      <c r="FJ85" s="12"/>
      <c r="FK85" s="12"/>
      <c r="FL85" s="12"/>
      <c r="FM85" s="12"/>
      <c r="FN85" s="12"/>
      <c r="FO85" s="12"/>
      <c r="FP85" s="12"/>
      <c r="FQ85" s="12"/>
      <c r="FR85" s="12"/>
      <c r="FS85" s="12"/>
      <c r="FT85" s="12"/>
      <c r="FU85" s="12"/>
      <c r="FV85" s="12"/>
      <c r="FW85" s="12"/>
      <c r="FX85" s="12"/>
      <c r="FY85" s="12"/>
      <c r="FZ85" s="12"/>
      <c r="GA85" s="12"/>
      <c r="GB85" s="12"/>
      <c r="GC85" s="12"/>
      <c r="GD85" s="12"/>
      <c r="GE85" s="12"/>
    </row>
    <row r="86" spans="1:187" ht="21" customHeight="1">
      <c r="A86" s="45" t="s">
        <v>337</v>
      </c>
      <c r="B86" s="86">
        <v>7729314745</v>
      </c>
      <c r="C86" s="10" t="s">
        <v>341</v>
      </c>
      <c r="D86" s="10" t="s">
        <v>342</v>
      </c>
      <c r="E86" s="35">
        <f>60.9235*0.4</f>
        <v>24.369399999999999</v>
      </c>
      <c r="F86" s="35">
        <f>60.9235*0.6</f>
        <v>36.554099999999998</v>
      </c>
      <c r="G86" s="35">
        <f>49.8465*0.2</f>
        <v>9.9693000000000005</v>
      </c>
      <c r="H86" s="35">
        <f>49.8465*0.8</f>
        <v>39.877200000000002</v>
      </c>
      <c r="I86" s="35">
        <f t="shared" si="10"/>
        <v>110.77</v>
      </c>
      <c r="J86" s="11">
        <v>110.8</v>
      </c>
      <c r="K86" s="49">
        <v>6505.72</v>
      </c>
      <c r="L86" s="49">
        <v>6746.4316399999998</v>
      </c>
      <c r="M86" s="49">
        <v>1305.72</v>
      </c>
      <c r="N86" s="49">
        <v>1354.0316399999999</v>
      </c>
      <c r="O86" s="56">
        <f t="shared" si="16"/>
        <v>5200</v>
      </c>
      <c r="P86" s="1">
        <f t="shared" si="15"/>
        <v>126720.87999999999</v>
      </c>
      <c r="Q86" s="1">
        <f t="shared" si="11"/>
        <v>190081.31999999998</v>
      </c>
      <c r="R86" s="1">
        <f t="shared" si="12"/>
        <v>53758.453320000001</v>
      </c>
      <c r="S86" s="1">
        <f t="shared" si="13"/>
        <v>215033.81328</v>
      </c>
      <c r="T86" s="1">
        <f t="shared" si="14"/>
        <v>585594.46659999993</v>
      </c>
      <c r="U86" s="11"/>
      <c r="V86" s="11"/>
      <c r="W86" s="11"/>
      <c r="X86" s="12"/>
      <c r="Y86" s="12"/>
      <c r="Z86" s="12"/>
      <c r="AA86" s="12"/>
      <c r="AB86" s="12"/>
      <c r="AC86" s="12"/>
      <c r="AD86" s="12"/>
      <c r="AE86" s="12"/>
      <c r="AF86" s="12"/>
      <c r="AG86" s="12"/>
      <c r="AH86" s="12"/>
      <c r="AI86" s="12"/>
      <c r="AJ86" s="12"/>
      <c r="AK86" s="12"/>
      <c r="AL86" s="12"/>
      <c r="AM86" s="12"/>
      <c r="AN86" s="12"/>
      <c r="AO86" s="12"/>
      <c r="AP86" s="12"/>
      <c r="AQ86" s="12"/>
      <c r="AR86" s="12"/>
      <c r="AS86" s="12"/>
      <c r="AT86" s="12"/>
      <c r="AU86" s="12"/>
      <c r="AV86" s="12"/>
      <c r="AW86" s="12"/>
      <c r="AX86" s="12"/>
      <c r="AY86" s="12"/>
      <c r="AZ86" s="12"/>
      <c r="BA86" s="12"/>
      <c r="BB86" s="12"/>
      <c r="BC86" s="12"/>
      <c r="BD86" s="12"/>
      <c r="BE86" s="12"/>
      <c r="BF86" s="12"/>
      <c r="BG86" s="12"/>
      <c r="BH86" s="12"/>
      <c r="BI86" s="12"/>
      <c r="BJ86" s="12"/>
      <c r="BK86" s="12"/>
      <c r="BL86" s="12"/>
      <c r="BM86" s="12"/>
      <c r="BN86" s="12"/>
      <c r="BO86" s="12"/>
      <c r="BP86" s="12"/>
      <c r="BQ86" s="12"/>
      <c r="BR86" s="12"/>
      <c r="BS86" s="12"/>
      <c r="BT86" s="12"/>
      <c r="BU86" s="12"/>
      <c r="BV86" s="12"/>
      <c r="BW86" s="12"/>
      <c r="BX86" s="12"/>
      <c r="BY86" s="12"/>
      <c r="BZ86" s="12"/>
      <c r="CA86" s="12"/>
      <c r="CB86" s="12"/>
      <c r="CC86" s="12"/>
      <c r="CD86" s="12"/>
      <c r="CE86" s="12"/>
      <c r="CF86" s="12"/>
      <c r="CG86" s="12"/>
      <c r="CH86" s="12"/>
      <c r="CI86" s="12"/>
      <c r="CJ86" s="12"/>
      <c r="CK86" s="12"/>
      <c r="CL86" s="12"/>
      <c r="CM86" s="12"/>
      <c r="CN86" s="12"/>
      <c r="CO86" s="12"/>
      <c r="CP86" s="12"/>
      <c r="CQ86" s="12"/>
      <c r="CR86" s="12"/>
      <c r="CS86" s="12"/>
      <c r="CT86" s="12"/>
      <c r="CU86" s="12"/>
      <c r="CV86" s="12"/>
      <c r="CW86" s="12"/>
      <c r="CX86" s="12"/>
      <c r="CY86" s="12"/>
      <c r="CZ86" s="12"/>
      <c r="DA86" s="12"/>
      <c r="DB86" s="12"/>
      <c r="DC86" s="12"/>
      <c r="DD86" s="12"/>
      <c r="DE86" s="12"/>
      <c r="DF86" s="12"/>
      <c r="DG86" s="12"/>
      <c r="DH86" s="12"/>
      <c r="DI86" s="12"/>
      <c r="DJ86" s="12"/>
      <c r="DK86" s="12"/>
      <c r="DL86" s="12"/>
      <c r="DM86" s="12"/>
      <c r="DN86" s="12"/>
      <c r="DO86" s="12"/>
      <c r="DP86" s="12"/>
      <c r="DQ86" s="12"/>
      <c r="DR86" s="12"/>
      <c r="DS86" s="12"/>
      <c r="DT86" s="12"/>
      <c r="DU86" s="12"/>
      <c r="DV86" s="12"/>
      <c r="DW86" s="12"/>
      <c r="DX86" s="12"/>
      <c r="DY86" s="12"/>
      <c r="DZ86" s="12"/>
      <c r="EA86" s="12"/>
      <c r="EB86" s="12"/>
      <c r="EC86" s="12"/>
      <c r="ED86" s="12"/>
      <c r="EE86" s="12"/>
      <c r="EF86" s="12"/>
      <c r="EG86" s="12"/>
      <c r="EH86" s="12"/>
      <c r="EI86" s="12"/>
      <c r="EJ86" s="12"/>
      <c r="EK86" s="12"/>
      <c r="EL86" s="12"/>
      <c r="EM86" s="12"/>
      <c r="EN86" s="12"/>
      <c r="EO86" s="12"/>
      <c r="EP86" s="12"/>
      <c r="EQ86" s="12"/>
      <c r="ER86" s="12"/>
      <c r="ES86" s="12"/>
      <c r="ET86" s="12"/>
      <c r="EU86" s="12"/>
      <c r="EV86" s="12"/>
      <c r="EW86" s="12"/>
      <c r="EX86" s="12"/>
      <c r="EY86" s="12"/>
      <c r="EZ86" s="12"/>
      <c r="FA86" s="12"/>
      <c r="FB86" s="12"/>
      <c r="FC86" s="12"/>
      <c r="FD86" s="12"/>
      <c r="FE86" s="12"/>
      <c r="FF86" s="12"/>
      <c r="FG86" s="12"/>
      <c r="FH86" s="12"/>
      <c r="FI86" s="12"/>
      <c r="FJ86" s="12"/>
      <c r="FK86" s="12"/>
      <c r="FL86" s="12"/>
      <c r="FM86" s="12"/>
      <c r="FN86" s="12"/>
      <c r="FO86" s="12"/>
      <c r="FP86" s="12"/>
      <c r="FQ86" s="12"/>
      <c r="FR86" s="12"/>
      <c r="FS86" s="12"/>
      <c r="FT86" s="12"/>
      <c r="FU86" s="12"/>
      <c r="FV86" s="12"/>
      <c r="FW86" s="12"/>
      <c r="FX86" s="12"/>
      <c r="FY86" s="12"/>
      <c r="FZ86" s="12"/>
      <c r="GA86" s="12"/>
      <c r="GB86" s="12"/>
      <c r="GC86" s="12"/>
      <c r="GD86" s="12"/>
      <c r="GE86" s="12"/>
    </row>
    <row r="87" spans="1:187" ht="21" customHeight="1">
      <c r="A87" s="45"/>
      <c r="B87" s="101" t="s">
        <v>109</v>
      </c>
      <c r="C87" s="101"/>
      <c r="D87" s="101"/>
      <c r="E87" s="34"/>
      <c r="F87" s="34"/>
      <c r="G87" s="34"/>
      <c r="H87" s="34"/>
      <c r="I87" s="35">
        <f t="shared" si="10"/>
        <v>0</v>
      </c>
      <c r="J87" s="11"/>
      <c r="K87" s="64"/>
      <c r="L87" s="64"/>
      <c r="M87" s="64"/>
      <c r="N87" s="64"/>
      <c r="O87" s="56">
        <f t="shared" si="16"/>
        <v>0</v>
      </c>
      <c r="P87" s="1">
        <f t="shared" si="15"/>
        <v>0</v>
      </c>
      <c r="Q87" s="1">
        <f t="shared" si="11"/>
        <v>0</v>
      </c>
      <c r="R87" s="1">
        <f t="shared" si="12"/>
        <v>0</v>
      </c>
      <c r="S87" s="1">
        <f t="shared" si="13"/>
        <v>0</v>
      </c>
      <c r="T87" s="1">
        <f t="shared" si="14"/>
        <v>0</v>
      </c>
      <c r="U87" s="45"/>
      <c r="V87" s="45"/>
      <c r="W87" s="45"/>
    </row>
    <row r="88" spans="1:187" ht="21" customHeight="1">
      <c r="A88" s="45"/>
      <c r="B88" s="86" t="s">
        <v>33</v>
      </c>
      <c r="C88" s="10" t="s">
        <v>134</v>
      </c>
      <c r="D88" s="10"/>
      <c r="E88" s="39">
        <v>45585.184000000001</v>
      </c>
      <c r="F88" s="39">
        <f>74313.317-E88</f>
        <v>28728.132999999994</v>
      </c>
      <c r="G88" s="39">
        <v>14954.482</v>
      </c>
      <c r="H88" s="39">
        <f>58094.657-G88</f>
        <v>43140.175000000003</v>
      </c>
      <c r="I88" s="35">
        <f t="shared" si="10"/>
        <v>132407.97399999999</v>
      </c>
      <c r="J88" s="11">
        <v>141521.84</v>
      </c>
      <c r="K88" s="49">
        <v>1944.47</v>
      </c>
      <c r="L88" s="49">
        <v>2022.25</v>
      </c>
      <c r="M88" s="49">
        <v>1472.18</v>
      </c>
      <c r="N88" s="49">
        <v>1526.65</v>
      </c>
      <c r="O88" s="56">
        <f t="shared" si="16"/>
        <v>472.28999999999996</v>
      </c>
      <c r="P88" s="1">
        <f t="shared" si="15"/>
        <v>21529426.55136</v>
      </c>
      <c r="Q88" s="1">
        <f t="shared" si="11"/>
        <v>13568009.934569996</v>
      </c>
      <c r="R88" s="1">
        <f t="shared" si="12"/>
        <v>7411441.2791999988</v>
      </c>
      <c r="S88" s="1">
        <f t="shared" si="13"/>
        <v>21380270.729999997</v>
      </c>
      <c r="T88" s="1">
        <f t="shared" si="14"/>
        <v>63889148.495129995</v>
      </c>
      <c r="U88" s="11"/>
      <c r="V88" s="11"/>
      <c r="W88" s="11"/>
      <c r="X88" s="12"/>
      <c r="Y88" s="12"/>
      <c r="Z88" s="12"/>
      <c r="AA88" s="12"/>
      <c r="AB88" s="12"/>
      <c r="AC88" s="12"/>
      <c r="AD88" s="12"/>
      <c r="AE88" s="12"/>
      <c r="AF88" s="12"/>
      <c r="AG88" s="12"/>
      <c r="AH88" s="12"/>
      <c r="AI88" s="12"/>
      <c r="AJ88" s="12"/>
      <c r="AK88" s="12"/>
      <c r="AL88" s="12"/>
      <c r="AM88" s="12"/>
      <c r="AN88" s="12"/>
      <c r="AO88" s="12"/>
      <c r="AP88" s="12"/>
      <c r="AQ88" s="12"/>
      <c r="AR88" s="12"/>
      <c r="AS88" s="12"/>
      <c r="AT88" s="12"/>
      <c r="AU88" s="12"/>
      <c r="AV88" s="12"/>
      <c r="AW88" s="12"/>
      <c r="AX88" s="12"/>
      <c r="AY88" s="12"/>
      <c r="AZ88" s="12"/>
      <c r="BA88" s="12"/>
      <c r="BB88" s="12"/>
      <c r="BC88" s="12"/>
      <c r="BD88" s="12"/>
      <c r="BE88" s="12"/>
      <c r="BF88" s="12"/>
      <c r="BG88" s="12"/>
      <c r="BH88" s="12"/>
      <c r="BI88" s="12"/>
      <c r="BJ88" s="12"/>
      <c r="BK88" s="12"/>
      <c r="BL88" s="12"/>
      <c r="BM88" s="12"/>
      <c r="BN88" s="12"/>
      <c r="BO88" s="12"/>
      <c r="BP88" s="12"/>
      <c r="BQ88" s="12"/>
      <c r="BR88" s="12"/>
      <c r="BS88" s="12"/>
      <c r="BT88" s="12"/>
      <c r="BU88" s="12"/>
      <c r="BV88" s="12"/>
      <c r="BW88" s="12"/>
      <c r="BX88" s="12"/>
      <c r="BY88" s="12"/>
      <c r="BZ88" s="12"/>
      <c r="CA88" s="12"/>
      <c r="CB88" s="12"/>
      <c r="CC88" s="12"/>
      <c r="CD88" s="12"/>
      <c r="CE88" s="12"/>
      <c r="CF88" s="12"/>
      <c r="CG88" s="12"/>
      <c r="CH88" s="12"/>
      <c r="CI88" s="12"/>
      <c r="CJ88" s="12"/>
      <c r="CK88" s="12"/>
      <c r="CL88" s="12"/>
      <c r="CM88" s="12"/>
      <c r="CN88" s="12"/>
      <c r="CO88" s="12"/>
      <c r="CP88" s="12"/>
      <c r="CQ88" s="12"/>
      <c r="CR88" s="12"/>
      <c r="CS88" s="12"/>
      <c r="CT88" s="12"/>
      <c r="CU88" s="12"/>
      <c r="CV88" s="12"/>
      <c r="CW88" s="12"/>
      <c r="CX88" s="12"/>
      <c r="CY88" s="12"/>
      <c r="CZ88" s="12"/>
      <c r="DA88" s="12"/>
      <c r="DB88" s="12"/>
      <c r="DC88" s="12"/>
      <c r="DD88" s="12"/>
      <c r="DE88" s="12"/>
      <c r="DF88" s="12"/>
      <c r="DG88" s="12"/>
      <c r="DH88" s="12"/>
      <c r="DI88" s="12"/>
      <c r="DJ88" s="12"/>
      <c r="DK88" s="12"/>
      <c r="DL88" s="12"/>
      <c r="DM88" s="12"/>
      <c r="DN88" s="12"/>
      <c r="DO88" s="12"/>
      <c r="DP88" s="12"/>
      <c r="DQ88" s="12"/>
      <c r="DR88" s="12"/>
      <c r="DS88" s="12"/>
      <c r="DT88" s="12"/>
      <c r="DU88" s="12"/>
      <c r="DV88" s="12"/>
      <c r="DW88" s="12"/>
      <c r="DX88" s="12"/>
      <c r="DY88" s="12"/>
      <c r="DZ88" s="12"/>
      <c r="EA88" s="12"/>
      <c r="EB88" s="12"/>
      <c r="EC88" s="12"/>
      <c r="ED88" s="12"/>
      <c r="EE88" s="12"/>
      <c r="EF88" s="12"/>
      <c r="EG88" s="12"/>
      <c r="EH88" s="12"/>
      <c r="EI88" s="12"/>
      <c r="EJ88" s="12"/>
      <c r="EK88" s="12"/>
      <c r="EL88" s="12"/>
      <c r="EM88" s="12"/>
      <c r="EN88" s="12"/>
      <c r="EO88" s="12"/>
      <c r="EP88" s="12"/>
      <c r="EQ88" s="12"/>
      <c r="ER88" s="12"/>
      <c r="ES88" s="12"/>
      <c r="ET88" s="12"/>
      <c r="EU88" s="12"/>
      <c r="EV88" s="12"/>
      <c r="EW88" s="12"/>
      <c r="EX88" s="12"/>
      <c r="EY88" s="12"/>
      <c r="EZ88" s="12"/>
      <c r="FA88" s="12"/>
      <c r="FB88" s="12"/>
      <c r="FC88" s="12"/>
      <c r="FD88" s="12"/>
      <c r="FE88" s="12"/>
      <c r="FF88" s="12"/>
      <c r="FG88" s="12"/>
      <c r="FH88" s="12"/>
      <c r="FI88" s="12"/>
      <c r="FJ88" s="12"/>
      <c r="FK88" s="12"/>
      <c r="FL88" s="12"/>
      <c r="FM88" s="12"/>
      <c r="FN88" s="12"/>
      <c r="FO88" s="12"/>
      <c r="FP88" s="12"/>
      <c r="FQ88" s="12"/>
      <c r="FR88" s="12"/>
      <c r="FS88" s="12"/>
      <c r="FT88" s="12"/>
      <c r="FU88" s="12"/>
      <c r="FV88" s="12"/>
      <c r="FW88" s="12"/>
      <c r="FX88" s="12"/>
      <c r="FY88" s="12"/>
      <c r="FZ88" s="12"/>
      <c r="GA88" s="12"/>
      <c r="GB88" s="12"/>
      <c r="GC88" s="12"/>
      <c r="GD88" s="12"/>
      <c r="GE88" s="12"/>
    </row>
    <row r="89" spans="1:187" ht="21" customHeight="1">
      <c r="A89" s="45" t="s">
        <v>337</v>
      </c>
      <c r="B89" s="86">
        <v>7729314745</v>
      </c>
      <c r="C89" s="10" t="s">
        <v>341</v>
      </c>
      <c r="D89" s="10"/>
      <c r="E89" s="35">
        <f>2542.804*0.4</f>
        <v>1017.1216000000001</v>
      </c>
      <c r="F89" s="35">
        <f>2542.804*0.6</f>
        <v>1525.6823999999999</v>
      </c>
      <c r="G89" s="35">
        <f>2080.476*0.2</f>
        <v>416.09520000000003</v>
      </c>
      <c r="H89" s="35">
        <f>2080.476*0.8</f>
        <v>1664.3808000000001</v>
      </c>
      <c r="I89" s="35">
        <f t="shared" si="10"/>
        <v>4623.2800000000007</v>
      </c>
      <c r="J89" s="11">
        <v>4623.3</v>
      </c>
      <c r="K89" s="49">
        <v>1595.52</v>
      </c>
      <c r="L89" s="49">
        <v>1659.3407999999999</v>
      </c>
      <c r="M89" s="49">
        <v>1472.18</v>
      </c>
      <c r="N89" s="49">
        <v>1526.65066</v>
      </c>
      <c r="O89" s="56">
        <f t="shared" si="16"/>
        <v>123.33999999999992</v>
      </c>
      <c r="P89" s="1">
        <f t="shared" si="15"/>
        <v>125451.77814399992</v>
      </c>
      <c r="Q89" s="1">
        <f t="shared" si="11"/>
        <v>188177.66721599986</v>
      </c>
      <c r="R89" s="1">
        <f t="shared" si="12"/>
        <v>55211.730341327973</v>
      </c>
      <c r="S89" s="1">
        <f t="shared" si="13"/>
        <v>220846.92136531189</v>
      </c>
      <c r="T89" s="1">
        <f t="shared" si="14"/>
        <v>589688.09706663969</v>
      </c>
      <c r="U89" s="11"/>
      <c r="V89" s="11"/>
      <c r="W89" s="11"/>
      <c r="X89" s="12"/>
      <c r="Y89" s="12"/>
      <c r="Z89" s="12"/>
      <c r="AA89" s="12"/>
      <c r="AB89" s="12"/>
      <c r="AC89" s="12"/>
      <c r="AD89" s="12"/>
      <c r="AE89" s="12"/>
      <c r="AF89" s="12"/>
      <c r="AG89" s="12"/>
      <c r="AH89" s="12"/>
      <c r="AI89" s="12"/>
      <c r="AJ89" s="12"/>
      <c r="AK89" s="12"/>
      <c r="AL89" s="12"/>
      <c r="AM89" s="12"/>
      <c r="AN89" s="12"/>
      <c r="AO89" s="12"/>
      <c r="AP89" s="12"/>
      <c r="AQ89" s="12"/>
      <c r="AR89" s="12"/>
      <c r="AS89" s="12"/>
      <c r="AT89" s="12"/>
      <c r="AU89" s="12"/>
      <c r="AV89" s="12"/>
      <c r="AW89" s="12"/>
      <c r="AX89" s="12"/>
      <c r="AY89" s="12"/>
      <c r="AZ89" s="12"/>
      <c r="BA89" s="12"/>
      <c r="BB89" s="12"/>
      <c r="BC89" s="12"/>
      <c r="BD89" s="12"/>
      <c r="BE89" s="12"/>
      <c r="BF89" s="12"/>
      <c r="BG89" s="12"/>
      <c r="BH89" s="12"/>
      <c r="BI89" s="12"/>
      <c r="BJ89" s="12"/>
      <c r="BK89" s="12"/>
      <c r="BL89" s="12"/>
      <c r="BM89" s="12"/>
      <c r="BN89" s="12"/>
      <c r="BO89" s="12"/>
      <c r="BP89" s="12"/>
      <c r="BQ89" s="12"/>
      <c r="BR89" s="12"/>
      <c r="BS89" s="12"/>
      <c r="BT89" s="12"/>
      <c r="BU89" s="12"/>
      <c r="BV89" s="12"/>
      <c r="BW89" s="12"/>
      <c r="BX89" s="12"/>
      <c r="BY89" s="12"/>
      <c r="BZ89" s="12"/>
      <c r="CA89" s="12"/>
      <c r="CB89" s="12"/>
      <c r="CC89" s="12"/>
      <c r="CD89" s="12"/>
      <c r="CE89" s="12"/>
      <c r="CF89" s="12"/>
      <c r="CG89" s="12"/>
      <c r="CH89" s="12"/>
      <c r="CI89" s="12"/>
      <c r="CJ89" s="12"/>
      <c r="CK89" s="12"/>
      <c r="CL89" s="12"/>
      <c r="CM89" s="12"/>
      <c r="CN89" s="12"/>
      <c r="CO89" s="12"/>
      <c r="CP89" s="12"/>
      <c r="CQ89" s="12"/>
      <c r="CR89" s="12"/>
      <c r="CS89" s="12"/>
      <c r="CT89" s="12"/>
      <c r="CU89" s="12"/>
      <c r="CV89" s="12"/>
      <c r="CW89" s="12"/>
      <c r="CX89" s="12"/>
      <c r="CY89" s="12"/>
      <c r="CZ89" s="12"/>
      <c r="DA89" s="12"/>
      <c r="DB89" s="12"/>
      <c r="DC89" s="12"/>
      <c r="DD89" s="12"/>
      <c r="DE89" s="12"/>
      <c r="DF89" s="12"/>
      <c r="DG89" s="12"/>
      <c r="DH89" s="12"/>
      <c r="DI89" s="12"/>
      <c r="DJ89" s="12"/>
      <c r="DK89" s="12"/>
      <c r="DL89" s="12"/>
      <c r="DM89" s="12"/>
      <c r="DN89" s="12"/>
      <c r="DO89" s="12"/>
      <c r="DP89" s="12"/>
      <c r="DQ89" s="12"/>
      <c r="DR89" s="12"/>
      <c r="DS89" s="12"/>
      <c r="DT89" s="12"/>
      <c r="DU89" s="12"/>
      <c r="DV89" s="12"/>
      <c r="DW89" s="12"/>
      <c r="DX89" s="12"/>
      <c r="DY89" s="12"/>
      <c r="DZ89" s="12"/>
      <c r="EA89" s="12"/>
      <c r="EB89" s="12"/>
      <c r="EC89" s="12"/>
      <c r="ED89" s="12"/>
      <c r="EE89" s="12"/>
      <c r="EF89" s="12"/>
      <c r="EG89" s="12"/>
      <c r="EH89" s="12"/>
      <c r="EI89" s="12"/>
      <c r="EJ89" s="12"/>
      <c r="EK89" s="12"/>
      <c r="EL89" s="12"/>
      <c r="EM89" s="12"/>
      <c r="EN89" s="12"/>
      <c r="EO89" s="12"/>
      <c r="EP89" s="12"/>
      <c r="EQ89" s="12"/>
      <c r="ER89" s="12"/>
      <c r="ES89" s="12"/>
      <c r="ET89" s="12"/>
      <c r="EU89" s="12"/>
      <c r="EV89" s="12"/>
      <c r="EW89" s="12"/>
      <c r="EX89" s="12"/>
      <c r="EY89" s="12"/>
      <c r="EZ89" s="12"/>
      <c r="FA89" s="12"/>
      <c r="FB89" s="12"/>
      <c r="FC89" s="12"/>
      <c r="FD89" s="12"/>
      <c r="FE89" s="12"/>
      <c r="FF89" s="12"/>
      <c r="FG89" s="12"/>
      <c r="FH89" s="12"/>
      <c r="FI89" s="12"/>
      <c r="FJ89" s="12"/>
      <c r="FK89" s="12"/>
      <c r="FL89" s="12"/>
      <c r="FM89" s="12"/>
      <c r="FN89" s="12"/>
      <c r="FO89" s="12"/>
      <c r="FP89" s="12"/>
      <c r="FQ89" s="12"/>
      <c r="FR89" s="12"/>
      <c r="FS89" s="12"/>
      <c r="FT89" s="12"/>
      <c r="FU89" s="12"/>
      <c r="FV89" s="12"/>
      <c r="FW89" s="12"/>
      <c r="FX89" s="12"/>
      <c r="FY89" s="12"/>
      <c r="FZ89" s="12"/>
      <c r="GA89" s="12"/>
      <c r="GB89" s="12"/>
      <c r="GC89" s="12"/>
      <c r="GD89" s="12"/>
      <c r="GE89" s="12"/>
    </row>
    <row r="90" spans="1:187" ht="21" customHeight="1">
      <c r="A90" s="45"/>
      <c r="B90" s="101" t="s">
        <v>135</v>
      </c>
      <c r="C90" s="101"/>
      <c r="D90" s="101"/>
      <c r="E90" s="34"/>
      <c r="F90" s="34"/>
      <c r="G90" s="34"/>
      <c r="H90" s="34"/>
      <c r="I90" s="35">
        <f t="shared" si="10"/>
        <v>0</v>
      </c>
      <c r="J90" s="11"/>
      <c r="K90" s="64"/>
      <c r="L90" s="64"/>
      <c r="M90" s="64"/>
      <c r="N90" s="64"/>
      <c r="O90" s="56">
        <f t="shared" si="16"/>
        <v>0</v>
      </c>
      <c r="P90" s="1">
        <f t="shared" si="15"/>
        <v>0</v>
      </c>
      <c r="Q90" s="1">
        <f t="shared" si="11"/>
        <v>0</v>
      </c>
      <c r="R90" s="1">
        <f t="shared" si="12"/>
        <v>0</v>
      </c>
      <c r="S90" s="1">
        <f t="shared" si="13"/>
        <v>0</v>
      </c>
      <c r="T90" s="1">
        <f t="shared" si="14"/>
        <v>0</v>
      </c>
      <c r="U90" s="45"/>
      <c r="V90" s="45"/>
      <c r="W90" s="45"/>
    </row>
    <row r="91" spans="1:187" ht="21" customHeight="1">
      <c r="A91" s="45"/>
      <c r="B91" s="86" t="s">
        <v>18</v>
      </c>
      <c r="C91" s="10" t="s">
        <v>140</v>
      </c>
      <c r="D91" s="10"/>
      <c r="E91" s="35">
        <v>9485.1630000000005</v>
      </c>
      <c r="F91" s="35">
        <f>15089-E91</f>
        <v>5603.8369999999995</v>
      </c>
      <c r="G91" s="35">
        <v>2488.8870000000002</v>
      </c>
      <c r="H91" s="35">
        <f>11458.673</f>
        <v>11458.673000000001</v>
      </c>
      <c r="I91" s="35">
        <f t="shared" si="10"/>
        <v>29036.559999999998</v>
      </c>
      <c r="J91" s="46">
        <v>26448</v>
      </c>
      <c r="K91" s="49">
        <v>3799.08</v>
      </c>
      <c r="L91" s="49">
        <v>4199.32</v>
      </c>
      <c r="M91" s="49">
        <v>1246.22</v>
      </c>
      <c r="N91" s="49">
        <v>1292.33014</v>
      </c>
      <c r="O91" s="56">
        <f t="shared" si="16"/>
        <v>2552.8599999999997</v>
      </c>
      <c r="P91" s="1">
        <f t="shared" si="15"/>
        <v>24214293.216179997</v>
      </c>
      <c r="Q91" s="1">
        <f t="shared" si="11"/>
        <v>14305811.323819997</v>
      </c>
      <c r="R91" s="1">
        <f t="shared" si="12"/>
        <v>7235169.2716858201</v>
      </c>
      <c r="S91" s="1">
        <f t="shared" si="13"/>
        <v>33310246.220055778</v>
      </c>
      <c r="T91" s="1">
        <f t="shared" si="14"/>
        <v>79065520.031741589</v>
      </c>
      <c r="U91" s="11"/>
      <c r="V91" s="11"/>
      <c r="W91" s="11"/>
      <c r="X91" s="12"/>
      <c r="Y91" s="12"/>
      <c r="Z91" s="12"/>
      <c r="AA91" s="12"/>
      <c r="AB91" s="12"/>
      <c r="AC91" s="12"/>
      <c r="AD91" s="12"/>
      <c r="AE91" s="12"/>
      <c r="AF91" s="12"/>
      <c r="AG91" s="12"/>
      <c r="AH91" s="12"/>
      <c r="AI91" s="12"/>
      <c r="AJ91" s="12"/>
      <c r="AK91" s="12"/>
      <c r="AL91" s="12"/>
      <c r="AM91" s="12"/>
      <c r="AN91" s="12"/>
      <c r="AO91" s="12"/>
      <c r="AP91" s="12"/>
      <c r="AQ91" s="12"/>
      <c r="AR91" s="12"/>
      <c r="AS91" s="12"/>
      <c r="AT91" s="12"/>
      <c r="AU91" s="12"/>
      <c r="AV91" s="12"/>
      <c r="AW91" s="12"/>
      <c r="AX91" s="12"/>
      <c r="AY91" s="12"/>
      <c r="AZ91" s="12"/>
      <c r="BA91" s="12"/>
      <c r="BB91" s="12"/>
      <c r="BC91" s="12"/>
      <c r="BD91" s="12"/>
      <c r="BE91" s="12"/>
      <c r="BF91" s="12"/>
      <c r="BG91" s="12"/>
      <c r="BH91" s="12"/>
      <c r="BI91" s="12"/>
      <c r="BJ91" s="12"/>
      <c r="BK91" s="12"/>
      <c r="BL91" s="12"/>
      <c r="BM91" s="12"/>
      <c r="BN91" s="12"/>
      <c r="BO91" s="12"/>
      <c r="BP91" s="12"/>
      <c r="BQ91" s="12"/>
      <c r="BR91" s="12"/>
      <c r="BS91" s="12"/>
      <c r="BT91" s="12"/>
      <c r="BU91" s="12"/>
      <c r="BV91" s="12"/>
      <c r="BW91" s="12"/>
      <c r="BX91" s="12"/>
      <c r="BY91" s="12"/>
      <c r="BZ91" s="12"/>
      <c r="CA91" s="12"/>
      <c r="CB91" s="12"/>
      <c r="CC91" s="12"/>
      <c r="CD91" s="12"/>
      <c r="CE91" s="12"/>
      <c r="CF91" s="12"/>
      <c r="CG91" s="12"/>
      <c r="CH91" s="12"/>
      <c r="CI91" s="12"/>
      <c r="CJ91" s="12"/>
      <c r="CK91" s="12"/>
      <c r="CL91" s="12"/>
      <c r="CM91" s="12"/>
      <c r="CN91" s="12"/>
      <c r="CO91" s="12"/>
      <c r="CP91" s="12"/>
      <c r="CQ91" s="12"/>
      <c r="CR91" s="12"/>
      <c r="CS91" s="12"/>
      <c r="CT91" s="12"/>
      <c r="CU91" s="12"/>
      <c r="CV91" s="12"/>
      <c r="CW91" s="12"/>
      <c r="CX91" s="12"/>
      <c r="CY91" s="12"/>
      <c r="CZ91" s="12"/>
      <c r="DA91" s="12"/>
      <c r="DB91" s="12"/>
      <c r="DC91" s="12"/>
      <c r="DD91" s="12"/>
      <c r="DE91" s="12"/>
      <c r="DF91" s="12"/>
      <c r="DG91" s="12"/>
      <c r="DH91" s="12"/>
      <c r="DI91" s="12"/>
      <c r="DJ91" s="12"/>
      <c r="DK91" s="12"/>
      <c r="DL91" s="12"/>
      <c r="DM91" s="12"/>
      <c r="DN91" s="12"/>
      <c r="DO91" s="12"/>
      <c r="DP91" s="12"/>
      <c r="DQ91" s="12"/>
      <c r="DR91" s="12"/>
      <c r="DS91" s="12"/>
      <c r="DT91" s="12"/>
      <c r="DU91" s="12"/>
      <c r="DV91" s="12"/>
      <c r="DW91" s="12"/>
      <c r="DX91" s="12"/>
      <c r="DY91" s="12"/>
      <c r="DZ91" s="12"/>
      <c r="EA91" s="12"/>
      <c r="EB91" s="12"/>
      <c r="EC91" s="12"/>
      <c r="ED91" s="12"/>
      <c r="EE91" s="12"/>
      <c r="EF91" s="12"/>
      <c r="EG91" s="12"/>
      <c r="EH91" s="12"/>
      <c r="EI91" s="12"/>
      <c r="EJ91" s="12"/>
      <c r="EK91" s="12"/>
      <c r="EL91" s="12"/>
      <c r="EM91" s="12"/>
      <c r="EN91" s="12"/>
      <c r="EO91" s="12"/>
      <c r="EP91" s="12"/>
      <c r="EQ91" s="12"/>
      <c r="ER91" s="12"/>
      <c r="ES91" s="12"/>
      <c r="ET91" s="12"/>
      <c r="EU91" s="12"/>
      <c r="EV91" s="12"/>
      <c r="EW91" s="12"/>
      <c r="EX91" s="12"/>
      <c r="EY91" s="12"/>
      <c r="EZ91" s="12"/>
      <c r="FA91" s="12"/>
      <c r="FB91" s="12"/>
      <c r="FC91" s="12"/>
      <c r="FD91" s="12"/>
      <c r="FE91" s="12"/>
      <c r="FF91" s="12"/>
      <c r="FG91" s="12"/>
      <c r="FH91" s="12"/>
      <c r="FI91" s="12"/>
      <c r="FJ91" s="12"/>
      <c r="FK91" s="12"/>
      <c r="FL91" s="12"/>
      <c r="FM91" s="12"/>
      <c r="FN91" s="12"/>
      <c r="FO91" s="12"/>
      <c r="FP91" s="12"/>
      <c r="FQ91" s="12"/>
      <c r="FR91" s="12"/>
      <c r="FS91" s="12"/>
      <c r="FT91" s="12"/>
      <c r="FU91" s="12"/>
      <c r="FV91" s="12"/>
      <c r="FW91" s="12"/>
      <c r="FX91" s="12"/>
      <c r="FY91" s="12"/>
      <c r="FZ91" s="12"/>
      <c r="GA91" s="12"/>
      <c r="GB91" s="12"/>
      <c r="GC91" s="12"/>
      <c r="GD91" s="12"/>
      <c r="GE91" s="12"/>
    </row>
    <row r="92" spans="1:187" ht="21" customHeight="1">
      <c r="A92" s="45"/>
      <c r="B92" s="86" t="s">
        <v>14</v>
      </c>
      <c r="C92" s="10" t="s">
        <v>136</v>
      </c>
      <c r="D92" s="10" t="s">
        <v>137</v>
      </c>
      <c r="E92" s="35">
        <v>26822.468000000001</v>
      </c>
      <c r="F92" s="35">
        <f>41170.639-E92</f>
        <v>14348.171000000002</v>
      </c>
      <c r="G92" s="35">
        <v>4943.1769999999997</v>
      </c>
      <c r="H92" s="35">
        <f>30387.229-G92</f>
        <v>25444.052</v>
      </c>
      <c r="I92" s="35">
        <f t="shared" si="10"/>
        <v>71557.868000000002</v>
      </c>
      <c r="J92" s="46">
        <v>78547</v>
      </c>
      <c r="K92" s="49">
        <v>1563.82</v>
      </c>
      <c r="L92" s="49">
        <v>1626.3728000000001</v>
      </c>
      <c r="M92" s="49">
        <v>1246.22</v>
      </c>
      <c r="N92" s="49">
        <v>1292.33014</v>
      </c>
      <c r="O92" s="56">
        <f t="shared" si="16"/>
        <v>317.59999999999991</v>
      </c>
      <c r="P92" s="1">
        <f t="shared" si="15"/>
        <v>8518815.8367999978</v>
      </c>
      <c r="Q92" s="1">
        <f t="shared" si="11"/>
        <v>4556979.1095999992</v>
      </c>
      <c r="R92" s="1">
        <f t="shared" si="12"/>
        <v>1651231.9939308201</v>
      </c>
      <c r="S92" s="1">
        <f t="shared" si="13"/>
        <v>8499398.8112583216</v>
      </c>
      <c r="T92" s="1">
        <f t="shared" si="14"/>
        <v>23226425.751589142</v>
      </c>
      <c r="U92" s="11"/>
      <c r="V92" s="11"/>
      <c r="W92" s="11"/>
      <c r="X92" s="12"/>
      <c r="Y92" s="12"/>
      <c r="Z92" s="12"/>
      <c r="AA92" s="12"/>
      <c r="AB92" s="12"/>
      <c r="AC92" s="12"/>
      <c r="AD92" s="12"/>
      <c r="AE92" s="12"/>
      <c r="AF92" s="12"/>
      <c r="AG92" s="12"/>
      <c r="AH92" s="12"/>
      <c r="AI92" s="12"/>
      <c r="AJ92" s="12"/>
      <c r="AK92" s="12"/>
      <c r="AL92" s="12"/>
      <c r="AM92" s="12"/>
      <c r="AN92" s="12"/>
      <c r="AO92" s="12"/>
      <c r="AP92" s="12"/>
      <c r="AQ92" s="12"/>
      <c r="AR92" s="12"/>
      <c r="AS92" s="12"/>
      <c r="AT92" s="12"/>
      <c r="AU92" s="12"/>
      <c r="AV92" s="12"/>
      <c r="AW92" s="12"/>
      <c r="AX92" s="12"/>
      <c r="AY92" s="12"/>
      <c r="AZ92" s="12"/>
      <c r="BA92" s="12"/>
      <c r="BB92" s="12"/>
      <c r="BC92" s="12"/>
      <c r="BD92" s="12"/>
      <c r="BE92" s="12"/>
      <c r="BF92" s="12"/>
      <c r="BG92" s="12"/>
      <c r="BH92" s="12"/>
      <c r="BI92" s="12"/>
      <c r="BJ92" s="12"/>
      <c r="BK92" s="12"/>
      <c r="BL92" s="12"/>
      <c r="BM92" s="12"/>
      <c r="BN92" s="12"/>
      <c r="BO92" s="12"/>
      <c r="BP92" s="12"/>
      <c r="BQ92" s="12"/>
      <c r="BR92" s="12"/>
      <c r="BS92" s="12"/>
      <c r="BT92" s="12"/>
      <c r="BU92" s="12"/>
      <c r="BV92" s="12"/>
      <c r="BW92" s="12"/>
      <c r="BX92" s="12"/>
      <c r="BY92" s="12"/>
      <c r="BZ92" s="12"/>
      <c r="CA92" s="12"/>
      <c r="CB92" s="12"/>
      <c r="CC92" s="12"/>
      <c r="CD92" s="12"/>
      <c r="CE92" s="12"/>
      <c r="CF92" s="12"/>
      <c r="CG92" s="12"/>
      <c r="CH92" s="12"/>
      <c r="CI92" s="12"/>
      <c r="CJ92" s="12"/>
      <c r="CK92" s="12"/>
      <c r="CL92" s="12"/>
      <c r="CM92" s="12"/>
      <c r="CN92" s="12"/>
      <c r="CO92" s="12"/>
      <c r="CP92" s="12"/>
      <c r="CQ92" s="12"/>
      <c r="CR92" s="12"/>
      <c r="CS92" s="12"/>
      <c r="CT92" s="12"/>
      <c r="CU92" s="12"/>
      <c r="CV92" s="12"/>
      <c r="CW92" s="12"/>
      <c r="CX92" s="12"/>
      <c r="CY92" s="12"/>
      <c r="CZ92" s="12"/>
      <c r="DA92" s="12"/>
      <c r="DB92" s="12"/>
      <c r="DC92" s="12"/>
      <c r="DD92" s="12"/>
      <c r="DE92" s="12"/>
      <c r="DF92" s="12"/>
      <c r="DG92" s="12"/>
      <c r="DH92" s="12"/>
      <c r="DI92" s="12"/>
      <c r="DJ92" s="12"/>
      <c r="DK92" s="12"/>
      <c r="DL92" s="12"/>
      <c r="DM92" s="12"/>
      <c r="DN92" s="12"/>
      <c r="DO92" s="12"/>
      <c r="DP92" s="12"/>
      <c r="DQ92" s="12"/>
      <c r="DR92" s="12"/>
      <c r="DS92" s="12"/>
      <c r="DT92" s="12"/>
      <c r="DU92" s="12"/>
      <c r="DV92" s="12"/>
      <c r="DW92" s="12"/>
      <c r="DX92" s="12"/>
      <c r="DY92" s="12"/>
      <c r="DZ92" s="12"/>
      <c r="EA92" s="12"/>
      <c r="EB92" s="12"/>
      <c r="EC92" s="12"/>
      <c r="ED92" s="12"/>
      <c r="EE92" s="12"/>
      <c r="EF92" s="12"/>
      <c r="EG92" s="12"/>
      <c r="EH92" s="12"/>
      <c r="EI92" s="12"/>
      <c r="EJ92" s="12"/>
      <c r="EK92" s="12"/>
      <c r="EL92" s="12"/>
      <c r="EM92" s="12"/>
      <c r="EN92" s="12"/>
      <c r="EO92" s="12"/>
      <c r="EP92" s="12"/>
      <c r="EQ92" s="12"/>
      <c r="ER92" s="12"/>
      <c r="ES92" s="12"/>
      <c r="ET92" s="12"/>
      <c r="EU92" s="12"/>
      <c r="EV92" s="12"/>
      <c r="EW92" s="12"/>
      <c r="EX92" s="12"/>
      <c r="EY92" s="12"/>
      <c r="EZ92" s="12"/>
      <c r="FA92" s="12"/>
      <c r="FB92" s="12"/>
      <c r="FC92" s="12"/>
      <c r="FD92" s="12"/>
      <c r="FE92" s="12"/>
      <c r="FF92" s="12"/>
      <c r="FG92" s="12"/>
      <c r="FH92" s="12"/>
      <c r="FI92" s="12"/>
      <c r="FJ92" s="12"/>
      <c r="FK92" s="12"/>
      <c r="FL92" s="12"/>
      <c r="FM92" s="12"/>
      <c r="FN92" s="12"/>
      <c r="FO92" s="12"/>
      <c r="FP92" s="12"/>
      <c r="FQ92" s="12"/>
      <c r="FR92" s="12"/>
      <c r="FS92" s="12"/>
      <c r="FT92" s="12"/>
      <c r="FU92" s="12"/>
      <c r="FV92" s="12"/>
      <c r="FW92" s="12"/>
      <c r="FX92" s="12"/>
      <c r="FY92" s="12"/>
      <c r="FZ92" s="12"/>
      <c r="GA92" s="12"/>
      <c r="GB92" s="12"/>
      <c r="GC92" s="12"/>
      <c r="GD92" s="12"/>
      <c r="GE92" s="12"/>
    </row>
    <row r="93" spans="1:187" ht="21" customHeight="1">
      <c r="A93" s="45"/>
      <c r="B93" s="86" t="s">
        <v>282</v>
      </c>
      <c r="C93" s="10" t="s">
        <v>138</v>
      </c>
      <c r="D93" s="10" t="s">
        <v>139</v>
      </c>
      <c r="E93" s="35">
        <v>79.278000000000006</v>
      </c>
      <c r="F93" s="35">
        <f>132.13-E93</f>
        <v>52.85199999999999</v>
      </c>
      <c r="G93" s="35">
        <v>13.21</v>
      </c>
      <c r="H93" s="35">
        <v>67.05</v>
      </c>
      <c r="I93" s="35">
        <f t="shared" si="10"/>
        <v>212.39</v>
      </c>
      <c r="J93" s="56">
        <v>203.19059328</v>
      </c>
      <c r="K93" s="49">
        <v>3491.75</v>
      </c>
      <c r="L93" s="49">
        <v>3631.42</v>
      </c>
      <c r="M93" s="49">
        <v>1289.44</v>
      </c>
      <c r="N93" s="49">
        <v>1337.1492799999999</v>
      </c>
      <c r="O93" s="56">
        <f t="shared" si="16"/>
        <v>2202.31</v>
      </c>
      <c r="P93" s="1">
        <f t="shared" si="15"/>
        <v>174594.73218000002</v>
      </c>
      <c r="Q93" s="1">
        <f t="shared" si="11"/>
        <v>116396.48811999998</v>
      </c>
      <c r="R93" s="1">
        <f t="shared" si="12"/>
        <v>30307.316211200006</v>
      </c>
      <c r="S93" s="1">
        <f t="shared" si="13"/>
        <v>153830.85177600002</v>
      </c>
      <c r="T93" s="1">
        <f t="shared" si="14"/>
        <v>475129.38828720001</v>
      </c>
      <c r="U93" s="11"/>
      <c r="V93" s="11"/>
      <c r="W93" s="11"/>
      <c r="X93" s="12"/>
      <c r="Y93" s="12"/>
      <c r="Z93" s="12"/>
      <c r="AA93" s="12"/>
      <c r="AB93" s="12"/>
      <c r="AC93" s="12"/>
      <c r="AD93" s="12"/>
      <c r="AE93" s="12"/>
      <c r="AF93" s="12"/>
      <c r="AG93" s="12"/>
      <c r="AH93" s="12"/>
      <c r="AI93" s="12"/>
      <c r="AJ93" s="12"/>
      <c r="AK93" s="12"/>
      <c r="AL93" s="12"/>
      <c r="AM93" s="12"/>
      <c r="AN93" s="12"/>
      <c r="AO93" s="12"/>
      <c r="AP93" s="12"/>
      <c r="AQ93" s="12"/>
      <c r="AR93" s="12"/>
      <c r="AS93" s="12"/>
      <c r="AT93" s="12"/>
      <c r="AU93" s="12"/>
      <c r="AV93" s="12"/>
      <c r="AW93" s="12"/>
      <c r="AX93" s="12"/>
      <c r="AY93" s="12"/>
      <c r="AZ93" s="12"/>
      <c r="BA93" s="12"/>
      <c r="BB93" s="12"/>
      <c r="BC93" s="12"/>
      <c r="BD93" s="12"/>
      <c r="BE93" s="12"/>
      <c r="BF93" s="12"/>
      <c r="BG93" s="12"/>
      <c r="BH93" s="12"/>
      <c r="BI93" s="12"/>
      <c r="BJ93" s="12"/>
      <c r="BK93" s="12"/>
      <c r="BL93" s="12"/>
      <c r="BM93" s="12"/>
      <c r="BN93" s="12"/>
      <c r="BO93" s="12"/>
      <c r="BP93" s="12"/>
      <c r="BQ93" s="12"/>
      <c r="BR93" s="12"/>
      <c r="BS93" s="12"/>
      <c r="BT93" s="12"/>
      <c r="BU93" s="12"/>
      <c r="BV93" s="12"/>
      <c r="BW93" s="12"/>
      <c r="BX93" s="12"/>
      <c r="BY93" s="12"/>
      <c r="BZ93" s="12"/>
      <c r="CA93" s="12"/>
      <c r="CB93" s="12"/>
      <c r="CC93" s="12"/>
      <c r="CD93" s="12"/>
      <c r="CE93" s="12"/>
      <c r="CF93" s="12"/>
      <c r="CG93" s="12"/>
      <c r="CH93" s="12"/>
      <c r="CI93" s="12"/>
      <c r="CJ93" s="12"/>
      <c r="CK93" s="12"/>
      <c r="CL93" s="12"/>
      <c r="CM93" s="12"/>
      <c r="CN93" s="12"/>
      <c r="CO93" s="12"/>
      <c r="CP93" s="12"/>
      <c r="CQ93" s="12"/>
      <c r="CR93" s="12"/>
      <c r="CS93" s="12"/>
      <c r="CT93" s="12"/>
      <c r="CU93" s="12"/>
      <c r="CV93" s="12"/>
      <c r="CW93" s="12"/>
      <c r="CX93" s="12"/>
      <c r="CY93" s="12"/>
      <c r="CZ93" s="12"/>
      <c r="DA93" s="12"/>
      <c r="DB93" s="12"/>
      <c r="DC93" s="12"/>
      <c r="DD93" s="12"/>
      <c r="DE93" s="12"/>
      <c r="DF93" s="12"/>
      <c r="DG93" s="12"/>
      <c r="DH93" s="12"/>
      <c r="DI93" s="12"/>
      <c r="DJ93" s="12"/>
      <c r="DK93" s="12"/>
      <c r="DL93" s="12"/>
      <c r="DM93" s="12"/>
      <c r="DN93" s="12"/>
      <c r="DO93" s="12"/>
      <c r="DP93" s="12"/>
      <c r="DQ93" s="12"/>
      <c r="DR93" s="12"/>
      <c r="DS93" s="12"/>
      <c r="DT93" s="12"/>
      <c r="DU93" s="12"/>
      <c r="DV93" s="12"/>
      <c r="DW93" s="12"/>
      <c r="DX93" s="12"/>
      <c r="DY93" s="12"/>
      <c r="DZ93" s="12"/>
      <c r="EA93" s="12"/>
      <c r="EB93" s="12"/>
      <c r="EC93" s="12"/>
      <c r="ED93" s="12"/>
      <c r="EE93" s="12"/>
      <c r="EF93" s="12"/>
      <c r="EG93" s="12"/>
      <c r="EH93" s="12"/>
      <c r="EI93" s="12"/>
      <c r="EJ93" s="12"/>
      <c r="EK93" s="12"/>
      <c r="EL93" s="12"/>
      <c r="EM93" s="12"/>
      <c r="EN93" s="12"/>
      <c r="EO93" s="12"/>
      <c r="EP93" s="12"/>
      <c r="EQ93" s="12"/>
      <c r="ER93" s="12"/>
      <c r="ES93" s="12"/>
      <c r="ET93" s="12"/>
      <c r="EU93" s="12"/>
      <c r="EV93" s="12"/>
      <c r="EW93" s="12"/>
      <c r="EX93" s="12"/>
      <c r="EY93" s="12"/>
      <c r="EZ93" s="12"/>
      <c r="FA93" s="12"/>
      <c r="FB93" s="12"/>
      <c r="FC93" s="12"/>
      <c r="FD93" s="12"/>
      <c r="FE93" s="12"/>
      <c r="FF93" s="12"/>
      <c r="FG93" s="12"/>
      <c r="FH93" s="12"/>
      <c r="FI93" s="12"/>
      <c r="FJ93" s="12"/>
      <c r="FK93" s="12"/>
      <c r="FL93" s="12"/>
      <c r="FM93" s="12"/>
      <c r="FN93" s="12"/>
      <c r="FO93" s="12"/>
      <c r="FP93" s="12"/>
      <c r="FQ93" s="12"/>
      <c r="FR93" s="12"/>
      <c r="FS93" s="12"/>
      <c r="FT93" s="12"/>
      <c r="FU93" s="12"/>
      <c r="FV93" s="12"/>
      <c r="FW93" s="12"/>
      <c r="FX93" s="12"/>
      <c r="FY93" s="12"/>
      <c r="FZ93" s="12"/>
      <c r="GA93" s="12"/>
      <c r="GB93" s="12"/>
      <c r="GC93" s="12"/>
      <c r="GD93" s="12"/>
      <c r="GE93" s="12"/>
    </row>
    <row r="94" spans="1:187" ht="21" customHeight="1">
      <c r="A94" s="45"/>
      <c r="B94" s="31" t="s">
        <v>402</v>
      </c>
      <c r="C94" s="32" t="s">
        <v>403</v>
      </c>
      <c r="D94" s="32" t="s">
        <v>139</v>
      </c>
      <c r="E94" s="35">
        <v>84.92</v>
      </c>
      <c r="F94" s="35">
        <f>151.73-E94</f>
        <v>66.809999999999988</v>
      </c>
      <c r="G94" s="35">
        <v>28.62</v>
      </c>
      <c r="H94" s="35">
        <v>77.25</v>
      </c>
      <c r="I94" s="35">
        <f t="shared" si="10"/>
        <v>257.60000000000002</v>
      </c>
      <c r="J94" s="46">
        <v>257.60000000000002</v>
      </c>
      <c r="K94" s="49">
        <v>4389.8900000000003</v>
      </c>
      <c r="L94" s="49">
        <v>4565.4856000000009</v>
      </c>
      <c r="M94" s="49">
        <v>1289.44</v>
      </c>
      <c r="N94" s="49">
        <v>1337.1492799999999</v>
      </c>
      <c r="O94" s="56">
        <f t="shared" si="16"/>
        <v>3100.4500000000003</v>
      </c>
      <c r="P94" s="1">
        <f t="shared" si="15"/>
        <v>263290.21400000004</v>
      </c>
      <c r="Q94" s="1">
        <f t="shared" si="11"/>
        <v>207141.06449999998</v>
      </c>
      <c r="R94" s="1">
        <f t="shared" si="12"/>
        <v>92394.985478400034</v>
      </c>
      <c r="S94" s="1">
        <f t="shared" si="13"/>
        <v>249388.98072000011</v>
      </c>
      <c r="T94" s="1">
        <f t="shared" si="14"/>
        <v>812215.24469840014</v>
      </c>
      <c r="U94" s="11"/>
      <c r="V94" s="11"/>
      <c r="W94" s="11"/>
      <c r="X94" s="12"/>
      <c r="Y94" s="12"/>
      <c r="Z94" s="12"/>
      <c r="AA94" s="12"/>
      <c r="AB94" s="12"/>
      <c r="AC94" s="12"/>
      <c r="AD94" s="12"/>
      <c r="AE94" s="12"/>
      <c r="AF94" s="12"/>
      <c r="AG94" s="12"/>
      <c r="AH94" s="12"/>
      <c r="AI94" s="12"/>
      <c r="AJ94" s="12"/>
      <c r="AK94" s="12"/>
      <c r="AL94" s="12"/>
      <c r="AM94" s="12"/>
      <c r="AN94" s="12"/>
      <c r="AO94" s="12"/>
      <c r="AP94" s="12"/>
      <c r="AQ94" s="12"/>
      <c r="AR94" s="12"/>
      <c r="AS94" s="12"/>
      <c r="AT94" s="12"/>
      <c r="AU94" s="12"/>
      <c r="AV94" s="12"/>
      <c r="AW94" s="12"/>
      <c r="AX94" s="12"/>
      <c r="AY94" s="12"/>
      <c r="AZ94" s="12"/>
      <c r="BA94" s="12"/>
      <c r="BB94" s="12"/>
      <c r="BC94" s="12"/>
      <c r="BD94" s="12"/>
      <c r="BE94" s="12"/>
      <c r="BF94" s="12"/>
      <c r="BG94" s="12"/>
      <c r="BH94" s="12"/>
      <c r="BI94" s="12"/>
      <c r="BJ94" s="12"/>
      <c r="BK94" s="12"/>
      <c r="BL94" s="12"/>
      <c r="BM94" s="12"/>
      <c r="BN94" s="12"/>
      <c r="BO94" s="12"/>
      <c r="BP94" s="12"/>
      <c r="BQ94" s="12"/>
      <c r="BR94" s="12"/>
      <c r="BS94" s="12"/>
      <c r="BT94" s="12"/>
      <c r="BU94" s="12"/>
      <c r="BV94" s="12"/>
      <c r="BW94" s="12"/>
      <c r="BX94" s="12"/>
      <c r="BY94" s="12"/>
      <c r="BZ94" s="12"/>
      <c r="CA94" s="12"/>
      <c r="CB94" s="12"/>
      <c r="CC94" s="12"/>
      <c r="CD94" s="12"/>
      <c r="CE94" s="12"/>
      <c r="CF94" s="12"/>
      <c r="CG94" s="12"/>
      <c r="CH94" s="12"/>
      <c r="CI94" s="12"/>
      <c r="CJ94" s="12"/>
      <c r="CK94" s="12"/>
      <c r="CL94" s="12"/>
      <c r="CM94" s="12"/>
      <c r="CN94" s="12"/>
      <c r="CO94" s="12"/>
      <c r="CP94" s="12"/>
      <c r="CQ94" s="12"/>
      <c r="CR94" s="12"/>
      <c r="CS94" s="12"/>
      <c r="CT94" s="12"/>
      <c r="CU94" s="12"/>
      <c r="CV94" s="12"/>
      <c r="CW94" s="12"/>
      <c r="CX94" s="12"/>
      <c r="CY94" s="12"/>
      <c r="CZ94" s="12"/>
      <c r="DA94" s="12"/>
      <c r="DB94" s="12"/>
      <c r="DC94" s="12"/>
      <c r="DD94" s="12"/>
      <c r="DE94" s="12"/>
      <c r="DF94" s="12"/>
      <c r="DG94" s="12"/>
      <c r="DH94" s="12"/>
      <c r="DI94" s="12"/>
      <c r="DJ94" s="12"/>
      <c r="DK94" s="12"/>
      <c r="DL94" s="12"/>
      <c r="DM94" s="12"/>
      <c r="DN94" s="12"/>
      <c r="DO94" s="12"/>
      <c r="DP94" s="12"/>
      <c r="DQ94" s="12"/>
      <c r="DR94" s="12"/>
      <c r="DS94" s="12"/>
      <c r="DT94" s="12"/>
      <c r="DU94" s="12"/>
      <c r="DV94" s="12"/>
      <c r="DW94" s="12"/>
      <c r="DX94" s="12"/>
      <c r="DY94" s="12"/>
      <c r="DZ94" s="12"/>
      <c r="EA94" s="12"/>
      <c r="EB94" s="12"/>
      <c r="EC94" s="12"/>
      <c r="ED94" s="12"/>
      <c r="EE94" s="12"/>
      <c r="EF94" s="12"/>
      <c r="EG94" s="12"/>
      <c r="EH94" s="12"/>
      <c r="EI94" s="12"/>
      <c r="EJ94" s="12"/>
      <c r="EK94" s="12"/>
      <c r="EL94" s="12"/>
      <c r="EM94" s="12"/>
      <c r="EN94" s="12"/>
      <c r="EO94" s="12"/>
      <c r="EP94" s="12"/>
      <c r="EQ94" s="12"/>
      <c r="ER94" s="12"/>
      <c r="ES94" s="12"/>
      <c r="ET94" s="12"/>
      <c r="EU94" s="12"/>
      <c r="EV94" s="12"/>
      <c r="EW94" s="12"/>
      <c r="EX94" s="12"/>
      <c r="EY94" s="12"/>
      <c r="EZ94" s="12"/>
      <c r="FA94" s="12"/>
      <c r="FB94" s="12"/>
      <c r="FC94" s="12"/>
      <c r="FD94" s="12"/>
      <c r="FE94" s="12"/>
      <c r="FF94" s="12"/>
      <c r="FG94" s="12"/>
      <c r="FH94" s="12"/>
      <c r="FI94" s="12"/>
      <c r="FJ94" s="12"/>
      <c r="FK94" s="12"/>
      <c r="FL94" s="12"/>
      <c r="FM94" s="12"/>
      <c r="FN94" s="12"/>
      <c r="FO94" s="12"/>
      <c r="FP94" s="12"/>
      <c r="FQ94" s="12"/>
      <c r="FR94" s="12"/>
      <c r="FS94" s="12"/>
      <c r="FT94" s="12"/>
      <c r="FU94" s="12"/>
      <c r="FV94" s="12"/>
      <c r="FW94" s="12"/>
      <c r="FX94" s="12"/>
      <c r="FY94" s="12"/>
      <c r="FZ94" s="12"/>
      <c r="GA94" s="12"/>
      <c r="GB94" s="12"/>
      <c r="GC94" s="12"/>
      <c r="GD94" s="12"/>
      <c r="GE94" s="12"/>
    </row>
    <row r="95" spans="1:187" ht="21" customHeight="1">
      <c r="A95" s="73"/>
      <c r="B95" s="90" t="s">
        <v>19</v>
      </c>
      <c r="C95" s="83" t="s">
        <v>111</v>
      </c>
      <c r="D95" s="10" t="s">
        <v>305</v>
      </c>
      <c r="E95" s="39">
        <v>426.94099999999997</v>
      </c>
      <c r="F95" s="39">
        <f>572.74-E95</f>
        <v>145.79900000000004</v>
      </c>
      <c r="G95" s="39">
        <v>7.0410000000000004</v>
      </c>
      <c r="H95" s="39">
        <f>453.272-G95</f>
        <v>446.23099999999999</v>
      </c>
      <c r="I95" s="35">
        <f t="shared" si="10"/>
        <v>1026.0120000000002</v>
      </c>
      <c r="J95" s="56">
        <v>1201.3530000000001</v>
      </c>
      <c r="K95" s="69">
        <v>3756.0216951686371</v>
      </c>
      <c r="L95" s="69">
        <v>3906.2625629753825</v>
      </c>
      <c r="M95" s="69">
        <v>1246.22</v>
      </c>
      <c r="N95" s="69">
        <v>1292.33014</v>
      </c>
      <c r="O95" s="37">
        <f t="shared" si="16"/>
        <v>2509.8016951686368</v>
      </c>
      <c r="P95" s="1">
        <f t="shared" si="15"/>
        <v>1071537.2455369928</v>
      </c>
      <c r="Q95" s="1">
        <f t="shared" si="11"/>
        <v>365926.57735389215</v>
      </c>
      <c r="R95" s="1">
        <f t="shared" si="12"/>
        <v>18404.698190169667</v>
      </c>
      <c r="S95" s="1">
        <f t="shared" si="13"/>
        <v>1166417.6790367279</v>
      </c>
      <c r="T95" s="1">
        <f t="shared" si="14"/>
        <v>2622286.2001177827</v>
      </c>
      <c r="U95" s="11"/>
      <c r="V95" s="11"/>
      <c r="W95" s="11"/>
      <c r="X95" s="12"/>
      <c r="Y95" s="12"/>
      <c r="Z95" s="12"/>
      <c r="AA95" s="12"/>
      <c r="AB95" s="12"/>
      <c r="AC95" s="12"/>
      <c r="AD95" s="12"/>
      <c r="AE95" s="12"/>
      <c r="AF95" s="12"/>
      <c r="AG95" s="12"/>
      <c r="AH95" s="12"/>
      <c r="AI95" s="12"/>
      <c r="AJ95" s="12"/>
      <c r="AK95" s="12"/>
      <c r="AL95" s="12"/>
      <c r="AM95" s="12"/>
      <c r="AN95" s="12"/>
      <c r="AO95" s="12"/>
      <c r="AP95" s="12"/>
      <c r="AQ95" s="12"/>
      <c r="AR95" s="12"/>
      <c r="AS95" s="12"/>
      <c r="AT95" s="12"/>
      <c r="AU95" s="12"/>
      <c r="AV95" s="12"/>
      <c r="AW95" s="12"/>
      <c r="AX95" s="12"/>
      <c r="AY95" s="12"/>
      <c r="AZ95" s="12"/>
      <c r="BA95" s="12"/>
      <c r="BB95" s="12"/>
      <c r="BC95" s="12"/>
      <c r="BD95" s="12"/>
      <c r="BE95" s="12"/>
      <c r="BF95" s="12"/>
      <c r="BG95" s="12"/>
      <c r="BH95" s="12"/>
      <c r="BI95" s="12"/>
      <c r="BJ95" s="12"/>
      <c r="BK95" s="12"/>
      <c r="BL95" s="12"/>
      <c r="BM95" s="12"/>
      <c r="BN95" s="12"/>
      <c r="BO95" s="12"/>
      <c r="BP95" s="12"/>
      <c r="BQ95" s="12"/>
      <c r="BR95" s="12"/>
      <c r="BS95" s="12"/>
      <c r="BT95" s="12"/>
      <c r="BU95" s="12"/>
      <c r="BV95" s="12"/>
      <c r="BW95" s="12"/>
      <c r="BX95" s="12"/>
      <c r="BY95" s="12"/>
      <c r="BZ95" s="12"/>
      <c r="CA95" s="12"/>
      <c r="CB95" s="12"/>
      <c r="CC95" s="12"/>
      <c r="CD95" s="12"/>
      <c r="CE95" s="12"/>
      <c r="CF95" s="12"/>
      <c r="CG95" s="12"/>
      <c r="CH95" s="12"/>
      <c r="CI95" s="12"/>
      <c r="CJ95" s="12"/>
      <c r="CK95" s="12"/>
      <c r="CL95" s="12"/>
      <c r="CM95" s="12"/>
      <c r="CN95" s="12"/>
      <c r="CO95" s="12"/>
      <c r="CP95" s="12"/>
      <c r="CQ95" s="12"/>
      <c r="CR95" s="12"/>
      <c r="CS95" s="12"/>
      <c r="CT95" s="12"/>
      <c r="CU95" s="12"/>
      <c r="CV95" s="12"/>
      <c r="CW95" s="12"/>
      <c r="CX95" s="12"/>
      <c r="CY95" s="12"/>
      <c r="CZ95" s="12"/>
      <c r="DA95" s="12"/>
      <c r="DB95" s="12"/>
      <c r="DC95" s="12"/>
      <c r="DD95" s="12"/>
      <c r="DE95" s="12"/>
      <c r="DF95" s="12"/>
      <c r="DG95" s="12"/>
      <c r="DH95" s="12"/>
      <c r="DI95" s="12"/>
      <c r="DJ95" s="12"/>
      <c r="DK95" s="12"/>
      <c r="DL95" s="12"/>
      <c r="DM95" s="12"/>
      <c r="DN95" s="12"/>
      <c r="DO95" s="12"/>
      <c r="DP95" s="12"/>
      <c r="DQ95" s="12"/>
      <c r="DR95" s="12"/>
      <c r="DS95" s="12"/>
      <c r="DT95" s="12"/>
      <c r="DU95" s="12"/>
      <c r="DV95" s="12"/>
      <c r="DW95" s="12"/>
      <c r="DX95" s="12"/>
      <c r="DY95" s="12"/>
      <c r="DZ95" s="12"/>
      <c r="EA95" s="12"/>
      <c r="EB95" s="12"/>
      <c r="EC95" s="12"/>
      <c r="ED95" s="12"/>
      <c r="EE95" s="12"/>
      <c r="EF95" s="12"/>
      <c r="EG95" s="12"/>
      <c r="EH95" s="12"/>
      <c r="EI95" s="12"/>
      <c r="EJ95" s="12"/>
      <c r="EK95" s="12"/>
      <c r="EL95" s="12"/>
      <c r="EM95" s="12"/>
      <c r="EN95" s="12"/>
      <c r="EO95" s="12"/>
      <c r="EP95" s="12"/>
      <c r="EQ95" s="12"/>
      <c r="ER95" s="12"/>
      <c r="ES95" s="12"/>
      <c r="ET95" s="12"/>
      <c r="EU95" s="12"/>
      <c r="EV95" s="12"/>
      <c r="EW95" s="12"/>
      <c r="EX95" s="12"/>
      <c r="EY95" s="12"/>
      <c r="EZ95" s="12"/>
      <c r="FA95" s="12"/>
      <c r="FB95" s="12"/>
      <c r="FC95" s="12"/>
      <c r="FD95" s="12"/>
      <c r="FE95" s="12"/>
      <c r="FF95" s="12"/>
      <c r="FG95" s="12"/>
      <c r="FH95" s="12"/>
      <c r="FI95" s="12"/>
      <c r="FJ95" s="12"/>
      <c r="FK95" s="12"/>
      <c r="FL95" s="12"/>
      <c r="FM95" s="12"/>
      <c r="FN95" s="12"/>
      <c r="FO95" s="12"/>
      <c r="FP95" s="12"/>
      <c r="FQ95" s="12"/>
      <c r="FR95" s="12"/>
      <c r="FS95" s="12"/>
      <c r="FT95" s="12"/>
      <c r="FU95" s="12"/>
      <c r="FV95" s="12"/>
      <c r="FW95" s="12"/>
      <c r="FX95" s="12"/>
      <c r="FY95" s="12"/>
      <c r="FZ95" s="12"/>
      <c r="GA95" s="12"/>
      <c r="GB95" s="12"/>
      <c r="GC95" s="12"/>
      <c r="GD95" s="12"/>
      <c r="GE95" s="12"/>
    </row>
    <row r="96" spans="1:187" ht="21" customHeight="1">
      <c r="A96" s="45"/>
      <c r="B96" s="101" t="s">
        <v>141</v>
      </c>
      <c r="C96" s="101"/>
      <c r="D96" s="101"/>
      <c r="E96" s="34"/>
      <c r="F96" s="34"/>
      <c r="G96" s="34"/>
      <c r="H96" s="34"/>
      <c r="I96" s="35">
        <f t="shared" si="10"/>
        <v>0</v>
      </c>
      <c r="J96" s="11"/>
      <c r="K96" s="64"/>
      <c r="L96" s="64"/>
      <c r="M96" s="64"/>
      <c r="N96" s="64"/>
      <c r="O96" s="56">
        <f t="shared" si="16"/>
        <v>0</v>
      </c>
      <c r="P96" s="1">
        <f t="shared" si="15"/>
        <v>0</v>
      </c>
      <c r="Q96" s="1">
        <f t="shared" si="11"/>
        <v>0</v>
      </c>
      <c r="R96" s="1">
        <f t="shared" si="12"/>
        <v>0</v>
      </c>
      <c r="S96" s="1">
        <f t="shared" si="13"/>
        <v>0</v>
      </c>
      <c r="T96" s="1">
        <f t="shared" si="14"/>
        <v>0</v>
      </c>
      <c r="U96" s="45"/>
      <c r="V96" s="45"/>
      <c r="W96" s="45"/>
    </row>
    <row r="97" spans="1:187" ht="21" customHeight="1">
      <c r="A97" s="45"/>
      <c r="B97" s="86" t="s">
        <v>21</v>
      </c>
      <c r="C97" s="10" t="s">
        <v>142</v>
      </c>
      <c r="D97" s="10" t="s">
        <v>143</v>
      </c>
      <c r="E97" s="35">
        <v>3837.05</v>
      </c>
      <c r="F97" s="35">
        <f>6416.45-E97</f>
        <v>2579.3999999999996</v>
      </c>
      <c r="G97" s="35">
        <v>1278.1300000000001</v>
      </c>
      <c r="H97" s="35">
        <f>5140.48-G97</f>
        <v>3862.3499999999995</v>
      </c>
      <c r="I97" s="35">
        <f t="shared" si="10"/>
        <v>11556.93</v>
      </c>
      <c r="J97" s="56">
        <v>11420.5</v>
      </c>
      <c r="K97" s="49">
        <v>4509.45</v>
      </c>
      <c r="L97" s="49">
        <v>4545.45</v>
      </c>
      <c r="M97" s="49">
        <v>1301.51</v>
      </c>
      <c r="N97" s="49">
        <v>1349.67</v>
      </c>
      <c r="O97" s="56">
        <f t="shared" si="16"/>
        <v>3207.9399999999996</v>
      </c>
      <c r="P97" s="1">
        <f t="shared" si="15"/>
        <v>12309026.176999999</v>
      </c>
      <c r="Q97" s="1">
        <f t="shared" si="11"/>
        <v>8274560.4359999979</v>
      </c>
      <c r="R97" s="1">
        <f t="shared" si="12"/>
        <v>4084622.2914</v>
      </c>
      <c r="S97" s="1">
        <f t="shared" si="13"/>
        <v>12343220.882999998</v>
      </c>
      <c r="T97" s="1">
        <f t="shared" si="14"/>
        <v>37011429.787399992</v>
      </c>
      <c r="U97" s="11"/>
      <c r="V97" s="11"/>
      <c r="W97" s="11"/>
      <c r="X97" s="12"/>
      <c r="Y97" s="12"/>
      <c r="Z97" s="12"/>
      <c r="AA97" s="12"/>
      <c r="AB97" s="12"/>
      <c r="AC97" s="12"/>
      <c r="AD97" s="12"/>
      <c r="AE97" s="12"/>
      <c r="AF97" s="12"/>
      <c r="AG97" s="12"/>
      <c r="AH97" s="12"/>
      <c r="AI97" s="12"/>
      <c r="AJ97" s="12"/>
      <c r="AK97" s="12"/>
      <c r="AL97" s="12"/>
      <c r="AM97" s="12"/>
      <c r="AN97" s="12"/>
      <c r="AO97" s="12"/>
      <c r="AP97" s="12"/>
      <c r="AQ97" s="12"/>
      <c r="AR97" s="12"/>
      <c r="AS97" s="12"/>
      <c r="AT97" s="12"/>
      <c r="AU97" s="12"/>
      <c r="AV97" s="12"/>
      <c r="AW97" s="12"/>
      <c r="AX97" s="12"/>
      <c r="AY97" s="12"/>
      <c r="AZ97" s="12"/>
      <c r="BA97" s="12"/>
      <c r="BB97" s="12"/>
      <c r="BC97" s="12"/>
      <c r="BD97" s="12"/>
      <c r="BE97" s="12"/>
      <c r="BF97" s="12"/>
      <c r="BG97" s="12"/>
      <c r="BH97" s="12"/>
      <c r="BI97" s="12"/>
      <c r="BJ97" s="12"/>
      <c r="BK97" s="12"/>
      <c r="BL97" s="12"/>
      <c r="BM97" s="12"/>
      <c r="BN97" s="12"/>
      <c r="BO97" s="12"/>
      <c r="BP97" s="12"/>
      <c r="BQ97" s="12"/>
      <c r="BR97" s="12"/>
      <c r="BS97" s="12"/>
      <c r="BT97" s="12"/>
      <c r="BU97" s="12"/>
      <c r="BV97" s="12"/>
      <c r="BW97" s="12"/>
      <c r="BX97" s="12"/>
      <c r="BY97" s="12"/>
      <c r="BZ97" s="12"/>
      <c r="CA97" s="12"/>
      <c r="CB97" s="12"/>
      <c r="CC97" s="12"/>
      <c r="CD97" s="12"/>
      <c r="CE97" s="12"/>
      <c r="CF97" s="12"/>
      <c r="CG97" s="12"/>
      <c r="CH97" s="12"/>
      <c r="CI97" s="12"/>
      <c r="CJ97" s="12"/>
      <c r="CK97" s="12"/>
      <c r="CL97" s="12"/>
      <c r="CM97" s="12"/>
      <c r="CN97" s="12"/>
      <c r="CO97" s="12"/>
      <c r="CP97" s="12"/>
      <c r="CQ97" s="12"/>
      <c r="CR97" s="12"/>
      <c r="CS97" s="12"/>
      <c r="CT97" s="12"/>
      <c r="CU97" s="12"/>
      <c r="CV97" s="12"/>
      <c r="CW97" s="12"/>
      <c r="CX97" s="12"/>
      <c r="CY97" s="12"/>
      <c r="CZ97" s="12"/>
      <c r="DA97" s="12"/>
      <c r="DB97" s="12"/>
      <c r="DC97" s="12"/>
      <c r="DD97" s="12"/>
      <c r="DE97" s="12"/>
      <c r="DF97" s="12"/>
      <c r="DG97" s="12"/>
      <c r="DH97" s="12"/>
      <c r="DI97" s="12"/>
      <c r="DJ97" s="12"/>
      <c r="DK97" s="12"/>
      <c r="DL97" s="12"/>
      <c r="DM97" s="12"/>
      <c r="DN97" s="12"/>
      <c r="DO97" s="12"/>
      <c r="DP97" s="12"/>
      <c r="DQ97" s="12"/>
      <c r="DR97" s="12"/>
      <c r="DS97" s="12"/>
      <c r="DT97" s="12"/>
      <c r="DU97" s="12"/>
      <c r="DV97" s="12"/>
      <c r="DW97" s="12"/>
      <c r="DX97" s="12"/>
      <c r="DY97" s="12"/>
      <c r="DZ97" s="12"/>
      <c r="EA97" s="12"/>
      <c r="EB97" s="12"/>
      <c r="EC97" s="12"/>
      <c r="ED97" s="12"/>
      <c r="EE97" s="12"/>
      <c r="EF97" s="12"/>
      <c r="EG97" s="12"/>
      <c r="EH97" s="12"/>
      <c r="EI97" s="12"/>
      <c r="EJ97" s="12"/>
      <c r="EK97" s="12"/>
      <c r="EL97" s="12"/>
      <c r="EM97" s="12"/>
      <c r="EN97" s="12"/>
      <c r="EO97" s="12"/>
      <c r="EP97" s="12"/>
      <c r="EQ97" s="12"/>
      <c r="ER97" s="12"/>
      <c r="ES97" s="12"/>
      <c r="ET97" s="12"/>
      <c r="EU97" s="12"/>
      <c r="EV97" s="12"/>
      <c r="EW97" s="12"/>
      <c r="EX97" s="12"/>
      <c r="EY97" s="12"/>
      <c r="EZ97" s="12"/>
      <c r="FA97" s="12"/>
      <c r="FB97" s="12"/>
      <c r="FC97" s="12"/>
      <c r="FD97" s="12"/>
      <c r="FE97" s="12"/>
      <c r="FF97" s="12"/>
      <c r="FG97" s="12"/>
      <c r="FH97" s="12"/>
      <c r="FI97" s="12"/>
      <c r="FJ97" s="12"/>
      <c r="FK97" s="12"/>
      <c r="FL97" s="12"/>
      <c r="FM97" s="12"/>
      <c r="FN97" s="12"/>
      <c r="FO97" s="12"/>
      <c r="FP97" s="12"/>
      <c r="FQ97" s="12"/>
      <c r="FR97" s="12"/>
      <c r="FS97" s="12"/>
      <c r="FT97" s="12"/>
      <c r="FU97" s="12"/>
      <c r="FV97" s="12"/>
      <c r="FW97" s="12"/>
      <c r="FX97" s="12"/>
      <c r="FY97" s="12"/>
      <c r="FZ97" s="12"/>
      <c r="GA97" s="12"/>
      <c r="GB97" s="12"/>
      <c r="GC97" s="12"/>
      <c r="GD97" s="12"/>
      <c r="GE97" s="12"/>
    </row>
    <row r="98" spans="1:187" ht="21" customHeight="1">
      <c r="A98" s="45"/>
      <c r="B98" s="86" t="s">
        <v>281</v>
      </c>
      <c r="C98" s="10" t="s">
        <v>144</v>
      </c>
      <c r="D98" s="10" t="s">
        <v>145</v>
      </c>
      <c r="E98" s="35">
        <v>3423.4589999999998</v>
      </c>
      <c r="F98" s="35">
        <f>5453.973-E98</f>
        <v>2030.5140000000001</v>
      </c>
      <c r="G98" s="35">
        <v>843.28800000000001</v>
      </c>
      <c r="H98" s="35">
        <f>3896.953-G98</f>
        <v>3053.665</v>
      </c>
      <c r="I98" s="35">
        <f t="shared" si="10"/>
        <v>9350.9259999999995</v>
      </c>
      <c r="J98" s="56">
        <v>8307.73</v>
      </c>
      <c r="K98" s="49">
        <v>4973.2099088224541</v>
      </c>
      <c r="L98" s="49">
        <v>4973.2099088224541</v>
      </c>
      <c r="M98" s="49">
        <v>1326.54</v>
      </c>
      <c r="N98" s="49">
        <v>1375.6219799999999</v>
      </c>
      <c r="O98" s="56">
        <f t="shared" si="16"/>
        <v>3646.6699088224541</v>
      </c>
      <c r="P98" s="1">
        <f t="shared" si="15"/>
        <v>12484224.919387409</v>
      </c>
      <c r="Q98" s="1">
        <f t="shared" si="11"/>
        <v>7404614.3032427169</v>
      </c>
      <c r="R98" s="1">
        <f t="shared" si="12"/>
        <v>3033802.7293208297</v>
      </c>
      <c r="S98" s="1">
        <f t="shared" si="13"/>
        <v>10985828.342667619</v>
      </c>
      <c r="T98" s="1">
        <f t="shared" si="14"/>
        <v>33908470.294618577</v>
      </c>
      <c r="U98" s="11"/>
      <c r="V98" s="11"/>
      <c r="W98" s="11"/>
      <c r="X98" s="12"/>
      <c r="Y98" s="12"/>
      <c r="Z98" s="12"/>
      <c r="AA98" s="12"/>
      <c r="AB98" s="12"/>
      <c r="AC98" s="12"/>
      <c r="AD98" s="12"/>
      <c r="AE98" s="12"/>
      <c r="AF98" s="12"/>
      <c r="AG98" s="12"/>
      <c r="AH98" s="12"/>
      <c r="AI98" s="12"/>
      <c r="AJ98" s="12"/>
      <c r="AK98" s="12"/>
      <c r="AL98" s="12"/>
      <c r="AM98" s="12"/>
      <c r="AN98" s="12"/>
      <c r="AO98" s="12"/>
      <c r="AP98" s="12"/>
      <c r="AQ98" s="12"/>
      <c r="AR98" s="12"/>
      <c r="AS98" s="12"/>
      <c r="AT98" s="12"/>
      <c r="AU98" s="12"/>
      <c r="AV98" s="12"/>
      <c r="AW98" s="12"/>
      <c r="AX98" s="12"/>
      <c r="AY98" s="12"/>
      <c r="AZ98" s="12"/>
      <c r="BA98" s="12"/>
      <c r="BB98" s="12"/>
      <c r="BC98" s="12"/>
      <c r="BD98" s="12"/>
      <c r="BE98" s="12"/>
      <c r="BF98" s="12"/>
      <c r="BG98" s="12"/>
      <c r="BH98" s="12"/>
      <c r="BI98" s="12"/>
      <c r="BJ98" s="12"/>
      <c r="BK98" s="12"/>
      <c r="BL98" s="12"/>
      <c r="BM98" s="12"/>
      <c r="BN98" s="12"/>
      <c r="BO98" s="12"/>
      <c r="BP98" s="12"/>
      <c r="BQ98" s="12"/>
      <c r="BR98" s="12"/>
      <c r="BS98" s="12"/>
      <c r="BT98" s="12"/>
      <c r="BU98" s="12"/>
      <c r="BV98" s="12"/>
      <c r="BW98" s="12"/>
      <c r="BX98" s="12"/>
      <c r="BY98" s="12"/>
      <c r="BZ98" s="12"/>
      <c r="CA98" s="12"/>
      <c r="CB98" s="12"/>
      <c r="CC98" s="12"/>
      <c r="CD98" s="12"/>
      <c r="CE98" s="12"/>
      <c r="CF98" s="12"/>
      <c r="CG98" s="12"/>
      <c r="CH98" s="12"/>
      <c r="CI98" s="12"/>
      <c r="CJ98" s="12"/>
      <c r="CK98" s="12"/>
      <c r="CL98" s="12"/>
      <c r="CM98" s="12"/>
      <c r="CN98" s="12"/>
      <c r="CO98" s="12"/>
      <c r="CP98" s="12"/>
      <c r="CQ98" s="12"/>
      <c r="CR98" s="12"/>
      <c r="CS98" s="12"/>
      <c r="CT98" s="12"/>
      <c r="CU98" s="12"/>
      <c r="CV98" s="12"/>
      <c r="CW98" s="12"/>
      <c r="CX98" s="12"/>
      <c r="CY98" s="12"/>
      <c r="CZ98" s="12"/>
      <c r="DA98" s="12"/>
      <c r="DB98" s="12"/>
      <c r="DC98" s="12"/>
      <c r="DD98" s="12"/>
      <c r="DE98" s="12"/>
      <c r="DF98" s="12"/>
      <c r="DG98" s="12"/>
      <c r="DH98" s="12"/>
      <c r="DI98" s="12"/>
      <c r="DJ98" s="12"/>
      <c r="DK98" s="12"/>
      <c r="DL98" s="12"/>
      <c r="DM98" s="12"/>
      <c r="DN98" s="12"/>
      <c r="DO98" s="12"/>
      <c r="DP98" s="12"/>
      <c r="DQ98" s="12"/>
      <c r="DR98" s="12"/>
      <c r="DS98" s="12"/>
      <c r="DT98" s="12"/>
      <c r="DU98" s="12"/>
      <c r="DV98" s="12"/>
      <c r="DW98" s="12"/>
      <c r="DX98" s="12"/>
      <c r="DY98" s="12"/>
      <c r="DZ98" s="12"/>
      <c r="EA98" s="12"/>
      <c r="EB98" s="12"/>
      <c r="EC98" s="12"/>
      <c r="ED98" s="12"/>
      <c r="EE98" s="12"/>
      <c r="EF98" s="12"/>
      <c r="EG98" s="12"/>
      <c r="EH98" s="12"/>
      <c r="EI98" s="12"/>
      <c r="EJ98" s="12"/>
      <c r="EK98" s="12"/>
      <c r="EL98" s="12"/>
      <c r="EM98" s="12"/>
      <c r="EN98" s="12"/>
      <c r="EO98" s="12"/>
      <c r="EP98" s="12"/>
      <c r="EQ98" s="12"/>
      <c r="ER98" s="12"/>
      <c r="ES98" s="12"/>
      <c r="ET98" s="12"/>
      <c r="EU98" s="12"/>
      <c r="EV98" s="12"/>
      <c r="EW98" s="12"/>
      <c r="EX98" s="12"/>
      <c r="EY98" s="12"/>
      <c r="EZ98" s="12"/>
      <c r="FA98" s="12"/>
      <c r="FB98" s="12"/>
      <c r="FC98" s="12"/>
      <c r="FD98" s="12"/>
      <c r="FE98" s="12"/>
      <c r="FF98" s="12"/>
      <c r="FG98" s="12"/>
      <c r="FH98" s="12"/>
      <c r="FI98" s="12"/>
      <c r="FJ98" s="12"/>
      <c r="FK98" s="12"/>
      <c r="FL98" s="12"/>
      <c r="FM98" s="12"/>
      <c r="FN98" s="12"/>
      <c r="FO98" s="12"/>
      <c r="FP98" s="12"/>
      <c r="FQ98" s="12"/>
      <c r="FR98" s="12"/>
      <c r="FS98" s="12"/>
      <c r="FT98" s="12"/>
      <c r="FU98" s="12"/>
      <c r="FV98" s="12"/>
      <c r="FW98" s="12"/>
      <c r="FX98" s="12"/>
      <c r="FY98" s="12"/>
      <c r="FZ98" s="12"/>
      <c r="GA98" s="12"/>
      <c r="GB98" s="12"/>
      <c r="GC98" s="12"/>
      <c r="GD98" s="12"/>
      <c r="GE98" s="12"/>
    </row>
    <row r="99" spans="1:187" ht="21" customHeight="1">
      <c r="A99" s="45"/>
      <c r="B99" s="86" t="s">
        <v>281</v>
      </c>
      <c r="C99" s="10" t="s">
        <v>144</v>
      </c>
      <c r="D99" s="10" t="s">
        <v>146</v>
      </c>
      <c r="E99" s="35">
        <v>2269.8229999999999</v>
      </c>
      <c r="F99" s="35">
        <f>3590.544-E99</f>
        <v>1320.721</v>
      </c>
      <c r="G99" s="35">
        <v>586.88300000000004</v>
      </c>
      <c r="H99" s="35">
        <f>2646.502-G99</f>
        <v>2059.6189999999997</v>
      </c>
      <c r="I99" s="35">
        <f t="shared" si="10"/>
        <v>6237.0459999999994</v>
      </c>
      <c r="J99" s="56">
        <v>5935.88</v>
      </c>
      <c r="K99" s="49">
        <v>4222.72</v>
      </c>
      <c r="L99" s="49">
        <v>4391.6288000000004</v>
      </c>
      <c r="M99" s="49">
        <v>1326.54</v>
      </c>
      <c r="N99" s="49">
        <v>1375.6219799999999</v>
      </c>
      <c r="O99" s="56">
        <f t="shared" si="16"/>
        <v>2896.1800000000003</v>
      </c>
      <c r="P99" s="1">
        <f t="shared" si="15"/>
        <v>6573815.9761399999</v>
      </c>
      <c r="Q99" s="1">
        <f t="shared" si="11"/>
        <v>3825045.7457800005</v>
      </c>
      <c r="R99" s="1">
        <f t="shared" si="12"/>
        <v>1770043.1305420604</v>
      </c>
      <c r="S99" s="1">
        <f t="shared" si="13"/>
        <v>6211824.9506015806</v>
      </c>
      <c r="T99" s="1">
        <f t="shared" si="14"/>
        <v>18380729.803063642</v>
      </c>
      <c r="U99" s="11"/>
      <c r="V99" s="11"/>
      <c r="W99" s="11"/>
      <c r="X99" s="12"/>
      <c r="Y99" s="12"/>
      <c r="Z99" s="12"/>
      <c r="AA99" s="12"/>
      <c r="AB99" s="12"/>
      <c r="AC99" s="12"/>
      <c r="AD99" s="12"/>
      <c r="AE99" s="12"/>
      <c r="AF99" s="12"/>
      <c r="AG99" s="12"/>
      <c r="AH99" s="12"/>
      <c r="AI99" s="12"/>
      <c r="AJ99" s="12"/>
      <c r="AK99" s="12"/>
      <c r="AL99" s="12"/>
      <c r="AM99" s="12"/>
      <c r="AN99" s="12"/>
      <c r="AO99" s="12"/>
      <c r="AP99" s="12"/>
      <c r="AQ99" s="12"/>
      <c r="AR99" s="12"/>
      <c r="AS99" s="12"/>
      <c r="AT99" s="12"/>
      <c r="AU99" s="12"/>
      <c r="AV99" s="12"/>
      <c r="AW99" s="12"/>
      <c r="AX99" s="12"/>
      <c r="AY99" s="12"/>
      <c r="AZ99" s="12"/>
      <c r="BA99" s="12"/>
      <c r="BB99" s="12"/>
      <c r="BC99" s="12"/>
      <c r="BD99" s="12"/>
      <c r="BE99" s="12"/>
      <c r="BF99" s="12"/>
      <c r="BG99" s="12"/>
      <c r="BH99" s="12"/>
      <c r="BI99" s="12"/>
      <c r="BJ99" s="12"/>
      <c r="BK99" s="12"/>
      <c r="BL99" s="12"/>
      <c r="BM99" s="12"/>
      <c r="BN99" s="12"/>
      <c r="BO99" s="12"/>
      <c r="BP99" s="12"/>
      <c r="BQ99" s="12"/>
      <c r="BR99" s="12"/>
      <c r="BS99" s="12"/>
      <c r="BT99" s="12"/>
      <c r="BU99" s="12"/>
      <c r="BV99" s="12"/>
      <c r="BW99" s="12"/>
      <c r="BX99" s="12"/>
      <c r="BY99" s="12"/>
      <c r="BZ99" s="12"/>
      <c r="CA99" s="12"/>
      <c r="CB99" s="12"/>
      <c r="CC99" s="12"/>
      <c r="CD99" s="12"/>
      <c r="CE99" s="12"/>
      <c r="CF99" s="12"/>
      <c r="CG99" s="12"/>
      <c r="CH99" s="12"/>
      <c r="CI99" s="12"/>
      <c r="CJ99" s="12"/>
      <c r="CK99" s="12"/>
      <c r="CL99" s="12"/>
      <c r="CM99" s="12"/>
      <c r="CN99" s="12"/>
      <c r="CO99" s="12"/>
      <c r="CP99" s="12"/>
      <c r="CQ99" s="12"/>
      <c r="CR99" s="12"/>
      <c r="CS99" s="12"/>
      <c r="CT99" s="12"/>
      <c r="CU99" s="12"/>
      <c r="CV99" s="12"/>
      <c r="CW99" s="12"/>
      <c r="CX99" s="12"/>
      <c r="CY99" s="12"/>
      <c r="CZ99" s="12"/>
      <c r="DA99" s="12"/>
      <c r="DB99" s="12"/>
      <c r="DC99" s="12"/>
      <c r="DD99" s="12"/>
      <c r="DE99" s="12"/>
      <c r="DF99" s="12"/>
      <c r="DG99" s="12"/>
      <c r="DH99" s="12"/>
      <c r="DI99" s="12"/>
      <c r="DJ99" s="12"/>
      <c r="DK99" s="12"/>
      <c r="DL99" s="12"/>
      <c r="DM99" s="12"/>
      <c r="DN99" s="12"/>
      <c r="DO99" s="12"/>
      <c r="DP99" s="12"/>
      <c r="DQ99" s="12"/>
      <c r="DR99" s="12"/>
      <c r="DS99" s="12"/>
      <c r="DT99" s="12"/>
      <c r="DU99" s="12"/>
      <c r="DV99" s="12"/>
      <c r="DW99" s="12"/>
      <c r="DX99" s="12"/>
      <c r="DY99" s="12"/>
      <c r="DZ99" s="12"/>
      <c r="EA99" s="12"/>
      <c r="EB99" s="12"/>
      <c r="EC99" s="12"/>
      <c r="ED99" s="12"/>
      <c r="EE99" s="12"/>
      <c r="EF99" s="12"/>
      <c r="EG99" s="12"/>
      <c r="EH99" s="12"/>
      <c r="EI99" s="12"/>
      <c r="EJ99" s="12"/>
      <c r="EK99" s="12"/>
      <c r="EL99" s="12"/>
      <c r="EM99" s="12"/>
      <c r="EN99" s="12"/>
      <c r="EO99" s="12"/>
      <c r="EP99" s="12"/>
      <c r="EQ99" s="12"/>
      <c r="ER99" s="12"/>
      <c r="ES99" s="12"/>
      <c r="ET99" s="12"/>
      <c r="EU99" s="12"/>
      <c r="EV99" s="12"/>
      <c r="EW99" s="12"/>
      <c r="EX99" s="12"/>
      <c r="EY99" s="12"/>
      <c r="EZ99" s="12"/>
      <c r="FA99" s="12"/>
      <c r="FB99" s="12"/>
      <c r="FC99" s="12"/>
      <c r="FD99" s="12"/>
      <c r="FE99" s="12"/>
      <c r="FF99" s="12"/>
      <c r="FG99" s="12"/>
      <c r="FH99" s="12"/>
      <c r="FI99" s="12"/>
      <c r="FJ99" s="12"/>
      <c r="FK99" s="12"/>
      <c r="FL99" s="12"/>
      <c r="FM99" s="12"/>
      <c r="FN99" s="12"/>
      <c r="FO99" s="12"/>
      <c r="FP99" s="12"/>
      <c r="FQ99" s="12"/>
      <c r="FR99" s="12"/>
      <c r="FS99" s="12"/>
      <c r="FT99" s="12"/>
      <c r="FU99" s="12"/>
      <c r="FV99" s="12"/>
      <c r="FW99" s="12"/>
      <c r="FX99" s="12"/>
      <c r="FY99" s="12"/>
      <c r="FZ99" s="12"/>
      <c r="GA99" s="12"/>
      <c r="GB99" s="12"/>
      <c r="GC99" s="12"/>
      <c r="GD99" s="12"/>
      <c r="GE99" s="12"/>
    </row>
    <row r="100" spans="1:187" ht="21" customHeight="1">
      <c r="A100" s="45"/>
      <c r="B100" s="86" t="s">
        <v>281</v>
      </c>
      <c r="C100" s="10" t="s">
        <v>144</v>
      </c>
      <c r="D100" s="10" t="s">
        <v>147</v>
      </c>
      <c r="E100" s="35">
        <v>5034.1459999999997</v>
      </c>
      <c r="F100" s="35">
        <f>8466.636-E100</f>
        <v>3432.4900000000007</v>
      </c>
      <c r="G100" s="35">
        <v>1543.15</v>
      </c>
      <c r="H100" s="35">
        <f>6647.439-G100</f>
        <v>5104.2890000000007</v>
      </c>
      <c r="I100" s="35">
        <f t="shared" si="10"/>
        <v>15114.075000000001</v>
      </c>
      <c r="J100" s="56">
        <v>14335.609999999999</v>
      </c>
      <c r="K100" s="49">
        <v>4260.74</v>
      </c>
      <c r="L100" s="49">
        <v>4927.82</v>
      </c>
      <c r="M100" s="49">
        <v>1326.54</v>
      </c>
      <c r="N100" s="49">
        <v>1375.6219799999999</v>
      </c>
      <c r="O100" s="56">
        <f t="shared" si="16"/>
        <v>2934.2</v>
      </c>
      <c r="P100" s="1">
        <f t="shared" si="15"/>
        <v>14771191.193199998</v>
      </c>
      <c r="Q100" s="1">
        <f t="shared" si="11"/>
        <v>10071612.158000002</v>
      </c>
      <c r="R100" s="1">
        <f t="shared" si="12"/>
        <v>5481574.3745630002</v>
      </c>
      <c r="S100" s="1">
        <f t="shared" si="13"/>
        <v>18131445.279307783</v>
      </c>
      <c r="T100" s="1">
        <f t="shared" si="14"/>
        <v>48455823.005070783</v>
      </c>
      <c r="U100" s="11"/>
      <c r="V100" s="11"/>
      <c r="W100" s="11"/>
      <c r="X100" s="12"/>
      <c r="Y100" s="12"/>
      <c r="Z100" s="12"/>
      <c r="AA100" s="12"/>
      <c r="AB100" s="12"/>
      <c r="AC100" s="12"/>
      <c r="AD100" s="12"/>
      <c r="AE100" s="12"/>
      <c r="AF100" s="12"/>
      <c r="AG100" s="12"/>
      <c r="AH100" s="12"/>
      <c r="AI100" s="12"/>
      <c r="AJ100" s="12"/>
      <c r="AK100" s="12"/>
      <c r="AL100" s="12"/>
      <c r="AM100" s="12"/>
      <c r="AN100" s="12"/>
      <c r="AO100" s="12"/>
      <c r="AP100" s="12"/>
      <c r="AQ100" s="12"/>
      <c r="AR100" s="12"/>
      <c r="AS100" s="12"/>
      <c r="AT100" s="12"/>
      <c r="AU100" s="12"/>
      <c r="AV100" s="12"/>
      <c r="AW100" s="12"/>
      <c r="AX100" s="12"/>
      <c r="AY100" s="12"/>
      <c r="AZ100" s="12"/>
      <c r="BA100" s="12"/>
      <c r="BB100" s="12"/>
      <c r="BC100" s="12"/>
      <c r="BD100" s="12"/>
      <c r="BE100" s="12"/>
      <c r="BF100" s="12"/>
      <c r="BG100" s="12"/>
      <c r="BH100" s="12"/>
      <c r="BI100" s="12"/>
      <c r="BJ100" s="12"/>
      <c r="BK100" s="12"/>
      <c r="BL100" s="12"/>
      <c r="BM100" s="12"/>
      <c r="BN100" s="12"/>
      <c r="BO100" s="12"/>
      <c r="BP100" s="12"/>
      <c r="BQ100" s="12"/>
      <c r="BR100" s="12"/>
      <c r="BS100" s="12"/>
      <c r="BT100" s="12"/>
      <c r="BU100" s="12"/>
      <c r="BV100" s="12"/>
      <c r="BW100" s="12"/>
      <c r="BX100" s="12"/>
      <c r="BY100" s="12"/>
      <c r="BZ100" s="12"/>
      <c r="CA100" s="12"/>
      <c r="CB100" s="12"/>
      <c r="CC100" s="12"/>
      <c r="CD100" s="12"/>
      <c r="CE100" s="12"/>
      <c r="CF100" s="12"/>
      <c r="CG100" s="12"/>
      <c r="CH100" s="12"/>
      <c r="CI100" s="12"/>
      <c r="CJ100" s="12"/>
      <c r="CK100" s="12"/>
      <c r="CL100" s="12"/>
      <c r="CM100" s="12"/>
      <c r="CN100" s="12"/>
      <c r="CO100" s="12"/>
      <c r="CP100" s="12"/>
      <c r="CQ100" s="12"/>
      <c r="CR100" s="12"/>
      <c r="CS100" s="12"/>
      <c r="CT100" s="12"/>
      <c r="CU100" s="12"/>
      <c r="CV100" s="12"/>
      <c r="CW100" s="12"/>
      <c r="CX100" s="12"/>
      <c r="CY100" s="12"/>
      <c r="CZ100" s="12"/>
      <c r="DA100" s="12"/>
      <c r="DB100" s="12"/>
      <c r="DC100" s="12"/>
      <c r="DD100" s="12"/>
      <c r="DE100" s="12"/>
      <c r="DF100" s="12"/>
      <c r="DG100" s="12"/>
      <c r="DH100" s="12"/>
      <c r="DI100" s="12"/>
      <c r="DJ100" s="12"/>
      <c r="DK100" s="12"/>
      <c r="DL100" s="12"/>
      <c r="DM100" s="12"/>
      <c r="DN100" s="12"/>
      <c r="DO100" s="12"/>
      <c r="DP100" s="12"/>
      <c r="DQ100" s="12"/>
      <c r="DR100" s="12"/>
      <c r="DS100" s="12"/>
      <c r="DT100" s="12"/>
      <c r="DU100" s="12"/>
      <c r="DV100" s="12"/>
      <c r="DW100" s="12"/>
      <c r="DX100" s="12"/>
      <c r="DY100" s="12"/>
      <c r="DZ100" s="12"/>
      <c r="EA100" s="12"/>
      <c r="EB100" s="12"/>
      <c r="EC100" s="12"/>
      <c r="ED100" s="12"/>
      <c r="EE100" s="12"/>
      <c r="EF100" s="12"/>
      <c r="EG100" s="12"/>
      <c r="EH100" s="12"/>
      <c r="EI100" s="12"/>
      <c r="EJ100" s="12"/>
      <c r="EK100" s="12"/>
      <c r="EL100" s="12"/>
      <c r="EM100" s="12"/>
      <c r="EN100" s="12"/>
      <c r="EO100" s="12"/>
      <c r="EP100" s="12"/>
      <c r="EQ100" s="12"/>
      <c r="ER100" s="12"/>
      <c r="ES100" s="12"/>
      <c r="ET100" s="12"/>
      <c r="EU100" s="12"/>
      <c r="EV100" s="12"/>
      <c r="EW100" s="12"/>
      <c r="EX100" s="12"/>
      <c r="EY100" s="12"/>
      <c r="EZ100" s="12"/>
      <c r="FA100" s="12"/>
      <c r="FB100" s="12"/>
      <c r="FC100" s="12"/>
      <c r="FD100" s="12"/>
      <c r="FE100" s="12"/>
      <c r="FF100" s="12"/>
      <c r="FG100" s="12"/>
      <c r="FH100" s="12"/>
      <c r="FI100" s="12"/>
      <c r="FJ100" s="12"/>
      <c r="FK100" s="12"/>
      <c r="FL100" s="12"/>
      <c r="FM100" s="12"/>
      <c r="FN100" s="12"/>
      <c r="FO100" s="12"/>
      <c r="FP100" s="12"/>
      <c r="FQ100" s="12"/>
      <c r="FR100" s="12"/>
      <c r="FS100" s="12"/>
      <c r="FT100" s="12"/>
      <c r="FU100" s="12"/>
      <c r="FV100" s="12"/>
      <c r="FW100" s="12"/>
      <c r="FX100" s="12"/>
      <c r="FY100" s="12"/>
      <c r="FZ100" s="12"/>
      <c r="GA100" s="12"/>
      <c r="GB100" s="12"/>
      <c r="GC100" s="12"/>
      <c r="GD100" s="12"/>
      <c r="GE100" s="12"/>
    </row>
    <row r="101" spans="1:187" ht="21" customHeight="1">
      <c r="A101" s="45"/>
      <c r="B101" s="86" t="s">
        <v>281</v>
      </c>
      <c r="C101" s="10" t="s">
        <v>144</v>
      </c>
      <c r="D101" s="10" t="s">
        <v>148</v>
      </c>
      <c r="E101" s="35">
        <v>32.369999999999997</v>
      </c>
      <c r="F101" s="35">
        <f>53.95-E101</f>
        <v>21.580000000000005</v>
      </c>
      <c r="G101" s="35">
        <v>10.79</v>
      </c>
      <c r="H101" s="35">
        <f>43.16-G101</f>
        <v>32.369999999999997</v>
      </c>
      <c r="I101" s="35">
        <f t="shared" si="10"/>
        <v>97.110000000000014</v>
      </c>
      <c r="J101" s="104">
        <v>1044.7</v>
      </c>
      <c r="K101" s="49">
        <v>8051.66</v>
      </c>
      <c r="L101" s="49">
        <v>8051.66</v>
      </c>
      <c r="M101" s="49">
        <v>1311.53</v>
      </c>
      <c r="N101" s="49">
        <v>1360.0566099999999</v>
      </c>
      <c r="O101" s="56">
        <f t="shared" si="16"/>
        <v>6740.13</v>
      </c>
      <c r="P101" s="1">
        <f>(K101-M101)*E101</f>
        <v>218178.00809999998</v>
      </c>
      <c r="Q101" s="1">
        <f t="shared" si="11"/>
        <v>145452.00540000005</v>
      </c>
      <c r="R101" s="1">
        <f t="shared" si="12"/>
        <v>72202.400578100001</v>
      </c>
      <c r="S101" s="1">
        <f t="shared" si="13"/>
        <v>216607.2017343</v>
      </c>
      <c r="T101" s="1">
        <f t="shared" si="14"/>
        <v>652439.61581240001</v>
      </c>
      <c r="U101" s="11"/>
      <c r="V101" s="11"/>
      <c r="W101" s="11"/>
      <c r="X101" s="12"/>
      <c r="Y101" s="12"/>
      <c r="Z101" s="12"/>
      <c r="AA101" s="12"/>
      <c r="AB101" s="12"/>
      <c r="AC101" s="12"/>
      <c r="AD101" s="12"/>
      <c r="AE101" s="12"/>
      <c r="AF101" s="12"/>
      <c r="AG101" s="12"/>
      <c r="AH101" s="12"/>
      <c r="AI101" s="12"/>
      <c r="AJ101" s="12"/>
      <c r="AK101" s="12"/>
      <c r="AL101" s="12"/>
      <c r="AM101" s="12"/>
      <c r="AN101" s="12"/>
      <c r="AO101" s="12"/>
      <c r="AP101" s="12"/>
      <c r="AQ101" s="12"/>
      <c r="AR101" s="12"/>
      <c r="AS101" s="12"/>
      <c r="AT101" s="12"/>
      <c r="AU101" s="12"/>
      <c r="AV101" s="12"/>
      <c r="AW101" s="12"/>
      <c r="AX101" s="12"/>
      <c r="AY101" s="12"/>
      <c r="AZ101" s="12"/>
      <c r="BA101" s="12"/>
      <c r="BB101" s="12"/>
      <c r="BC101" s="12"/>
      <c r="BD101" s="12"/>
      <c r="BE101" s="12"/>
      <c r="BF101" s="12"/>
      <c r="BG101" s="12"/>
      <c r="BH101" s="12"/>
      <c r="BI101" s="12"/>
      <c r="BJ101" s="12"/>
      <c r="BK101" s="12"/>
      <c r="BL101" s="12"/>
      <c r="BM101" s="12"/>
      <c r="BN101" s="12"/>
      <c r="BO101" s="12"/>
      <c r="BP101" s="12"/>
      <c r="BQ101" s="12"/>
      <c r="BR101" s="12"/>
      <c r="BS101" s="12"/>
      <c r="BT101" s="12"/>
      <c r="BU101" s="12"/>
      <c r="BV101" s="12"/>
      <c r="BW101" s="12"/>
      <c r="BX101" s="12"/>
      <c r="BY101" s="12"/>
      <c r="BZ101" s="12"/>
      <c r="CA101" s="12"/>
      <c r="CB101" s="12"/>
      <c r="CC101" s="12"/>
      <c r="CD101" s="12"/>
      <c r="CE101" s="12"/>
      <c r="CF101" s="12"/>
      <c r="CG101" s="12"/>
      <c r="CH101" s="12"/>
      <c r="CI101" s="12"/>
      <c r="CJ101" s="12"/>
      <c r="CK101" s="12"/>
      <c r="CL101" s="12"/>
      <c r="CM101" s="12"/>
      <c r="CN101" s="12"/>
      <c r="CO101" s="12"/>
      <c r="CP101" s="12"/>
      <c r="CQ101" s="12"/>
      <c r="CR101" s="12"/>
      <c r="CS101" s="12"/>
      <c r="CT101" s="12"/>
      <c r="CU101" s="12"/>
      <c r="CV101" s="12"/>
      <c r="CW101" s="12"/>
      <c r="CX101" s="12"/>
      <c r="CY101" s="12"/>
      <c r="CZ101" s="12"/>
      <c r="DA101" s="12"/>
      <c r="DB101" s="12"/>
      <c r="DC101" s="12"/>
      <c r="DD101" s="12"/>
      <c r="DE101" s="12"/>
      <c r="DF101" s="12"/>
      <c r="DG101" s="12"/>
      <c r="DH101" s="12"/>
      <c r="DI101" s="12"/>
      <c r="DJ101" s="12"/>
      <c r="DK101" s="12"/>
      <c r="DL101" s="12"/>
      <c r="DM101" s="12"/>
      <c r="DN101" s="12"/>
      <c r="DO101" s="12"/>
      <c r="DP101" s="12"/>
      <c r="DQ101" s="12"/>
      <c r="DR101" s="12"/>
      <c r="DS101" s="12"/>
      <c r="DT101" s="12"/>
      <c r="DU101" s="12"/>
      <c r="DV101" s="12"/>
      <c r="DW101" s="12"/>
      <c r="DX101" s="12"/>
      <c r="DY101" s="12"/>
      <c r="DZ101" s="12"/>
      <c r="EA101" s="12"/>
      <c r="EB101" s="12"/>
      <c r="EC101" s="12"/>
      <c r="ED101" s="12"/>
      <c r="EE101" s="12"/>
      <c r="EF101" s="12"/>
      <c r="EG101" s="12"/>
      <c r="EH101" s="12"/>
      <c r="EI101" s="12"/>
      <c r="EJ101" s="12"/>
      <c r="EK101" s="12"/>
      <c r="EL101" s="12"/>
      <c r="EM101" s="12"/>
      <c r="EN101" s="12"/>
      <c r="EO101" s="12"/>
      <c r="EP101" s="12"/>
      <c r="EQ101" s="12"/>
      <c r="ER101" s="12"/>
      <c r="ES101" s="12"/>
      <c r="ET101" s="12"/>
      <c r="EU101" s="12"/>
      <c r="EV101" s="12"/>
      <c r="EW101" s="12"/>
      <c r="EX101" s="12"/>
      <c r="EY101" s="12"/>
      <c r="EZ101" s="12"/>
      <c r="FA101" s="12"/>
      <c r="FB101" s="12"/>
      <c r="FC101" s="12"/>
      <c r="FD101" s="12"/>
      <c r="FE101" s="12"/>
      <c r="FF101" s="12"/>
      <c r="FG101" s="12"/>
      <c r="FH101" s="12"/>
      <c r="FI101" s="12"/>
      <c r="FJ101" s="12"/>
      <c r="FK101" s="12"/>
      <c r="FL101" s="12"/>
      <c r="FM101" s="12"/>
      <c r="FN101" s="12"/>
      <c r="FO101" s="12"/>
      <c r="FP101" s="12"/>
      <c r="FQ101" s="12"/>
      <c r="FR101" s="12"/>
      <c r="FS101" s="12"/>
      <c r="FT101" s="12"/>
      <c r="FU101" s="12"/>
      <c r="FV101" s="12"/>
      <c r="FW101" s="12"/>
      <c r="FX101" s="12"/>
      <c r="FY101" s="12"/>
      <c r="FZ101" s="12"/>
      <c r="GA101" s="12"/>
      <c r="GB101" s="12"/>
      <c r="GC101" s="12"/>
      <c r="GD101" s="12"/>
      <c r="GE101" s="12"/>
    </row>
    <row r="102" spans="1:187" ht="21" customHeight="1">
      <c r="A102" s="45"/>
      <c r="B102" s="86" t="s">
        <v>281</v>
      </c>
      <c r="C102" s="10" t="s">
        <v>144</v>
      </c>
      <c r="D102" s="10" t="s">
        <v>149</v>
      </c>
      <c r="E102" s="35">
        <v>190.28200000000001</v>
      </c>
      <c r="F102" s="35">
        <f>317.305-E102</f>
        <v>127.023</v>
      </c>
      <c r="G102" s="35">
        <v>63.427999999999997</v>
      </c>
      <c r="H102" s="35">
        <f>253.712-G102</f>
        <v>190.28399999999999</v>
      </c>
      <c r="I102" s="35">
        <f t="shared" si="10"/>
        <v>571.01700000000005</v>
      </c>
      <c r="J102" s="104"/>
      <c r="K102" s="49">
        <v>8051.66</v>
      </c>
      <c r="L102" s="49">
        <v>8051.66</v>
      </c>
      <c r="M102" s="49">
        <v>1311.53</v>
      </c>
      <c r="N102" s="49">
        <v>1360.0566099999999</v>
      </c>
      <c r="O102" s="56">
        <f t="shared" si="16"/>
        <v>6740.13</v>
      </c>
      <c r="P102" s="1">
        <f t="shared" ref="P102:P165" si="17">(K102-M102)*E102</f>
        <v>1282525.4166600001</v>
      </c>
      <c r="Q102" s="1">
        <f t="shared" si="11"/>
        <v>856151.53298999998</v>
      </c>
      <c r="R102" s="1">
        <f t="shared" si="12"/>
        <v>424435.01982092002</v>
      </c>
      <c r="S102" s="1">
        <f t="shared" si="13"/>
        <v>1273305.0594627599</v>
      </c>
      <c r="T102" s="1">
        <f t="shared" si="14"/>
        <v>3836417.0289336797</v>
      </c>
      <c r="U102" s="11"/>
      <c r="V102" s="11"/>
      <c r="W102" s="11"/>
      <c r="X102" s="12"/>
      <c r="Y102" s="12"/>
      <c r="Z102" s="12"/>
      <c r="AA102" s="12"/>
      <c r="AB102" s="12"/>
      <c r="AC102" s="12"/>
      <c r="AD102" s="12"/>
      <c r="AE102" s="12"/>
      <c r="AF102" s="12"/>
      <c r="AG102" s="12"/>
      <c r="AH102" s="12"/>
      <c r="AI102" s="12"/>
      <c r="AJ102" s="12"/>
      <c r="AK102" s="12"/>
      <c r="AL102" s="12"/>
      <c r="AM102" s="12"/>
      <c r="AN102" s="12"/>
      <c r="AO102" s="12"/>
      <c r="AP102" s="12"/>
      <c r="AQ102" s="12"/>
      <c r="AR102" s="12"/>
      <c r="AS102" s="12"/>
      <c r="AT102" s="12"/>
      <c r="AU102" s="12"/>
      <c r="AV102" s="12"/>
      <c r="AW102" s="12"/>
      <c r="AX102" s="12"/>
      <c r="AY102" s="12"/>
      <c r="AZ102" s="12"/>
      <c r="BA102" s="12"/>
      <c r="BB102" s="12"/>
      <c r="BC102" s="12"/>
      <c r="BD102" s="12"/>
      <c r="BE102" s="12"/>
      <c r="BF102" s="12"/>
      <c r="BG102" s="12"/>
      <c r="BH102" s="12"/>
      <c r="BI102" s="12"/>
      <c r="BJ102" s="12"/>
      <c r="BK102" s="12"/>
      <c r="BL102" s="12"/>
      <c r="BM102" s="12"/>
      <c r="BN102" s="12"/>
      <c r="BO102" s="12"/>
      <c r="BP102" s="12"/>
      <c r="BQ102" s="12"/>
      <c r="BR102" s="12"/>
      <c r="BS102" s="12"/>
      <c r="BT102" s="12"/>
      <c r="BU102" s="12"/>
      <c r="BV102" s="12"/>
      <c r="BW102" s="12"/>
      <c r="BX102" s="12"/>
      <c r="BY102" s="12"/>
      <c r="BZ102" s="12"/>
      <c r="CA102" s="12"/>
      <c r="CB102" s="12"/>
      <c r="CC102" s="12"/>
      <c r="CD102" s="12"/>
      <c r="CE102" s="12"/>
      <c r="CF102" s="12"/>
      <c r="CG102" s="12"/>
      <c r="CH102" s="12"/>
      <c r="CI102" s="12"/>
      <c r="CJ102" s="12"/>
      <c r="CK102" s="12"/>
      <c r="CL102" s="12"/>
      <c r="CM102" s="12"/>
      <c r="CN102" s="12"/>
      <c r="CO102" s="12"/>
      <c r="CP102" s="12"/>
      <c r="CQ102" s="12"/>
      <c r="CR102" s="12"/>
      <c r="CS102" s="12"/>
      <c r="CT102" s="12"/>
      <c r="CU102" s="12"/>
      <c r="CV102" s="12"/>
      <c r="CW102" s="12"/>
      <c r="CX102" s="12"/>
      <c r="CY102" s="12"/>
      <c r="CZ102" s="12"/>
      <c r="DA102" s="12"/>
      <c r="DB102" s="12"/>
      <c r="DC102" s="12"/>
      <c r="DD102" s="12"/>
      <c r="DE102" s="12"/>
      <c r="DF102" s="12"/>
      <c r="DG102" s="12"/>
      <c r="DH102" s="12"/>
      <c r="DI102" s="12"/>
      <c r="DJ102" s="12"/>
      <c r="DK102" s="12"/>
      <c r="DL102" s="12"/>
      <c r="DM102" s="12"/>
      <c r="DN102" s="12"/>
      <c r="DO102" s="12"/>
      <c r="DP102" s="12"/>
      <c r="DQ102" s="12"/>
      <c r="DR102" s="12"/>
      <c r="DS102" s="12"/>
      <c r="DT102" s="12"/>
      <c r="DU102" s="12"/>
      <c r="DV102" s="12"/>
      <c r="DW102" s="12"/>
      <c r="DX102" s="12"/>
      <c r="DY102" s="12"/>
      <c r="DZ102" s="12"/>
      <c r="EA102" s="12"/>
      <c r="EB102" s="12"/>
      <c r="EC102" s="12"/>
      <c r="ED102" s="12"/>
      <c r="EE102" s="12"/>
      <c r="EF102" s="12"/>
      <c r="EG102" s="12"/>
      <c r="EH102" s="12"/>
      <c r="EI102" s="12"/>
      <c r="EJ102" s="12"/>
      <c r="EK102" s="12"/>
      <c r="EL102" s="12"/>
      <c r="EM102" s="12"/>
      <c r="EN102" s="12"/>
      <c r="EO102" s="12"/>
      <c r="EP102" s="12"/>
      <c r="EQ102" s="12"/>
      <c r="ER102" s="12"/>
      <c r="ES102" s="12"/>
      <c r="ET102" s="12"/>
      <c r="EU102" s="12"/>
      <c r="EV102" s="12"/>
      <c r="EW102" s="12"/>
      <c r="EX102" s="12"/>
      <c r="EY102" s="12"/>
      <c r="EZ102" s="12"/>
      <c r="FA102" s="12"/>
      <c r="FB102" s="12"/>
      <c r="FC102" s="12"/>
      <c r="FD102" s="12"/>
      <c r="FE102" s="12"/>
      <c r="FF102" s="12"/>
      <c r="FG102" s="12"/>
      <c r="FH102" s="12"/>
      <c r="FI102" s="12"/>
      <c r="FJ102" s="12"/>
      <c r="FK102" s="12"/>
      <c r="FL102" s="12"/>
      <c r="FM102" s="12"/>
      <c r="FN102" s="12"/>
      <c r="FO102" s="12"/>
      <c r="FP102" s="12"/>
      <c r="FQ102" s="12"/>
      <c r="FR102" s="12"/>
      <c r="FS102" s="12"/>
      <c r="FT102" s="12"/>
      <c r="FU102" s="12"/>
      <c r="FV102" s="12"/>
      <c r="FW102" s="12"/>
      <c r="FX102" s="12"/>
      <c r="FY102" s="12"/>
      <c r="FZ102" s="12"/>
      <c r="GA102" s="12"/>
      <c r="GB102" s="12"/>
      <c r="GC102" s="12"/>
      <c r="GD102" s="12"/>
      <c r="GE102" s="12"/>
    </row>
    <row r="103" spans="1:187" ht="21" customHeight="1">
      <c r="A103" s="45"/>
      <c r="B103" s="86" t="s">
        <v>281</v>
      </c>
      <c r="C103" s="10" t="s">
        <v>144</v>
      </c>
      <c r="D103" s="10" t="s">
        <v>150</v>
      </c>
      <c r="E103" s="35">
        <v>120.273</v>
      </c>
      <c r="F103" s="35">
        <f>200.455-E103</f>
        <v>80.182000000000016</v>
      </c>
      <c r="G103" s="35">
        <v>40.091000000000001</v>
      </c>
      <c r="H103" s="35">
        <f>160.364-G103</f>
        <v>120.273</v>
      </c>
      <c r="I103" s="35">
        <f t="shared" si="10"/>
        <v>360.81900000000002</v>
      </c>
      <c r="J103" s="104"/>
      <c r="K103" s="49">
        <v>8051.66</v>
      </c>
      <c r="L103" s="49">
        <v>8051.66</v>
      </c>
      <c r="M103" s="49">
        <v>1311.53</v>
      </c>
      <c r="N103" s="49">
        <v>1360.0566099999999</v>
      </c>
      <c r="O103" s="56">
        <f t="shared" si="16"/>
        <v>6740.13</v>
      </c>
      <c r="P103" s="1">
        <f t="shared" si="17"/>
        <v>810655.65549000003</v>
      </c>
      <c r="Q103" s="1">
        <f t="shared" si="11"/>
        <v>540437.10366000014</v>
      </c>
      <c r="R103" s="1">
        <f t="shared" si="12"/>
        <v>268273.07150849001</v>
      </c>
      <c r="S103" s="1">
        <f t="shared" si="13"/>
        <v>804819.21452547004</v>
      </c>
      <c r="T103" s="1">
        <f t="shared" si="14"/>
        <v>2424185.0451839603</v>
      </c>
      <c r="U103" s="11"/>
      <c r="V103" s="11"/>
      <c r="W103" s="11"/>
      <c r="X103" s="12"/>
      <c r="Y103" s="12"/>
      <c r="Z103" s="12"/>
      <c r="AA103" s="12"/>
      <c r="AB103" s="12"/>
      <c r="AC103" s="12"/>
      <c r="AD103" s="12"/>
      <c r="AE103" s="12"/>
      <c r="AF103" s="12"/>
      <c r="AG103" s="12"/>
      <c r="AH103" s="12"/>
      <c r="AI103" s="12"/>
      <c r="AJ103" s="12"/>
      <c r="AK103" s="12"/>
      <c r="AL103" s="12"/>
      <c r="AM103" s="12"/>
      <c r="AN103" s="12"/>
      <c r="AO103" s="12"/>
      <c r="AP103" s="12"/>
      <c r="AQ103" s="12"/>
      <c r="AR103" s="12"/>
      <c r="AS103" s="12"/>
      <c r="AT103" s="12"/>
      <c r="AU103" s="12"/>
      <c r="AV103" s="12"/>
      <c r="AW103" s="12"/>
      <c r="AX103" s="12"/>
      <c r="AY103" s="12"/>
      <c r="AZ103" s="12"/>
      <c r="BA103" s="12"/>
      <c r="BB103" s="12"/>
      <c r="BC103" s="12"/>
      <c r="BD103" s="12"/>
      <c r="BE103" s="12"/>
      <c r="BF103" s="12"/>
      <c r="BG103" s="12"/>
      <c r="BH103" s="12"/>
      <c r="BI103" s="12"/>
      <c r="BJ103" s="12"/>
      <c r="BK103" s="12"/>
      <c r="BL103" s="12"/>
      <c r="BM103" s="12"/>
      <c r="BN103" s="12"/>
      <c r="BO103" s="12"/>
      <c r="BP103" s="12"/>
      <c r="BQ103" s="12"/>
      <c r="BR103" s="12"/>
      <c r="BS103" s="12"/>
      <c r="BT103" s="12"/>
      <c r="BU103" s="12"/>
      <c r="BV103" s="12"/>
      <c r="BW103" s="12"/>
      <c r="BX103" s="12"/>
      <c r="BY103" s="12"/>
      <c r="BZ103" s="12"/>
      <c r="CA103" s="12"/>
      <c r="CB103" s="12"/>
      <c r="CC103" s="12"/>
      <c r="CD103" s="12"/>
      <c r="CE103" s="12"/>
      <c r="CF103" s="12"/>
      <c r="CG103" s="12"/>
      <c r="CH103" s="12"/>
      <c r="CI103" s="12"/>
      <c r="CJ103" s="12"/>
      <c r="CK103" s="12"/>
      <c r="CL103" s="12"/>
      <c r="CM103" s="12"/>
      <c r="CN103" s="12"/>
      <c r="CO103" s="12"/>
      <c r="CP103" s="12"/>
      <c r="CQ103" s="12"/>
      <c r="CR103" s="12"/>
      <c r="CS103" s="12"/>
      <c r="CT103" s="12"/>
      <c r="CU103" s="12"/>
      <c r="CV103" s="12"/>
      <c r="CW103" s="12"/>
      <c r="CX103" s="12"/>
      <c r="CY103" s="12"/>
      <c r="CZ103" s="12"/>
      <c r="DA103" s="12"/>
      <c r="DB103" s="12"/>
      <c r="DC103" s="12"/>
      <c r="DD103" s="12"/>
      <c r="DE103" s="12"/>
      <c r="DF103" s="12"/>
      <c r="DG103" s="12"/>
      <c r="DH103" s="12"/>
      <c r="DI103" s="12"/>
      <c r="DJ103" s="12"/>
      <c r="DK103" s="12"/>
      <c r="DL103" s="12"/>
      <c r="DM103" s="12"/>
      <c r="DN103" s="12"/>
      <c r="DO103" s="12"/>
      <c r="DP103" s="12"/>
      <c r="DQ103" s="12"/>
      <c r="DR103" s="12"/>
      <c r="DS103" s="12"/>
      <c r="DT103" s="12"/>
      <c r="DU103" s="12"/>
      <c r="DV103" s="12"/>
      <c r="DW103" s="12"/>
      <c r="DX103" s="12"/>
      <c r="DY103" s="12"/>
      <c r="DZ103" s="12"/>
      <c r="EA103" s="12"/>
      <c r="EB103" s="12"/>
      <c r="EC103" s="12"/>
      <c r="ED103" s="12"/>
      <c r="EE103" s="12"/>
      <c r="EF103" s="12"/>
      <c r="EG103" s="12"/>
      <c r="EH103" s="12"/>
      <c r="EI103" s="12"/>
      <c r="EJ103" s="12"/>
      <c r="EK103" s="12"/>
      <c r="EL103" s="12"/>
      <c r="EM103" s="12"/>
      <c r="EN103" s="12"/>
      <c r="EO103" s="12"/>
      <c r="EP103" s="12"/>
      <c r="EQ103" s="12"/>
      <c r="ER103" s="12"/>
      <c r="ES103" s="12"/>
      <c r="ET103" s="12"/>
      <c r="EU103" s="12"/>
      <c r="EV103" s="12"/>
      <c r="EW103" s="12"/>
      <c r="EX103" s="12"/>
      <c r="EY103" s="12"/>
      <c r="EZ103" s="12"/>
      <c r="FA103" s="12"/>
      <c r="FB103" s="12"/>
      <c r="FC103" s="12"/>
      <c r="FD103" s="12"/>
      <c r="FE103" s="12"/>
      <c r="FF103" s="12"/>
      <c r="FG103" s="12"/>
      <c r="FH103" s="12"/>
      <c r="FI103" s="12"/>
      <c r="FJ103" s="12"/>
      <c r="FK103" s="12"/>
      <c r="FL103" s="12"/>
      <c r="FM103" s="12"/>
      <c r="FN103" s="12"/>
      <c r="FO103" s="12"/>
      <c r="FP103" s="12"/>
      <c r="FQ103" s="12"/>
      <c r="FR103" s="12"/>
      <c r="FS103" s="12"/>
      <c r="FT103" s="12"/>
      <c r="FU103" s="12"/>
      <c r="FV103" s="12"/>
      <c r="FW103" s="12"/>
      <c r="FX103" s="12"/>
      <c r="FY103" s="12"/>
      <c r="FZ103" s="12"/>
      <c r="GA103" s="12"/>
      <c r="GB103" s="12"/>
      <c r="GC103" s="12"/>
      <c r="GD103" s="12"/>
      <c r="GE103" s="12"/>
    </row>
    <row r="104" spans="1:187" ht="21" customHeight="1">
      <c r="A104" s="45"/>
      <c r="B104" s="86" t="s">
        <v>42</v>
      </c>
      <c r="C104" s="10" t="s">
        <v>41</v>
      </c>
      <c r="D104" s="10" t="s">
        <v>151</v>
      </c>
      <c r="E104" s="35">
        <v>504.57600000000002</v>
      </c>
      <c r="F104" s="35">
        <f>799.747-E104</f>
        <v>295.17099999999994</v>
      </c>
      <c r="G104" s="35">
        <v>132.08600000000001</v>
      </c>
      <c r="H104" s="35">
        <v>590.02499999999998</v>
      </c>
      <c r="I104" s="35">
        <f t="shared" si="10"/>
        <v>1521.8579999999999</v>
      </c>
      <c r="J104" s="56">
        <v>1419.3314999999998</v>
      </c>
      <c r="K104" s="49">
        <v>6486.27</v>
      </c>
      <c r="L104" s="49">
        <v>6745.72</v>
      </c>
      <c r="M104" s="49">
        <v>1535.78</v>
      </c>
      <c r="N104" s="49">
        <v>1592.6</v>
      </c>
      <c r="O104" s="56">
        <f t="shared" si="16"/>
        <v>4950.4900000000007</v>
      </c>
      <c r="P104" s="1">
        <f t="shared" si="17"/>
        <v>2497898.4422400002</v>
      </c>
      <c r="Q104" s="1">
        <f t="shared" si="11"/>
        <v>1461241.0837899998</v>
      </c>
      <c r="R104" s="1">
        <f t="shared" si="12"/>
        <v>680655.00832000014</v>
      </c>
      <c r="S104" s="1">
        <f t="shared" si="13"/>
        <v>3040469.6280000005</v>
      </c>
      <c r="T104" s="1">
        <f t="shared" si="14"/>
        <v>7680264.1623500008</v>
      </c>
      <c r="U104" s="11"/>
      <c r="V104" s="11"/>
      <c r="W104" s="11"/>
      <c r="X104" s="12"/>
      <c r="Y104" s="12"/>
      <c r="Z104" s="12"/>
      <c r="AA104" s="12"/>
      <c r="AB104" s="12"/>
      <c r="AC104" s="12"/>
      <c r="AD104" s="12"/>
      <c r="AE104" s="12"/>
      <c r="AF104" s="12"/>
      <c r="AG104" s="12"/>
      <c r="AH104" s="12"/>
      <c r="AI104" s="12"/>
      <c r="AJ104" s="12"/>
      <c r="AK104" s="12"/>
      <c r="AL104" s="12"/>
      <c r="AM104" s="12"/>
      <c r="AN104" s="12"/>
      <c r="AO104" s="12"/>
      <c r="AP104" s="12"/>
      <c r="AQ104" s="12"/>
      <c r="AR104" s="12"/>
      <c r="AS104" s="12"/>
      <c r="AT104" s="12"/>
      <c r="AU104" s="12"/>
      <c r="AV104" s="12"/>
      <c r="AW104" s="12"/>
      <c r="AX104" s="12"/>
      <c r="AY104" s="12"/>
      <c r="AZ104" s="12"/>
      <c r="BA104" s="12"/>
      <c r="BB104" s="12"/>
      <c r="BC104" s="12"/>
      <c r="BD104" s="12"/>
      <c r="BE104" s="12"/>
      <c r="BF104" s="12"/>
      <c r="BG104" s="12"/>
      <c r="BH104" s="12"/>
      <c r="BI104" s="12"/>
      <c r="BJ104" s="12"/>
      <c r="BK104" s="12"/>
      <c r="BL104" s="12"/>
      <c r="BM104" s="12"/>
      <c r="BN104" s="12"/>
      <c r="BO104" s="12"/>
      <c r="BP104" s="12"/>
      <c r="BQ104" s="12"/>
      <c r="BR104" s="12"/>
      <c r="BS104" s="12"/>
      <c r="BT104" s="12"/>
      <c r="BU104" s="12"/>
      <c r="BV104" s="12"/>
      <c r="BW104" s="12"/>
      <c r="BX104" s="12"/>
      <c r="BY104" s="12"/>
      <c r="BZ104" s="12"/>
      <c r="CA104" s="12"/>
      <c r="CB104" s="12"/>
      <c r="CC104" s="12"/>
      <c r="CD104" s="12"/>
      <c r="CE104" s="12"/>
      <c r="CF104" s="12"/>
      <c r="CG104" s="12"/>
      <c r="CH104" s="12"/>
      <c r="CI104" s="12"/>
      <c r="CJ104" s="12"/>
      <c r="CK104" s="12"/>
      <c r="CL104" s="12"/>
      <c r="CM104" s="12"/>
      <c r="CN104" s="12"/>
      <c r="CO104" s="12"/>
      <c r="CP104" s="12"/>
      <c r="CQ104" s="12"/>
      <c r="CR104" s="12"/>
      <c r="CS104" s="12"/>
      <c r="CT104" s="12"/>
      <c r="CU104" s="12"/>
      <c r="CV104" s="12"/>
      <c r="CW104" s="12"/>
      <c r="CX104" s="12"/>
      <c r="CY104" s="12"/>
      <c r="CZ104" s="12"/>
      <c r="DA104" s="12"/>
      <c r="DB104" s="12"/>
      <c r="DC104" s="12"/>
      <c r="DD104" s="12"/>
      <c r="DE104" s="12"/>
      <c r="DF104" s="12"/>
      <c r="DG104" s="12"/>
      <c r="DH104" s="12"/>
      <c r="DI104" s="12"/>
      <c r="DJ104" s="12"/>
      <c r="DK104" s="12"/>
      <c r="DL104" s="12"/>
      <c r="DM104" s="12"/>
      <c r="DN104" s="12"/>
      <c r="DO104" s="12"/>
      <c r="DP104" s="12"/>
      <c r="DQ104" s="12"/>
      <c r="DR104" s="12"/>
      <c r="DS104" s="12"/>
      <c r="DT104" s="12"/>
      <c r="DU104" s="12"/>
      <c r="DV104" s="12"/>
      <c r="DW104" s="12"/>
      <c r="DX104" s="12"/>
      <c r="DY104" s="12"/>
      <c r="DZ104" s="12"/>
      <c r="EA104" s="12"/>
      <c r="EB104" s="12"/>
      <c r="EC104" s="12"/>
      <c r="ED104" s="12"/>
      <c r="EE104" s="12"/>
      <c r="EF104" s="12"/>
      <c r="EG104" s="12"/>
      <c r="EH104" s="12"/>
      <c r="EI104" s="12"/>
      <c r="EJ104" s="12"/>
      <c r="EK104" s="12"/>
      <c r="EL104" s="12"/>
      <c r="EM104" s="12"/>
      <c r="EN104" s="12"/>
      <c r="EO104" s="12"/>
      <c r="EP104" s="12"/>
      <c r="EQ104" s="12"/>
      <c r="ER104" s="12"/>
      <c r="ES104" s="12"/>
      <c r="ET104" s="12"/>
      <c r="EU104" s="12"/>
      <c r="EV104" s="12"/>
      <c r="EW104" s="12"/>
      <c r="EX104" s="12"/>
      <c r="EY104" s="12"/>
      <c r="EZ104" s="12"/>
      <c r="FA104" s="12"/>
      <c r="FB104" s="12"/>
      <c r="FC104" s="12"/>
      <c r="FD104" s="12"/>
      <c r="FE104" s="12"/>
      <c r="FF104" s="12"/>
      <c r="FG104" s="12"/>
      <c r="FH104" s="12"/>
      <c r="FI104" s="12"/>
      <c r="FJ104" s="12"/>
      <c r="FK104" s="12"/>
      <c r="FL104" s="12"/>
      <c r="FM104" s="12"/>
      <c r="FN104" s="12"/>
      <c r="FO104" s="12"/>
      <c r="FP104" s="12"/>
      <c r="FQ104" s="12"/>
      <c r="FR104" s="12"/>
      <c r="FS104" s="12"/>
      <c r="FT104" s="12"/>
      <c r="FU104" s="12"/>
      <c r="FV104" s="12"/>
      <c r="FW104" s="12"/>
      <c r="FX104" s="12"/>
      <c r="FY104" s="12"/>
      <c r="FZ104" s="12"/>
      <c r="GA104" s="12"/>
      <c r="GB104" s="12"/>
      <c r="GC104" s="12"/>
      <c r="GD104" s="12"/>
      <c r="GE104" s="12"/>
    </row>
    <row r="105" spans="1:187" s="21" customFormat="1" ht="21" customHeight="1">
      <c r="A105" s="30"/>
      <c r="B105" s="89" t="s">
        <v>17</v>
      </c>
      <c r="C105" s="84" t="s">
        <v>152</v>
      </c>
      <c r="D105" s="20" t="s">
        <v>151</v>
      </c>
      <c r="E105" s="43">
        <v>4.5119999999999996</v>
      </c>
      <c r="F105" s="2">
        <v>1.504</v>
      </c>
      <c r="G105" s="2">
        <v>1.5740000000000001</v>
      </c>
      <c r="H105" s="2">
        <f>5.866-G105</f>
        <v>4.2919999999999998</v>
      </c>
      <c r="I105" s="35">
        <f t="shared" si="10"/>
        <v>11.882</v>
      </c>
      <c r="J105" s="56">
        <v>13.539981600000001</v>
      </c>
      <c r="K105" s="67">
        <v>3420.25</v>
      </c>
      <c r="L105" s="67">
        <v>3557.06</v>
      </c>
      <c r="M105" s="67">
        <v>1301.51</v>
      </c>
      <c r="N105" s="67">
        <v>1349.67</v>
      </c>
      <c r="O105" s="56">
        <f t="shared" si="16"/>
        <v>2118.7399999999998</v>
      </c>
      <c r="P105" s="1">
        <f t="shared" si="17"/>
        <v>9559.7548799999986</v>
      </c>
      <c r="Q105" s="1">
        <f t="shared" si="11"/>
        <v>3186.5849599999997</v>
      </c>
      <c r="R105" s="1">
        <f t="shared" si="12"/>
        <v>3474.4318600000001</v>
      </c>
      <c r="S105" s="1">
        <f t="shared" si="13"/>
        <v>9474.1178799999998</v>
      </c>
      <c r="T105" s="1">
        <f t="shared" si="14"/>
        <v>25694.889579999999</v>
      </c>
      <c r="U105" s="1"/>
      <c r="V105" s="1"/>
      <c r="W105" s="1"/>
    </row>
    <row r="106" spans="1:187" s="21" customFormat="1" ht="21" customHeight="1">
      <c r="A106" s="30" t="s">
        <v>337</v>
      </c>
      <c r="B106" s="89">
        <v>2919003788</v>
      </c>
      <c r="C106" s="84" t="s">
        <v>354</v>
      </c>
      <c r="D106" s="20" t="s">
        <v>356</v>
      </c>
      <c r="E106" s="43">
        <f>25.240871*0.6</f>
        <v>15.144522599999998</v>
      </c>
      <c r="F106" s="43">
        <f>25.240871*0.4</f>
        <v>10.0963484</v>
      </c>
      <c r="G106" s="2">
        <f>19.049129*0.2</f>
        <v>3.8098258000000005</v>
      </c>
      <c r="H106" s="2">
        <f>19.049129*0.8</f>
        <v>15.239303200000002</v>
      </c>
      <c r="I106" s="35">
        <f t="shared" si="10"/>
        <v>44.29</v>
      </c>
      <c r="J106" s="56">
        <v>44.29</v>
      </c>
      <c r="K106" s="67">
        <v>3736.24</v>
      </c>
      <c r="L106" s="67">
        <v>3885.69</v>
      </c>
      <c r="M106" s="67">
        <v>1565.31</v>
      </c>
      <c r="N106" s="67">
        <v>1623.23</v>
      </c>
      <c r="O106" s="56">
        <f t="shared" si="16"/>
        <v>2170.9299999999998</v>
      </c>
      <c r="P106" s="1">
        <f t="shared" si="17"/>
        <v>32877.698448017996</v>
      </c>
      <c r="Q106" s="1">
        <f t="shared" si="11"/>
        <v>21918.465632011998</v>
      </c>
      <c r="R106" s="1">
        <f t="shared" si="12"/>
        <v>8619.5784794680021</v>
      </c>
      <c r="S106" s="1">
        <f t="shared" si="13"/>
        <v>34478.313917872008</v>
      </c>
      <c r="T106" s="1">
        <f t="shared" si="14"/>
        <v>97894.056477370003</v>
      </c>
      <c r="U106" s="1"/>
      <c r="V106" s="1"/>
      <c r="W106" s="1"/>
    </row>
    <row r="107" spans="1:187" s="21" customFormat="1" ht="21" customHeight="1">
      <c r="A107" s="30" t="s">
        <v>337</v>
      </c>
      <c r="B107" s="89">
        <v>2919003805</v>
      </c>
      <c r="C107" s="84" t="s">
        <v>355</v>
      </c>
      <c r="D107" s="20" t="s">
        <v>357</v>
      </c>
      <c r="E107" s="43">
        <f>29.3936544*0.6</f>
        <v>17.636192639999997</v>
      </c>
      <c r="F107" s="43">
        <f>29.3936544*0.4</f>
        <v>11.75746176</v>
      </c>
      <c r="G107" s="2">
        <f>24.0493536*0.8</f>
        <v>19.239482880000001</v>
      </c>
      <c r="H107" s="2">
        <f>24.0493536*0.2</f>
        <v>4.8098707200000002</v>
      </c>
      <c r="I107" s="35">
        <f t="shared" si="10"/>
        <v>53.443007999999999</v>
      </c>
      <c r="J107" s="56">
        <v>53.443007999999992</v>
      </c>
      <c r="K107" s="67">
        <v>3262.47</v>
      </c>
      <c r="L107" s="67">
        <v>3392.97</v>
      </c>
      <c r="M107" s="67">
        <v>1565.31</v>
      </c>
      <c r="N107" s="67">
        <v>1623.23</v>
      </c>
      <c r="O107" s="56">
        <f t="shared" si="16"/>
        <v>1697.1599999999999</v>
      </c>
      <c r="P107" s="1">
        <f t="shared" si="17"/>
        <v>29931.440700902393</v>
      </c>
      <c r="Q107" s="1">
        <f t="shared" si="11"/>
        <v>19954.293800601597</v>
      </c>
      <c r="R107" s="1">
        <f t="shared" si="12"/>
        <v>34048.882432051199</v>
      </c>
      <c r="S107" s="1">
        <f t="shared" si="13"/>
        <v>8512.2206080127999</v>
      </c>
      <c r="T107" s="1">
        <f t="shared" si="14"/>
        <v>92446.837541567991</v>
      </c>
      <c r="U107" s="1"/>
      <c r="V107" s="1"/>
      <c r="W107" s="1"/>
    </row>
    <row r="108" spans="1:187" ht="21" customHeight="1">
      <c r="A108" s="45"/>
      <c r="B108" s="101" t="s">
        <v>153</v>
      </c>
      <c r="C108" s="101"/>
      <c r="D108" s="101"/>
      <c r="E108" s="34"/>
      <c r="F108" s="34"/>
      <c r="G108" s="34"/>
      <c r="H108" s="34"/>
      <c r="I108" s="35">
        <f t="shared" si="10"/>
        <v>0</v>
      </c>
      <c r="J108" s="11"/>
      <c r="K108" s="64"/>
      <c r="L108" s="64"/>
      <c r="M108" s="64"/>
      <c r="N108" s="64"/>
      <c r="O108" s="56">
        <f t="shared" si="16"/>
        <v>0</v>
      </c>
      <c r="P108" s="1">
        <f t="shared" si="17"/>
        <v>0</v>
      </c>
      <c r="Q108" s="1">
        <f t="shared" si="11"/>
        <v>0</v>
      </c>
      <c r="R108" s="1">
        <f t="shared" si="12"/>
        <v>0</v>
      </c>
      <c r="S108" s="1">
        <f t="shared" si="13"/>
        <v>0</v>
      </c>
      <c r="T108" s="1">
        <f t="shared" si="14"/>
        <v>0</v>
      </c>
      <c r="U108" s="45"/>
      <c r="V108" s="45"/>
      <c r="W108" s="45"/>
    </row>
    <row r="109" spans="1:187" ht="21" customHeight="1">
      <c r="A109" s="45"/>
      <c r="B109" s="90" t="s">
        <v>19</v>
      </c>
      <c r="C109" s="83" t="s">
        <v>111</v>
      </c>
      <c r="D109" s="18" t="s">
        <v>307</v>
      </c>
      <c r="E109" s="41">
        <v>907.62900000000002</v>
      </c>
      <c r="F109" s="41">
        <f>1250.759-E109</f>
        <v>343.13</v>
      </c>
      <c r="G109" s="41">
        <v>285.39400000000001</v>
      </c>
      <c r="H109" s="41">
        <f>1276.721-G109</f>
        <v>991.327</v>
      </c>
      <c r="I109" s="35">
        <f t="shared" si="10"/>
        <v>2527.48</v>
      </c>
      <c r="J109" s="56">
        <v>3498.2710000000002</v>
      </c>
      <c r="K109" s="66">
        <v>2695.61</v>
      </c>
      <c r="L109" s="66">
        <v>2803.4344000000001</v>
      </c>
      <c r="M109" s="66">
        <v>1852.36</v>
      </c>
      <c r="N109" s="66">
        <v>1920.8973199999998</v>
      </c>
      <c r="O109" s="56">
        <f t="shared" si="16"/>
        <v>843.25000000000023</v>
      </c>
      <c r="P109" s="1">
        <f t="shared" si="17"/>
        <v>765358.15425000025</v>
      </c>
      <c r="Q109" s="1">
        <f t="shared" si="11"/>
        <v>289344.37250000006</v>
      </c>
      <c r="R109" s="1">
        <f t="shared" si="12"/>
        <v>251870.7874095201</v>
      </c>
      <c r="S109" s="1">
        <f t="shared" si="13"/>
        <v>874882.83590516029</v>
      </c>
      <c r="T109" s="1">
        <f t="shared" si="14"/>
        <v>2181456.1500646807</v>
      </c>
      <c r="U109" s="45"/>
      <c r="V109" s="45"/>
      <c r="W109" s="45"/>
    </row>
    <row r="110" spans="1:187" ht="21" customHeight="1">
      <c r="A110" s="45"/>
      <c r="B110" s="86" t="s">
        <v>279</v>
      </c>
      <c r="C110" s="10" t="s">
        <v>164</v>
      </c>
      <c r="D110" s="10" t="s">
        <v>160</v>
      </c>
      <c r="E110" s="35">
        <v>36.850999999999999</v>
      </c>
      <c r="F110" s="35">
        <f>74.688-E110</f>
        <v>37.837000000000003</v>
      </c>
      <c r="G110" s="35">
        <v>21.411999999999999</v>
      </c>
      <c r="H110" s="35">
        <f>83.089-G110</f>
        <v>61.677</v>
      </c>
      <c r="I110" s="35">
        <f t="shared" si="10"/>
        <v>157.77699999999999</v>
      </c>
      <c r="J110" s="56">
        <v>260.8</v>
      </c>
      <c r="K110" s="49">
        <v>6367.65</v>
      </c>
      <c r="L110" s="49">
        <v>6622.36</v>
      </c>
      <c r="M110" s="49">
        <v>2227.83</v>
      </c>
      <c r="N110" s="49">
        <v>2310.2597099999998</v>
      </c>
      <c r="O110" s="56">
        <f t="shared" si="16"/>
        <v>4139.82</v>
      </c>
      <c r="P110" s="1">
        <f t="shared" si="17"/>
        <v>152556.50681999998</v>
      </c>
      <c r="Q110" s="1">
        <f t="shared" si="11"/>
        <v>156638.36934</v>
      </c>
      <c r="R110" s="1">
        <f t="shared" si="12"/>
        <v>92330.691409480001</v>
      </c>
      <c r="S110" s="1">
        <f t="shared" si="13"/>
        <v>265957.40958633</v>
      </c>
      <c r="T110" s="1">
        <f t="shared" si="14"/>
        <v>667482.97715580999</v>
      </c>
      <c r="U110" s="11"/>
      <c r="V110" s="11"/>
      <c r="W110" s="11"/>
      <c r="X110" s="12"/>
      <c r="Y110" s="12"/>
      <c r="Z110" s="12"/>
      <c r="AA110" s="12"/>
      <c r="AB110" s="12"/>
      <c r="AC110" s="12"/>
      <c r="AD110" s="12"/>
      <c r="AE110" s="12"/>
      <c r="AF110" s="12"/>
      <c r="AG110" s="12"/>
      <c r="AH110" s="12"/>
      <c r="AI110" s="12"/>
      <c r="AJ110" s="12"/>
      <c r="AK110" s="12"/>
      <c r="AL110" s="12"/>
      <c r="AM110" s="12"/>
      <c r="AN110" s="12"/>
      <c r="AO110" s="12"/>
      <c r="AP110" s="12"/>
      <c r="AQ110" s="12"/>
      <c r="AR110" s="12"/>
      <c r="AS110" s="12"/>
      <c r="AT110" s="12"/>
      <c r="AU110" s="12"/>
      <c r="AV110" s="12"/>
      <c r="AW110" s="12"/>
      <c r="AX110" s="12"/>
      <c r="AY110" s="12"/>
      <c r="AZ110" s="12"/>
      <c r="BA110" s="12"/>
      <c r="BB110" s="12"/>
      <c r="BC110" s="12"/>
      <c r="BD110" s="12"/>
      <c r="BE110" s="12"/>
      <c r="BF110" s="12"/>
      <c r="BG110" s="12"/>
      <c r="BH110" s="12"/>
      <c r="BI110" s="12"/>
      <c r="BJ110" s="12"/>
      <c r="BK110" s="12"/>
      <c r="BL110" s="12"/>
      <c r="BM110" s="12"/>
      <c r="BN110" s="12"/>
      <c r="BO110" s="12"/>
      <c r="BP110" s="12"/>
      <c r="BQ110" s="12"/>
      <c r="BR110" s="12"/>
      <c r="BS110" s="12"/>
      <c r="BT110" s="12"/>
      <c r="BU110" s="12"/>
      <c r="BV110" s="12"/>
      <c r="BW110" s="12"/>
      <c r="BX110" s="12"/>
      <c r="BY110" s="12"/>
      <c r="BZ110" s="12"/>
      <c r="CA110" s="12"/>
      <c r="CB110" s="12"/>
      <c r="CC110" s="12"/>
      <c r="CD110" s="12"/>
      <c r="CE110" s="12"/>
      <c r="CF110" s="12"/>
      <c r="CG110" s="12"/>
      <c r="CH110" s="12"/>
      <c r="CI110" s="12"/>
      <c r="CJ110" s="12"/>
      <c r="CK110" s="12"/>
      <c r="CL110" s="12"/>
      <c r="CM110" s="12"/>
      <c r="CN110" s="12"/>
      <c r="CO110" s="12"/>
      <c r="CP110" s="12"/>
      <c r="CQ110" s="12"/>
      <c r="CR110" s="12"/>
      <c r="CS110" s="12"/>
      <c r="CT110" s="12"/>
      <c r="CU110" s="12"/>
      <c r="CV110" s="12"/>
      <c r="CW110" s="12"/>
      <c r="CX110" s="12"/>
      <c r="CY110" s="12"/>
      <c r="CZ110" s="12"/>
      <c r="DA110" s="12"/>
      <c r="DB110" s="12"/>
      <c r="DC110" s="12"/>
      <c r="DD110" s="12"/>
      <c r="DE110" s="12"/>
      <c r="DF110" s="12"/>
      <c r="DG110" s="12"/>
      <c r="DH110" s="12"/>
      <c r="DI110" s="12"/>
      <c r="DJ110" s="12"/>
      <c r="DK110" s="12"/>
      <c r="DL110" s="12"/>
      <c r="DM110" s="12"/>
      <c r="DN110" s="12"/>
      <c r="DO110" s="12"/>
      <c r="DP110" s="12"/>
      <c r="DQ110" s="12"/>
      <c r="DR110" s="12"/>
      <c r="DS110" s="12"/>
      <c r="DT110" s="12"/>
      <c r="DU110" s="12"/>
      <c r="DV110" s="12"/>
      <c r="DW110" s="12"/>
      <c r="DX110" s="12"/>
      <c r="DY110" s="12"/>
      <c r="DZ110" s="12"/>
      <c r="EA110" s="12"/>
      <c r="EB110" s="12"/>
      <c r="EC110" s="12"/>
      <c r="ED110" s="12"/>
      <c r="EE110" s="12"/>
      <c r="EF110" s="12"/>
      <c r="EG110" s="12"/>
      <c r="EH110" s="12"/>
      <c r="EI110" s="12"/>
      <c r="EJ110" s="12"/>
      <c r="EK110" s="12"/>
      <c r="EL110" s="12"/>
      <c r="EM110" s="12"/>
      <c r="EN110" s="12"/>
      <c r="EO110" s="12"/>
      <c r="EP110" s="12"/>
      <c r="EQ110" s="12"/>
      <c r="ER110" s="12"/>
      <c r="ES110" s="12"/>
      <c r="ET110" s="12"/>
      <c r="EU110" s="12"/>
      <c r="EV110" s="12"/>
      <c r="EW110" s="12"/>
      <c r="EX110" s="12"/>
      <c r="EY110" s="12"/>
      <c r="EZ110" s="12"/>
      <c r="FA110" s="12"/>
      <c r="FB110" s="12"/>
      <c r="FC110" s="12"/>
      <c r="FD110" s="12"/>
      <c r="FE110" s="12"/>
      <c r="FF110" s="12"/>
      <c r="FG110" s="12"/>
      <c r="FH110" s="12"/>
      <c r="FI110" s="12"/>
      <c r="FJ110" s="12"/>
      <c r="FK110" s="12"/>
      <c r="FL110" s="12"/>
      <c r="FM110" s="12"/>
      <c r="FN110" s="12"/>
      <c r="FO110" s="12"/>
      <c r="FP110" s="12"/>
      <c r="FQ110" s="12"/>
      <c r="FR110" s="12"/>
      <c r="FS110" s="12"/>
      <c r="FT110" s="12"/>
      <c r="FU110" s="12"/>
      <c r="FV110" s="12"/>
      <c r="FW110" s="12"/>
      <c r="FX110" s="12"/>
      <c r="FY110" s="12"/>
      <c r="FZ110" s="12"/>
      <c r="GA110" s="12"/>
      <c r="GB110" s="12"/>
      <c r="GC110" s="12"/>
      <c r="GD110" s="12"/>
      <c r="GE110" s="12"/>
    </row>
    <row r="111" spans="1:187" ht="21" customHeight="1">
      <c r="A111" s="45"/>
      <c r="B111" s="86" t="s">
        <v>16</v>
      </c>
      <c r="C111" s="10" t="s">
        <v>162</v>
      </c>
      <c r="D111" s="10" t="s">
        <v>160</v>
      </c>
      <c r="E111" s="35">
        <v>87.527000000000001</v>
      </c>
      <c r="F111" s="35">
        <f>128.384-E111</f>
        <v>40.856999999999985</v>
      </c>
      <c r="G111" s="35">
        <v>14.358000000000001</v>
      </c>
      <c r="H111" s="35">
        <f>98.935-G111</f>
        <v>84.576999999999998</v>
      </c>
      <c r="I111" s="35">
        <f t="shared" si="10"/>
        <v>227.31899999999999</v>
      </c>
      <c r="J111" s="56">
        <v>220.71</v>
      </c>
      <c r="K111" s="49">
        <v>3415.23</v>
      </c>
      <c r="L111" s="49">
        <v>3551.8392000000003</v>
      </c>
      <c r="M111" s="49">
        <v>2227.8200000000002</v>
      </c>
      <c r="N111" s="49">
        <v>2310.2493399999998</v>
      </c>
      <c r="O111" s="56">
        <f t="shared" si="16"/>
        <v>1187.4099999999999</v>
      </c>
      <c r="P111" s="1">
        <f t="shared" si="17"/>
        <v>103930.43506999999</v>
      </c>
      <c r="Q111" s="1">
        <f t="shared" si="11"/>
        <v>48514.010369999975</v>
      </c>
      <c r="R111" s="1">
        <f t="shared" si="12"/>
        <v>17826.747209880006</v>
      </c>
      <c r="S111" s="1">
        <f t="shared" si="13"/>
        <v>105009.94558922003</v>
      </c>
      <c r="T111" s="1">
        <f t="shared" si="14"/>
        <v>275281.13823909999</v>
      </c>
      <c r="U111" s="11"/>
      <c r="V111" s="11"/>
      <c r="W111" s="11"/>
      <c r="X111" s="12"/>
      <c r="Y111" s="12"/>
      <c r="Z111" s="12"/>
      <c r="AA111" s="12"/>
      <c r="AB111" s="12"/>
      <c r="AC111" s="12"/>
      <c r="AD111" s="12"/>
      <c r="AE111" s="12"/>
      <c r="AF111" s="12"/>
      <c r="AG111" s="12"/>
      <c r="AH111" s="12"/>
      <c r="AI111" s="12"/>
      <c r="AJ111" s="12"/>
      <c r="AK111" s="12"/>
      <c r="AL111" s="12"/>
      <c r="AM111" s="12"/>
      <c r="AN111" s="12"/>
      <c r="AO111" s="12"/>
      <c r="AP111" s="12"/>
      <c r="AQ111" s="12"/>
      <c r="AR111" s="12"/>
      <c r="AS111" s="12"/>
      <c r="AT111" s="12"/>
      <c r="AU111" s="12"/>
      <c r="AV111" s="12"/>
      <c r="AW111" s="12"/>
      <c r="AX111" s="12"/>
      <c r="AY111" s="12"/>
      <c r="AZ111" s="12"/>
      <c r="BA111" s="12"/>
      <c r="BB111" s="12"/>
      <c r="BC111" s="12"/>
      <c r="BD111" s="12"/>
      <c r="BE111" s="12"/>
      <c r="BF111" s="12"/>
      <c r="BG111" s="12"/>
      <c r="BH111" s="12"/>
      <c r="BI111" s="12"/>
      <c r="BJ111" s="12"/>
      <c r="BK111" s="12"/>
      <c r="BL111" s="12"/>
      <c r="BM111" s="12"/>
      <c r="BN111" s="12"/>
      <c r="BO111" s="12"/>
      <c r="BP111" s="12"/>
      <c r="BQ111" s="12"/>
      <c r="BR111" s="12"/>
      <c r="BS111" s="12"/>
      <c r="BT111" s="12"/>
      <c r="BU111" s="12"/>
      <c r="BV111" s="12"/>
      <c r="BW111" s="12"/>
      <c r="BX111" s="12"/>
      <c r="BY111" s="12"/>
      <c r="BZ111" s="12"/>
      <c r="CA111" s="12"/>
      <c r="CB111" s="12"/>
      <c r="CC111" s="12"/>
      <c r="CD111" s="12"/>
      <c r="CE111" s="12"/>
      <c r="CF111" s="12"/>
      <c r="CG111" s="12"/>
      <c r="CH111" s="12"/>
      <c r="CI111" s="12"/>
      <c r="CJ111" s="12"/>
      <c r="CK111" s="12"/>
      <c r="CL111" s="12"/>
      <c r="CM111" s="12"/>
      <c r="CN111" s="12"/>
      <c r="CO111" s="12"/>
      <c r="CP111" s="12"/>
      <c r="CQ111" s="12"/>
      <c r="CR111" s="12"/>
      <c r="CS111" s="12"/>
      <c r="CT111" s="12"/>
      <c r="CU111" s="12"/>
      <c r="CV111" s="12"/>
      <c r="CW111" s="12"/>
      <c r="CX111" s="12"/>
      <c r="CY111" s="12"/>
      <c r="CZ111" s="12"/>
      <c r="DA111" s="12"/>
      <c r="DB111" s="12"/>
      <c r="DC111" s="12"/>
      <c r="DD111" s="12"/>
      <c r="DE111" s="12"/>
      <c r="DF111" s="12"/>
      <c r="DG111" s="12"/>
      <c r="DH111" s="12"/>
      <c r="DI111" s="12"/>
      <c r="DJ111" s="12"/>
      <c r="DK111" s="12"/>
      <c r="DL111" s="12"/>
      <c r="DM111" s="12"/>
      <c r="DN111" s="12"/>
      <c r="DO111" s="12"/>
      <c r="DP111" s="12"/>
      <c r="DQ111" s="12"/>
      <c r="DR111" s="12"/>
      <c r="DS111" s="12"/>
      <c r="DT111" s="12"/>
      <c r="DU111" s="12"/>
      <c r="DV111" s="12"/>
      <c r="DW111" s="12"/>
      <c r="DX111" s="12"/>
      <c r="DY111" s="12"/>
      <c r="DZ111" s="12"/>
      <c r="EA111" s="12"/>
      <c r="EB111" s="12"/>
      <c r="EC111" s="12"/>
      <c r="ED111" s="12"/>
      <c r="EE111" s="12"/>
      <c r="EF111" s="12"/>
      <c r="EG111" s="12"/>
      <c r="EH111" s="12"/>
      <c r="EI111" s="12"/>
      <c r="EJ111" s="12"/>
      <c r="EK111" s="12"/>
      <c r="EL111" s="12"/>
      <c r="EM111" s="12"/>
      <c r="EN111" s="12"/>
      <c r="EO111" s="12"/>
      <c r="EP111" s="12"/>
      <c r="EQ111" s="12"/>
      <c r="ER111" s="12"/>
      <c r="ES111" s="12"/>
      <c r="ET111" s="12"/>
      <c r="EU111" s="12"/>
      <c r="EV111" s="12"/>
      <c r="EW111" s="12"/>
      <c r="EX111" s="12"/>
      <c r="EY111" s="12"/>
      <c r="EZ111" s="12"/>
      <c r="FA111" s="12"/>
      <c r="FB111" s="12"/>
      <c r="FC111" s="12"/>
      <c r="FD111" s="12"/>
      <c r="FE111" s="12"/>
      <c r="FF111" s="12"/>
      <c r="FG111" s="12"/>
      <c r="FH111" s="12"/>
      <c r="FI111" s="12"/>
      <c r="FJ111" s="12"/>
      <c r="FK111" s="12"/>
      <c r="FL111" s="12"/>
      <c r="FM111" s="12"/>
      <c r="FN111" s="12"/>
      <c r="FO111" s="12"/>
      <c r="FP111" s="12"/>
      <c r="FQ111" s="12"/>
      <c r="FR111" s="12"/>
      <c r="FS111" s="12"/>
      <c r="FT111" s="12"/>
      <c r="FU111" s="12"/>
      <c r="FV111" s="12"/>
      <c r="FW111" s="12"/>
      <c r="FX111" s="12"/>
      <c r="FY111" s="12"/>
      <c r="FZ111" s="12"/>
      <c r="GA111" s="12"/>
      <c r="GB111" s="12"/>
      <c r="GC111" s="12"/>
      <c r="GD111" s="12"/>
      <c r="GE111" s="12"/>
    </row>
    <row r="112" spans="1:187" ht="21" customHeight="1">
      <c r="A112" s="45"/>
      <c r="B112" s="86" t="s">
        <v>393</v>
      </c>
      <c r="C112" s="10" t="s">
        <v>394</v>
      </c>
      <c r="D112" s="10" t="s">
        <v>160</v>
      </c>
      <c r="E112" s="35">
        <v>673.81100000000004</v>
      </c>
      <c r="F112" s="35">
        <f>1104.972-E112</f>
        <v>431.16099999999994</v>
      </c>
      <c r="G112" s="35">
        <v>227.3</v>
      </c>
      <c r="H112" s="35">
        <v>672.83</v>
      </c>
      <c r="I112" s="35">
        <f t="shared" si="10"/>
        <v>2005.1019999999999</v>
      </c>
      <c r="J112" s="56">
        <v>2045.76</v>
      </c>
      <c r="K112" s="49">
        <v>3481.7</v>
      </c>
      <c r="L112" s="49">
        <v>3620.9679999999998</v>
      </c>
      <c r="M112" s="49">
        <v>2227.83</v>
      </c>
      <c r="N112" s="49">
        <v>2310.2597099999998</v>
      </c>
      <c r="O112" s="56"/>
      <c r="P112" s="1">
        <f t="shared" si="17"/>
        <v>844871.39856999996</v>
      </c>
      <c r="Q112" s="1">
        <f t="shared" si="11"/>
        <v>540619.84306999983</v>
      </c>
      <c r="R112" s="1">
        <f t="shared" si="12"/>
        <v>297923.99431700003</v>
      </c>
      <c r="S112" s="1">
        <f t="shared" si="13"/>
        <v>881883.8587607001</v>
      </c>
      <c r="T112" s="1">
        <f t="shared" si="14"/>
        <v>2565299.0947177</v>
      </c>
      <c r="U112" s="11"/>
      <c r="V112" s="11"/>
      <c r="W112" s="11"/>
      <c r="X112" s="12"/>
      <c r="Y112" s="12"/>
      <c r="Z112" s="12"/>
      <c r="AA112" s="12"/>
      <c r="AB112" s="12"/>
      <c r="AC112" s="12"/>
      <c r="AD112" s="12"/>
      <c r="AE112" s="12"/>
      <c r="AF112" s="12"/>
      <c r="AG112" s="12"/>
      <c r="AH112" s="12"/>
      <c r="AI112" s="12"/>
      <c r="AJ112" s="12"/>
      <c r="AK112" s="12"/>
      <c r="AL112" s="12"/>
      <c r="AM112" s="12"/>
      <c r="AN112" s="12"/>
      <c r="AO112" s="12"/>
      <c r="AP112" s="12"/>
      <c r="AQ112" s="12"/>
      <c r="AR112" s="12"/>
      <c r="AS112" s="12"/>
      <c r="AT112" s="12"/>
      <c r="AU112" s="12"/>
      <c r="AV112" s="12"/>
      <c r="AW112" s="12"/>
      <c r="AX112" s="12"/>
      <c r="AY112" s="12"/>
      <c r="AZ112" s="12"/>
      <c r="BA112" s="12"/>
      <c r="BB112" s="12"/>
      <c r="BC112" s="12"/>
      <c r="BD112" s="12"/>
      <c r="BE112" s="12"/>
      <c r="BF112" s="12"/>
      <c r="BG112" s="12"/>
      <c r="BH112" s="12"/>
      <c r="BI112" s="12"/>
      <c r="BJ112" s="12"/>
      <c r="BK112" s="12"/>
      <c r="BL112" s="12"/>
      <c r="BM112" s="12"/>
      <c r="BN112" s="12"/>
      <c r="BO112" s="12"/>
      <c r="BP112" s="12"/>
      <c r="BQ112" s="12"/>
      <c r="BR112" s="12"/>
      <c r="BS112" s="12"/>
      <c r="BT112" s="12"/>
      <c r="BU112" s="12"/>
      <c r="BV112" s="12"/>
      <c r="BW112" s="12"/>
      <c r="BX112" s="12"/>
      <c r="BY112" s="12"/>
      <c r="BZ112" s="12"/>
      <c r="CA112" s="12"/>
      <c r="CB112" s="12"/>
      <c r="CC112" s="12"/>
      <c r="CD112" s="12"/>
      <c r="CE112" s="12"/>
      <c r="CF112" s="12"/>
      <c r="CG112" s="12"/>
      <c r="CH112" s="12"/>
      <c r="CI112" s="12"/>
      <c r="CJ112" s="12"/>
      <c r="CK112" s="12"/>
      <c r="CL112" s="12"/>
      <c r="CM112" s="12"/>
      <c r="CN112" s="12"/>
      <c r="CO112" s="12"/>
      <c r="CP112" s="12"/>
      <c r="CQ112" s="12"/>
      <c r="CR112" s="12"/>
      <c r="CS112" s="12"/>
      <c r="CT112" s="12"/>
      <c r="CU112" s="12"/>
      <c r="CV112" s="12"/>
      <c r="CW112" s="12"/>
      <c r="CX112" s="12"/>
      <c r="CY112" s="12"/>
      <c r="CZ112" s="12"/>
      <c r="DA112" s="12"/>
      <c r="DB112" s="12"/>
      <c r="DC112" s="12"/>
      <c r="DD112" s="12"/>
      <c r="DE112" s="12"/>
      <c r="DF112" s="12"/>
      <c r="DG112" s="12"/>
      <c r="DH112" s="12"/>
      <c r="DI112" s="12"/>
      <c r="DJ112" s="12"/>
      <c r="DK112" s="12"/>
      <c r="DL112" s="12"/>
      <c r="DM112" s="12"/>
      <c r="DN112" s="12"/>
      <c r="DO112" s="12"/>
      <c r="DP112" s="12"/>
      <c r="DQ112" s="12"/>
      <c r="DR112" s="12"/>
      <c r="DS112" s="12"/>
      <c r="DT112" s="12"/>
      <c r="DU112" s="12"/>
      <c r="DV112" s="12"/>
      <c r="DW112" s="12"/>
      <c r="DX112" s="12"/>
      <c r="DY112" s="12"/>
      <c r="DZ112" s="12"/>
      <c r="EA112" s="12"/>
      <c r="EB112" s="12"/>
      <c r="EC112" s="12"/>
      <c r="ED112" s="12"/>
      <c r="EE112" s="12"/>
      <c r="EF112" s="12"/>
      <c r="EG112" s="12"/>
      <c r="EH112" s="12"/>
      <c r="EI112" s="12"/>
      <c r="EJ112" s="12"/>
      <c r="EK112" s="12"/>
      <c r="EL112" s="12"/>
      <c r="EM112" s="12"/>
      <c r="EN112" s="12"/>
      <c r="EO112" s="12"/>
      <c r="EP112" s="12"/>
      <c r="EQ112" s="12"/>
      <c r="ER112" s="12"/>
      <c r="ES112" s="12"/>
      <c r="ET112" s="12"/>
      <c r="EU112" s="12"/>
      <c r="EV112" s="12"/>
      <c r="EW112" s="12"/>
      <c r="EX112" s="12"/>
      <c r="EY112" s="12"/>
      <c r="EZ112" s="12"/>
      <c r="FA112" s="12"/>
      <c r="FB112" s="12"/>
      <c r="FC112" s="12"/>
      <c r="FD112" s="12"/>
      <c r="FE112" s="12"/>
      <c r="FF112" s="12"/>
      <c r="FG112" s="12"/>
      <c r="FH112" s="12"/>
      <c r="FI112" s="12"/>
      <c r="FJ112" s="12"/>
      <c r="FK112" s="12"/>
      <c r="FL112" s="12"/>
      <c r="FM112" s="12"/>
      <c r="FN112" s="12"/>
      <c r="FO112" s="12"/>
      <c r="FP112" s="12"/>
      <c r="FQ112" s="12"/>
      <c r="FR112" s="12"/>
      <c r="FS112" s="12"/>
      <c r="FT112" s="12"/>
      <c r="FU112" s="12"/>
      <c r="FV112" s="12"/>
      <c r="FW112" s="12"/>
      <c r="FX112" s="12"/>
      <c r="FY112" s="12"/>
      <c r="FZ112" s="12"/>
      <c r="GA112" s="12"/>
      <c r="GB112" s="12"/>
      <c r="GC112" s="12"/>
      <c r="GD112" s="12"/>
      <c r="GE112" s="12"/>
    </row>
    <row r="113" spans="1:187" ht="21" customHeight="1">
      <c r="A113" s="45"/>
      <c r="B113" s="86" t="s">
        <v>2</v>
      </c>
      <c r="C113" s="10" t="s">
        <v>68</v>
      </c>
      <c r="D113" s="10" t="s">
        <v>163</v>
      </c>
      <c r="E113" s="35">
        <v>14149.423000000001</v>
      </c>
      <c r="F113" s="35">
        <f>19302.424-E113</f>
        <v>5153.0009999999984</v>
      </c>
      <c r="G113" s="35">
        <v>346.16500000000002</v>
      </c>
      <c r="H113" s="35">
        <f>9445.861-G113</f>
        <v>9099.6959999999999</v>
      </c>
      <c r="I113" s="35">
        <f t="shared" si="10"/>
        <v>28748.285</v>
      </c>
      <c r="J113" s="56">
        <v>26944.46</v>
      </c>
      <c r="K113" s="49">
        <v>8245.2800000000007</v>
      </c>
      <c r="L113" s="49">
        <v>8245.2800000000007</v>
      </c>
      <c r="M113" s="49">
        <v>1887.99</v>
      </c>
      <c r="N113" s="49">
        <v>1957.8456299999998</v>
      </c>
      <c r="O113" s="56">
        <f t="shared" si="16"/>
        <v>6357.2900000000009</v>
      </c>
      <c r="P113" s="1">
        <f t="shared" si="17"/>
        <v>89951985.343670011</v>
      </c>
      <c r="Q113" s="1">
        <f t="shared" si="11"/>
        <v>32759121.727289993</v>
      </c>
      <c r="R113" s="1">
        <f t="shared" si="12"/>
        <v>2176489.7186910505</v>
      </c>
      <c r="S113" s="1">
        <f t="shared" si="13"/>
        <v>57213741.386951528</v>
      </c>
      <c r="T113" s="1">
        <f t="shared" si="14"/>
        <v>182101338.17660257</v>
      </c>
      <c r="U113" s="11"/>
      <c r="V113" s="11"/>
      <c r="W113" s="11"/>
      <c r="X113" s="12"/>
      <c r="Y113" s="12"/>
      <c r="Z113" s="12"/>
      <c r="AA113" s="12"/>
      <c r="AB113" s="12"/>
      <c r="AC113" s="12"/>
      <c r="AD113" s="12"/>
      <c r="AE113" s="12"/>
      <c r="AF113" s="12"/>
      <c r="AG113" s="12"/>
      <c r="AH113" s="12"/>
      <c r="AI113" s="12"/>
      <c r="AJ113" s="12"/>
      <c r="AK113" s="12"/>
      <c r="AL113" s="12"/>
      <c r="AM113" s="12"/>
      <c r="AN113" s="12"/>
      <c r="AO113" s="12"/>
      <c r="AP113" s="12"/>
      <c r="AQ113" s="12"/>
      <c r="AR113" s="12"/>
      <c r="AS113" s="12"/>
      <c r="AT113" s="12"/>
      <c r="AU113" s="12"/>
      <c r="AV113" s="12"/>
      <c r="AW113" s="12"/>
      <c r="AX113" s="12"/>
      <c r="AY113" s="12"/>
      <c r="AZ113" s="12"/>
      <c r="BA113" s="12"/>
      <c r="BB113" s="12"/>
      <c r="BC113" s="12"/>
      <c r="BD113" s="12"/>
      <c r="BE113" s="12"/>
      <c r="BF113" s="12"/>
      <c r="BG113" s="12"/>
      <c r="BH113" s="12"/>
      <c r="BI113" s="12"/>
      <c r="BJ113" s="12"/>
      <c r="BK113" s="12"/>
      <c r="BL113" s="12"/>
      <c r="BM113" s="12"/>
      <c r="BN113" s="12"/>
      <c r="BO113" s="12"/>
      <c r="BP113" s="12"/>
      <c r="BQ113" s="12"/>
      <c r="BR113" s="12"/>
      <c r="BS113" s="12"/>
      <c r="BT113" s="12"/>
      <c r="BU113" s="12"/>
      <c r="BV113" s="12"/>
      <c r="BW113" s="12"/>
      <c r="BX113" s="12"/>
      <c r="BY113" s="12"/>
      <c r="BZ113" s="12"/>
      <c r="CA113" s="12"/>
      <c r="CB113" s="12"/>
      <c r="CC113" s="12"/>
      <c r="CD113" s="12"/>
      <c r="CE113" s="12"/>
      <c r="CF113" s="12"/>
      <c r="CG113" s="12"/>
      <c r="CH113" s="12"/>
      <c r="CI113" s="12"/>
      <c r="CJ113" s="12"/>
      <c r="CK113" s="12"/>
      <c r="CL113" s="12"/>
      <c r="CM113" s="12"/>
      <c r="CN113" s="12"/>
      <c r="CO113" s="12"/>
      <c r="CP113" s="12"/>
      <c r="CQ113" s="12"/>
      <c r="CR113" s="12"/>
      <c r="CS113" s="12"/>
      <c r="CT113" s="12"/>
      <c r="CU113" s="12"/>
      <c r="CV113" s="12"/>
      <c r="CW113" s="12"/>
      <c r="CX113" s="12"/>
      <c r="CY113" s="12"/>
      <c r="CZ113" s="12"/>
      <c r="DA113" s="12"/>
      <c r="DB113" s="12"/>
      <c r="DC113" s="12"/>
      <c r="DD113" s="12"/>
      <c r="DE113" s="12"/>
      <c r="DF113" s="12"/>
      <c r="DG113" s="12"/>
      <c r="DH113" s="12"/>
      <c r="DI113" s="12"/>
      <c r="DJ113" s="12"/>
      <c r="DK113" s="12"/>
      <c r="DL113" s="12"/>
      <c r="DM113" s="12"/>
      <c r="DN113" s="12"/>
      <c r="DO113" s="12"/>
      <c r="DP113" s="12"/>
      <c r="DQ113" s="12"/>
      <c r="DR113" s="12"/>
      <c r="DS113" s="12"/>
      <c r="DT113" s="12"/>
      <c r="DU113" s="12"/>
      <c r="DV113" s="12"/>
      <c r="DW113" s="12"/>
      <c r="DX113" s="12"/>
      <c r="DY113" s="12"/>
      <c r="DZ113" s="12"/>
      <c r="EA113" s="12"/>
      <c r="EB113" s="12"/>
      <c r="EC113" s="12"/>
      <c r="ED113" s="12"/>
      <c r="EE113" s="12"/>
      <c r="EF113" s="12"/>
      <c r="EG113" s="12"/>
      <c r="EH113" s="12"/>
      <c r="EI113" s="12"/>
      <c r="EJ113" s="12"/>
      <c r="EK113" s="12"/>
      <c r="EL113" s="12"/>
      <c r="EM113" s="12"/>
      <c r="EN113" s="12"/>
      <c r="EO113" s="12"/>
      <c r="EP113" s="12"/>
      <c r="EQ113" s="12"/>
      <c r="ER113" s="12"/>
      <c r="ES113" s="12"/>
      <c r="ET113" s="12"/>
      <c r="EU113" s="12"/>
      <c r="EV113" s="12"/>
      <c r="EW113" s="12"/>
      <c r="EX113" s="12"/>
      <c r="EY113" s="12"/>
      <c r="EZ113" s="12"/>
      <c r="FA113" s="12"/>
      <c r="FB113" s="12"/>
      <c r="FC113" s="12"/>
      <c r="FD113" s="12"/>
      <c r="FE113" s="12"/>
      <c r="FF113" s="12"/>
      <c r="FG113" s="12"/>
      <c r="FH113" s="12"/>
      <c r="FI113" s="12"/>
      <c r="FJ113" s="12"/>
      <c r="FK113" s="12"/>
      <c r="FL113" s="12"/>
      <c r="FM113" s="12"/>
      <c r="FN113" s="12"/>
      <c r="FO113" s="12"/>
      <c r="FP113" s="12"/>
      <c r="FQ113" s="12"/>
      <c r="FR113" s="12"/>
      <c r="FS113" s="12"/>
      <c r="FT113" s="12"/>
      <c r="FU113" s="12"/>
      <c r="FV113" s="12"/>
      <c r="FW113" s="12"/>
      <c r="FX113" s="12"/>
      <c r="FY113" s="12"/>
      <c r="FZ113" s="12"/>
      <c r="GA113" s="12"/>
      <c r="GB113" s="12"/>
      <c r="GC113" s="12"/>
      <c r="GD113" s="12"/>
      <c r="GE113" s="12"/>
    </row>
    <row r="114" spans="1:187" ht="21" customHeight="1">
      <c r="A114" s="45"/>
      <c r="B114" s="86" t="s">
        <v>280</v>
      </c>
      <c r="C114" s="10" t="s">
        <v>159</v>
      </c>
      <c r="D114" s="10" t="s">
        <v>160</v>
      </c>
      <c r="E114" s="35">
        <v>11687.329</v>
      </c>
      <c r="F114" s="35">
        <f>18105.86-E114</f>
        <v>6418.5310000000009</v>
      </c>
      <c r="G114" s="35">
        <v>672.48400000000004</v>
      </c>
      <c r="H114" s="35">
        <f>11245.756-G114</f>
        <v>10573.271999999999</v>
      </c>
      <c r="I114" s="35">
        <f t="shared" si="10"/>
        <v>29351.616000000002</v>
      </c>
      <c r="J114" s="56">
        <v>31477.25</v>
      </c>
      <c r="K114" s="49">
        <v>2751.18</v>
      </c>
      <c r="L114" s="49">
        <v>2861.2271999999998</v>
      </c>
      <c r="M114" s="49">
        <v>1887.99</v>
      </c>
      <c r="N114" s="49">
        <v>1957.8456299999998</v>
      </c>
      <c r="O114" s="56">
        <f t="shared" si="16"/>
        <v>863.18999999999983</v>
      </c>
      <c r="P114" s="1">
        <f t="shared" si="17"/>
        <v>10088385.519509997</v>
      </c>
      <c r="Q114" s="1">
        <f t="shared" si="11"/>
        <v>5540411.7738899998</v>
      </c>
      <c r="R114" s="1">
        <f t="shared" si="12"/>
        <v>607509.65171988006</v>
      </c>
      <c r="S114" s="1">
        <f t="shared" si="13"/>
        <v>9551699.0593970399</v>
      </c>
      <c r="T114" s="1">
        <f t="shared" si="14"/>
        <v>25788006.004516914</v>
      </c>
      <c r="U114" s="11"/>
      <c r="V114" s="11"/>
      <c r="W114" s="11"/>
      <c r="X114" s="12"/>
      <c r="Y114" s="12"/>
      <c r="Z114" s="12"/>
      <c r="AA114" s="12"/>
      <c r="AB114" s="12"/>
      <c r="AC114" s="12"/>
      <c r="AD114" s="12"/>
      <c r="AE114" s="12"/>
      <c r="AF114" s="12"/>
      <c r="AG114" s="12"/>
      <c r="AH114" s="12"/>
      <c r="AI114" s="12"/>
      <c r="AJ114" s="12"/>
      <c r="AK114" s="12"/>
      <c r="AL114" s="12"/>
      <c r="AM114" s="12"/>
      <c r="AN114" s="12"/>
      <c r="AO114" s="12"/>
      <c r="AP114" s="12"/>
      <c r="AQ114" s="12"/>
      <c r="AR114" s="12"/>
      <c r="AS114" s="12"/>
      <c r="AT114" s="12"/>
      <c r="AU114" s="12"/>
      <c r="AV114" s="12"/>
      <c r="AW114" s="12"/>
      <c r="AX114" s="12"/>
      <c r="AY114" s="12"/>
      <c r="AZ114" s="12"/>
      <c r="BA114" s="12"/>
      <c r="BB114" s="12"/>
      <c r="BC114" s="12"/>
      <c r="BD114" s="12"/>
      <c r="BE114" s="12"/>
      <c r="BF114" s="12"/>
      <c r="BG114" s="12"/>
      <c r="BH114" s="12"/>
      <c r="BI114" s="12"/>
      <c r="BJ114" s="12"/>
      <c r="BK114" s="12"/>
      <c r="BL114" s="12"/>
      <c r="BM114" s="12"/>
      <c r="BN114" s="12"/>
      <c r="BO114" s="12"/>
      <c r="BP114" s="12"/>
      <c r="BQ114" s="12"/>
      <c r="BR114" s="12"/>
      <c r="BS114" s="12"/>
      <c r="BT114" s="12"/>
      <c r="BU114" s="12"/>
      <c r="BV114" s="12"/>
      <c r="BW114" s="12"/>
      <c r="BX114" s="12"/>
      <c r="BY114" s="12"/>
      <c r="BZ114" s="12"/>
      <c r="CA114" s="12"/>
      <c r="CB114" s="12"/>
      <c r="CC114" s="12"/>
      <c r="CD114" s="12"/>
      <c r="CE114" s="12"/>
      <c r="CF114" s="12"/>
      <c r="CG114" s="12"/>
      <c r="CH114" s="12"/>
      <c r="CI114" s="12"/>
      <c r="CJ114" s="12"/>
      <c r="CK114" s="12"/>
      <c r="CL114" s="12"/>
      <c r="CM114" s="12"/>
      <c r="CN114" s="12"/>
      <c r="CO114" s="12"/>
      <c r="CP114" s="12"/>
      <c r="CQ114" s="12"/>
      <c r="CR114" s="12"/>
      <c r="CS114" s="12"/>
      <c r="CT114" s="12"/>
      <c r="CU114" s="12"/>
      <c r="CV114" s="12"/>
      <c r="CW114" s="12"/>
      <c r="CX114" s="12"/>
      <c r="CY114" s="12"/>
      <c r="CZ114" s="12"/>
      <c r="DA114" s="12"/>
      <c r="DB114" s="12"/>
      <c r="DC114" s="12"/>
      <c r="DD114" s="12"/>
      <c r="DE114" s="12"/>
      <c r="DF114" s="12"/>
      <c r="DG114" s="12"/>
      <c r="DH114" s="12"/>
      <c r="DI114" s="12"/>
      <c r="DJ114" s="12"/>
      <c r="DK114" s="12"/>
      <c r="DL114" s="12"/>
      <c r="DM114" s="12"/>
      <c r="DN114" s="12"/>
      <c r="DO114" s="12"/>
      <c r="DP114" s="12"/>
      <c r="DQ114" s="12"/>
      <c r="DR114" s="12"/>
      <c r="DS114" s="12"/>
      <c r="DT114" s="12"/>
      <c r="DU114" s="12"/>
      <c r="DV114" s="12"/>
      <c r="DW114" s="12"/>
      <c r="DX114" s="12"/>
      <c r="DY114" s="12"/>
      <c r="DZ114" s="12"/>
      <c r="EA114" s="12"/>
      <c r="EB114" s="12"/>
      <c r="EC114" s="12"/>
      <c r="ED114" s="12"/>
      <c r="EE114" s="12"/>
      <c r="EF114" s="12"/>
      <c r="EG114" s="12"/>
      <c r="EH114" s="12"/>
      <c r="EI114" s="12"/>
      <c r="EJ114" s="12"/>
      <c r="EK114" s="12"/>
      <c r="EL114" s="12"/>
      <c r="EM114" s="12"/>
      <c r="EN114" s="12"/>
      <c r="EO114" s="12"/>
      <c r="EP114" s="12"/>
      <c r="EQ114" s="12"/>
      <c r="ER114" s="12"/>
      <c r="ES114" s="12"/>
      <c r="ET114" s="12"/>
      <c r="EU114" s="12"/>
      <c r="EV114" s="12"/>
      <c r="EW114" s="12"/>
      <c r="EX114" s="12"/>
      <c r="EY114" s="12"/>
      <c r="EZ114" s="12"/>
      <c r="FA114" s="12"/>
      <c r="FB114" s="12"/>
      <c r="FC114" s="12"/>
      <c r="FD114" s="12"/>
      <c r="FE114" s="12"/>
      <c r="FF114" s="12"/>
      <c r="FG114" s="12"/>
      <c r="FH114" s="12"/>
      <c r="FI114" s="12"/>
      <c r="FJ114" s="12"/>
      <c r="FK114" s="12"/>
      <c r="FL114" s="12"/>
      <c r="FM114" s="12"/>
      <c r="FN114" s="12"/>
      <c r="FO114" s="12"/>
      <c r="FP114" s="12"/>
      <c r="FQ114" s="12"/>
      <c r="FR114" s="12"/>
      <c r="FS114" s="12"/>
      <c r="FT114" s="12"/>
      <c r="FU114" s="12"/>
      <c r="FV114" s="12"/>
      <c r="FW114" s="12"/>
      <c r="FX114" s="12"/>
      <c r="FY114" s="12"/>
      <c r="FZ114" s="12"/>
      <c r="GA114" s="12"/>
      <c r="GB114" s="12"/>
      <c r="GC114" s="12"/>
      <c r="GD114" s="12"/>
      <c r="GE114" s="12"/>
    </row>
    <row r="115" spans="1:187" ht="21" customHeight="1">
      <c r="A115" s="45"/>
      <c r="B115" s="86" t="s">
        <v>280</v>
      </c>
      <c r="C115" s="10" t="s">
        <v>159</v>
      </c>
      <c r="D115" s="10" t="s">
        <v>155</v>
      </c>
      <c r="E115" s="35">
        <v>11324.012000000001</v>
      </c>
      <c r="F115" s="35">
        <f>17310.857-E115</f>
        <v>5986.8449999999993</v>
      </c>
      <c r="G115" s="35">
        <v>1064.5630000000001</v>
      </c>
      <c r="H115" s="35">
        <f>11874.3-G115</f>
        <v>10809.736999999999</v>
      </c>
      <c r="I115" s="35">
        <f t="shared" si="10"/>
        <v>29185.156999999999</v>
      </c>
      <c r="J115" s="56">
        <v>30175.199999999997</v>
      </c>
      <c r="K115" s="49">
        <v>2321.1999999999998</v>
      </c>
      <c r="L115" s="49">
        <v>2414.0479999999998</v>
      </c>
      <c r="M115" s="49">
        <v>1887.99</v>
      </c>
      <c r="N115" s="49">
        <v>1957.8456299999998</v>
      </c>
      <c r="O115" s="56">
        <f t="shared" si="16"/>
        <v>433.20999999999981</v>
      </c>
      <c r="P115" s="1">
        <f t="shared" si="17"/>
        <v>4905675.2385199983</v>
      </c>
      <c r="Q115" s="1">
        <f t="shared" si="11"/>
        <v>2593561.1224499987</v>
      </c>
      <c r="R115" s="1">
        <f t="shared" si="12"/>
        <v>485656.16361431003</v>
      </c>
      <c r="S115" s="1">
        <f t="shared" si="13"/>
        <v>4931427.6384766893</v>
      </c>
      <c r="T115" s="1">
        <f t="shared" si="14"/>
        <v>12916320.163060997</v>
      </c>
      <c r="U115" s="11"/>
      <c r="V115" s="11"/>
      <c r="W115" s="11"/>
      <c r="X115" s="12"/>
      <c r="Y115" s="12"/>
      <c r="Z115" s="12"/>
      <c r="AA115" s="12"/>
      <c r="AB115" s="12"/>
      <c r="AC115" s="12"/>
      <c r="AD115" s="12"/>
      <c r="AE115" s="12"/>
      <c r="AF115" s="12"/>
      <c r="AG115" s="12"/>
      <c r="AH115" s="12"/>
      <c r="AI115" s="12"/>
      <c r="AJ115" s="12"/>
      <c r="AK115" s="12"/>
      <c r="AL115" s="12"/>
      <c r="AM115" s="12"/>
      <c r="AN115" s="12"/>
      <c r="AO115" s="12"/>
      <c r="AP115" s="12"/>
      <c r="AQ115" s="12"/>
      <c r="AR115" s="12"/>
      <c r="AS115" s="12"/>
      <c r="AT115" s="12"/>
      <c r="AU115" s="12"/>
      <c r="AV115" s="12"/>
      <c r="AW115" s="12"/>
      <c r="AX115" s="12"/>
      <c r="AY115" s="12"/>
      <c r="AZ115" s="12"/>
      <c r="BA115" s="12"/>
      <c r="BB115" s="12"/>
      <c r="BC115" s="12"/>
      <c r="BD115" s="12"/>
      <c r="BE115" s="12"/>
      <c r="BF115" s="12"/>
      <c r="BG115" s="12"/>
      <c r="BH115" s="12"/>
      <c r="BI115" s="12"/>
      <c r="BJ115" s="12"/>
      <c r="BK115" s="12"/>
      <c r="BL115" s="12"/>
      <c r="BM115" s="12"/>
      <c r="BN115" s="12"/>
      <c r="BO115" s="12"/>
      <c r="BP115" s="12"/>
      <c r="BQ115" s="12"/>
      <c r="BR115" s="12"/>
      <c r="BS115" s="12"/>
      <c r="BT115" s="12"/>
      <c r="BU115" s="12"/>
      <c r="BV115" s="12"/>
      <c r="BW115" s="12"/>
      <c r="BX115" s="12"/>
      <c r="BY115" s="12"/>
      <c r="BZ115" s="12"/>
      <c r="CA115" s="12"/>
      <c r="CB115" s="12"/>
      <c r="CC115" s="12"/>
      <c r="CD115" s="12"/>
      <c r="CE115" s="12"/>
      <c r="CF115" s="12"/>
      <c r="CG115" s="12"/>
      <c r="CH115" s="12"/>
      <c r="CI115" s="12"/>
      <c r="CJ115" s="12"/>
      <c r="CK115" s="12"/>
      <c r="CL115" s="12"/>
      <c r="CM115" s="12"/>
      <c r="CN115" s="12"/>
      <c r="CO115" s="12"/>
      <c r="CP115" s="12"/>
      <c r="CQ115" s="12"/>
      <c r="CR115" s="12"/>
      <c r="CS115" s="12"/>
      <c r="CT115" s="12"/>
      <c r="CU115" s="12"/>
      <c r="CV115" s="12"/>
      <c r="CW115" s="12"/>
      <c r="CX115" s="12"/>
      <c r="CY115" s="12"/>
      <c r="CZ115" s="12"/>
      <c r="DA115" s="12"/>
      <c r="DB115" s="12"/>
      <c r="DC115" s="12"/>
      <c r="DD115" s="12"/>
      <c r="DE115" s="12"/>
      <c r="DF115" s="12"/>
      <c r="DG115" s="12"/>
      <c r="DH115" s="12"/>
      <c r="DI115" s="12"/>
      <c r="DJ115" s="12"/>
      <c r="DK115" s="12"/>
      <c r="DL115" s="12"/>
      <c r="DM115" s="12"/>
      <c r="DN115" s="12"/>
      <c r="DO115" s="12"/>
      <c r="DP115" s="12"/>
      <c r="DQ115" s="12"/>
      <c r="DR115" s="12"/>
      <c r="DS115" s="12"/>
      <c r="DT115" s="12"/>
      <c r="DU115" s="12"/>
      <c r="DV115" s="12"/>
      <c r="DW115" s="12"/>
      <c r="DX115" s="12"/>
      <c r="DY115" s="12"/>
      <c r="DZ115" s="12"/>
      <c r="EA115" s="12"/>
      <c r="EB115" s="12"/>
      <c r="EC115" s="12"/>
      <c r="ED115" s="12"/>
      <c r="EE115" s="12"/>
      <c r="EF115" s="12"/>
      <c r="EG115" s="12"/>
      <c r="EH115" s="12"/>
      <c r="EI115" s="12"/>
      <c r="EJ115" s="12"/>
      <c r="EK115" s="12"/>
      <c r="EL115" s="12"/>
      <c r="EM115" s="12"/>
      <c r="EN115" s="12"/>
      <c r="EO115" s="12"/>
      <c r="EP115" s="12"/>
      <c r="EQ115" s="12"/>
      <c r="ER115" s="12"/>
      <c r="ES115" s="12"/>
      <c r="ET115" s="12"/>
      <c r="EU115" s="12"/>
      <c r="EV115" s="12"/>
      <c r="EW115" s="12"/>
      <c r="EX115" s="12"/>
      <c r="EY115" s="12"/>
      <c r="EZ115" s="12"/>
      <c r="FA115" s="12"/>
      <c r="FB115" s="12"/>
      <c r="FC115" s="12"/>
      <c r="FD115" s="12"/>
      <c r="FE115" s="12"/>
      <c r="FF115" s="12"/>
      <c r="FG115" s="12"/>
      <c r="FH115" s="12"/>
      <c r="FI115" s="12"/>
      <c r="FJ115" s="12"/>
      <c r="FK115" s="12"/>
      <c r="FL115" s="12"/>
      <c r="FM115" s="12"/>
      <c r="FN115" s="12"/>
      <c r="FO115" s="12"/>
      <c r="FP115" s="12"/>
      <c r="FQ115" s="12"/>
      <c r="FR115" s="12"/>
      <c r="FS115" s="12"/>
      <c r="FT115" s="12"/>
      <c r="FU115" s="12"/>
      <c r="FV115" s="12"/>
      <c r="FW115" s="12"/>
      <c r="FX115" s="12"/>
      <c r="FY115" s="12"/>
      <c r="FZ115" s="12"/>
      <c r="GA115" s="12"/>
      <c r="GB115" s="12"/>
      <c r="GC115" s="12"/>
      <c r="GD115" s="12"/>
      <c r="GE115" s="12"/>
    </row>
    <row r="116" spans="1:187" ht="21" customHeight="1">
      <c r="A116" s="45"/>
      <c r="B116" s="86" t="s">
        <v>28</v>
      </c>
      <c r="C116" s="10" t="s">
        <v>154</v>
      </c>
      <c r="D116" s="10" t="s">
        <v>155</v>
      </c>
      <c r="E116" s="35">
        <v>326.39600000000002</v>
      </c>
      <c r="F116" s="35">
        <f>502.467-E116</f>
        <v>176.07099999999997</v>
      </c>
      <c r="G116" s="35">
        <v>24.228000000000002</v>
      </c>
      <c r="H116" s="35">
        <f>393.457-G116</f>
        <v>369.22899999999998</v>
      </c>
      <c r="I116" s="35">
        <f t="shared" si="10"/>
        <v>895.92399999999998</v>
      </c>
      <c r="J116" s="56">
        <v>1156.6099999999999</v>
      </c>
      <c r="K116" s="49">
        <v>6338.76</v>
      </c>
      <c r="L116" s="49">
        <v>6592.3104000000003</v>
      </c>
      <c r="M116" s="49">
        <v>1887.99</v>
      </c>
      <c r="N116" s="49">
        <v>1957.8456299999998</v>
      </c>
      <c r="O116" s="56">
        <f t="shared" si="16"/>
        <v>4450.7700000000004</v>
      </c>
      <c r="P116" s="1">
        <f t="shared" si="17"/>
        <v>1452713.5249200002</v>
      </c>
      <c r="Q116" s="1">
        <f t="shared" si="11"/>
        <v>783651.52466999996</v>
      </c>
      <c r="R116" s="1">
        <f t="shared" si="12"/>
        <v>112283.81244756002</v>
      </c>
      <c r="S116" s="1">
        <f t="shared" si="13"/>
        <v>1711178.7925623301</v>
      </c>
      <c r="T116" s="1">
        <f t="shared" si="14"/>
        <v>4059827.6545998901</v>
      </c>
      <c r="U116" s="11"/>
      <c r="V116" s="11"/>
      <c r="W116" s="11"/>
      <c r="X116" s="12"/>
      <c r="Y116" s="12"/>
      <c r="Z116" s="12"/>
      <c r="AA116" s="12"/>
      <c r="AB116" s="12"/>
      <c r="AC116" s="12"/>
      <c r="AD116" s="12"/>
      <c r="AE116" s="12"/>
      <c r="AF116" s="12"/>
      <c r="AG116" s="12"/>
      <c r="AH116" s="12"/>
      <c r="AI116" s="12"/>
      <c r="AJ116" s="12"/>
      <c r="AK116" s="12"/>
      <c r="AL116" s="12"/>
      <c r="AM116" s="12"/>
      <c r="AN116" s="12"/>
      <c r="AO116" s="12"/>
      <c r="AP116" s="12"/>
      <c r="AQ116" s="12"/>
      <c r="AR116" s="12"/>
      <c r="AS116" s="12"/>
      <c r="AT116" s="12"/>
      <c r="AU116" s="12"/>
      <c r="AV116" s="12"/>
      <c r="AW116" s="12"/>
      <c r="AX116" s="12"/>
      <c r="AY116" s="12"/>
      <c r="AZ116" s="12"/>
      <c r="BA116" s="12"/>
      <c r="BB116" s="12"/>
      <c r="BC116" s="12"/>
      <c r="BD116" s="12"/>
      <c r="BE116" s="12"/>
      <c r="BF116" s="12"/>
      <c r="BG116" s="12"/>
      <c r="BH116" s="12"/>
      <c r="BI116" s="12"/>
      <c r="BJ116" s="12"/>
      <c r="BK116" s="12"/>
      <c r="BL116" s="12"/>
      <c r="BM116" s="12"/>
      <c r="BN116" s="12"/>
      <c r="BO116" s="12"/>
      <c r="BP116" s="12"/>
      <c r="BQ116" s="12"/>
      <c r="BR116" s="12"/>
      <c r="BS116" s="12"/>
      <c r="BT116" s="12"/>
      <c r="BU116" s="12"/>
      <c r="BV116" s="12"/>
      <c r="BW116" s="12"/>
      <c r="BX116" s="12"/>
      <c r="BY116" s="12"/>
      <c r="BZ116" s="12"/>
      <c r="CA116" s="12"/>
      <c r="CB116" s="12"/>
      <c r="CC116" s="12"/>
      <c r="CD116" s="12"/>
      <c r="CE116" s="12"/>
      <c r="CF116" s="12"/>
      <c r="CG116" s="12"/>
      <c r="CH116" s="12"/>
      <c r="CI116" s="12"/>
      <c r="CJ116" s="12"/>
      <c r="CK116" s="12"/>
      <c r="CL116" s="12"/>
      <c r="CM116" s="12"/>
      <c r="CN116" s="12"/>
      <c r="CO116" s="12"/>
      <c r="CP116" s="12"/>
      <c r="CQ116" s="12"/>
      <c r="CR116" s="12"/>
      <c r="CS116" s="12"/>
      <c r="CT116" s="12"/>
      <c r="CU116" s="12"/>
      <c r="CV116" s="12"/>
      <c r="CW116" s="12"/>
      <c r="CX116" s="12"/>
      <c r="CY116" s="12"/>
      <c r="CZ116" s="12"/>
      <c r="DA116" s="12"/>
      <c r="DB116" s="12"/>
      <c r="DC116" s="12"/>
      <c r="DD116" s="12"/>
      <c r="DE116" s="12"/>
      <c r="DF116" s="12"/>
      <c r="DG116" s="12"/>
      <c r="DH116" s="12"/>
      <c r="DI116" s="12"/>
      <c r="DJ116" s="12"/>
      <c r="DK116" s="12"/>
      <c r="DL116" s="12"/>
      <c r="DM116" s="12"/>
      <c r="DN116" s="12"/>
      <c r="DO116" s="12"/>
      <c r="DP116" s="12"/>
      <c r="DQ116" s="12"/>
      <c r="DR116" s="12"/>
      <c r="DS116" s="12"/>
      <c r="DT116" s="12"/>
      <c r="DU116" s="12"/>
      <c r="DV116" s="12"/>
      <c r="DW116" s="12"/>
      <c r="DX116" s="12"/>
      <c r="DY116" s="12"/>
      <c r="DZ116" s="12"/>
      <c r="EA116" s="12"/>
      <c r="EB116" s="12"/>
      <c r="EC116" s="12"/>
      <c r="ED116" s="12"/>
      <c r="EE116" s="12"/>
      <c r="EF116" s="12"/>
      <c r="EG116" s="12"/>
      <c r="EH116" s="12"/>
      <c r="EI116" s="12"/>
      <c r="EJ116" s="12"/>
      <c r="EK116" s="12"/>
      <c r="EL116" s="12"/>
      <c r="EM116" s="12"/>
      <c r="EN116" s="12"/>
      <c r="EO116" s="12"/>
      <c r="EP116" s="12"/>
      <c r="EQ116" s="12"/>
      <c r="ER116" s="12"/>
      <c r="ES116" s="12"/>
      <c r="ET116" s="12"/>
      <c r="EU116" s="12"/>
      <c r="EV116" s="12"/>
      <c r="EW116" s="12"/>
      <c r="EX116" s="12"/>
      <c r="EY116" s="12"/>
      <c r="EZ116" s="12"/>
      <c r="FA116" s="12"/>
      <c r="FB116" s="12"/>
      <c r="FC116" s="12"/>
      <c r="FD116" s="12"/>
      <c r="FE116" s="12"/>
      <c r="FF116" s="12"/>
      <c r="FG116" s="12"/>
      <c r="FH116" s="12"/>
      <c r="FI116" s="12"/>
      <c r="FJ116" s="12"/>
      <c r="FK116" s="12"/>
      <c r="FL116" s="12"/>
      <c r="FM116" s="12"/>
      <c r="FN116" s="12"/>
      <c r="FO116" s="12"/>
      <c r="FP116" s="12"/>
      <c r="FQ116" s="12"/>
      <c r="FR116" s="12"/>
      <c r="FS116" s="12"/>
      <c r="FT116" s="12"/>
      <c r="FU116" s="12"/>
      <c r="FV116" s="12"/>
      <c r="FW116" s="12"/>
      <c r="FX116" s="12"/>
      <c r="FY116" s="12"/>
      <c r="FZ116" s="12"/>
      <c r="GA116" s="12"/>
      <c r="GB116" s="12"/>
      <c r="GC116" s="12"/>
      <c r="GD116" s="12"/>
      <c r="GE116" s="12"/>
    </row>
    <row r="117" spans="1:187" ht="21" customHeight="1">
      <c r="A117" s="45"/>
      <c r="B117" s="86" t="s">
        <v>28</v>
      </c>
      <c r="C117" s="10" t="s">
        <v>154</v>
      </c>
      <c r="D117" s="10" t="s">
        <v>156</v>
      </c>
      <c r="E117" s="35">
        <v>800.14400000000001</v>
      </c>
      <c r="F117" s="35">
        <f>1143.36-E117</f>
        <v>343.21599999999989</v>
      </c>
      <c r="G117" s="35">
        <v>106.825</v>
      </c>
      <c r="H117" s="35">
        <f>871.144-G117</f>
        <v>764.31899999999996</v>
      </c>
      <c r="I117" s="35">
        <f t="shared" si="10"/>
        <v>2014.5039999999999</v>
      </c>
      <c r="J117" s="56">
        <v>2133.04</v>
      </c>
      <c r="K117" s="49">
        <v>6338.76</v>
      </c>
      <c r="L117" s="49">
        <v>6592.3104000000003</v>
      </c>
      <c r="M117" s="49">
        <v>1887.99</v>
      </c>
      <c r="N117" s="49">
        <v>1957.8456299999998</v>
      </c>
      <c r="O117" s="56">
        <f t="shared" si="16"/>
        <v>4450.7700000000004</v>
      </c>
      <c r="P117" s="1">
        <f t="shared" si="17"/>
        <v>3561256.9108800003</v>
      </c>
      <c r="Q117" s="1">
        <f t="shared" si="11"/>
        <v>1527575.4763199997</v>
      </c>
      <c r="R117" s="1">
        <f t="shared" si="12"/>
        <v>495076.69905525009</v>
      </c>
      <c r="S117" s="1">
        <f t="shared" si="13"/>
        <v>3542209.4785416303</v>
      </c>
      <c r="T117" s="1">
        <f t="shared" si="14"/>
        <v>9126118.5647968799</v>
      </c>
      <c r="U117" s="11"/>
      <c r="V117" s="11"/>
      <c r="W117" s="11"/>
      <c r="X117" s="12"/>
      <c r="Y117" s="12"/>
      <c r="Z117" s="12"/>
      <c r="AA117" s="12"/>
      <c r="AB117" s="12"/>
      <c r="AC117" s="12"/>
      <c r="AD117" s="12"/>
      <c r="AE117" s="12"/>
      <c r="AF117" s="12"/>
      <c r="AG117" s="12"/>
      <c r="AH117" s="12"/>
      <c r="AI117" s="12"/>
      <c r="AJ117" s="12"/>
      <c r="AK117" s="12"/>
      <c r="AL117" s="12"/>
      <c r="AM117" s="12"/>
      <c r="AN117" s="12"/>
      <c r="AO117" s="12"/>
      <c r="AP117" s="12"/>
      <c r="AQ117" s="12"/>
      <c r="AR117" s="12"/>
      <c r="AS117" s="12"/>
      <c r="AT117" s="12"/>
      <c r="AU117" s="12"/>
      <c r="AV117" s="12"/>
      <c r="AW117" s="12"/>
      <c r="AX117" s="12"/>
      <c r="AY117" s="12"/>
      <c r="AZ117" s="12"/>
      <c r="BA117" s="12"/>
      <c r="BB117" s="12"/>
      <c r="BC117" s="12"/>
      <c r="BD117" s="12"/>
      <c r="BE117" s="12"/>
      <c r="BF117" s="12"/>
      <c r="BG117" s="12"/>
      <c r="BH117" s="12"/>
      <c r="BI117" s="12"/>
      <c r="BJ117" s="12"/>
      <c r="BK117" s="12"/>
      <c r="BL117" s="12"/>
      <c r="BM117" s="12"/>
      <c r="BN117" s="12"/>
      <c r="BO117" s="12"/>
      <c r="BP117" s="12"/>
      <c r="BQ117" s="12"/>
      <c r="BR117" s="12"/>
      <c r="BS117" s="12"/>
      <c r="BT117" s="12"/>
      <c r="BU117" s="12"/>
      <c r="BV117" s="12"/>
      <c r="BW117" s="12"/>
      <c r="BX117" s="12"/>
      <c r="BY117" s="12"/>
      <c r="BZ117" s="12"/>
      <c r="CA117" s="12"/>
      <c r="CB117" s="12"/>
      <c r="CC117" s="12"/>
      <c r="CD117" s="12"/>
      <c r="CE117" s="12"/>
      <c r="CF117" s="12"/>
      <c r="CG117" s="12"/>
      <c r="CH117" s="12"/>
      <c r="CI117" s="12"/>
      <c r="CJ117" s="12"/>
      <c r="CK117" s="12"/>
      <c r="CL117" s="12"/>
      <c r="CM117" s="12"/>
      <c r="CN117" s="12"/>
      <c r="CO117" s="12"/>
      <c r="CP117" s="12"/>
      <c r="CQ117" s="12"/>
      <c r="CR117" s="12"/>
      <c r="CS117" s="12"/>
      <c r="CT117" s="12"/>
      <c r="CU117" s="12"/>
      <c r="CV117" s="12"/>
      <c r="CW117" s="12"/>
      <c r="CX117" s="12"/>
      <c r="CY117" s="12"/>
      <c r="CZ117" s="12"/>
      <c r="DA117" s="12"/>
      <c r="DB117" s="12"/>
      <c r="DC117" s="12"/>
      <c r="DD117" s="12"/>
      <c r="DE117" s="12"/>
      <c r="DF117" s="12"/>
      <c r="DG117" s="12"/>
      <c r="DH117" s="12"/>
      <c r="DI117" s="12"/>
      <c r="DJ117" s="12"/>
      <c r="DK117" s="12"/>
      <c r="DL117" s="12"/>
      <c r="DM117" s="12"/>
      <c r="DN117" s="12"/>
      <c r="DO117" s="12"/>
      <c r="DP117" s="12"/>
      <c r="DQ117" s="12"/>
      <c r="DR117" s="12"/>
      <c r="DS117" s="12"/>
      <c r="DT117" s="12"/>
      <c r="DU117" s="12"/>
      <c r="DV117" s="12"/>
      <c r="DW117" s="12"/>
      <c r="DX117" s="12"/>
      <c r="DY117" s="12"/>
      <c r="DZ117" s="12"/>
      <c r="EA117" s="12"/>
      <c r="EB117" s="12"/>
      <c r="EC117" s="12"/>
      <c r="ED117" s="12"/>
      <c r="EE117" s="12"/>
      <c r="EF117" s="12"/>
      <c r="EG117" s="12"/>
      <c r="EH117" s="12"/>
      <c r="EI117" s="12"/>
      <c r="EJ117" s="12"/>
      <c r="EK117" s="12"/>
      <c r="EL117" s="12"/>
      <c r="EM117" s="12"/>
      <c r="EN117" s="12"/>
      <c r="EO117" s="12"/>
      <c r="EP117" s="12"/>
      <c r="EQ117" s="12"/>
      <c r="ER117" s="12"/>
      <c r="ES117" s="12"/>
      <c r="ET117" s="12"/>
      <c r="EU117" s="12"/>
      <c r="EV117" s="12"/>
      <c r="EW117" s="12"/>
      <c r="EX117" s="12"/>
      <c r="EY117" s="12"/>
      <c r="EZ117" s="12"/>
      <c r="FA117" s="12"/>
      <c r="FB117" s="12"/>
      <c r="FC117" s="12"/>
      <c r="FD117" s="12"/>
      <c r="FE117" s="12"/>
      <c r="FF117" s="12"/>
      <c r="FG117" s="12"/>
      <c r="FH117" s="12"/>
      <c r="FI117" s="12"/>
      <c r="FJ117" s="12"/>
      <c r="FK117" s="12"/>
      <c r="FL117" s="12"/>
      <c r="FM117" s="12"/>
      <c r="FN117" s="12"/>
      <c r="FO117" s="12"/>
      <c r="FP117" s="12"/>
      <c r="FQ117" s="12"/>
      <c r="FR117" s="12"/>
      <c r="FS117" s="12"/>
      <c r="FT117" s="12"/>
      <c r="FU117" s="12"/>
      <c r="FV117" s="12"/>
      <c r="FW117" s="12"/>
      <c r="FX117" s="12"/>
      <c r="FY117" s="12"/>
      <c r="FZ117" s="12"/>
      <c r="GA117" s="12"/>
      <c r="GB117" s="12"/>
      <c r="GC117" s="12"/>
      <c r="GD117" s="12"/>
      <c r="GE117" s="12"/>
    </row>
    <row r="118" spans="1:187" ht="21" customHeight="1">
      <c r="A118" s="45"/>
      <c r="B118" s="86" t="s">
        <v>28</v>
      </c>
      <c r="C118" s="10" t="s">
        <v>154</v>
      </c>
      <c r="D118" s="10" t="s">
        <v>157</v>
      </c>
      <c r="E118" s="35">
        <v>61.305</v>
      </c>
      <c r="F118" s="35">
        <f>86.354-E118</f>
        <v>25.048999999999999</v>
      </c>
      <c r="G118" s="35">
        <v>7.4930000000000003</v>
      </c>
      <c r="H118" s="35">
        <f>68.798-G118</f>
        <v>61.305</v>
      </c>
      <c r="I118" s="35">
        <f t="shared" si="10"/>
        <v>155.15199999999999</v>
      </c>
      <c r="J118" s="56">
        <v>0</v>
      </c>
      <c r="K118" s="49">
        <v>6338.76</v>
      </c>
      <c r="L118" s="49">
        <v>6592.3104000000003</v>
      </c>
      <c r="M118" s="49">
        <v>1887.99</v>
      </c>
      <c r="N118" s="49">
        <v>1957.8456299999998</v>
      </c>
      <c r="O118" s="56">
        <f t="shared" si="16"/>
        <v>4450.7700000000004</v>
      </c>
      <c r="P118" s="1">
        <f t="shared" si="17"/>
        <v>272854.45485000004</v>
      </c>
      <c r="Q118" s="1">
        <f t="shared" si="11"/>
        <v>111487.33773000001</v>
      </c>
      <c r="R118" s="1">
        <f t="shared" si="12"/>
        <v>34726.044521610005</v>
      </c>
      <c r="S118" s="1">
        <f t="shared" si="13"/>
        <v>284115.86272485001</v>
      </c>
      <c r="T118" s="1">
        <f t="shared" si="14"/>
        <v>703183.6998264601</v>
      </c>
      <c r="U118" s="11"/>
      <c r="V118" s="11"/>
      <c r="W118" s="11"/>
      <c r="X118" s="12"/>
      <c r="Y118" s="12"/>
      <c r="Z118" s="12"/>
      <c r="AA118" s="12"/>
      <c r="AB118" s="12"/>
      <c r="AC118" s="12"/>
      <c r="AD118" s="12"/>
      <c r="AE118" s="12"/>
      <c r="AF118" s="12"/>
      <c r="AG118" s="12"/>
      <c r="AH118" s="12"/>
      <c r="AI118" s="12"/>
      <c r="AJ118" s="12"/>
      <c r="AK118" s="12"/>
      <c r="AL118" s="12"/>
      <c r="AM118" s="12"/>
      <c r="AN118" s="12"/>
      <c r="AO118" s="12"/>
      <c r="AP118" s="12"/>
      <c r="AQ118" s="12"/>
      <c r="AR118" s="12"/>
      <c r="AS118" s="12"/>
      <c r="AT118" s="12"/>
      <c r="AU118" s="12"/>
      <c r="AV118" s="12"/>
      <c r="AW118" s="12"/>
      <c r="AX118" s="12"/>
      <c r="AY118" s="12"/>
      <c r="AZ118" s="12"/>
      <c r="BA118" s="12"/>
      <c r="BB118" s="12"/>
      <c r="BC118" s="12"/>
      <c r="BD118" s="12"/>
      <c r="BE118" s="12"/>
      <c r="BF118" s="12"/>
      <c r="BG118" s="12"/>
      <c r="BH118" s="12"/>
      <c r="BI118" s="12"/>
      <c r="BJ118" s="12"/>
      <c r="BK118" s="12"/>
      <c r="BL118" s="12"/>
      <c r="BM118" s="12"/>
      <c r="BN118" s="12"/>
      <c r="BO118" s="12"/>
      <c r="BP118" s="12"/>
      <c r="BQ118" s="12"/>
      <c r="BR118" s="12"/>
      <c r="BS118" s="12"/>
      <c r="BT118" s="12"/>
      <c r="BU118" s="12"/>
      <c r="BV118" s="12"/>
      <c r="BW118" s="12"/>
      <c r="BX118" s="12"/>
      <c r="BY118" s="12"/>
      <c r="BZ118" s="12"/>
      <c r="CA118" s="12"/>
      <c r="CB118" s="12"/>
      <c r="CC118" s="12"/>
      <c r="CD118" s="12"/>
      <c r="CE118" s="12"/>
      <c r="CF118" s="12"/>
      <c r="CG118" s="12"/>
      <c r="CH118" s="12"/>
      <c r="CI118" s="12"/>
      <c r="CJ118" s="12"/>
      <c r="CK118" s="12"/>
      <c r="CL118" s="12"/>
      <c r="CM118" s="12"/>
      <c r="CN118" s="12"/>
      <c r="CO118" s="12"/>
      <c r="CP118" s="12"/>
      <c r="CQ118" s="12"/>
      <c r="CR118" s="12"/>
      <c r="CS118" s="12"/>
      <c r="CT118" s="12"/>
      <c r="CU118" s="12"/>
      <c r="CV118" s="12"/>
      <c r="CW118" s="12"/>
      <c r="CX118" s="12"/>
      <c r="CY118" s="12"/>
      <c r="CZ118" s="12"/>
      <c r="DA118" s="12"/>
      <c r="DB118" s="12"/>
      <c r="DC118" s="12"/>
      <c r="DD118" s="12"/>
      <c r="DE118" s="12"/>
      <c r="DF118" s="12"/>
      <c r="DG118" s="12"/>
      <c r="DH118" s="12"/>
      <c r="DI118" s="12"/>
      <c r="DJ118" s="12"/>
      <c r="DK118" s="12"/>
      <c r="DL118" s="12"/>
      <c r="DM118" s="12"/>
      <c r="DN118" s="12"/>
      <c r="DO118" s="12"/>
      <c r="DP118" s="12"/>
      <c r="DQ118" s="12"/>
      <c r="DR118" s="12"/>
      <c r="DS118" s="12"/>
      <c r="DT118" s="12"/>
      <c r="DU118" s="12"/>
      <c r="DV118" s="12"/>
      <c r="DW118" s="12"/>
      <c r="DX118" s="12"/>
      <c r="DY118" s="12"/>
      <c r="DZ118" s="12"/>
      <c r="EA118" s="12"/>
      <c r="EB118" s="12"/>
      <c r="EC118" s="12"/>
      <c r="ED118" s="12"/>
      <c r="EE118" s="12"/>
      <c r="EF118" s="12"/>
      <c r="EG118" s="12"/>
      <c r="EH118" s="12"/>
      <c r="EI118" s="12"/>
      <c r="EJ118" s="12"/>
      <c r="EK118" s="12"/>
      <c r="EL118" s="12"/>
      <c r="EM118" s="12"/>
      <c r="EN118" s="12"/>
      <c r="EO118" s="12"/>
      <c r="EP118" s="12"/>
      <c r="EQ118" s="12"/>
      <c r="ER118" s="12"/>
      <c r="ES118" s="12"/>
      <c r="ET118" s="12"/>
      <c r="EU118" s="12"/>
      <c r="EV118" s="12"/>
      <c r="EW118" s="12"/>
      <c r="EX118" s="12"/>
      <c r="EY118" s="12"/>
      <c r="EZ118" s="12"/>
      <c r="FA118" s="12"/>
      <c r="FB118" s="12"/>
      <c r="FC118" s="12"/>
      <c r="FD118" s="12"/>
      <c r="FE118" s="12"/>
      <c r="FF118" s="12"/>
      <c r="FG118" s="12"/>
      <c r="FH118" s="12"/>
      <c r="FI118" s="12"/>
      <c r="FJ118" s="12"/>
      <c r="FK118" s="12"/>
      <c r="FL118" s="12"/>
      <c r="FM118" s="12"/>
      <c r="FN118" s="12"/>
      <c r="FO118" s="12"/>
      <c r="FP118" s="12"/>
      <c r="FQ118" s="12"/>
      <c r="FR118" s="12"/>
      <c r="FS118" s="12"/>
      <c r="FT118" s="12"/>
      <c r="FU118" s="12"/>
      <c r="FV118" s="12"/>
      <c r="FW118" s="12"/>
      <c r="FX118" s="12"/>
      <c r="FY118" s="12"/>
      <c r="FZ118" s="12"/>
      <c r="GA118" s="12"/>
      <c r="GB118" s="12"/>
      <c r="GC118" s="12"/>
      <c r="GD118" s="12"/>
      <c r="GE118" s="12"/>
    </row>
    <row r="119" spans="1:187" ht="21" customHeight="1">
      <c r="A119" s="45"/>
      <c r="B119" s="86" t="s">
        <v>397</v>
      </c>
      <c r="C119" s="10" t="s">
        <v>398</v>
      </c>
      <c r="D119" s="10" t="s">
        <v>158</v>
      </c>
      <c r="E119" s="35">
        <v>2688.52</v>
      </c>
      <c r="F119" s="35">
        <f>3901.316-E119</f>
        <v>1212.7959999999998</v>
      </c>
      <c r="G119" s="35">
        <v>321.04300000000001</v>
      </c>
      <c r="H119" s="35">
        <f>2759.806-G119</f>
        <v>2438.7629999999999</v>
      </c>
      <c r="I119" s="35">
        <f t="shared" si="10"/>
        <v>6661.1219999999994</v>
      </c>
      <c r="J119" s="56">
        <v>7115.8</v>
      </c>
      <c r="K119" s="49">
        <v>4802.24</v>
      </c>
      <c r="L119" s="49">
        <v>4802.24</v>
      </c>
      <c r="M119" s="49">
        <v>2227.83</v>
      </c>
      <c r="N119" s="49">
        <v>2310.2597099999998</v>
      </c>
      <c r="O119" s="56">
        <f t="shared" si="16"/>
        <v>2574.41</v>
      </c>
      <c r="P119" s="1">
        <f t="shared" si="17"/>
        <v>6921352.7731999997</v>
      </c>
      <c r="Q119" s="1">
        <f t="shared" si="11"/>
        <v>3122234.1503599994</v>
      </c>
      <c r="R119" s="1">
        <f t="shared" si="12"/>
        <v>800032.82824247004</v>
      </c>
      <c r="S119" s="1">
        <f t="shared" si="13"/>
        <v>6077349.3279812699</v>
      </c>
      <c r="T119" s="1">
        <f t="shared" si="14"/>
        <v>16920969.079783738</v>
      </c>
      <c r="U119" s="11"/>
      <c r="V119" s="11"/>
      <c r="W119" s="11"/>
      <c r="X119" s="12"/>
      <c r="Y119" s="12"/>
      <c r="Z119" s="12"/>
      <c r="AA119" s="12"/>
      <c r="AB119" s="12"/>
      <c r="AC119" s="12"/>
      <c r="AD119" s="12"/>
      <c r="AE119" s="12"/>
      <c r="AF119" s="12"/>
      <c r="AG119" s="12"/>
      <c r="AH119" s="12"/>
      <c r="AI119" s="12"/>
      <c r="AJ119" s="12"/>
      <c r="AK119" s="12"/>
      <c r="AL119" s="12"/>
      <c r="AM119" s="12"/>
      <c r="AN119" s="12"/>
      <c r="AO119" s="12"/>
      <c r="AP119" s="12"/>
      <c r="AQ119" s="12"/>
      <c r="AR119" s="12"/>
      <c r="AS119" s="12"/>
      <c r="AT119" s="12"/>
      <c r="AU119" s="12"/>
      <c r="AV119" s="12"/>
      <c r="AW119" s="12"/>
      <c r="AX119" s="12"/>
      <c r="AY119" s="12"/>
      <c r="AZ119" s="12"/>
      <c r="BA119" s="12"/>
      <c r="BB119" s="12"/>
      <c r="BC119" s="12"/>
      <c r="BD119" s="12"/>
      <c r="BE119" s="12"/>
      <c r="BF119" s="12"/>
      <c r="BG119" s="12"/>
      <c r="BH119" s="12"/>
      <c r="BI119" s="12"/>
      <c r="BJ119" s="12"/>
      <c r="BK119" s="12"/>
      <c r="BL119" s="12"/>
      <c r="BM119" s="12"/>
      <c r="BN119" s="12"/>
      <c r="BO119" s="12"/>
      <c r="BP119" s="12"/>
      <c r="BQ119" s="12"/>
      <c r="BR119" s="12"/>
      <c r="BS119" s="12"/>
      <c r="BT119" s="12"/>
      <c r="BU119" s="12"/>
      <c r="BV119" s="12"/>
      <c r="BW119" s="12"/>
      <c r="BX119" s="12"/>
      <c r="BY119" s="12"/>
      <c r="BZ119" s="12"/>
      <c r="CA119" s="12"/>
      <c r="CB119" s="12"/>
      <c r="CC119" s="12"/>
      <c r="CD119" s="12"/>
      <c r="CE119" s="12"/>
      <c r="CF119" s="12"/>
      <c r="CG119" s="12"/>
      <c r="CH119" s="12"/>
      <c r="CI119" s="12"/>
      <c r="CJ119" s="12"/>
      <c r="CK119" s="12"/>
      <c r="CL119" s="12"/>
      <c r="CM119" s="12"/>
      <c r="CN119" s="12"/>
      <c r="CO119" s="12"/>
      <c r="CP119" s="12"/>
      <c r="CQ119" s="12"/>
      <c r="CR119" s="12"/>
      <c r="CS119" s="12"/>
      <c r="CT119" s="12"/>
      <c r="CU119" s="12"/>
      <c r="CV119" s="12"/>
      <c r="CW119" s="12"/>
      <c r="CX119" s="12"/>
      <c r="CY119" s="12"/>
      <c r="CZ119" s="12"/>
      <c r="DA119" s="12"/>
      <c r="DB119" s="12"/>
      <c r="DC119" s="12"/>
      <c r="DD119" s="12"/>
      <c r="DE119" s="12"/>
      <c r="DF119" s="12"/>
      <c r="DG119" s="12"/>
      <c r="DH119" s="12"/>
      <c r="DI119" s="12"/>
      <c r="DJ119" s="12"/>
      <c r="DK119" s="12"/>
      <c r="DL119" s="12"/>
      <c r="DM119" s="12"/>
      <c r="DN119" s="12"/>
      <c r="DO119" s="12"/>
      <c r="DP119" s="12"/>
      <c r="DQ119" s="12"/>
      <c r="DR119" s="12"/>
      <c r="DS119" s="12"/>
      <c r="DT119" s="12"/>
      <c r="DU119" s="12"/>
      <c r="DV119" s="12"/>
      <c r="DW119" s="12"/>
      <c r="DX119" s="12"/>
      <c r="DY119" s="12"/>
      <c r="DZ119" s="12"/>
      <c r="EA119" s="12"/>
      <c r="EB119" s="12"/>
      <c r="EC119" s="12"/>
      <c r="ED119" s="12"/>
      <c r="EE119" s="12"/>
      <c r="EF119" s="12"/>
      <c r="EG119" s="12"/>
      <c r="EH119" s="12"/>
      <c r="EI119" s="12"/>
      <c r="EJ119" s="12"/>
      <c r="EK119" s="12"/>
      <c r="EL119" s="12"/>
      <c r="EM119" s="12"/>
      <c r="EN119" s="12"/>
      <c r="EO119" s="12"/>
      <c r="EP119" s="12"/>
      <c r="EQ119" s="12"/>
      <c r="ER119" s="12"/>
      <c r="ES119" s="12"/>
      <c r="ET119" s="12"/>
      <c r="EU119" s="12"/>
      <c r="EV119" s="12"/>
      <c r="EW119" s="12"/>
      <c r="EX119" s="12"/>
      <c r="EY119" s="12"/>
      <c r="EZ119" s="12"/>
      <c r="FA119" s="12"/>
      <c r="FB119" s="12"/>
      <c r="FC119" s="12"/>
      <c r="FD119" s="12"/>
      <c r="FE119" s="12"/>
      <c r="FF119" s="12"/>
      <c r="FG119" s="12"/>
      <c r="FH119" s="12"/>
      <c r="FI119" s="12"/>
      <c r="FJ119" s="12"/>
      <c r="FK119" s="12"/>
      <c r="FL119" s="12"/>
      <c r="FM119" s="12"/>
      <c r="FN119" s="12"/>
      <c r="FO119" s="12"/>
      <c r="FP119" s="12"/>
      <c r="FQ119" s="12"/>
      <c r="FR119" s="12"/>
      <c r="FS119" s="12"/>
      <c r="FT119" s="12"/>
      <c r="FU119" s="12"/>
      <c r="FV119" s="12"/>
      <c r="FW119" s="12"/>
      <c r="FX119" s="12"/>
      <c r="FY119" s="12"/>
      <c r="FZ119" s="12"/>
      <c r="GA119" s="12"/>
      <c r="GB119" s="12"/>
      <c r="GC119" s="12"/>
      <c r="GD119" s="12"/>
      <c r="GE119" s="12"/>
    </row>
    <row r="120" spans="1:187" ht="21" customHeight="1">
      <c r="A120" s="45"/>
      <c r="B120" s="86" t="s">
        <v>28</v>
      </c>
      <c r="C120" s="10" t="s">
        <v>154</v>
      </c>
      <c r="D120" s="10" t="s">
        <v>299</v>
      </c>
      <c r="E120" s="35">
        <v>8.7780000000000005</v>
      </c>
      <c r="F120" s="35">
        <f>12.931-E120</f>
        <v>4.1529999999999987</v>
      </c>
      <c r="G120" s="35">
        <v>1.073</v>
      </c>
      <c r="H120" s="35">
        <f>9.851-G120</f>
        <v>8.7780000000000005</v>
      </c>
      <c r="I120" s="35">
        <f t="shared" si="10"/>
        <v>22.782</v>
      </c>
      <c r="J120" s="56">
        <v>22.87</v>
      </c>
      <c r="K120" s="49">
        <v>7038.56</v>
      </c>
      <c r="L120" s="49">
        <v>7320.1024000000007</v>
      </c>
      <c r="M120" s="49">
        <v>1887.99</v>
      </c>
      <c r="N120" s="49">
        <v>1957.8456299999998</v>
      </c>
      <c r="O120" s="56">
        <f t="shared" si="16"/>
        <v>5150.5700000000006</v>
      </c>
      <c r="P120" s="1">
        <f t="shared" si="17"/>
        <v>45211.703460000004</v>
      </c>
      <c r="Q120" s="1">
        <f t="shared" si="11"/>
        <v>21390.317209999997</v>
      </c>
      <c r="R120" s="1">
        <f t="shared" si="12"/>
        <v>5753.7015142100008</v>
      </c>
      <c r="S120" s="1">
        <f t="shared" si="13"/>
        <v>47069.889927060009</v>
      </c>
      <c r="T120" s="1">
        <f t="shared" si="14"/>
        <v>119425.61211127001</v>
      </c>
      <c r="U120" s="11"/>
      <c r="V120" s="11"/>
      <c r="W120" s="11"/>
      <c r="X120" s="12"/>
      <c r="Y120" s="12"/>
      <c r="Z120" s="12"/>
      <c r="AA120" s="12"/>
      <c r="AB120" s="12"/>
      <c r="AC120" s="12"/>
      <c r="AD120" s="12"/>
      <c r="AE120" s="12"/>
      <c r="AF120" s="12"/>
      <c r="AG120" s="12"/>
      <c r="AH120" s="12"/>
      <c r="AI120" s="12"/>
      <c r="AJ120" s="12"/>
      <c r="AK120" s="12"/>
      <c r="AL120" s="12"/>
      <c r="AM120" s="12"/>
      <c r="AN120" s="12"/>
      <c r="AO120" s="12"/>
      <c r="AP120" s="12"/>
      <c r="AQ120" s="12"/>
      <c r="AR120" s="12"/>
      <c r="AS120" s="12"/>
      <c r="AT120" s="12"/>
      <c r="AU120" s="12"/>
      <c r="AV120" s="12"/>
      <c r="AW120" s="12"/>
      <c r="AX120" s="12"/>
      <c r="AY120" s="12"/>
      <c r="AZ120" s="12"/>
      <c r="BA120" s="12"/>
      <c r="BB120" s="12"/>
      <c r="BC120" s="12"/>
      <c r="BD120" s="12"/>
      <c r="BE120" s="12"/>
      <c r="BF120" s="12"/>
      <c r="BG120" s="12"/>
      <c r="BH120" s="12"/>
      <c r="BI120" s="12"/>
      <c r="BJ120" s="12"/>
      <c r="BK120" s="12"/>
      <c r="BL120" s="12"/>
      <c r="BM120" s="12"/>
      <c r="BN120" s="12"/>
      <c r="BO120" s="12"/>
      <c r="BP120" s="12"/>
      <c r="BQ120" s="12"/>
      <c r="BR120" s="12"/>
      <c r="BS120" s="12"/>
      <c r="BT120" s="12"/>
      <c r="BU120" s="12"/>
      <c r="BV120" s="12"/>
      <c r="BW120" s="12"/>
      <c r="BX120" s="12"/>
      <c r="BY120" s="12"/>
      <c r="BZ120" s="12"/>
      <c r="CA120" s="12"/>
      <c r="CB120" s="12"/>
      <c r="CC120" s="12"/>
      <c r="CD120" s="12"/>
      <c r="CE120" s="12"/>
      <c r="CF120" s="12"/>
      <c r="CG120" s="12"/>
      <c r="CH120" s="12"/>
      <c r="CI120" s="12"/>
      <c r="CJ120" s="12"/>
      <c r="CK120" s="12"/>
      <c r="CL120" s="12"/>
      <c r="CM120" s="12"/>
      <c r="CN120" s="12"/>
      <c r="CO120" s="12"/>
      <c r="CP120" s="12"/>
      <c r="CQ120" s="12"/>
      <c r="CR120" s="12"/>
      <c r="CS120" s="12"/>
      <c r="CT120" s="12"/>
      <c r="CU120" s="12"/>
      <c r="CV120" s="12"/>
      <c r="CW120" s="12"/>
      <c r="CX120" s="12"/>
      <c r="CY120" s="12"/>
      <c r="CZ120" s="12"/>
      <c r="DA120" s="12"/>
      <c r="DB120" s="12"/>
      <c r="DC120" s="12"/>
      <c r="DD120" s="12"/>
      <c r="DE120" s="12"/>
      <c r="DF120" s="12"/>
      <c r="DG120" s="12"/>
      <c r="DH120" s="12"/>
      <c r="DI120" s="12"/>
      <c r="DJ120" s="12"/>
      <c r="DK120" s="12"/>
      <c r="DL120" s="12"/>
      <c r="DM120" s="12"/>
      <c r="DN120" s="12"/>
      <c r="DO120" s="12"/>
      <c r="DP120" s="12"/>
      <c r="DQ120" s="12"/>
      <c r="DR120" s="12"/>
      <c r="DS120" s="12"/>
      <c r="DT120" s="12"/>
      <c r="DU120" s="12"/>
      <c r="DV120" s="12"/>
      <c r="DW120" s="12"/>
      <c r="DX120" s="12"/>
      <c r="DY120" s="12"/>
      <c r="DZ120" s="12"/>
      <c r="EA120" s="12"/>
      <c r="EB120" s="12"/>
      <c r="EC120" s="12"/>
      <c r="ED120" s="12"/>
      <c r="EE120" s="12"/>
      <c r="EF120" s="12"/>
      <c r="EG120" s="12"/>
      <c r="EH120" s="12"/>
      <c r="EI120" s="12"/>
      <c r="EJ120" s="12"/>
      <c r="EK120" s="12"/>
      <c r="EL120" s="12"/>
      <c r="EM120" s="12"/>
      <c r="EN120" s="12"/>
      <c r="EO120" s="12"/>
      <c r="EP120" s="12"/>
      <c r="EQ120" s="12"/>
      <c r="ER120" s="12"/>
      <c r="ES120" s="12"/>
      <c r="ET120" s="12"/>
      <c r="EU120" s="12"/>
      <c r="EV120" s="12"/>
      <c r="EW120" s="12"/>
      <c r="EX120" s="12"/>
      <c r="EY120" s="12"/>
      <c r="EZ120" s="12"/>
      <c r="FA120" s="12"/>
      <c r="FB120" s="12"/>
      <c r="FC120" s="12"/>
      <c r="FD120" s="12"/>
      <c r="FE120" s="12"/>
      <c r="FF120" s="12"/>
      <c r="FG120" s="12"/>
      <c r="FH120" s="12"/>
      <c r="FI120" s="12"/>
      <c r="FJ120" s="12"/>
      <c r="FK120" s="12"/>
      <c r="FL120" s="12"/>
      <c r="FM120" s="12"/>
      <c r="FN120" s="12"/>
      <c r="FO120" s="12"/>
      <c r="FP120" s="12"/>
      <c r="FQ120" s="12"/>
      <c r="FR120" s="12"/>
      <c r="FS120" s="12"/>
      <c r="FT120" s="12"/>
      <c r="FU120" s="12"/>
      <c r="FV120" s="12"/>
      <c r="FW120" s="12"/>
      <c r="FX120" s="12"/>
      <c r="FY120" s="12"/>
      <c r="FZ120" s="12"/>
      <c r="GA120" s="12"/>
      <c r="GB120" s="12"/>
      <c r="GC120" s="12"/>
      <c r="GD120" s="12"/>
      <c r="GE120" s="12"/>
    </row>
    <row r="121" spans="1:187" ht="21" customHeight="1">
      <c r="A121" s="45"/>
      <c r="B121" s="86" t="s">
        <v>28</v>
      </c>
      <c r="C121" s="10" t="s">
        <v>154</v>
      </c>
      <c r="D121" s="10" t="s">
        <v>161</v>
      </c>
      <c r="E121" s="35">
        <v>143.04300000000001</v>
      </c>
      <c r="F121" s="35">
        <f>210.719-E121</f>
        <v>67.675999999999988</v>
      </c>
      <c r="G121" s="35">
        <v>17.483000000000001</v>
      </c>
      <c r="H121" s="35">
        <f>160.526-G121</f>
        <v>143.04300000000001</v>
      </c>
      <c r="I121" s="35">
        <f t="shared" si="10"/>
        <v>371.245</v>
      </c>
      <c r="J121" s="56">
        <v>383.41</v>
      </c>
      <c r="K121" s="49">
        <v>7038.56</v>
      </c>
      <c r="L121" s="49">
        <v>7320.1024000000007</v>
      </c>
      <c r="M121" s="49">
        <v>1887.99</v>
      </c>
      <c r="N121" s="49">
        <v>1957.8456299999998</v>
      </c>
      <c r="O121" s="56">
        <f t="shared" si="16"/>
        <v>5150.5700000000006</v>
      </c>
      <c r="P121" s="1">
        <f t="shared" si="17"/>
        <v>736752.9845100001</v>
      </c>
      <c r="Q121" s="1">
        <f t="shared" si="11"/>
        <v>348569.97531999997</v>
      </c>
      <c r="R121" s="1">
        <f t="shared" si="12"/>
        <v>93748.335109910011</v>
      </c>
      <c r="S121" s="1">
        <f t="shared" si="13"/>
        <v>767033.29515111016</v>
      </c>
      <c r="T121" s="1">
        <f t="shared" si="14"/>
        <v>1946104.5900910203</v>
      </c>
      <c r="U121" s="11"/>
      <c r="V121" s="11"/>
      <c r="W121" s="11"/>
      <c r="X121" s="12"/>
      <c r="Y121" s="12"/>
      <c r="Z121" s="12"/>
      <c r="AA121" s="12"/>
      <c r="AB121" s="12"/>
      <c r="AC121" s="12"/>
      <c r="AD121" s="12"/>
      <c r="AE121" s="12"/>
      <c r="AF121" s="12"/>
      <c r="AG121" s="12"/>
      <c r="AH121" s="12"/>
      <c r="AI121" s="12"/>
      <c r="AJ121" s="12"/>
      <c r="AK121" s="12"/>
      <c r="AL121" s="12"/>
      <c r="AM121" s="12"/>
      <c r="AN121" s="12"/>
      <c r="AO121" s="12"/>
      <c r="AP121" s="12"/>
      <c r="AQ121" s="12"/>
      <c r="AR121" s="12"/>
      <c r="AS121" s="12"/>
      <c r="AT121" s="12"/>
      <c r="AU121" s="12"/>
      <c r="AV121" s="12"/>
      <c r="AW121" s="12"/>
      <c r="AX121" s="12"/>
      <c r="AY121" s="12"/>
      <c r="AZ121" s="12"/>
      <c r="BA121" s="12"/>
      <c r="BB121" s="12"/>
      <c r="BC121" s="12"/>
      <c r="BD121" s="12"/>
      <c r="BE121" s="12"/>
      <c r="BF121" s="12"/>
      <c r="BG121" s="12"/>
      <c r="BH121" s="12"/>
      <c r="BI121" s="12"/>
      <c r="BJ121" s="12"/>
      <c r="BK121" s="12"/>
      <c r="BL121" s="12"/>
      <c r="BM121" s="12"/>
      <c r="BN121" s="12"/>
      <c r="BO121" s="12"/>
      <c r="BP121" s="12"/>
      <c r="BQ121" s="12"/>
      <c r="BR121" s="12"/>
      <c r="BS121" s="12"/>
      <c r="BT121" s="12"/>
      <c r="BU121" s="12"/>
      <c r="BV121" s="12"/>
      <c r="BW121" s="12"/>
      <c r="BX121" s="12"/>
      <c r="BY121" s="12"/>
      <c r="BZ121" s="12"/>
      <c r="CA121" s="12"/>
      <c r="CB121" s="12"/>
      <c r="CC121" s="12"/>
      <c r="CD121" s="12"/>
      <c r="CE121" s="12"/>
      <c r="CF121" s="12"/>
      <c r="CG121" s="12"/>
      <c r="CH121" s="12"/>
      <c r="CI121" s="12"/>
      <c r="CJ121" s="12"/>
      <c r="CK121" s="12"/>
      <c r="CL121" s="12"/>
      <c r="CM121" s="12"/>
      <c r="CN121" s="12"/>
      <c r="CO121" s="12"/>
      <c r="CP121" s="12"/>
      <c r="CQ121" s="12"/>
      <c r="CR121" s="12"/>
      <c r="CS121" s="12"/>
      <c r="CT121" s="12"/>
      <c r="CU121" s="12"/>
      <c r="CV121" s="12"/>
      <c r="CW121" s="12"/>
      <c r="CX121" s="12"/>
      <c r="CY121" s="12"/>
      <c r="CZ121" s="12"/>
      <c r="DA121" s="12"/>
      <c r="DB121" s="12"/>
      <c r="DC121" s="12"/>
      <c r="DD121" s="12"/>
      <c r="DE121" s="12"/>
      <c r="DF121" s="12"/>
      <c r="DG121" s="12"/>
      <c r="DH121" s="12"/>
      <c r="DI121" s="12"/>
      <c r="DJ121" s="12"/>
      <c r="DK121" s="12"/>
      <c r="DL121" s="12"/>
      <c r="DM121" s="12"/>
      <c r="DN121" s="12"/>
      <c r="DO121" s="12"/>
      <c r="DP121" s="12"/>
      <c r="DQ121" s="12"/>
      <c r="DR121" s="12"/>
      <c r="DS121" s="12"/>
      <c r="DT121" s="12"/>
      <c r="DU121" s="12"/>
      <c r="DV121" s="12"/>
      <c r="DW121" s="12"/>
      <c r="DX121" s="12"/>
      <c r="DY121" s="12"/>
      <c r="DZ121" s="12"/>
      <c r="EA121" s="12"/>
      <c r="EB121" s="12"/>
      <c r="EC121" s="12"/>
      <c r="ED121" s="12"/>
      <c r="EE121" s="12"/>
      <c r="EF121" s="12"/>
      <c r="EG121" s="12"/>
      <c r="EH121" s="12"/>
      <c r="EI121" s="12"/>
      <c r="EJ121" s="12"/>
      <c r="EK121" s="12"/>
      <c r="EL121" s="12"/>
      <c r="EM121" s="12"/>
      <c r="EN121" s="12"/>
      <c r="EO121" s="12"/>
      <c r="EP121" s="12"/>
      <c r="EQ121" s="12"/>
      <c r="ER121" s="12"/>
      <c r="ES121" s="12"/>
      <c r="ET121" s="12"/>
      <c r="EU121" s="12"/>
      <c r="EV121" s="12"/>
      <c r="EW121" s="12"/>
      <c r="EX121" s="12"/>
      <c r="EY121" s="12"/>
      <c r="EZ121" s="12"/>
      <c r="FA121" s="12"/>
      <c r="FB121" s="12"/>
      <c r="FC121" s="12"/>
      <c r="FD121" s="12"/>
      <c r="FE121" s="12"/>
      <c r="FF121" s="12"/>
      <c r="FG121" s="12"/>
      <c r="FH121" s="12"/>
      <c r="FI121" s="12"/>
      <c r="FJ121" s="12"/>
      <c r="FK121" s="12"/>
      <c r="FL121" s="12"/>
      <c r="FM121" s="12"/>
      <c r="FN121" s="12"/>
      <c r="FO121" s="12"/>
      <c r="FP121" s="12"/>
      <c r="FQ121" s="12"/>
      <c r="FR121" s="12"/>
      <c r="FS121" s="12"/>
      <c r="FT121" s="12"/>
      <c r="FU121" s="12"/>
      <c r="FV121" s="12"/>
      <c r="FW121" s="12"/>
      <c r="FX121" s="12"/>
      <c r="FY121" s="12"/>
      <c r="FZ121" s="12"/>
      <c r="GA121" s="12"/>
      <c r="GB121" s="12"/>
      <c r="GC121" s="12"/>
      <c r="GD121" s="12"/>
      <c r="GE121" s="12"/>
    </row>
    <row r="122" spans="1:187" ht="21" customHeight="1">
      <c r="A122" s="45"/>
      <c r="B122" s="86" t="s">
        <v>28</v>
      </c>
      <c r="C122" s="10" t="s">
        <v>154</v>
      </c>
      <c r="D122" s="10" t="s">
        <v>410</v>
      </c>
      <c r="E122" s="35">
        <v>335.642</v>
      </c>
      <c r="F122" s="35">
        <f>741.661-E122</f>
        <v>406.01899999999995</v>
      </c>
      <c r="G122" s="35">
        <v>48.347000000000001</v>
      </c>
      <c r="H122" s="35">
        <v>503.46300000000002</v>
      </c>
      <c r="I122" s="35">
        <f t="shared" si="10"/>
        <v>1293.471</v>
      </c>
      <c r="J122" s="56">
        <v>1330.3</v>
      </c>
      <c r="K122" s="49">
        <v>5336.09</v>
      </c>
      <c r="L122" s="49">
        <v>5549.5336000000007</v>
      </c>
      <c r="M122" s="49">
        <v>1887.99</v>
      </c>
      <c r="N122" s="49">
        <v>1957.8456299999998</v>
      </c>
      <c r="O122" s="56"/>
      <c r="P122" s="1">
        <f t="shared" si="17"/>
        <v>1157327.1802000001</v>
      </c>
      <c r="Q122" s="1">
        <f t="shared" si="11"/>
        <v>1399994.1139</v>
      </c>
      <c r="R122" s="1">
        <f t="shared" si="12"/>
        <v>173647.33828559006</v>
      </c>
      <c r="S122" s="1">
        <f t="shared" si="13"/>
        <v>1808282.0004401105</v>
      </c>
      <c r="T122" s="1">
        <f t="shared" si="14"/>
        <v>4539250.6328257006</v>
      </c>
      <c r="U122" s="11"/>
      <c r="V122" s="11"/>
      <c r="W122" s="11"/>
      <c r="X122" s="12"/>
      <c r="Y122" s="12"/>
      <c r="Z122" s="12"/>
      <c r="AA122" s="12"/>
      <c r="AB122" s="12"/>
      <c r="AC122" s="12"/>
      <c r="AD122" s="12"/>
      <c r="AE122" s="12"/>
      <c r="AF122" s="12"/>
      <c r="AG122" s="12"/>
      <c r="AH122" s="12"/>
      <c r="AI122" s="12"/>
      <c r="AJ122" s="12"/>
      <c r="AK122" s="12"/>
      <c r="AL122" s="12"/>
      <c r="AM122" s="12"/>
      <c r="AN122" s="12"/>
      <c r="AO122" s="12"/>
      <c r="AP122" s="12"/>
      <c r="AQ122" s="12"/>
      <c r="AR122" s="12"/>
      <c r="AS122" s="12"/>
      <c r="AT122" s="12"/>
      <c r="AU122" s="12"/>
      <c r="AV122" s="12"/>
      <c r="AW122" s="12"/>
      <c r="AX122" s="12"/>
      <c r="AY122" s="12"/>
      <c r="AZ122" s="12"/>
      <c r="BA122" s="12"/>
      <c r="BB122" s="12"/>
      <c r="BC122" s="12"/>
      <c r="BD122" s="12"/>
      <c r="BE122" s="12"/>
      <c r="BF122" s="12"/>
      <c r="BG122" s="12"/>
      <c r="BH122" s="12"/>
      <c r="BI122" s="12"/>
      <c r="BJ122" s="12"/>
      <c r="BK122" s="12"/>
      <c r="BL122" s="12"/>
      <c r="BM122" s="12"/>
      <c r="BN122" s="12"/>
      <c r="BO122" s="12"/>
      <c r="BP122" s="12"/>
      <c r="BQ122" s="12"/>
      <c r="BR122" s="12"/>
      <c r="BS122" s="12"/>
      <c r="BT122" s="12"/>
      <c r="BU122" s="12"/>
      <c r="BV122" s="12"/>
      <c r="BW122" s="12"/>
      <c r="BX122" s="12"/>
      <c r="BY122" s="12"/>
      <c r="BZ122" s="12"/>
      <c r="CA122" s="12"/>
      <c r="CB122" s="12"/>
      <c r="CC122" s="12"/>
      <c r="CD122" s="12"/>
      <c r="CE122" s="12"/>
      <c r="CF122" s="12"/>
      <c r="CG122" s="12"/>
      <c r="CH122" s="12"/>
      <c r="CI122" s="12"/>
      <c r="CJ122" s="12"/>
      <c r="CK122" s="12"/>
      <c r="CL122" s="12"/>
      <c r="CM122" s="12"/>
      <c r="CN122" s="12"/>
      <c r="CO122" s="12"/>
      <c r="CP122" s="12"/>
      <c r="CQ122" s="12"/>
      <c r="CR122" s="12"/>
      <c r="CS122" s="12"/>
      <c r="CT122" s="12"/>
      <c r="CU122" s="12"/>
      <c r="CV122" s="12"/>
      <c r="CW122" s="12"/>
      <c r="CX122" s="12"/>
      <c r="CY122" s="12"/>
      <c r="CZ122" s="12"/>
      <c r="DA122" s="12"/>
      <c r="DB122" s="12"/>
      <c r="DC122" s="12"/>
      <c r="DD122" s="12"/>
      <c r="DE122" s="12"/>
      <c r="DF122" s="12"/>
      <c r="DG122" s="12"/>
      <c r="DH122" s="12"/>
      <c r="DI122" s="12"/>
      <c r="DJ122" s="12"/>
      <c r="DK122" s="12"/>
      <c r="DL122" s="12"/>
      <c r="DM122" s="12"/>
      <c r="DN122" s="12"/>
      <c r="DO122" s="12"/>
      <c r="DP122" s="12"/>
      <c r="DQ122" s="12"/>
      <c r="DR122" s="12"/>
      <c r="DS122" s="12"/>
      <c r="DT122" s="12"/>
      <c r="DU122" s="12"/>
      <c r="DV122" s="12"/>
      <c r="DW122" s="12"/>
      <c r="DX122" s="12"/>
      <c r="DY122" s="12"/>
      <c r="DZ122" s="12"/>
      <c r="EA122" s="12"/>
      <c r="EB122" s="12"/>
      <c r="EC122" s="12"/>
      <c r="ED122" s="12"/>
      <c r="EE122" s="12"/>
      <c r="EF122" s="12"/>
      <c r="EG122" s="12"/>
      <c r="EH122" s="12"/>
      <c r="EI122" s="12"/>
      <c r="EJ122" s="12"/>
      <c r="EK122" s="12"/>
      <c r="EL122" s="12"/>
      <c r="EM122" s="12"/>
      <c r="EN122" s="12"/>
      <c r="EO122" s="12"/>
      <c r="EP122" s="12"/>
      <c r="EQ122" s="12"/>
      <c r="ER122" s="12"/>
      <c r="ES122" s="12"/>
      <c r="ET122" s="12"/>
      <c r="EU122" s="12"/>
      <c r="EV122" s="12"/>
      <c r="EW122" s="12"/>
      <c r="EX122" s="12"/>
      <c r="EY122" s="12"/>
      <c r="EZ122" s="12"/>
      <c r="FA122" s="12"/>
      <c r="FB122" s="12"/>
      <c r="FC122" s="12"/>
      <c r="FD122" s="12"/>
      <c r="FE122" s="12"/>
      <c r="FF122" s="12"/>
      <c r="FG122" s="12"/>
      <c r="FH122" s="12"/>
      <c r="FI122" s="12"/>
      <c r="FJ122" s="12"/>
      <c r="FK122" s="12"/>
      <c r="FL122" s="12"/>
      <c r="FM122" s="12"/>
      <c r="FN122" s="12"/>
      <c r="FO122" s="12"/>
      <c r="FP122" s="12"/>
      <c r="FQ122" s="12"/>
      <c r="FR122" s="12"/>
      <c r="FS122" s="12"/>
      <c r="FT122" s="12"/>
      <c r="FU122" s="12"/>
      <c r="FV122" s="12"/>
      <c r="FW122" s="12"/>
      <c r="FX122" s="12"/>
      <c r="FY122" s="12"/>
      <c r="FZ122" s="12"/>
      <c r="GA122" s="12"/>
      <c r="GB122" s="12"/>
      <c r="GC122" s="12"/>
      <c r="GD122" s="12"/>
      <c r="GE122" s="12"/>
    </row>
    <row r="123" spans="1:187" ht="21" customHeight="1">
      <c r="A123" s="30" t="s">
        <v>337</v>
      </c>
      <c r="B123" s="86" t="s">
        <v>361</v>
      </c>
      <c r="C123" s="10" t="s">
        <v>358</v>
      </c>
      <c r="D123" s="10" t="s">
        <v>160</v>
      </c>
      <c r="E123" s="35">
        <f>61.039*0.4</f>
        <v>24.415600000000001</v>
      </c>
      <c r="F123" s="35">
        <f>61.039*0.6</f>
        <v>36.623399999999997</v>
      </c>
      <c r="G123" s="35">
        <f>49.941*0.2</f>
        <v>9.9882000000000009</v>
      </c>
      <c r="H123" s="35">
        <f>49.941*0.8</f>
        <v>39.952800000000003</v>
      </c>
      <c r="I123" s="35">
        <f t="shared" si="10"/>
        <v>110.98000000000002</v>
      </c>
      <c r="J123" s="56">
        <v>110.97999999999999</v>
      </c>
      <c r="K123" s="49">
        <v>3232.56</v>
      </c>
      <c r="L123" s="49">
        <v>3352.1647199999998</v>
      </c>
      <c r="M123" s="49">
        <v>2227.86</v>
      </c>
      <c r="N123" s="49">
        <v>2310.2908200000002</v>
      </c>
      <c r="O123" s="56">
        <f t="shared" si="16"/>
        <v>1004.6999999999998</v>
      </c>
      <c r="P123" s="1">
        <f t="shared" si="17"/>
        <v>24530.353319999998</v>
      </c>
      <c r="Q123" s="1">
        <f t="shared" si="11"/>
        <v>36795.529979999992</v>
      </c>
      <c r="R123" s="1">
        <f t="shared" si="12"/>
        <v>10406.444887979997</v>
      </c>
      <c r="S123" s="1">
        <f t="shared" si="13"/>
        <v>41625.779551919986</v>
      </c>
      <c r="T123" s="1">
        <f t="shared" si="14"/>
        <v>113358.10773989998</v>
      </c>
      <c r="U123" s="11"/>
      <c r="V123" s="11"/>
      <c r="W123" s="11"/>
      <c r="X123" s="12"/>
      <c r="Y123" s="12"/>
      <c r="Z123" s="12"/>
      <c r="AA123" s="12"/>
      <c r="AB123" s="12"/>
      <c r="AC123" s="12"/>
      <c r="AD123" s="12"/>
      <c r="AE123" s="12"/>
      <c r="AF123" s="12"/>
      <c r="AG123" s="12"/>
      <c r="AH123" s="12"/>
      <c r="AI123" s="12"/>
      <c r="AJ123" s="12"/>
      <c r="AK123" s="12"/>
      <c r="AL123" s="12"/>
      <c r="AM123" s="12"/>
      <c r="AN123" s="12"/>
      <c r="AO123" s="12"/>
      <c r="AP123" s="12"/>
      <c r="AQ123" s="12"/>
      <c r="AR123" s="12"/>
      <c r="AS123" s="12"/>
      <c r="AT123" s="12"/>
      <c r="AU123" s="12"/>
      <c r="AV123" s="12"/>
      <c r="AW123" s="12"/>
      <c r="AX123" s="12"/>
      <c r="AY123" s="12"/>
      <c r="AZ123" s="12"/>
      <c r="BA123" s="12"/>
      <c r="BB123" s="12"/>
      <c r="BC123" s="12"/>
      <c r="BD123" s="12"/>
      <c r="BE123" s="12"/>
      <c r="BF123" s="12"/>
      <c r="BG123" s="12"/>
      <c r="BH123" s="12"/>
      <c r="BI123" s="12"/>
      <c r="BJ123" s="12"/>
      <c r="BK123" s="12"/>
      <c r="BL123" s="12"/>
      <c r="BM123" s="12"/>
      <c r="BN123" s="12"/>
      <c r="BO123" s="12"/>
      <c r="BP123" s="12"/>
      <c r="BQ123" s="12"/>
      <c r="BR123" s="12"/>
      <c r="BS123" s="12"/>
      <c r="BT123" s="12"/>
      <c r="BU123" s="12"/>
      <c r="BV123" s="12"/>
      <c r="BW123" s="12"/>
      <c r="BX123" s="12"/>
      <c r="BY123" s="12"/>
      <c r="BZ123" s="12"/>
      <c r="CA123" s="12"/>
      <c r="CB123" s="12"/>
      <c r="CC123" s="12"/>
      <c r="CD123" s="12"/>
      <c r="CE123" s="12"/>
      <c r="CF123" s="12"/>
      <c r="CG123" s="12"/>
      <c r="CH123" s="12"/>
      <c r="CI123" s="12"/>
      <c r="CJ123" s="12"/>
      <c r="CK123" s="12"/>
      <c r="CL123" s="12"/>
      <c r="CM123" s="12"/>
      <c r="CN123" s="12"/>
      <c r="CO123" s="12"/>
      <c r="CP123" s="12"/>
      <c r="CQ123" s="12"/>
      <c r="CR123" s="12"/>
      <c r="CS123" s="12"/>
      <c r="CT123" s="12"/>
      <c r="CU123" s="12"/>
      <c r="CV123" s="12"/>
      <c r="CW123" s="12"/>
      <c r="CX123" s="12"/>
      <c r="CY123" s="12"/>
      <c r="CZ123" s="12"/>
      <c r="DA123" s="12"/>
      <c r="DB123" s="12"/>
      <c r="DC123" s="12"/>
      <c r="DD123" s="12"/>
      <c r="DE123" s="12"/>
      <c r="DF123" s="12"/>
      <c r="DG123" s="12"/>
      <c r="DH123" s="12"/>
      <c r="DI123" s="12"/>
      <c r="DJ123" s="12"/>
      <c r="DK123" s="12"/>
      <c r="DL123" s="12"/>
      <c r="DM123" s="12"/>
      <c r="DN123" s="12"/>
      <c r="DO123" s="12"/>
      <c r="DP123" s="12"/>
      <c r="DQ123" s="12"/>
      <c r="DR123" s="12"/>
      <c r="DS123" s="12"/>
      <c r="DT123" s="12"/>
      <c r="DU123" s="12"/>
      <c r="DV123" s="12"/>
      <c r="DW123" s="12"/>
      <c r="DX123" s="12"/>
      <c r="DY123" s="12"/>
      <c r="DZ123" s="12"/>
      <c r="EA123" s="12"/>
      <c r="EB123" s="12"/>
      <c r="EC123" s="12"/>
      <c r="ED123" s="12"/>
      <c r="EE123" s="12"/>
      <c r="EF123" s="12"/>
      <c r="EG123" s="12"/>
      <c r="EH123" s="12"/>
      <c r="EI123" s="12"/>
      <c r="EJ123" s="12"/>
      <c r="EK123" s="12"/>
      <c r="EL123" s="12"/>
      <c r="EM123" s="12"/>
      <c r="EN123" s="12"/>
      <c r="EO123" s="12"/>
      <c r="EP123" s="12"/>
      <c r="EQ123" s="12"/>
      <c r="ER123" s="12"/>
      <c r="ES123" s="12"/>
      <c r="ET123" s="12"/>
      <c r="EU123" s="12"/>
      <c r="EV123" s="12"/>
      <c r="EW123" s="12"/>
      <c r="EX123" s="12"/>
      <c r="EY123" s="12"/>
      <c r="EZ123" s="12"/>
      <c r="FA123" s="12"/>
      <c r="FB123" s="12"/>
      <c r="FC123" s="12"/>
      <c r="FD123" s="12"/>
      <c r="FE123" s="12"/>
      <c r="FF123" s="12"/>
      <c r="FG123" s="12"/>
      <c r="FH123" s="12"/>
      <c r="FI123" s="12"/>
      <c r="FJ123" s="12"/>
      <c r="FK123" s="12"/>
      <c r="FL123" s="12"/>
      <c r="FM123" s="12"/>
      <c r="FN123" s="12"/>
      <c r="FO123" s="12"/>
      <c r="FP123" s="12"/>
      <c r="FQ123" s="12"/>
      <c r="FR123" s="12"/>
      <c r="FS123" s="12"/>
      <c r="FT123" s="12"/>
      <c r="FU123" s="12"/>
      <c r="FV123" s="12"/>
      <c r="FW123" s="12"/>
      <c r="FX123" s="12"/>
      <c r="FY123" s="12"/>
      <c r="FZ123" s="12"/>
      <c r="GA123" s="12"/>
      <c r="GB123" s="12"/>
      <c r="GC123" s="12"/>
      <c r="GD123" s="12"/>
      <c r="GE123" s="12"/>
    </row>
    <row r="124" spans="1:187" ht="21" customHeight="1">
      <c r="A124" s="30" t="s">
        <v>337</v>
      </c>
      <c r="B124" s="86" t="s">
        <v>362</v>
      </c>
      <c r="C124" s="10" t="s">
        <v>359</v>
      </c>
      <c r="D124" s="10" t="s">
        <v>163</v>
      </c>
      <c r="E124" s="35">
        <f>67.6*0.4</f>
        <v>27.04</v>
      </c>
      <c r="F124" s="35">
        <f>67.6*0.6</f>
        <v>40.559999999999995</v>
      </c>
      <c r="G124" s="35">
        <f>62.4*0.2</f>
        <v>12.48</v>
      </c>
      <c r="H124" s="35">
        <f>62.4*0.8</f>
        <v>49.92</v>
      </c>
      <c r="I124" s="35">
        <f t="shared" si="10"/>
        <v>130</v>
      </c>
      <c r="J124" s="56">
        <v>130</v>
      </c>
      <c r="K124" s="49">
        <v>2143.41</v>
      </c>
      <c r="L124" s="49">
        <v>2222.7161699999997</v>
      </c>
      <c r="M124" s="49">
        <v>1780.44</v>
      </c>
      <c r="N124" s="49">
        <v>1846.31628</v>
      </c>
      <c r="O124" s="56">
        <f t="shared" si="16"/>
        <v>362.9699999999998</v>
      </c>
      <c r="P124" s="1">
        <f t="shared" si="17"/>
        <v>9814.7087999999949</v>
      </c>
      <c r="Q124" s="1">
        <f t="shared" si="11"/>
        <v>14722.06319999999</v>
      </c>
      <c r="R124" s="1">
        <f t="shared" si="12"/>
        <v>4697.4706271999967</v>
      </c>
      <c r="S124" s="1">
        <f t="shared" si="13"/>
        <v>18789.882508799987</v>
      </c>
      <c r="T124" s="1">
        <f t="shared" si="14"/>
        <v>48024.125135999966</v>
      </c>
      <c r="U124" s="11"/>
      <c r="V124" s="11"/>
      <c r="W124" s="11"/>
      <c r="X124" s="12"/>
      <c r="Y124" s="12"/>
      <c r="Z124" s="12"/>
      <c r="AA124" s="12"/>
      <c r="AB124" s="12"/>
      <c r="AC124" s="12"/>
      <c r="AD124" s="12"/>
      <c r="AE124" s="12"/>
      <c r="AF124" s="12"/>
      <c r="AG124" s="12"/>
      <c r="AH124" s="12"/>
      <c r="AI124" s="12"/>
      <c r="AJ124" s="12"/>
      <c r="AK124" s="12"/>
      <c r="AL124" s="12"/>
      <c r="AM124" s="12"/>
      <c r="AN124" s="12"/>
      <c r="AO124" s="12"/>
      <c r="AP124" s="12"/>
      <c r="AQ124" s="12"/>
      <c r="AR124" s="12"/>
      <c r="AS124" s="12"/>
      <c r="AT124" s="12"/>
      <c r="AU124" s="12"/>
      <c r="AV124" s="12"/>
      <c r="AW124" s="12"/>
      <c r="AX124" s="12"/>
      <c r="AY124" s="12"/>
      <c r="AZ124" s="12"/>
      <c r="BA124" s="12"/>
      <c r="BB124" s="12"/>
      <c r="BC124" s="12"/>
      <c r="BD124" s="12"/>
      <c r="BE124" s="12"/>
      <c r="BF124" s="12"/>
      <c r="BG124" s="12"/>
      <c r="BH124" s="12"/>
      <c r="BI124" s="12"/>
      <c r="BJ124" s="12"/>
      <c r="BK124" s="12"/>
      <c r="BL124" s="12"/>
      <c r="BM124" s="12"/>
      <c r="BN124" s="12"/>
      <c r="BO124" s="12"/>
      <c r="BP124" s="12"/>
      <c r="BQ124" s="12"/>
      <c r="BR124" s="12"/>
      <c r="BS124" s="12"/>
      <c r="BT124" s="12"/>
      <c r="BU124" s="12"/>
      <c r="BV124" s="12"/>
      <c r="BW124" s="12"/>
      <c r="BX124" s="12"/>
      <c r="BY124" s="12"/>
      <c r="BZ124" s="12"/>
      <c r="CA124" s="12"/>
      <c r="CB124" s="12"/>
      <c r="CC124" s="12"/>
      <c r="CD124" s="12"/>
      <c r="CE124" s="12"/>
      <c r="CF124" s="12"/>
      <c r="CG124" s="12"/>
      <c r="CH124" s="12"/>
      <c r="CI124" s="12"/>
      <c r="CJ124" s="12"/>
      <c r="CK124" s="12"/>
      <c r="CL124" s="12"/>
      <c r="CM124" s="12"/>
      <c r="CN124" s="12"/>
      <c r="CO124" s="12"/>
      <c r="CP124" s="12"/>
      <c r="CQ124" s="12"/>
      <c r="CR124" s="12"/>
      <c r="CS124" s="12"/>
      <c r="CT124" s="12"/>
      <c r="CU124" s="12"/>
      <c r="CV124" s="12"/>
      <c r="CW124" s="12"/>
      <c r="CX124" s="12"/>
      <c r="CY124" s="12"/>
      <c r="CZ124" s="12"/>
      <c r="DA124" s="12"/>
      <c r="DB124" s="12"/>
      <c r="DC124" s="12"/>
      <c r="DD124" s="12"/>
      <c r="DE124" s="12"/>
      <c r="DF124" s="12"/>
      <c r="DG124" s="12"/>
      <c r="DH124" s="12"/>
      <c r="DI124" s="12"/>
      <c r="DJ124" s="12"/>
      <c r="DK124" s="12"/>
      <c r="DL124" s="12"/>
      <c r="DM124" s="12"/>
      <c r="DN124" s="12"/>
      <c r="DO124" s="12"/>
      <c r="DP124" s="12"/>
      <c r="DQ124" s="12"/>
      <c r="DR124" s="12"/>
      <c r="DS124" s="12"/>
      <c r="DT124" s="12"/>
      <c r="DU124" s="12"/>
      <c r="DV124" s="12"/>
      <c r="DW124" s="12"/>
      <c r="DX124" s="12"/>
      <c r="DY124" s="12"/>
      <c r="DZ124" s="12"/>
      <c r="EA124" s="12"/>
      <c r="EB124" s="12"/>
      <c r="EC124" s="12"/>
      <c r="ED124" s="12"/>
      <c r="EE124" s="12"/>
      <c r="EF124" s="12"/>
      <c r="EG124" s="12"/>
      <c r="EH124" s="12"/>
      <c r="EI124" s="12"/>
      <c r="EJ124" s="12"/>
      <c r="EK124" s="12"/>
      <c r="EL124" s="12"/>
      <c r="EM124" s="12"/>
      <c r="EN124" s="12"/>
      <c r="EO124" s="12"/>
      <c r="EP124" s="12"/>
      <c r="EQ124" s="12"/>
      <c r="ER124" s="12"/>
      <c r="ES124" s="12"/>
      <c r="ET124" s="12"/>
      <c r="EU124" s="12"/>
      <c r="EV124" s="12"/>
      <c r="EW124" s="12"/>
      <c r="EX124" s="12"/>
      <c r="EY124" s="12"/>
      <c r="EZ124" s="12"/>
      <c r="FA124" s="12"/>
      <c r="FB124" s="12"/>
      <c r="FC124" s="12"/>
      <c r="FD124" s="12"/>
      <c r="FE124" s="12"/>
      <c r="FF124" s="12"/>
      <c r="FG124" s="12"/>
      <c r="FH124" s="12"/>
      <c r="FI124" s="12"/>
      <c r="FJ124" s="12"/>
      <c r="FK124" s="12"/>
      <c r="FL124" s="12"/>
      <c r="FM124" s="12"/>
      <c r="FN124" s="12"/>
      <c r="FO124" s="12"/>
      <c r="FP124" s="12"/>
      <c r="FQ124" s="12"/>
      <c r="FR124" s="12"/>
      <c r="FS124" s="12"/>
      <c r="FT124" s="12"/>
      <c r="FU124" s="12"/>
      <c r="FV124" s="12"/>
      <c r="FW124" s="12"/>
      <c r="FX124" s="12"/>
      <c r="FY124" s="12"/>
      <c r="FZ124" s="12"/>
      <c r="GA124" s="12"/>
      <c r="GB124" s="12"/>
      <c r="GC124" s="12"/>
      <c r="GD124" s="12"/>
      <c r="GE124" s="12"/>
    </row>
    <row r="125" spans="1:187" ht="21" customHeight="1">
      <c r="A125" s="30" t="s">
        <v>337</v>
      </c>
      <c r="B125" s="86" t="s">
        <v>363</v>
      </c>
      <c r="C125" s="10" t="s">
        <v>430</v>
      </c>
      <c r="D125" s="10" t="s">
        <v>161</v>
      </c>
      <c r="E125" s="35">
        <f>258.5658*0.6</f>
        <v>155.13948000000002</v>
      </c>
      <c r="F125" s="35">
        <f>258.5658*0.4</f>
        <v>103.42632000000002</v>
      </c>
      <c r="G125" s="35">
        <f>229.2942*0.2</f>
        <v>45.858840000000001</v>
      </c>
      <c r="H125" s="35">
        <f>229.2942*0.8</f>
        <v>183.43536</v>
      </c>
      <c r="I125" s="35">
        <f t="shared" si="10"/>
        <v>487.86</v>
      </c>
      <c r="J125" s="56">
        <v>487.86</v>
      </c>
      <c r="K125" s="49">
        <v>4204.1460208471108</v>
      </c>
      <c r="L125" s="49">
        <v>4204.1460208471108</v>
      </c>
      <c r="M125" s="49">
        <v>2227.83</v>
      </c>
      <c r="N125" s="49">
        <v>2310.2597099999998</v>
      </c>
      <c r="O125" s="56">
        <f t="shared" si="16"/>
        <v>1976.3160208471108</v>
      </c>
      <c r="P125" s="1">
        <f t="shared" si="17"/>
        <v>306604.63978988997</v>
      </c>
      <c r="Q125" s="1">
        <f t="shared" si="11"/>
        <v>204403.09319325999</v>
      </c>
      <c r="R125" s="1">
        <f t="shared" si="12"/>
        <v>86851.429307327926</v>
      </c>
      <c r="S125" s="1">
        <f t="shared" si="13"/>
        <v>347405.7172293117</v>
      </c>
      <c r="T125" s="1">
        <f t="shared" si="14"/>
        <v>945264.8795197896</v>
      </c>
      <c r="U125" s="11"/>
      <c r="V125" s="11"/>
      <c r="W125" s="11"/>
      <c r="X125" s="12"/>
      <c r="Y125" s="12"/>
      <c r="Z125" s="12"/>
      <c r="AA125" s="12"/>
      <c r="AB125" s="12"/>
      <c r="AC125" s="12"/>
      <c r="AD125" s="12"/>
      <c r="AE125" s="12"/>
      <c r="AF125" s="12"/>
      <c r="AG125" s="12"/>
      <c r="AH125" s="12"/>
      <c r="AI125" s="12"/>
      <c r="AJ125" s="12"/>
      <c r="AK125" s="12"/>
      <c r="AL125" s="12"/>
      <c r="AM125" s="12"/>
      <c r="AN125" s="12"/>
      <c r="AO125" s="12"/>
      <c r="AP125" s="12"/>
      <c r="AQ125" s="12"/>
      <c r="AR125" s="12"/>
      <c r="AS125" s="12"/>
      <c r="AT125" s="12"/>
      <c r="AU125" s="12"/>
      <c r="AV125" s="12"/>
      <c r="AW125" s="12"/>
      <c r="AX125" s="12"/>
      <c r="AY125" s="12"/>
      <c r="AZ125" s="12"/>
      <c r="BA125" s="12"/>
      <c r="BB125" s="12"/>
      <c r="BC125" s="12"/>
      <c r="BD125" s="12"/>
      <c r="BE125" s="12"/>
      <c r="BF125" s="12"/>
      <c r="BG125" s="12"/>
      <c r="BH125" s="12"/>
      <c r="BI125" s="12"/>
      <c r="BJ125" s="12"/>
      <c r="BK125" s="12"/>
      <c r="BL125" s="12"/>
      <c r="BM125" s="12"/>
      <c r="BN125" s="12"/>
      <c r="BO125" s="12"/>
      <c r="BP125" s="12"/>
      <c r="BQ125" s="12"/>
      <c r="BR125" s="12"/>
      <c r="BS125" s="12"/>
      <c r="BT125" s="12"/>
      <c r="BU125" s="12"/>
      <c r="BV125" s="12"/>
      <c r="BW125" s="12"/>
      <c r="BX125" s="12"/>
      <c r="BY125" s="12"/>
      <c r="BZ125" s="12"/>
      <c r="CA125" s="12"/>
      <c r="CB125" s="12"/>
      <c r="CC125" s="12"/>
      <c r="CD125" s="12"/>
      <c r="CE125" s="12"/>
      <c r="CF125" s="12"/>
      <c r="CG125" s="12"/>
      <c r="CH125" s="12"/>
      <c r="CI125" s="12"/>
      <c r="CJ125" s="12"/>
      <c r="CK125" s="12"/>
      <c r="CL125" s="12"/>
      <c r="CM125" s="12"/>
      <c r="CN125" s="12"/>
      <c r="CO125" s="12"/>
      <c r="CP125" s="12"/>
      <c r="CQ125" s="12"/>
      <c r="CR125" s="12"/>
      <c r="CS125" s="12"/>
      <c r="CT125" s="12"/>
      <c r="CU125" s="12"/>
      <c r="CV125" s="12"/>
      <c r="CW125" s="12"/>
      <c r="CX125" s="12"/>
      <c r="CY125" s="12"/>
      <c r="CZ125" s="12"/>
      <c r="DA125" s="12"/>
      <c r="DB125" s="12"/>
      <c r="DC125" s="12"/>
      <c r="DD125" s="12"/>
      <c r="DE125" s="12"/>
      <c r="DF125" s="12"/>
      <c r="DG125" s="12"/>
      <c r="DH125" s="12"/>
      <c r="DI125" s="12"/>
      <c r="DJ125" s="12"/>
      <c r="DK125" s="12"/>
      <c r="DL125" s="12"/>
      <c r="DM125" s="12"/>
      <c r="DN125" s="12"/>
      <c r="DO125" s="12"/>
      <c r="DP125" s="12"/>
      <c r="DQ125" s="12"/>
      <c r="DR125" s="12"/>
      <c r="DS125" s="12"/>
      <c r="DT125" s="12"/>
      <c r="DU125" s="12"/>
      <c r="DV125" s="12"/>
      <c r="DW125" s="12"/>
      <c r="DX125" s="12"/>
      <c r="DY125" s="12"/>
      <c r="DZ125" s="12"/>
      <c r="EA125" s="12"/>
      <c r="EB125" s="12"/>
      <c r="EC125" s="12"/>
      <c r="ED125" s="12"/>
      <c r="EE125" s="12"/>
      <c r="EF125" s="12"/>
      <c r="EG125" s="12"/>
      <c r="EH125" s="12"/>
      <c r="EI125" s="12"/>
      <c r="EJ125" s="12"/>
      <c r="EK125" s="12"/>
      <c r="EL125" s="12"/>
      <c r="EM125" s="12"/>
      <c r="EN125" s="12"/>
      <c r="EO125" s="12"/>
      <c r="EP125" s="12"/>
      <c r="EQ125" s="12"/>
      <c r="ER125" s="12"/>
      <c r="ES125" s="12"/>
      <c r="ET125" s="12"/>
      <c r="EU125" s="12"/>
      <c r="EV125" s="12"/>
      <c r="EW125" s="12"/>
      <c r="EX125" s="12"/>
      <c r="EY125" s="12"/>
      <c r="EZ125" s="12"/>
      <c r="FA125" s="12"/>
      <c r="FB125" s="12"/>
      <c r="FC125" s="12"/>
      <c r="FD125" s="12"/>
      <c r="FE125" s="12"/>
      <c r="FF125" s="12"/>
      <c r="FG125" s="12"/>
      <c r="FH125" s="12"/>
      <c r="FI125" s="12"/>
      <c r="FJ125" s="12"/>
      <c r="FK125" s="12"/>
      <c r="FL125" s="12"/>
      <c r="FM125" s="12"/>
      <c r="FN125" s="12"/>
      <c r="FO125" s="12"/>
      <c r="FP125" s="12"/>
      <c r="FQ125" s="12"/>
      <c r="FR125" s="12"/>
      <c r="FS125" s="12"/>
      <c r="FT125" s="12"/>
      <c r="FU125" s="12"/>
      <c r="FV125" s="12"/>
      <c r="FW125" s="12"/>
      <c r="FX125" s="12"/>
      <c r="FY125" s="12"/>
      <c r="FZ125" s="12"/>
      <c r="GA125" s="12"/>
      <c r="GB125" s="12"/>
      <c r="GC125" s="12"/>
      <c r="GD125" s="12"/>
      <c r="GE125" s="12"/>
    </row>
    <row r="126" spans="1:187" ht="21" customHeight="1">
      <c r="A126" s="30" t="s">
        <v>337</v>
      </c>
      <c r="B126" s="86" t="s">
        <v>364</v>
      </c>
      <c r="C126" s="10" t="s">
        <v>360</v>
      </c>
      <c r="D126" s="10" t="s">
        <v>365</v>
      </c>
      <c r="E126" s="35">
        <f>388.84352*0.6</f>
        <v>233.30611199999998</v>
      </c>
      <c r="F126" s="35">
        <f>388.84352*0.4</f>
        <v>155.53740800000003</v>
      </c>
      <c r="G126" s="35">
        <f>261.39648*0.2</f>
        <v>52.279296000000002</v>
      </c>
      <c r="H126" s="35">
        <f>261.39648*0.8</f>
        <v>209.11718400000001</v>
      </c>
      <c r="I126" s="35">
        <f t="shared" si="10"/>
        <v>650.24</v>
      </c>
      <c r="J126" s="56">
        <v>650.24</v>
      </c>
      <c r="K126" s="49">
        <v>3158.63</v>
      </c>
      <c r="L126" s="49">
        <v>3158.63</v>
      </c>
      <c r="M126" s="49">
        <v>2227.86</v>
      </c>
      <c r="N126" s="49">
        <v>2310.2908200000002</v>
      </c>
      <c r="O126" s="56">
        <f t="shared" si="16"/>
        <v>930.77</v>
      </c>
      <c r="P126" s="1">
        <f t="shared" si="17"/>
        <v>217154.32986623998</v>
      </c>
      <c r="Q126" s="1">
        <f t="shared" si="11"/>
        <v>144769.55324416002</v>
      </c>
      <c r="R126" s="1">
        <f t="shared" si="12"/>
        <v>44350.575099617279</v>
      </c>
      <c r="S126" s="1">
        <f t="shared" si="13"/>
        <v>177402.30039846912</v>
      </c>
      <c r="T126" s="1">
        <f t="shared" si="14"/>
        <v>583676.75860848639</v>
      </c>
      <c r="U126" s="11"/>
      <c r="V126" s="11"/>
      <c r="W126" s="11"/>
      <c r="X126" s="12"/>
      <c r="Y126" s="12"/>
      <c r="Z126" s="12"/>
      <c r="AA126" s="12"/>
      <c r="AB126" s="12"/>
      <c r="AC126" s="12"/>
      <c r="AD126" s="12"/>
      <c r="AE126" s="12"/>
      <c r="AF126" s="12"/>
      <c r="AG126" s="12"/>
      <c r="AH126" s="12"/>
      <c r="AI126" s="12"/>
      <c r="AJ126" s="12"/>
      <c r="AK126" s="12"/>
      <c r="AL126" s="12"/>
      <c r="AM126" s="12"/>
      <c r="AN126" s="12"/>
      <c r="AO126" s="12"/>
      <c r="AP126" s="12"/>
      <c r="AQ126" s="12"/>
      <c r="AR126" s="12"/>
      <c r="AS126" s="12"/>
      <c r="AT126" s="12"/>
      <c r="AU126" s="12"/>
      <c r="AV126" s="12"/>
      <c r="AW126" s="12"/>
      <c r="AX126" s="12"/>
      <c r="AY126" s="12"/>
      <c r="AZ126" s="12"/>
      <c r="BA126" s="12"/>
      <c r="BB126" s="12"/>
      <c r="BC126" s="12"/>
      <c r="BD126" s="12"/>
      <c r="BE126" s="12"/>
      <c r="BF126" s="12"/>
      <c r="BG126" s="12"/>
      <c r="BH126" s="12"/>
      <c r="BI126" s="12"/>
      <c r="BJ126" s="12"/>
      <c r="BK126" s="12"/>
      <c r="BL126" s="12"/>
      <c r="BM126" s="12"/>
      <c r="BN126" s="12"/>
      <c r="BO126" s="12"/>
      <c r="BP126" s="12"/>
      <c r="BQ126" s="12"/>
      <c r="BR126" s="12"/>
      <c r="BS126" s="12"/>
      <c r="BT126" s="12"/>
      <c r="BU126" s="12"/>
      <c r="BV126" s="12"/>
      <c r="BW126" s="12"/>
      <c r="BX126" s="12"/>
      <c r="BY126" s="12"/>
      <c r="BZ126" s="12"/>
      <c r="CA126" s="12"/>
      <c r="CB126" s="12"/>
      <c r="CC126" s="12"/>
      <c r="CD126" s="12"/>
      <c r="CE126" s="12"/>
      <c r="CF126" s="12"/>
      <c r="CG126" s="12"/>
      <c r="CH126" s="12"/>
      <c r="CI126" s="12"/>
      <c r="CJ126" s="12"/>
      <c r="CK126" s="12"/>
      <c r="CL126" s="12"/>
      <c r="CM126" s="12"/>
      <c r="CN126" s="12"/>
      <c r="CO126" s="12"/>
      <c r="CP126" s="12"/>
      <c r="CQ126" s="12"/>
      <c r="CR126" s="12"/>
      <c r="CS126" s="12"/>
      <c r="CT126" s="12"/>
      <c r="CU126" s="12"/>
      <c r="CV126" s="12"/>
      <c r="CW126" s="12"/>
      <c r="CX126" s="12"/>
      <c r="CY126" s="12"/>
      <c r="CZ126" s="12"/>
      <c r="DA126" s="12"/>
      <c r="DB126" s="12"/>
      <c r="DC126" s="12"/>
      <c r="DD126" s="12"/>
      <c r="DE126" s="12"/>
      <c r="DF126" s="12"/>
      <c r="DG126" s="12"/>
      <c r="DH126" s="12"/>
      <c r="DI126" s="12"/>
      <c r="DJ126" s="12"/>
      <c r="DK126" s="12"/>
      <c r="DL126" s="12"/>
      <c r="DM126" s="12"/>
      <c r="DN126" s="12"/>
      <c r="DO126" s="12"/>
      <c r="DP126" s="12"/>
      <c r="DQ126" s="12"/>
      <c r="DR126" s="12"/>
      <c r="DS126" s="12"/>
      <c r="DT126" s="12"/>
      <c r="DU126" s="12"/>
      <c r="DV126" s="12"/>
      <c r="DW126" s="12"/>
      <c r="DX126" s="12"/>
      <c r="DY126" s="12"/>
      <c r="DZ126" s="12"/>
      <c r="EA126" s="12"/>
      <c r="EB126" s="12"/>
      <c r="EC126" s="12"/>
      <c r="ED126" s="12"/>
      <c r="EE126" s="12"/>
      <c r="EF126" s="12"/>
      <c r="EG126" s="12"/>
      <c r="EH126" s="12"/>
      <c r="EI126" s="12"/>
      <c r="EJ126" s="12"/>
      <c r="EK126" s="12"/>
      <c r="EL126" s="12"/>
      <c r="EM126" s="12"/>
      <c r="EN126" s="12"/>
      <c r="EO126" s="12"/>
      <c r="EP126" s="12"/>
      <c r="EQ126" s="12"/>
      <c r="ER126" s="12"/>
      <c r="ES126" s="12"/>
      <c r="ET126" s="12"/>
      <c r="EU126" s="12"/>
      <c r="EV126" s="12"/>
      <c r="EW126" s="12"/>
      <c r="EX126" s="12"/>
      <c r="EY126" s="12"/>
      <c r="EZ126" s="12"/>
      <c r="FA126" s="12"/>
      <c r="FB126" s="12"/>
      <c r="FC126" s="12"/>
      <c r="FD126" s="12"/>
      <c r="FE126" s="12"/>
      <c r="FF126" s="12"/>
      <c r="FG126" s="12"/>
      <c r="FH126" s="12"/>
      <c r="FI126" s="12"/>
      <c r="FJ126" s="12"/>
      <c r="FK126" s="12"/>
      <c r="FL126" s="12"/>
      <c r="FM126" s="12"/>
      <c r="FN126" s="12"/>
      <c r="FO126" s="12"/>
      <c r="FP126" s="12"/>
      <c r="FQ126" s="12"/>
      <c r="FR126" s="12"/>
      <c r="FS126" s="12"/>
      <c r="FT126" s="12"/>
      <c r="FU126" s="12"/>
      <c r="FV126" s="12"/>
      <c r="FW126" s="12"/>
      <c r="FX126" s="12"/>
      <c r="FY126" s="12"/>
      <c r="FZ126" s="12"/>
      <c r="GA126" s="12"/>
      <c r="GB126" s="12"/>
      <c r="GC126" s="12"/>
      <c r="GD126" s="12"/>
      <c r="GE126" s="12"/>
    </row>
    <row r="127" spans="1:187" ht="21" customHeight="1">
      <c r="A127" s="45"/>
      <c r="B127" s="101" t="s">
        <v>165</v>
      </c>
      <c r="C127" s="101"/>
      <c r="D127" s="101"/>
      <c r="E127" s="34"/>
      <c r="F127" s="34"/>
      <c r="G127" s="34"/>
      <c r="H127" s="34"/>
      <c r="I127" s="35">
        <f t="shared" si="10"/>
        <v>0</v>
      </c>
      <c r="J127" s="11"/>
      <c r="K127" s="64"/>
      <c r="L127" s="64"/>
      <c r="M127" s="64"/>
      <c r="N127" s="64"/>
      <c r="O127" s="56">
        <f t="shared" si="16"/>
        <v>0</v>
      </c>
      <c r="P127" s="1">
        <f t="shared" si="17"/>
        <v>0</v>
      </c>
      <c r="Q127" s="1">
        <f t="shared" si="11"/>
        <v>0</v>
      </c>
      <c r="R127" s="1">
        <f t="shared" si="12"/>
        <v>0</v>
      </c>
      <c r="S127" s="1">
        <f t="shared" si="13"/>
        <v>0</v>
      </c>
      <c r="T127" s="1">
        <f t="shared" si="14"/>
        <v>0</v>
      </c>
      <c r="U127" s="45"/>
      <c r="V127" s="45"/>
      <c r="W127" s="45"/>
    </row>
    <row r="128" spans="1:187" ht="21" customHeight="1">
      <c r="A128" s="45"/>
      <c r="B128" s="86" t="s">
        <v>20</v>
      </c>
      <c r="C128" s="10" t="s">
        <v>175</v>
      </c>
      <c r="D128" s="10" t="s">
        <v>176</v>
      </c>
      <c r="E128" s="35">
        <v>2403.3229999999999</v>
      </c>
      <c r="F128" s="35">
        <f>3490.923-E128</f>
        <v>1087.5999999999999</v>
      </c>
      <c r="G128" s="35">
        <v>377.45100000000002</v>
      </c>
      <c r="H128" s="35">
        <f>2163.852-G128</f>
        <v>1786.4009999999998</v>
      </c>
      <c r="I128" s="35">
        <f t="shared" si="10"/>
        <v>5654.7749999999996</v>
      </c>
      <c r="J128" s="56">
        <v>5725.9</v>
      </c>
      <c r="K128" s="49">
        <v>3589.02</v>
      </c>
      <c r="L128" s="49">
        <v>3732.58</v>
      </c>
      <c r="M128" s="49">
        <v>2107.09</v>
      </c>
      <c r="N128" s="49">
        <v>2185.0500000000002</v>
      </c>
      <c r="O128" s="56">
        <f t="shared" si="16"/>
        <v>1481.9299999999998</v>
      </c>
      <c r="P128" s="1">
        <f t="shared" si="17"/>
        <v>3561556.4533899995</v>
      </c>
      <c r="Q128" s="1">
        <f t="shared" si="11"/>
        <v>1611747.0679999997</v>
      </c>
      <c r="R128" s="1">
        <f t="shared" si="12"/>
        <v>584116.74602999992</v>
      </c>
      <c r="S128" s="1">
        <f t="shared" si="13"/>
        <v>2764509.1395299993</v>
      </c>
      <c r="T128" s="1">
        <f t="shared" si="14"/>
        <v>8521929.4069499988</v>
      </c>
      <c r="U128" s="11"/>
      <c r="V128" s="11"/>
      <c r="W128" s="11"/>
      <c r="X128" s="12"/>
      <c r="Y128" s="12"/>
      <c r="Z128" s="12"/>
      <c r="AA128" s="12"/>
      <c r="AB128" s="12"/>
      <c r="AC128" s="12"/>
      <c r="AD128" s="12"/>
      <c r="AE128" s="12"/>
      <c r="AF128" s="12"/>
      <c r="AG128" s="12"/>
      <c r="AH128" s="12"/>
      <c r="AI128" s="12"/>
      <c r="AJ128" s="12"/>
      <c r="AK128" s="12"/>
      <c r="AL128" s="12"/>
      <c r="AM128" s="12"/>
      <c r="AN128" s="12"/>
      <c r="AO128" s="12"/>
      <c r="AP128" s="12"/>
      <c r="AQ128" s="12"/>
      <c r="AR128" s="12"/>
      <c r="AS128" s="12"/>
      <c r="AT128" s="12"/>
      <c r="AU128" s="12"/>
      <c r="AV128" s="12"/>
      <c r="AW128" s="12"/>
      <c r="AX128" s="12"/>
      <c r="AY128" s="12"/>
      <c r="AZ128" s="12"/>
      <c r="BA128" s="12"/>
      <c r="BB128" s="12"/>
      <c r="BC128" s="12"/>
      <c r="BD128" s="12"/>
      <c r="BE128" s="12"/>
      <c r="BF128" s="12"/>
      <c r="BG128" s="12"/>
      <c r="BH128" s="12"/>
      <c r="BI128" s="12"/>
      <c r="BJ128" s="12"/>
      <c r="BK128" s="12"/>
      <c r="BL128" s="12"/>
      <c r="BM128" s="12"/>
      <c r="BN128" s="12"/>
      <c r="BO128" s="12"/>
      <c r="BP128" s="12"/>
      <c r="BQ128" s="12"/>
      <c r="BR128" s="12"/>
      <c r="BS128" s="12"/>
      <c r="BT128" s="12"/>
      <c r="BU128" s="12"/>
      <c r="BV128" s="12"/>
      <c r="BW128" s="12"/>
      <c r="BX128" s="12"/>
      <c r="BY128" s="12"/>
      <c r="BZ128" s="12"/>
      <c r="CA128" s="12"/>
      <c r="CB128" s="12"/>
      <c r="CC128" s="12"/>
      <c r="CD128" s="12"/>
      <c r="CE128" s="12"/>
      <c r="CF128" s="12"/>
      <c r="CG128" s="12"/>
      <c r="CH128" s="12"/>
      <c r="CI128" s="12"/>
      <c r="CJ128" s="12"/>
      <c r="CK128" s="12"/>
      <c r="CL128" s="12"/>
      <c r="CM128" s="12"/>
      <c r="CN128" s="12"/>
      <c r="CO128" s="12"/>
      <c r="CP128" s="12"/>
      <c r="CQ128" s="12"/>
      <c r="CR128" s="12"/>
      <c r="CS128" s="12"/>
      <c r="CT128" s="12"/>
      <c r="CU128" s="12"/>
      <c r="CV128" s="12"/>
      <c r="CW128" s="12"/>
      <c r="CX128" s="12"/>
      <c r="CY128" s="12"/>
      <c r="CZ128" s="12"/>
      <c r="DA128" s="12"/>
      <c r="DB128" s="12"/>
      <c r="DC128" s="12"/>
      <c r="DD128" s="12"/>
      <c r="DE128" s="12"/>
      <c r="DF128" s="12"/>
      <c r="DG128" s="12"/>
      <c r="DH128" s="12"/>
      <c r="DI128" s="12"/>
      <c r="DJ128" s="12"/>
      <c r="DK128" s="12"/>
      <c r="DL128" s="12"/>
      <c r="DM128" s="12"/>
      <c r="DN128" s="12"/>
      <c r="DO128" s="12"/>
      <c r="DP128" s="12"/>
      <c r="DQ128" s="12"/>
      <c r="DR128" s="12"/>
      <c r="DS128" s="12"/>
      <c r="DT128" s="12"/>
      <c r="DU128" s="12"/>
      <c r="DV128" s="12"/>
      <c r="DW128" s="12"/>
      <c r="DX128" s="12"/>
      <c r="DY128" s="12"/>
      <c r="DZ128" s="12"/>
      <c r="EA128" s="12"/>
      <c r="EB128" s="12"/>
      <c r="EC128" s="12"/>
      <c r="ED128" s="12"/>
      <c r="EE128" s="12"/>
      <c r="EF128" s="12"/>
      <c r="EG128" s="12"/>
      <c r="EH128" s="12"/>
      <c r="EI128" s="12"/>
      <c r="EJ128" s="12"/>
      <c r="EK128" s="12"/>
      <c r="EL128" s="12"/>
      <c r="EM128" s="12"/>
      <c r="EN128" s="12"/>
      <c r="EO128" s="12"/>
      <c r="EP128" s="12"/>
      <c r="EQ128" s="12"/>
      <c r="ER128" s="12"/>
      <c r="ES128" s="12"/>
      <c r="ET128" s="12"/>
      <c r="EU128" s="12"/>
      <c r="EV128" s="12"/>
      <c r="EW128" s="12"/>
      <c r="EX128" s="12"/>
      <c r="EY128" s="12"/>
      <c r="EZ128" s="12"/>
      <c r="FA128" s="12"/>
      <c r="FB128" s="12"/>
      <c r="FC128" s="12"/>
      <c r="FD128" s="12"/>
      <c r="FE128" s="12"/>
      <c r="FF128" s="12"/>
      <c r="FG128" s="12"/>
      <c r="FH128" s="12"/>
      <c r="FI128" s="12"/>
      <c r="FJ128" s="12"/>
      <c r="FK128" s="12"/>
      <c r="FL128" s="12"/>
      <c r="FM128" s="12"/>
      <c r="FN128" s="12"/>
      <c r="FO128" s="12"/>
      <c r="FP128" s="12"/>
      <c r="FQ128" s="12"/>
      <c r="FR128" s="12"/>
      <c r="FS128" s="12"/>
      <c r="FT128" s="12"/>
      <c r="FU128" s="12"/>
      <c r="FV128" s="12"/>
      <c r="FW128" s="12"/>
      <c r="FX128" s="12"/>
      <c r="FY128" s="12"/>
      <c r="FZ128" s="12"/>
      <c r="GA128" s="12"/>
      <c r="GB128" s="12"/>
      <c r="GC128" s="12"/>
      <c r="GD128" s="12"/>
      <c r="GE128" s="12"/>
    </row>
    <row r="129" spans="1:187" ht="21" customHeight="1">
      <c r="A129" s="45"/>
      <c r="B129" s="86" t="s">
        <v>23</v>
      </c>
      <c r="C129" s="10" t="s">
        <v>173</v>
      </c>
      <c r="D129" s="10" t="s">
        <v>168</v>
      </c>
      <c r="E129" s="35">
        <v>409.23899999999998</v>
      </c>
      <c r="F129" s="35">
        <f>682.063-E129</f>
        <v>272.82400000000001</v>
      </c>
      <c r="G129" s="35">
        <v>136.41300000000001</v>
      </c>
      <c r="H129" s="35">
        <f>545.652-G129</f>
        <v>409.23900000000003</v>
      </c>
      <c r="I129" s="35">
        <f t="shared" si="10"/>
        <v>1227.7150000000001</v>
      </c>
      <c r="J129" s="56">
        <v>1227.7</v>
      </c>
      <c r="K129" s="49">
        <v>6162.37</v>
      </c>
      <c r="L129" s="49">
        <v>6126.37</v>
      </c>
      <c r="M129" s="49">
        <v>2107.09</v>
      </c>
      <c r="N129" s="49">
        <v>2185.0500000000002</v>
      </c>
      <c r="O129" s="56">
        <f t="shared" si="16"/>
        <v>4055.2799999999997</v>
      </c>
      <c r="P129" s="1">
        <f t="shared" si="17"/>
        <v>1659578.7319199997</v>
      </c>
      <c r="Q129" s="1">
        <f t="shared" si="11"/>
        <v>1106377.7107200001</v>
      </c>
      <c r="R129" s="1">
        <f t="shared" si="12"/>
        <v>537647.28515999997</v>
      </c>
      <c r="S129" s="1">
        <f t="shared" si="13"/>
        <v>1612941.8554799999</v>
      </c>
      <c r="T129" s="1">
        <f t="shared" si="14"/>
        <v>4916545.5832799999</v>
      </c>
      <c r="U129" s="11"/>
      <c r="V129" s="11"/>
      <c r="W129" s="11"/>
      <c r="X129" s="12"/>
      <c r="Y129" s="12"/>
      <c r="Z129" s="12"/>
      <c r="AA129" s="12"/>
      <c r="AB129" s="12"/>
      <c r="AC129" s="12"/>
      <c r="AD129" s="12"/>
      <c r="AE129" s="12"/>
      <c r="AF129" s="12"/>
      <c r="AG129" s="12"/>
      <c r="AH129" s="12"/>
      <c r="AI129" s="12"/>
      <c r="AJ129" s="12"/>
      <c r="AK129" s="12"/>
      <c r="AL129" s="12"/>
      <c r="AM129" s="12"/>
      <c r="AN129" s="12"/>
      <c r="AO129" s="12"/>
      <c r="AP129" s="12"/>
      <c r="AQ129" s="12"/>
      <c r="AR129" s="12"/>
      <c r="AS129" s="12"/>
      <c r="AT129" s="12"/>
      <c r="AU129" s="12"/>
      <c r="AV129" s="12"/>
      <c r="AW129" s="12"/>
      <c r="AX129" s="12"/>
      <c r="AY129" s="12"/>
      <c r="AZ129" s="12"/>
      <c r="BA129" s="12"/>
      <c r="BB129" s="12"/>
      <c r="BC129" s="12"/>
      <c r="BD129" s="12"/>
      <c r="BE129" s="12"/>
      <c r="BF129" s="12"/>
      <c r="BG129" s="12"/>
      <c r="BH129" s="12"/>
      <c r="BI129" s="12"/>
      <c r="BJ129" s="12"/>
      <c r="BK129" s="12"/>
      <c r="BL129" s="12"/>
      <c r="BM129" s="12"/>
      <c r="BN129" s="12"/>
      <c r="BO129" s="12"/>
      <c r="BP129" s="12"/>
      <c r="BQ129" s="12"/>
      <c r="BR129" s="12"/>
      <c r="BS129" s="12"/>
      <c r="BT129" s="12"/>
      <c r="BU129" s="12"/>
      <c r="BV129" s="12"/>
      <c r="BW129" s="12"/>
      <c r="BX129" s="12"/>
      <c r="BY129" s="12"/>
      <c r="BZ129" s="12"/>
      <c r="CA129" s="12"/>
      <c r="CB129" s="12"/>
      <c r="CC129" s="12"/>
      <c r="CD129" s="12"/>
      <c r="CE129" s="12"/>
      <c r="CF129" s="12"/>
      <c r="CG129" s="12"/>
      <c r="CH129" s="12"/>
      <c r="CI129" s="12"/>
      <c r="CJ129" s="12"/>
      <c r="CK129" s="12"/>
      <c r="CL129" s="12"/>
      <c r="CM129" s="12"/>
      <c r="CN129" s="12"/>
      <c r="CO129" s="12"/>
      <c r="CP129" s="12"/>
      <c r="CQ129" s="12"/>
      <c r="CR129" s="12"/>
      <c r="CS129" s="12"/>
      <c r="CT129" s="12"/>
      <c r="CU129" s="12"/>
      <c r="CV129" s="12"/>
      <c r="CW129" s="12"/>
      <c r="CX129" s="12"/>
      <c r="CY129" s="12"/>
      <c r="CZ129" s="12"/>
      <c r="DA129" s="12"/>
      <c r="DB129" s="12"/>
      <c r="DC129" s="12"/>
      <c r="DD129" s="12"/>
      <c r="DE129" s="12"/>
      <c r="DF129" s="12"/>
      <c r="DG129" s="12"/>
      <c r="DH129" s="12"/>
      <c r="DI129" s="12"/>
      <c r="DJ129" s="12"/>
      <c r="DK129" s="12"/>
      <c r="DL129" s="12"/>
      <c r="DM129" s="12"/>
      <c r="DN129" s="12"/>
      <c r="DO129" s="12"/>
      <c r="DP129" s="12"/>
      <c r="DQ129" s="12"/>
      <c r="DR129" s="12"/>
      <c r="DS129" s="12"/>
      <c r="DT129" s="12"/>
      <c r="DU129" s="12"/>
      <c r="DV129" s="12"/>
      <c r="DW129" s="12"/>
      <c r="DX129" s="12"/>
      <c r="DY129" s="12"/>
      <c r="DZ129" s="12"/>
      <c r="EA129" s="12"/>
      <c r="EB129" s="12"/>
      <c r="EC129" s="12"/>
      <c r="ED129" s="12"/>
      <c r="EE129" s="12"/>
      <c r="EF129" s="12"/>
      <c r="EG129" s="12"/>
      <c r="EH129" s="12"/>
      <c r="EI129" s="12"/>
      <c r="EJ129" s="12"/>
      <c r="EK129" s="12"/>
      <c r="EL129" s="12"/>
      <c r="EM129" s="12"/>
      <c r="EN129" s="12"/>
      <c r="EO129" s="12"/>
      <c r="EP129" s="12"/>
      <c r="EQ129" s="12"/>
      <c r="ER129" s="12"/>
      <c r="ES129" s="12"/>
      <c r="ET129" s="12"/>
      <c r="EU129" s="12"/>
      <c r="EV129" s="12"/>
      <c r="EW129" s="12"/>
      <c r="EX129" s="12"/>
      <c r="EY129" s="12"/>
      <c r="EZ129" s="12"/>
      <c r="FA129" s="12"/>
      <c r="FB129" s="12"/>
      <c r="FC129" s="12"/>
      <c r="FD129" s="12"/>
      <c r="FE129" s="12"/>
      <c r="FF129" s="12"/>
      <c r="FG129" s="12"/>
      <c r="FH129" s="12"/>
      <c r="FI129" s="12"/>
      <c r="FJ129" s="12"/>
      <c r="FK129" s="12"/>
      <c r="FL129" s="12"/>
      <c r="FM129" s="12"/>
      <c r="FN129" s="12"/>
      <c r="FO129" s="12"/>
      <c r="FP129" s="12"/>
      <c r="FQ129" s="12"/>
      <c r="FR129" s="12"/>
      <c r="FS129" s="12"/>
      <c r="FT129" s="12"/>
      <c r="FU129" s="12"/>
      <c r="FV129" s="12"/>
      <c r="FW129" s="12"/>
      <c r="FX129" s="12"/>
      <c r="FY129" s="12"/>
      <c r="FZ129" s="12"/>
      <c r="GA129" s="12"/>
      <c r="GB129" s="12"/>
      <c r="GC129" s="12"/>
      <c r="GD129" s="12"/>
      <c r="GE129" s="12"/>
    </row>
    <row r="130" spans="1:187" ht="21" customHeight="1">
      <c r="A130" s="45"/>
      <c r="B130" s="86" t="s">
        <v>23</v>
      </c>
      <c r="C130" s="10" t="s">
        <v>173</v>
      </c>
      <c r="D130" s="10" t="s">
        <v>166</v>
      </c>
      <c r="E130" s="35">
        <v>243.75</v>
      </c>
      <c r="F130" s="35">
        <f>328.372-E130</f>
        <v>84.622000000000014</v>
      </c>
      <c r="G130" s="35">
        <v>14.686999999999999</v>
      </c>
      <c r="H130" s="35">
        <f>170.398-G130</f>
        <v>155.71099999999998</v>
      </c>
      <c r="I130" s="35">
        <f t="shared" si="10"/>
        <v>498.77</v>
      </c>
      <c r="J130" s="56">
        <v>513.29999999999995</v>
      </c>
      <c r="K130" s="49">
        <v>7987.93</v>
      </c>
      <c r="L130" s="49">
        <v>8307.4500000000007</v>
      </c>
      <c r="M130" s="49">
        <v>2107.09</v>
      </c>
      <c r="N130" s="49">
        <v>2185.0500000000002</v>
      </c>
      <c r="O130" s="56">
        <f t="shared" si="16"/>
        <v>5880.84</v>
      </c>
      <c r="P130" s="1">
        <f t="shared" si="17"/>
        <v>1433454.75</v>
      </c>
      <c r="Q130" s="1">
        <f t="shared" si="11"/>
        <v>497648.44248000009</v>
      </c>
      <c r="R130" s="1">
        <f t="shared" si="12"/>
        <v>89919.688800000004</v>
      </c>
      <c r="S130" s="1">
        <f t="shared" si="13"/>
        <v>953325.02639999997</v>
      </c>
      <c r="T130" s="1">
        <f t="shared" si="14"/>
        <v>2974347.9076800002</v>
      </c>
      <c r="U130" s="11"/>
      <c r="V130" s="11"/>
      <c r="W130" s="11"/>
      <c r="X130" s="12"/>
      <c r="Y130" s="12"/>
      <c r="Z130" s="12"/>
      <c r="AA130" s="12"/>
      <c r="AB130" s="12"/>
      <c r="AC130" s="12"/>
      <c r="AD130" s="12"/>
      <c r="AE130" s="12"/>
      <c r="AF130" s="12"/>
      <c r="AG130" s="12"/>
      <c r="AH130" s="12"/>
      <c r="AI130" s="12"/>
      <c r="AJ130" s="12"/>
      <c r="AK130" s="12"/>
      <c r="AL130" s="12"/>
      <c r="AM130" s="12"/>
      <c r="AN130" s="12"/>
      <c r="AO130" s="12"/>
      <c r="AP130" s="12"/>
      <c r="AQ130" s="12"/>
      <c r="AR130" s="12"/>
      <c r="AS130" s="12"/>
      <c r="AT130" s="12"/>
      <c r="AU130" s="12"/>
      <c r="AV130" s="12"/>
      <c r="AW130" s="12"/>
      <c r="AX130" s="12"/>
      <c r="AY130" s="12"/>
      <c r="AZ130" s="12"/>
      <c r="BA130" s="12"/>
      <c r="BB130" s="12"/>
      <c r="BC130" s="12"/>
      <c r="BD130" s="12"/>
      <c r="BE130" s="12"/>
      <c r="BF130" s="12"/>
      <c r="BG130" s="12"/>
      <c r="BH130" s="12"/>
      <c r="BI130" s="12"/>
      <c r="BJ130" s="12"/>
      <c r="BK130" s="12"/>
      <c r="BL130" s="12"/>
      <c r="BM130" s="12"/>
      <c r="BN130" s="12"/>
      <c r="BO130" s="12"/>
      <c r="BP130" s="12"/>
      <c r="BQ130" s="12"/>
      <c r="BR130" s="12"/>
      <c r="BS130" s="12"/>
      <c r="BT130" s="12"/>
      <c r="BU130" s="12"/>
      <c r="BV130" s="12"/>
      <c r="BW130" s="12"/>
      <c r="BX130" s="12"/>
      <c r="BY130" s="12"/>
      <c r="BZ130" s="12"/>
      <c r="CA130" s="12"/>
      <c r="CB130" s="12"/>
      <c r="CC130" s="12"/>
      <c r="CD130" s="12"/>
      <c r="CE130" s="12"/>
      <c r="CF130" s="12"/>
      <c r="CG130" s="12"/>
      <c r="CH130" s="12"/>
      <c r="CI130" s="12"/>
      <c r="CJ130" s="12"/>
      <c r="CK130" s="12"/>
      <c r="CL130" s="12"/>
      <c r="CM130" s="12"/>
      <c r="CN130" s="12"/>
      <c r="CO130" s="12"/>
      <c r="CP130" s="12"/>
      <c r="CQ130" s="12"/>
      <c r="CR130" s="12"/>
      <c r="CS130" s="12"/>
      <c r="CT130" s="12"/>
      <c r="CU130" s="12"/>
      <c r="CV130" s="12"/>
      <c r="CW130" s="12"/>
      <c r="CX130" s="12"/>
      <c r="CY130" s="12"/>
      <c r="CZ130" s="12"/>
      <c r="DA130" s="12"/>
      <c r="DB130" s="12"/>
      <c r="DC130" s="12"/>
      <c r="DD130" s="12"/>
      <c r="DE130" s="12"/>
      <c r="DF130" s="12"/>
      <c r="DG130" s="12"/>
      <c r="DH130" s="12"/>
      <c r="DI130" s="12"/>
      <c r="DJ130" s="12"/>
      <c r="DK130" s="12"/>
      <c r="DL130" s="12"/>
      <c r="DM130" s="12"/>
      <c r="DN130" s="12"/>
      <c r="DO130" s="12"/>
      <c r="DP130" s="12"/>
      <c r="DQ130" s="12"/>
      <c r="DR130" s="12"/>
      <c r="DS130" s="12"/>
      <c r="DT130" s="12"/>
      <c r="DU130" s="12"/>
      <c r="DV130" s="12"/>
      <c r="DW130" s="12"/>
      <c r="DX130" s="12"/>
      <c r="DY130" s="12"/>
      <c r="DZ130" s="12"/>
      <c r="EA130" s="12"/>
      <c r="EB130" s="12"/>
      <c r="EC130" s="12"/>
      <c r="ED130" s="12"/>
      <c r="EE130" s="12"/>
      <c r="EF130" s="12"/>
      <c r="EG130" s="12"/>
      <c r="EH130" s="12"/>
      <c r="EI130" s="12"/>
      <c r="EJ130" s="12"/>
      <c r="EK130" s="12"/>
      <c r="EL130" s="12"/>
      <c r="EM130" s="12"/>
      <c r="EN130" s="12"/>
      <c r="EO130" s="12"/>
      <c r="EP130" s="12"/>
      <c r="EQ130" s="12"/>
      <c r="ER130" s="12"/>
      <c r="ES130" s="12"/>
      <c r="ET130" s="12"/>
      <c r="EU130" s="12"/>
      <c r="EV130" s="12"/>
      <c r="EW130" s="12"/>
      <c r="EX130" s="12"/>
      <c r="EY130" s="12"/>
      <c r="EZ130" s="12"/>
      <c r="FA130" s="12"/>
      <c r="FB130" s="12"/>
      <c r="FC130" s="12"/>
      <c r="FD130" s="12"/>
      <c r="FE130" s="12"/>
      <c r="FF130" s="12"/>
      <c r="FG130" s="12"/>
      <c r="FH130" s="12"/>
      <c r="FI130" s="12"/>
      <c r="FJ130" s="12"/>
      <c r="FK130" s="12"/>
      <c r="FL130" s="12"/>
      <c r="FM130" s="12"/>
      <c r="FN130" s="12"/>
      <c r="FO130" s="12"/>
      <c r="FP130" s="12"/>
      <c r="FQ130" s="12"/>
      <c r="FR130" s="12"/>
      <c r="FS130" s="12"/>
      <c r="FT130" s="12"/>
      <c r="FU130" s="12"/>
      <c r="FV130" s="12"/>
      <c r="FW130" s="12"/>
      <c r="FX130" s="12"/>
      <c r="FY130" s="12"/>
      <c r="FZ130" s="12"/>
      <c r="GA130" s="12"/>
      <c r="GB130" s="12"/>
      <c r="GC130" s="12"/>
      <c r="GD130" s="12"/>
      <c r="GE130" s="12"/>
    </row>
    <row r="131" spans="1:187" ht="21" customHeight="1">
      <c r="A131" s="45"/>
      <c r="B131" s="86" t="s">
        <v>387</v>
      </c>
      <c r="C131" s="10" t="s">
        <v>388</v>
      </c>
      <c r="D131" s="10" t="s">
        <v>389</v>
      </c>
      <c r="E131" s="35">
        <v>1372.38</v>
      </c>
      <c r="F131" s="35">
        <f>2096.847-E131</f>
        <v>724.4670000000001</v>
      </c>
      <c r="G131" s="35">
        <v>188.2</v>
      </c>
      <c r="H131" s="35">
        <v>1474.8</v>
      </c>
      <c r="I131" s="35">
        <f t="shared" si="10"/>
        <v>3759.8469999999998</v>
      </c>
      <c r="J131" s="56">
        <v>4157.41</v>
      </c>
      <c r="K131" s="49">
        <v>6393.06</v>
      </c>
      <c r="L131" s="49">
        <v>6648.78</v>
      </c>
      <c r="M131" s="49">
        <v>2107.09</v>
      </c>
      <c r="N131" s="49">
        <v>2185.0500000000002</v>
      </c>
      <c r="O131" s="56">
        <f>K131-M131</f>
        <v>4285.97</v>
      </c>
      <c r="P131" s="1">
        <f t="shared" si="17"/>
        <v>5881979.5086000012</v>
      </c>
      <c r="Q131" s="1">
        <f t="shared" si="11"/>
        <v>3105043.8279900006</v>
      </c>
      <c r="R131" s="1">
        <f t="shared" si="12"/>
        <v>840073.98599999992</v>
      </c>
      <c r="S131" s="1">
        <f t="shared" si="13"/>
        <v>6583109.0039999988</v>
      </c>
      <c r="T131" s="1">
        <f t="shared" si="14"/>
        <v>16410206.32659</v>
      </c>
      <c r="U131" s="11"/>
      <c r="V131" s="11"/>
      <c r="W131" s="11"/>
      <c r="X131" s="12"/>
      <c r="Y131" s="12"/>
      <c r="Z131" s="12"/>
      <c r="AA131" s="12"/>
      <c r="AB131" s="12"/>
      <c r="AC131" s="12"/>
      <c r="AD131" s="12"/>
      <c r="AE131" s="12"/>
      <c r="AF131" s="12"/>
      <c r="AG131" s="12"/>
      <c r="AH131" s="12"/>
      <c r="AI131" s="12"/>
      <c r="AJ131" s="12"/>
      <c r="AK131" s="12"/>
      <c r="AL131" s="12"/>
      <c r="AM131" s="12"/>
      <c r="AN131" s="12"/>
      <c r="AO131" s="12"/>
      <c r="AP131" s="12"/>
      <c r="AQ131" s="12"/>
      <c r="AR131" s="12"/>
      <c r="AS131" s="12"/>
      <c r="AT131" s="12"/>
      <c r="AU131" s="12"/>
      <c r="AV131" s="12"/>
      <c r="AW131" s="12"/>
      <c r="AX131" s="12"/>
      <c r="AY131" s="12"/>
      <c r="AZ131" s="12"/>
      <c r="BA131" s="12"/>
      <c r="BB131" s="12"/>
      <c r="BC131" s="12"/>
      <c r="BD131" s="12"/>
      <c r="BE131" s="12"/>
      <c r="BF131" s="12"/>
      <c r="BG131" s="12"/>
      <c r="BH131" s="12"/>
      <c r="BI131" s="12"/>
      <c r="BJ131" s="12"/>
      <c r="BK131" s="12"/>
      <c r="BL131" s="12"/>
      <c r="BM131" s="12"/>
      <c r="BN131" s="12"/>
      <c r="BO131" s="12"/>
      <c r="BP131" s="12"/>
      <c r="BQ131" s="12"/>
      <c r="BR131" s="12"/>
      <c r="BS131" s="12"/>
      <c r="BT131" s="12"/>
      <c r="BU131" s="12"/>
      <c r="BV131" s="12"/>
      <c r="BW131" s="12"/>
      <c r="BX131" s="12"/>
      <c r="BY131" s="12"/>
      <c r="BZ131" s="12"/>
      <c r="CA131" s="12"/>
      <c r="CB131" s="12"/>
      <c r="CC131" s="12"/>
      <c r="CD131" s="12"/>
      <c r="CE131" s="12"/>
      <c r="CF131" s="12"/>
      <c r="CG131" s="12"/>
      <c r="CH131" s="12"/>
      <c r="CI131" s="12"/>
      <c r="CJ131" s="12"/>
      <c r="CK131" s="12"/>
      <c r="CL131" s="12"/>
      <c r="CM131" s="12"/>
      <c r="CN131" s="12"/>
      <c r="CO131" s="12"/>
      <c r="CP131" s="12"/>
      <c r="CQ131" s="12"/>
      <c r="CR131" s="12"/>
      <c r="CS131" s="12"/>
      <c r="CT131" s="12"/>
      <c r="CU131" s="12"/>
      <c r="CV131" s="12"/>
      <c r="CW131" s="12"/>
      <c r="CX131" s="12"/>
      <c r="CY131" s="12"/>
      <c r="CZ131" s="12"/>
      <c r="DA131" s="12"/>
      <c r="DB131" s="12"/>
      <c r="DC131" s="12"/>
      <c r="DD131" s="12"/>
      <c r="DE131" s="12"/>
      <c r="DF131" s="12"/>
      <c r="DG131" s="12"/>
      <c r="DH131" s="12"/>
      <c r="DI131" s="12"/>
      <c r="DJ131" s="12"/>
      <c r="DK131" s="12"/>
      <c r="DL131" s="12"/>
      <c r="DM131" s="12"/>
      <c r="DN131" s="12"/>
      <c r="DO131" s="12"/>
      <c r="DP131" s="12"/>
      <c r="DQ131" s="12"/>
      <c r="DR131" s="12"/>
      <c r="DS131" s="12"/>
      <c r="DT131" s="12"/>
      <c r="DU131" s="12"/>
      <c r="DV131" s="12"/>
      <c r="DW131" s="12"/>
      <c r="DX131" s="12"/>
      <c r="DY131" s="12"/>
      <c r="DZ131" s="12"/>
      <c r="EA131" s="12"/>
      <c r="EB131" s="12"/>
      <c r="EC131" s="12"/>
      <c r="ED131" s="12"/>
      <c r="EE131" s="12"/>
      <c r="EF131" s="12"/>
      <c r="EG131" s="12"/>
      <c r="EH131" s="12"/>
      <c r="EI131" s="12"/>
      <c r="EJ131" s="12"/>
      <c r="EK131" s="12"/>
      <c r="EL131" s="12"/>
      <c r="EM131" s="12"/>
      <c r="EN131" s="12"/>
      <c r="EO131" s="12"/>
      <c r="EP131" s="12"/>
      <c r="EQ131" s="12"/>
      <c r="ER131" s="12"/>
      <c r="ES131" s="12"/>
      <c r="ET131" s="12"/>
      <c r="EU131" s="12"/>
      <c r="EV131" s="12"/>
      <c r="EW131" s="12"/>
      <c r="EX131" s="12"/>
      <c r="EY131" s="12"/>
      <c r="EZ131" s="12"/>
      <c r="FA131" s="12"/>
      <c r="FB131" s="12"/>
      <c r="FC131" s="12"/>
      <c r="FD131" s="12"/>
      <c r="FE131" s="12"/>
      <c r="FF131" s="12"/>
      <c r="FG131" s="12"/>
      <c r="FH131" s="12"/>
      <c r="FI131" s="12"/>
      <c r="FJ131" s="12"/>
      <c r="FK131" s="12"/>
      <c r="FL131" s="12"/>
      <c r="FM131" s="12"/>
      <c r="FN131" s="12"/>
      <c r="FO131" s="12"/>
      <c r="FP131" s="12"/>
      <c r="FQ131" s="12"/>
      <c r="FR131" s="12"/>
      <c r="FS131" s="12"/>
      <c r="FT131" s="12"/>
      <c r="FU131" s="12"/>
      <c r="FV131" s="12"/>
      <c r="FW131" s="12"/>
      <c r="FX131" s="12"/>
      <c r="FY131" s="12"/>
      <c r="FZ131" s="12"/>
      <c r="GA131" s="12"/>
      <c r="GB131" s="12"/>
      <c r="GC131" s="12"/>
      <c r="GD131" s="12"/>
      <c r="GE131" s="12"/>
    </row>
    <row r="132" spans="1:187" ht="21" customHeight="1">
      <c r="A132" s="45"/>
      <c r="B132" s="86" t="s">
        <v>387</v>
      </c>
      <c r="C132" s="10" t="s">
        <v>388</v>
      </c>
      <c r="D132" s="10" t="s">
        <v>390</v>
      </c>
      <c r="E132" s="35">
        <v>66.92</v>
      </c>
      <c r="F132" s="35">
        <f>111.451-E132</f>
        <v>44.530999999999992</v>
      </c>
      <c r="G132" s="35">
        <v>5.8</v>
      </c>
      <c r="H132" s="35">
        <v>75.2</v>
      </c>
      <c r="I132" s="35">
        <f t="shared" si="10"/>
        <v>192.45099999999999</v>
      </c>
      <c r="J132" s="56">
        <v>188.3</v>
      </c>
      <c r="K132" s="49">
        <v>6393.06</v>
      </c>
      <c r="L132" s="49">
        <v>6648.78</v>
      </c>
      <c r="M132" s="49">
        <v>2067.34</v>
      </c>
      <c r="N132" s="49">
        <v>2143.83</v>
      </c>
      <c r="O132" s="56"/>
      <c r="P132" s="1">
        <f t="shared" si="17"/>
        <v>289477.18240000005</v>
      </c>
      <c r="Q132" s="1">
        <f t="shared" si="11"/>
        <v>192628.63731999998</v>
      </c>
      <c r="R132" s="1">
        <f t="shared" si="12"/>
        <v>26128.71</v>
      </c>
      <c r="S132" s="1">
        <f t="shared" si="13"/>
        <v>338772.24</v>
      </c>
      <c r="T132" s="1">
        <f t="shared" si="14"/>
        <v>847006.76971999998</v>
      </c>
      <c r="U132" s="11"/>
      <c r="V132" s="11"/>
      <c r="W132" s="11"/>
      <c r="X132" s="12"/>
      <c r="Y132" s="12"/>
      <c r="Z132" s="12"/>
      <c r="AA132" s="12"/>
      <c r="AB132" s="12"/>
      <c r="AC132" s="12"/>
      <c r="AD132" s="12"/>
      <c r="AE132" s="12"/>
      <c r="AF132" s="12"/>
      <c r="AG132" s="12"/>
      <c r="AH132" s="12"/>
      <c r="AI132" s="12"/>
      <c r="AJ132" s="12"/>
      <c r="AK132" s="12"/>
      <c r="AL132" s="12"/>
      <c r="AM132" s="12"/>
      <c r="AN132" s="12"/>
      <c r="AO132" s="12"/>
      <c r="AP132" s="12"/>
      <c r="AQ132" s="12"/>
      <c r="AR132" s="12"/>
      <c r="AS132" s="12"/>
      <c r="AT132" s="12"/>
      <c r="AU132" s="12"/>
      <c r="AV132" s="12"/>
      <c r="AW132" s="12"/>
      <c r="AX132" s="12"/>
      <c r="AY132" s="12"/>
      <c r="AZ132" s="12"/>
      <c r="BA132" s="12"/>
      <c r="BB132" s="12"/>
      <c r="BC132" s="12"/>
      <c r="BD132" s="12"/>
      <c r="BE132" s="12"/>
      <c r="BF132" s="12"/>
      <c r="BG132" s="12"/>
      <c r="BH132" s="12"/>
      <c r="BI132" s="12"/>
      <c r="BJ132" s="12"/>
      <c r="BK132" s="12"/>
      <c r="BL132" s="12"/>
      <c r="BM132" s="12"/>
      <c r="BN132" s="12"/>
      <c r="BO132" s="12"/>
      <c r="BP132" s="12"/>
      <c r="BQ132" s="12"/>
      <c r="BR132" s="12"/>
      <c r="BS132" s="12"/>
      <c r="BT132" s="12"/>
      <c r="BU132" s="12"/>
      <c r="BV132" s="12"/>
      <c r="BW132" s="12"/>
      <c r="BX132" s="12"/>
      <c r="BY132" s="12"/>
      <c r="BZ132" s="12"/>
      <c r="CA132" s="12"/>
      <c r="CB132" s="12"/>
      <c r="CC132" s="12"/>
      <c r="CD132" s="12"/>
      <c r="CE132" s="12"/>
      <c r="CF132" s="12"/>
      <c r="CG132" s="12"/>
      <c r="CH132" s="12"/>
      <c r="CI132" s="12"/>
      <c r="CJ132" s="12"/>
      <c r="CK132" s="12"/>
      <c r="CL132" s="12"/>
      <c r="CM132" s="12"/>
      <c r="CN132" s="12"/>
      <c r="CO132" s="12"/>
      <c r="CP132" s="12"/>
      <c r="CQ132" s="12"/>
      <c r="CR132" s="12"/>
      <c r="CS132" s="12"/>
      <c r="CT132" s="12"/>
      <c r="CU132" s="12"/>
      <c r="CV132" s="12"/>
      <c r="CW132" s="12"/>
      <c r="CX132" s="12"/>
      <c r="CY132" s="12"/>
      <c r="CZ132" s="12"/>
      <c r="DA132" s="12"/>
      <c r="DB132" s="12"/>
      <c r="DC132" s="12"/>
      <c r="DD132" s="12"/>
      <c r="DE132" s="12"/>
      <c r="DF132" s="12"/>
      <c r="DG132" s="12"/>
      <c r="DH132" s="12"/>
      <c r="DI132" s="12"/>
      <c r="DJ132" s="12"/>
      <c r="DK132" s="12"/>
      <c r="DL132" s="12"/>
      <c r="DM132" s="12"/>
      <c r="DN132" s="12"/>
      <c r="DO132" s="12"/>
      <c r="DP132" s="12"/>
      <c r="DQ132" s="12"/>
      <c r="DR132" s="12"/>
      <c r="DS132" s="12"/>
      <c r="DT132" s="12"/>
      <c r="DU132" s="12"/>
      <c r="DV132" s="12"/>
      <c r="DW132" s="12"/>
      <c r="DX132" s="12"/>
      <c r="DY132" s="12"/>
      <c r="DZ132" s="12"/>
      <c r="EA132" s="12"/>
      <c r="EB132" s="12"/>
      <c r="EC132" s="12"/>
      <c r="ED132" s="12"/>
      <c r="EE132" s="12"/>
      <c r="EF132" s="12"/>
      <c r="EG132" s="12"/>
      <c r="EH132" s="12"/>
      <c r="EI132" s="12"/>
      <c r="EJ132" s="12"/>
      <c r="EK132" s="12"/>
      <c r="EL132" s="12"/>
      <c r="EM132" s="12"/>
      <c r="EN132" s="12"/>
      <c r="EO132" s="12"/>
      <c r="EP132" s="12"/>
      <c r="EQ132" s="12"/>
      <c r="ER132" s="12"/>
      <c r="ES132" s="12"/>
      <c r="ET132" s="12"/>
      <c r="EU132" s="12"/>
      <c r="EV132" s="12"/>
      <c r="EW132" s="12"/>
      <c r="EX132" s="12"/>
      <c r="EY132" s="12"/>
      <c r="EZ132" s="12"/>
      <c r="FA132" s="12"/>
      <c r="FB132" s="12"/>
      <c r="FC132" s="12"/>
      <c r="FD132" s="12"/>
      <c r="FE132" s="12"/>
      <c r="FF132" s="12"/>
      <c r="FG132" s="12"/>
      <c r="FH132" s="12"/>
      <c r="FI132" s="12"/>
      <c r="FJ132" s="12"/>
      <c r="FK132" s="12"/>
      <c r="FL132" s="12"/>
      <c r="FM132" s="12"/>
      <c r="FN132" s="12"/>
      <c r="FO132" s="12"/>
      <c r="FP132" s="12"/>
      <c r="FQ132" s="12"/>
      <c r="FR132" s="12"/>
      <c r="FS132" s="12"/>
      <c r="FT132" s="12"/>
      <c r="FU132" s="12"/>
      <c r="FV132" s="12"/>
      <c r="FW132" s="12"/>
      <c r="FX132" s="12"/>
      <c r="FY132" s="12"/>
      <c r="FZ132" s="12"/>
      <c r="GA132" s="12"/>
      <c r="GB132" s="12"/>
      <c r="GC132" s="12"/>
      <c r="GD132" s="12"/>
      <c r="GE132" s="12"/>
    </row>
    <row r="133" spans="1:187" ht="21" customHeight="1">
      <c r="A133" s="45"/>
      <c r="B133" s="86" t="s">
        <v>277</v>
      </c>
      <c r="C133" s="10" t="s">
        <v>172</v>
      </c>
      <c r="D133" s="10" t="s">
        <v>421</v>
      </c>
      <c r="E133" s="61">
        <f>902.5548*0.6</f>
        <v>541.53287999999998</v>
      </c>
      <c r="F133" s="61">
        <f>902.5548*0.4</f>
        <v>361.02192000000002</v>
      </c>
      <c r="G133" s="61">
        <f>720.7452*0.2</f>
        <v>144.14903999999999</v>
      </c>
      <c r="H133" s="61">
        <f>720.7452*0.8</f>
        <v>576.59615999999994</v>
      </c>
      <c r="I133" s="35">
        <f>SUM(E133:H133)</f>
        <v>1623.2999999999997</v>
      </c>
      <c r="J133" s="56">
        <v>1623.3</v>
      </c>
      <c r="K133" s="49">
        <v>3748.71</v>
      </c>
      <c r="L133" s="49">
        <v>3748.71</v>
      </c>
      <c r="M133" s="49">
        <v>1755.91</v>
      </c>
      <c r="N133" s="49">
        <v>1820.88</v>
      </c>
      <c r="O133" s="56">
        <f t="shared" si="16"/>
        <v>1992.8</v>
      </c>
      <c r="P133" s="1">
        <f t="shared" si="17"/>
        <v>1079166.7232639999</v>
      </c>
      <c r="Q133" s="1">
        <f t="shared" si="11"/>
        <v>719444.48217600002</v>
      </c>
      <c r="R133" s="1">
        <f t="shared" si="12"/>
        <v>277894.84378319996</v>
      </c>
      <c r="S133" s="1">
        <f t="shared" si="13"/>
        <v>1111579.3751327998</v>
      </c>
      <c r="T133" s="1">
        <f t="shared" si="14"/>
        <v>3188085.4243559996</v>
      </c>
      <c r="U133" s="11"/>
      <c r="V133" s="11"/>
      <c r="W133" s="11"/>
      <c r="X133" s="12"/>
      <c r="Y133" s="12"/>
      <c r="Z133" s="12"/>
      <c r="AA133" s="12"/>
      <c r="AB133" s="12"/>
      <c r="AC133" s="12"/>
      <c r="AD133" s="12"/>
      <c r="AE133" s="12"/>
      <c r="AF133" s="12"/>
      <c r="AG133" s="12"/>
      <c r="AH133" s="12"/>
      <c r="AI133" s="12"/>
      <c r="AJ133" s="12"/>
      <c r="AK133" s="12"/>
      <c r="AL133" s="12"/>
      <c r="AM133" s="12"/>
      <c r="AN133" s="12"/>
      <c r="AO133" s="12"/>
      <c r="AP133" s="12"/>
      <c r="AQ133" s="12"/>
      <c r="AR133" s="12"/>
      <c r="AS133" s="12"/>
      <c r="AT133" s="12"/>
      <c r="AU133" s="12"/>
      <c r="AV133" s="12"/>
      <c r="AW133" s="12"/>
      <c r="AX133" s="12"/>
      <c r="AY133" s="12"/>
      <c r="AZ133" s="12"/>
      <c r="BA133" s="12"/>
      <c r="BB133" s="12"/>
      <c r="BC133" s="12"/>
      <c r="BD133" s="12"/>
      <c r="BE133" s="12"/>
      <c r="BF133" s="12"/>
      <c r="BG133" s="12"/>
      <c r="BH133" s="12"/>
      <c r="BI133" s="12"/>
      <c r="BJ133" s="12"/>
      <c r="BK133" s="12"/>
      <c r="BL133" s="12"/>
      <c r="BM133" s="12"/>
      <c r="BN133" s="12"/>
      <c r="BO133" s="12"/>
      <c r="BP133" s="12"/>
      <c r="BQ133" s="12"/>
      <c r="BR133" s="12"/>
      <c r="BS133" s="12"/>
      <c r="BT133" s="12"/>
      <c r="BU133" s="12"/>
      <c r="BV133" s="12"/>
      <c r="BW133" s="12"/>
      <c r="BX133" s="12"/>
      <c r="BY133" s="12"/>
      <c r="BZ133" s="12"/>
      <c r="CA133" s="12"/>
      <c r="CB133" s="12"/>
      <c r="CC133" s="12"/>
      <c r="CD133" s="12"/>
      <c r="CE133" s="12"/>
      <c r="CF133" s="12"/>
      <c r="CG133" s="12"/>
      <c r="CH133" s="12"/>
      <c r="CI133" s="12"/>
      <c r="CJ133" s="12"/>
      <c r="CK133" s="12"/>
      <c r="CL133" s="12"/>
      <c r="CM133" s="12"/>
      <c r="CN133" s="12"/>
      <c r="CO133" s="12"/>
      <c r="CP133" s="12"/>
      <c r="CQ133" s="12"/>
      <c r="CR133" s="12"/>
      <c r="CS133" s="12"/>
      <c r="CT133" s="12"/>
      <c r="CU133" s="12"/>
      <c r="CV133" s="12"/>
      <c r="CW133" s="12"/>
      <c r="CX133" s="12"/>
      <c r="CY133" s="12"/>
      <c r="CZ133" s="12"/>
      <c r="DA133" s="12"/>
      <c r="DB133" s="12"/>
      <c r="DC133" s="12"/>
      <c r="DD133" s="12"/>
      <c r="DE133" s="12"/>
      <c r="DF133" s="12"/>
      <c r="DG133" s="12"/>
      <c r="DH133" s="12"/>
      <c r="DI133" s="12"/>
      <c r="DJ133" s="12"/>
      <c r="DK133" s="12"/>
      <c r="DL133" s="12"/>
      <c r="DM133" s="12"/>
      <c r="DN133" s="12"/>
      <c r="DO133" s="12"/>
      <c r="DP133" s="12"/>
      <c r="DQ133" s="12"/>
      <c r="DR133" s="12"/>
      <c r="DS133" s="12"/>
      <c r="DT133" s="12"/>
      <c r="DU133" s="12"/>
      <c r="DV133" s="12"/>
      <c r="DW133" s="12"/>
      <c r="DX133" s="12"/>
      <c r="DY133" s="12"/>
      <c r="DZ133" s="12"/>
      <c r="EA133" s="12"/>
      <c r="EB133" s="12"/>
      <c r="EC133" s="12"/>
      <c r="ED133" s="12"/>
      <c r="EE133" s="12"/>
      <c r="EF133" s="12"/>
      <c r="EG133" s="12"/>
      <c r="EH133" s="12"/>
      <c r="EI133" s="12"/>
      <c r="EJ133" s="12"/>
      <c r="EK133" s="12"/>
      <c r="EL133" s="12"/>
      <c r="EM133" s="12"/>
      <c r="EN133" s="12"/>
      <c r="EO133" s="12"/>
      <c r="EP133" s="12"/>
      <c r="EQ133" s="12"/>
      <c r="ER133" s="12"/>
      <c r="ES133" s="12"/>
      <c r="ET133" s="12"/>
      <c r="EU133" s="12"/>
      <c r="EV133" s="12"/>
      <c r="EW133" s="12"/>
      <c r="EX133" s="12"/>
      <c r="EY133" s="12"/>
      <c r="EZ133" s="12"/>
      <c r="FA133" s="12"/>
      <c r="FB133" s="12"/>
      <c r="FC133" s="12"/>
      <c r="FD133" s="12"/>
      <c r="FE133" s="12"/>
      <c r="FF133" s="12"/>
      <c r="FG133" s="12"/>
      <c r="FH133" s="12"/>
      <c r="FI133" s="12"/>
      <c r="FJ133" s="12"/>
      <c r="FK133" s="12"/>
      <c r="FL133" s="12"/>
      <c r="FM133" s="12"/>
      <c r="FN133" s="12"/>
      <c r="FO133" s="12"/>
      <c r="FP133" s="12"/>
      <c r="FQ133" s="12"/>
      <c r="FR133" s="12"/>
      <c r="FS133" s="12"/>
      <c r="FT133" s="12"/>
      <c r="FU133" s="12"/>
      <c r="FV133" s="12"/>
      <c r="FW133" s="12"/>
      <c r="FX133" s="12"/>
      <c r="FY133" s="12"/>
      <c r="FZ133" s="12"/>
      <c r="GA133" s="12"/>
      <c r="GB133" s="12"/>
      <c r="GC133" s="12"/>
      <c r="GD133" s="12"/>
      <c r="GE133" s="12"/>
    </row>
    <row r="134" spans="1:187" ht="21" customHeight="1">
      <c r="A134" s="45"/>
      <c r="B134" s="86" t="s">
        <v>277</v>
      </c>
      <c r="C134" s="10" t="s">
        <v>172</v>
      </c>
      <c r="D134" s="10" t="s">
        <v>422</v>
      </c>
      <c r="E134" s="61">
        <f>181.9232*0.6</f>
        <v>109.15392</v>
      </c>
      <c r="F134" s="61">
        <f>181.9232*0.4</f>
        <v>72.769280000000009</v>
      </c>
      <c r="G134" s="61">
        <f>145.2768*0.2</f>
        <v>29.055360000000004</v>
      </c>
      <c r="H134" s="61">
        <f>145.2768*0.8</f>
        <v>116.22144000000002</v>
      </c>
      <c r="I134" s="35">
        <f t="shared" si="10"/>
        <v>327.20000000000005</v>
      </c>
      <c r="J134" s="56">
        <v>327.2</v>
      </c>
      <c r="K134" s="49">
        <v>9126.41</v>
      </c>
      <c r="L134" s="49">
        <v>9126.41</v>
      </c>
      <c r="M134" s="49">
        <v>1755.91</v>
      </c>
      <c r="N134" s="49">
        <v>1820.88</v>
      </c>
      <c r="O134" s="56"/>
      <c r="P134" s="1">
        <f t="shared" si="17"/>
        <v>804518.96736000001</v>
      </c>
      <c r="Q134" s="1">
        <f t="shared" si="11"/>
        <v>536345.97824000008</v>
      </c>
      <c r="R134" s="1">
        <f t="shared" si="12"/>
        <v>212264.80414080003</v>
      </c>
      <c r="S134" s="1">
        <f t="shared" si="13"/>
        <v>849059.21656320011</v>
      </c>
      <c r="T134" s="1">
        <f t="shared" si="14"/>
        <v>2402188.9663040005</v>
      </c>
      <c r="U134" s="11"/>
      <c r="V134" s="11"/>
      <c r="W134" s="11"/>
      <c r="X134" s="12"/>
      <c r="Y134" s="12"/>
      <c r="Z134" s="12"/>
      <c r="AA134" s="12"/>
      <c r="AB134" s="12"/>
      <c r="AC134" s="12"/>
      <c r="AD134" s="12"/>
      <c r="AE134" s="12"/>
      <c r="AF134" s="12"/>
      <c r="AG134" s="12"/>
      <c r="AH134" s="12"/>
      <c r="AI134" s="12"/>
      <c r="AJ134" s="12"/>
      <c r="AK134" s="12"/>
      <c r="AL134" s="12"/>
      <c r="AM134" s="12"/>
      <c r="AN134" s="12"/>
      <c r="AO134" s="12"/>
      <c r="AP134" s="12"/>
      <c r="AQ134" s="12"/>
      <c r="AR134" s="12"/>
      <c r="AS134" s="12"/>
      <c r="AT134" s="12"/>
      <c r="AU134" s="12"/>
      <c r="AV134" s="12"/>
      <c r="AW134" s="12"/>
      <c r="AX134" s="12"/>
      <c r="AY134" s="12"/>
      <c r="AZ134" s="12"/>
      <c r="BA134" s="12"/>
      <c r="BB134" s="12"/>
      <c r="BC134" s="12"/>
      <c r="BD134" s="12"/>
      <c r="BE134" s="12"/>
      <c r="BF134" s="12"/>
      <c r="BG134" s="12"/>
      <c r="BH134" s="12"/>
      <c r="BI134" s="12"/>
      <c r="BJ134" s="12"/>
      <c r="BK134" s="12"/>
      <c r="BL134" s="12"/>
      <c r="BM134" s="12"/>
      <c r="BN134" s="12"/>
      <c r="BO134" s="12"/>
      <c r="BP134" s="12"/>
      <c r="BQ134" s="12"/>
      <c r="BR134" s="12"/>
      <c r="BS134" s="12"/>
      <c r="BT134" s="12"/>
      <c r="BU134" s="12"/>
      <c r="BV134" s="12"/>
      <c r="BW134" s="12"/>
      <c r="BX134" s="12"/>
      <c r="BY134" s="12"/>
      <c r="BZ134" s="12"/>
      <c r="CA134" s="12"/>
      <c r="CB134" s="12"/>
      <c r="CC134" s="12"/>
      <c r="CD134" s="12"/>
      <c r="CE134" s="12"/>
      <c r="CF134" s="12"/>
      <c r="CG134" s="12"/>
      <c r="CH134" s="12"/>
      <c r="CI134" s="12"/>
      <c r="CJ134" s="12"/>
      <c r="CK134" s="12"/>
      <c r="CL134" s="12"/>
      <c r="CM134" s="12"/>
      <c r="CN134" s="12"/>
      <c r="CO134" s="12"/>
      <c r="CP134" s="12"/>
      <c r="CQ134" s="12"/>
      <c r="CR134" s="12"/>
      <c r="CS134" s="12"/>
      <c r="CT134" s="12"/>
      <c r="CU134" s="12"/>
      <c r="CV134" s="12"/>
      <c r="CW134" s="12"/>
      <c r="CX134" s="12"/>
      <c r="CY134" s="12"/>
      <c r="CZ134" s="12"/>
      <c r="DA134" s="12"/>
      <c r="DB134" s="12"/>
      <c r="DC134" s="12"/>
      <c r="DD134" s="12"/>
      <c r="DE134" s="12"/>
      <c r="DF134" s="12"/>
      <c r="DG134" s="12"/>
      <c r="DH134" s="12"/>
      <c r="DI134" s="12"/>
      <c r="DJ134" s="12"/>
      <c r="DK134" s="12"/>
      <c r="DL134" s="12"/>
      <c r="DM134" s="12"/>
      <c r="DN134" s="12"/>
      <c r="DO134" s="12"/>
      <c r="DP134" s="12"/>
      <c r="DQ134" s="12"/>
      <c r="DR134" s="12"/>
      <c r="DS134" s="12"/>
      <c r="DT134" s="12"/>
      <c r="DU134" s="12"/>
      <c r="DV134" s="12"/>
      <c r="DW134" s="12"/>
      <c r="DX134" s="12"/>
      <c r="DY134" s="12"/>
      <c r="DZ134" s="12"/>
      <c r="EA134" s="12"/>
      <c r="EB134" s="12"/>
      <c r="EC134" s="12"/>
      <c r="ED134" s="12"/>
      <c r="EE134" s="12"/>
      <c r="EF134" s="12"/>
      <c r="EG134" s="12"/>
      <c r="EH134" s="12"/>
      <c r="EI134" s="12"/>
      <c r="EJ134" s="12"/>
      <c r="EK134" s="12"/>
      <c r="EL134" s="12"/>
      <c r="EM134" s="12"/>
      <c r="EN134" s="12"/>
      <c r="EO134" s="12"/>
      <c r="EP134" s="12"/>
      <c r="EQ134" s="12"/>
      <c r="ER134" s="12"/>
      <c r="ES134" s="12"/>
      <c r="ET134" s="12"/>
      <c r="EU134" s="12"/>
      <c r="EV134" s="12"/>
      <c r="EW134" s="12"/>
      <c r="EX134" s="12"/>
      <c r="EY134" s="12"/>
      <c r="EZ134" s="12"/>
      <c r="FA134" s="12"/>
      <c r="FB134" s="12"/>
      <c r="FC134" s="12"/>
      <c r="FD134" s="12"/>
      <c r="FE134" s="12"/>
      <c r="FF134" s="12"/>
      <c r="FG134" s="12"/>
      <c r="FH134" s="12"/>
      <c r="FI134" s="12"/>
      <c r="FJ134" s="12"/>
      <c r="FK134" s="12"/>
      <c r="FL134" s="12"/>
      <c r="FM134" s="12"/>
      <c r="FN134" s="12"/>
      <c r="FO134" s="12"/>
      <c r="FP134" s="12"/>
      <c r="FQ134" s="12"/>
      <c r="FR134" s="12"/>
      <c r="FS134" s="12"/>
      <c r="FT134" s="12"/>
      <c r="FU134" s="12"/>
      <c r="FV134" s="12"/>
      <c r="FW134" s="12"/>
      <c r="FX134" s="12"/>
      <c r="FY134" s="12"/>
      <c r="FZ134" s="12"/>
      <c r="GA134" s="12"/>
      <c r="GB134" s="12"/>
      <c r="GC134" s="12"/>
      <c r="GD134" s="12"/>
      <c r="GE134" s="12"/>
    </row>
    <row r="135" spans="1:187" ht="21" customHeight="1">
      <c r="A135" s="45"/>
      <c r="B135" s="86" t="s">
        <v>277</v>
      </c>
      <c r="C135" s="10" t="s">
        <v>172</v>
      </c>
      <c r="D135" s="10" t="s">
        <v>423</v>
      </c>
      <c r="E135" s="61">
        <f>378.4692*0.6</f>
        <v>227.08151999999998</v>
      </c>
      <c r="F135" s="61">
        <f>378.4692*0.4</f>
        <v>151.38768000000002</v>
      </c>
      <c r="G135" s="61">
        <f>302.2308*0.2</f>
        <v>60.446159999999999</v>
      </c>
      <c r="H135" s="61">
        <f>302.2308*0.8</f>
        <v>241.78464</v>
      </c>
      <c r="I135" s="35">
        <f t="shared" si="10"/>
        <v>680.7</v>
      </c>
      <c r="J135" s="56">
        <v>680.7</v>
      </c>
      <c r="K135" s="49">
        <v>6024.08</v>
      </c>
      <c r="L135" s="49">
        <v>6024.08</v>
      </c>
      <c r="M135" s="49">
        <v>1755.91</v>
      </c>
      <c r="N135" s="49">
        <v>1820.88</v>
      </c>
      <c r="O135" s="56"/>
      <c r="P135" s="1">
        <f t="shared" si="17"/>
        <v>969222.53121839999</v>
      </c>
      <c r="Q135" s="1">
        <f t="shared" si="11"/>
        <v>646148.35414560011</v>
      </c>
      <c r="R135" s="1">
        <f t="shared" si="12"/>
        <v>254067.29971199998</v>
      </c>
      <c r="S135" s="1">
        <f t="shared" si="13"/>
        <v>1016269.1988479999</v>
      </c>
      <c r="T135" s="1">
        <f t="shared" si="14"/>
        <v>2885707.383924</v>
      </c>
      <c r="U135" s="11"/>
      <c r="V135" s="11"/>
      <c r="W135" s="11"/>
      <c r="X135" s="12"/>
      <c r="Y135" s="12"/>
      <c r="Z135" s="12"/>
      <c r="AA135" s="12"/>
      <c r="AB135" s="12"/>
      <c r="AC135" s="12"/>
      <c r="AD135" s="12"/>
      <c r="AE135" s="12"/>
      <c r="AF135" s="12"/>
      <c r="AG135" s="12"/>
      <c r="AH135" s="12"/>
      <c r="AI135" s="12"/>
      <c r="AJ135" s="12"/>
      <c r="AK135" s="12"/>
      <c r="AL135" s="12"/>
      <c r="AM135" s="12"/>
      <c r="AN135" s="12"/>
      <c r="AO135" s="12"/>
      <c r="AP135" s="12"/>
      <c r="AQ135" s="12"/>
      <c r="AR135" s="12"/>
      <c r="AS135" s="12"/>
      <c r="AT135" s="12"/>
      <c r="AU135" s="12"/>
      <c r="AV135" s="12"/>
      <c r="AW135" s="12"/>
      <c r="AX135" s="12"/>
      <c r="AY135" s="12"/>
      <c r="AZ135" s="12"/>
      <c r="BA135" s="12"/>
      <c r="BB135" s="12"/>
      <c r="BC135" s="12"/>
      <c r="BD135" s="12"/>
      <c r="BE135" s="12"/>
      <c r="BF135" s="12"/>
      <c r="BG135" s="12"/>
      <c r="BH135" s="12"/>
      <c r="BI135" s="12"/>
      <c r="BJ135" s="12"/>
      <c r="BK135" s="12"/>
      <c r="BL135" s="12"/>
      <c r="BM135" s="12"/>
      <c r="BN135" s="12"/>
      <c r="BO135" s="12"/>
      <c r="BP135" s="12"/>
      <c r="BQ135" s="12"/>
      <c r="BR135" s="12"/>
      <c r="BS135" s="12"/>
      <c r="BT135" s="12"/>
      <c r="BU135" s="12"/>
      <c r="BV135" s="12"/>
      <c r="BW135" s="12"/>
      <c r="BX135" s="12"/>
      <c r="BY135" s="12"/>
      <c r="BZ135" s="12"/>
      <c r="CA135" s="12"/>
      <c r="CB135" s="12"/>
      <c r="CC135" s="12"/>
      <c r="CD135" s="12"/>
      <c r="CE135" s="12"/>
      <c r="CF135" s="12"/>
      <c r="CG135" s="12"/>
      <c r="CH135" s="12"/>
      <c r="CI135" s="12"/>
      <c r="CJ135" s="12"/>
      <c r="CK135" s="12"/>
      <c r="CL135" s="12"/>
      <c r="CM135" s="12"/>
      <c r="CN135" s="12"/>
      <c r="CO135" s="12"/>
      <c r="CP135" s="12"/>
      <c r="CQ135" s="12"/>
      <c r="CR135" s="12"/>
      <c r="CS135" s="12"/>
      <c r="CT135" s="12"/>
      <c r="CU135" s="12"/>
      <c r="CV135" s="12"/>
      <c r="CW135" s="12"/>
      <c r="CX135" s="12"/>
      <c r="CY135" s="12"/>
      <c r="CZ135" s="12"/>
      <c r="DA135" s="12"/>
      <c r="DB135" s="12"/>
      <c r="DC135" s="12"/>
      <c r="DD135" s="12"/>
      <c r="DE135" s="12"/>
      <c r="DF135" s="12"/>
      <c r="DG135" s="12"/>
      <c r="DH135" s="12"/>
      <c r="DI135" s="12"/>
      <c r="DJ135" s="12"/>
      <c r="DK135" s="12"/>
      <c r="DL135" s="12"/>
      <c r="DM135" s="12"/>
      <c r="DN135" s="12"/>
      <c r="DO135" s="12"/>
      <c r="DP135" s="12"/>
      <c r="DQ135" s="12"/>
      <c r="DR135" s="12"/>
      <c r="DS135" s="12"/>
      <c r="DT135" s="12"/>
      <c r="DU135" s="12"/>
      <c r="DV135" s="12"/>
      <c r="DW135" s="12"/>
      <c r="DX135" s="12"/>
      <c r="DY135" s="12"/>
      <c r="DZ135" s="12"/>
      <c r="EA135" s="12"/>
      <c r="EB135" s="12"/>
      <c r="EC135" s="12"/>
      <c r="ED135" s="12"/>
      <c r="EE135" s="12"/>
      <c r="EF135" s="12"/>
      <c r="EG135" s="12"/>
      <c r="EH135" s="12"/>
      <c r="EI135" s="12"/>
      <c r="EJ135" s="12"/>
      <c r="EK135" s="12"/>
      <c r="EL135" s="12"/>
      <c r="EM135" s="12"/>
      <c r="EN135" s="12"/>
      <c r="EO135" s="12"/>
      <c r="EP135" s="12"/>
      <c r="EQ135" s="12"/>
      <c r="ER135" s="12"/>
      <c r="ES135" s="12"/>
      <c r="ET135" s="12"/>
      <c r="EU135" s="12"/>
      <c r="EV135" s="12"/>
      <c r="EW135" s="12"/>
      <c r="EX135" s="12"/>
      <c r="EY135" s="12"/>
      <c r="EZ135" s="12"/>
      <c r="FA135" s="12"/>
      <c r="FB135" s="12"/>
      <c r="FC135" s="12"/>
      <c r="FD135" s="12"/>
      <c r="FE135" s="12"/>
      <c r="FF135" s="12"/>
      <c r="FG135" s="12"/>
      <c r="FH135" s="12"/>
      <c r="FI135" s="12"/>
      <c r="FJ135" s="12"/>
      <c r="FK135" s="12"/>
      <c r="FL135" s="12"/>
      <c r="FM135" s="12"/>
      <c r="FN135" s="12"/>
      <c r="FO135" s="12"/>
      <c r="FP135" s="12"/>
      <c r="FQ135" s="12"/>
      <c r="FR135" s="12"/>
      <c r="FS135" s="12"/>
      <c r="FT135" s="12"/>
      <c r="FU135" s="12"/>
      <c r="FV135" s="12"/>
      <c r="FW135" s="12"/>
      <c r="FX135" s="12"/>
      <c r="FY135" s="12"/>
      <c r="FZ135" s="12"/>
      <c r="GA135" s="12"/>
      <c r="GB135" s="12"/>
      <c r="GC135" s="12"/>
      <c r="GD135" s="12"/>
      <c r="GE135" s="12"/>
    </row>
    <row r="136" spans="1:187" ht="21" customHeight="1">
      <c r="A136" s="45"/>
      <c r="B136" s="86" t="s">
        <v>277</v>
      </c>
      <c r="C136" s="10" t="s">
        <v>172</v>
      </c>
      <c r="D136" s="10" t="s">
        <v>309</v>
      </c>
      <c r="E136" s="35">
        <f>642.308+556.683</f>
        <v>1198.991</v>
      </c>
      <c r="F136" s="35">
        <f>(642.308+1355.937)-E136</f>
        <v>799.25399999999991</v>
      </c>
      <c r="G136" s="35">
        <v>399.66699999999997</v>
      </c>
      <c r="H136" s="35">
        <f>1598.668-G136</f>
        <v>1199.001</v>
      </c>
      <c r="I136" s="35">
        <f t="shared" si="10"/>
        <v>3596.9129999999996</v>
      </c>
      <c r="J136" s="56">
        <v>3605.6</v>
      </c>
      <c r="K136" s="49">
        <v>3739.65</v>
      </c>
      <c r="L136" s="49">
        <v>3739.65</v>
      </c>
      <c r="M136" s="49">
        <v>1347.44</v>
      </c>
      <c r="N136" s="49">
        <v>1397.3</v>
      </c>
      <c r="O136" s="56">
        <f t="shared" si="16"/>
        <v>2392.21</v>
      </c>
      <c r="P136" s="1">
        <f t="shared" si="17"/>
        <v>2868238.2601100001</v>
      </c>
      <c r="Q136" s="1">
        <f t="shared" si="11"/>
        <v>1911983.4113399999</v>
      </c>
      <c r="R136" s="1">
        <f t="shared" si="12"/>
        <v>936159.99745000002</v>
      </c>
      <c r="S136" s="1">
        <f t="shared" si="13"/>
        <v>2808479.9923500004</v>
      </c>
      <c r="T136" s="1">
        <f t="shared" si="14"/>
        <v>8524861.6612500008</v>
      </c>
      <c r="U136" s="11"/>
      <c r="V136" s="11"/>
      <c r="W136" s="11"/>
      <c r="X136" s="12"/>
      <c r="Y136" s="12"/>
      <c r="Z136" s="12"/>
      <c r="AA136" s="12"/>
      <c r="AB136" s="12"/>
      <c r="AC136" s="12"/>
      <c r="AD136" s="12"/>
      <c r="AE136" s="12"/>
      <c r="AF136" s="12"/>
      <c r="AG136" s="12"/>
      <c r="AH136" s="12"/>
      <c r="AI136" s="12"/>
      <c r="AJ136" s="12"/>
      <c r="AK136" s="12"/>
      <c r="AL136" s="12"/>
      <c r="AM136" s="12"/>
      <c r="AN136" s="12"/>
      <c r="AO136" s="12"/>
      <c r="AP136" s="12"/>
      <c r="AQ136" s="12"/>
      <c r="AR136" s="12"/>
      <c r="AS136" s="12"/>
      <c r="AT136" s="12"/>
      <c r="AU136" s="12"/>
      <c r="AV136" s="12"/>
      <c r="AW136" s="12"/>
      <c r="AX136" s="12"/>
      <c r="AY136" s="12"/>
      <c r="AZ136" s="12"/>
      <c r="BA136" s="12"/>
      <c r="BB136" s="12"/>
      <c r="BC136" s="12"/>
      <c r="BD136" s="12"/>
      <c r="BE136" s="12"/>
      <c r="BF136" s="12"/>
      <c r="BG136" s="12"/>
      <c r="BH136" s="12"/>
      <c r="BI136" s="12"/>
      <c r="BJ136" s="12"/>
      <c r="BK136" s="12"/>
      <c r="BL136" s="12"/>
      <c r="BM136" s="12"/>
      <c r="BN136" s="12"/>
      <c r="BO136" s="12"/>
      <c r="BP136" s="12"/>
      <c r="BQ136" s="12"/>
      <c r="BR136" s="12"/>
      <c r="BS136" s="12"/>
      <c r="BT136" s="12"/>
      <c r="BU136" s="12"/>
      <c r="BV136" s="12"/>
      <c r="BW136" s="12"/>
      <c r="BX136" s="12"/>
      <c r="BY136" s="12"/>
      <c r="BZ136" s="12"/>
      <c r="CA136" s="12"/>
      <c r="CB136" s="12"/>
      <c r="CC136" s="12"/>
      <c r="CD136" s="12"/>
      <c r="CE136" s="12"/>
      <c r="CF136" s="12"/>
      <c r="CG136" s="12"/>
      <c r="CH136" s="12"/>
      <c r="CI136" s="12"/>
      <c r="CJ136" s="12"/>
      <c r="CK136" s="12"/>
      <c r="CL136" s="12"/>
      <c r="CM136" s="12"/>
      <c r="CN136" s="12"/>
      <c r="CO136" s="12"/>
      <c r="CP136" s="12"/>
      <c r="CQ136" s="12"/>
      <c r="CR136" s="12"/>
      <c r="CS136" s="12"/>
      <c r="CT136" s="12"/>
      <c r="CU136" s="12"/>
      <c r="CV136" s="12"/>
      <c r="CW136" s="12"/>
      <c r="CX136" s="12"/>
      <c r="CY136" s="12"/>
      <c r="CZ136" s="12"/>
      <c r="DA136" s="12"/>
      <c r="DB136" s="12"/>
      <c r="DC136" s="12"/>
      <c r="DD136" s="12"/>
      <c r="DE136" s="12"/>
      <c r="DF136" s="12"/>
      <c r="DG136" s="12"/>
      <c r="DH136" s="12"/>
      <c r="DI136" s="12"/>
      <c r="DJ136" s="12"/>
      <c r="DK136" s="12"/>
      <c r="DL136" s="12"/>
      <c r="DM136" s="12"/>
      <c r="DN136" s="12"/>
      <c r="DO136" s="12"/>
      <c r="DP136" s="12"/>
      <c r="DQ136" s="12"/>
      <c r="DR136" s="12"/>
      <c r="DS136" s="12"/>
      <c r="DT136" s="12"/>
      <c r="DU136" s="12"/>
      <c r="DV136" s="12"/>
      <c r="DW136" s="12"/>
      <c r="DX136" s="12"/>
      <c r="DY136" s="12"/>
      <c r="DZ136" s="12"/>
      <c r="EA136" s="12"/>
      <c r="EB136" s="12"/>
      <c r="EC136" s="12"/>
      <c r="ED136" s="12"/>
      <c r="EE136" s="12"/>
      <c r="EF136" s="12"/>
      <c r="EG136" s="12"/>
      <c r="EH136" s="12"/>
      <c r="EI136" s="12"/>
      <c r="EJ136" s="12"/>
      <c r="EK136" s="12"/>
      <c r="EL136" s="12"/>
      <c r="EM136" s="12"/>
      <c r="EN136" s="12"/>
      <c r="EO136" s="12"/>
      <c r="EP136" s="12"/>
      <c r="EQ136" s="12"/>
      <c r="ER136" s="12"/>
      <c r="ES136" s="12"/>
      <c r="ET136" s="12"/>
      <c r="EU136" s="12"/>
      <c r="EV136" s="12"/>
      <c r="EW136" s="12"/>
      <c r="EX136" s="12"/>
      <c r="EY136" s="12"/>
      <c r="EZ136" s="12"/>
      <c r="FA136" s="12"/>
      <c r="FB136" s="12"/>
      <c r="FC136" s="12"/>
      <c r="FD136" s="12"/>
      <c r="FE136" s="12"/>
      <c r="FF136" s="12"/>
      <c r="FG136" s="12"/>
      <c r="FH136" s="12"/>
      <c r="FI136" s="12"/>
      <c r="FJ136" s="12"/>
      <c r="FK136" s="12"/>
      <c r="FL136" s="12"/>
      <c r="FM136" s="12"/>
      <c r="FN136" s="12"/>
      <c r="FO136" s="12"/>
      <c r="FP136" s="12"/>
      <c r="FQ136" s="12"/>
      <c r="FR136" s="12"/>
      <c r="FS136" s="12"/>
      <c r="FT136" s="12"/>
      <c r="FU136" s="12"/>
      <c r="FV136" s="12"/>
      <c r="FW136" s="12"/>
      <c r="FX136" s="12"/>
      <c r="FY136" s="12"/>
      <c r="FZ136" s="12"/>
      <c r="GA136" s="12"/>
      <c r="GB136" s="12"/>
      <c r="GC136" s="12"/>
      <c r="GD136" s="12"/>
      <c r="GE136" s="12"/>
    </row>
    <row r="137" spans="1:187" ht="21" customHeight="1">
      <c r="A137" s="45"/>
      <c r="B137" s="86" t="s">
        <v>277</v>
      </c>
      <c r="C137" s="10" t="s">
        <v>172</v>
      </c>
      <c r="D137" s="10" t="s">
        <v>308</v>
      </c>
      <c r="E137" s="35">
        <f>200.529+173.802</f>
        <v>374.33100000000002</v>
      </c>
      <c r="F137" s="35">
        <f>(200.529+423.356)-E137</f>
        <v>249.55399999999997</v>
      </c>
      <c r="G137" s="35">
        <v>124.777</v>
      </c>
      <c r="H137" s="35">
        <f>499.108-G137</f>
        <v>374.33100000000002</v>
      </c>
      <c r="I137" s="35">
        <f t="shared" si="10"/>
        <v>1122.9929999999999</v>
      </c>
      <c r="J137" s="56">
        <v>1123</v>
      </c>
      <c r="K137" s="49">
        <v>6140.76</v>
      </c>
      <c r="L137" s="49">
        <v>6140.76</v>
      </c>
      <c r="M137" s="49">
        <v>1755.91</v>
      </c>
      <c r="N137" s="49">
        <v>1820.88</v>
      </c>
      <c r="O137" s="56">
        <f t="shared" si="16"/>
        <v>4384.8500000000004</v>
      </c>
      <c r="P137" s="1">
        <f t="shared" si="17"/>
        <v>1641385.2853500003</v>
      </c>
      <c r="Q137" s="1">
        <f t="shared" si="11"/>
        <v>1094256.8569</v>
      </c>
      <c r="R137" s="1">
        <f t="shared" si="12"/>
        <v>539021.66676000005</v>
      </c>
      <c r="S137" s="1">
        <f t="shared" si="13"/>
        <v>1617065.00028</v>
      </c>
      <c r="T137" s="1">
        <f t="shared" si="14"/>
        <v>4891728.8092900002</v>
      </c>
      <c r="U137" s="11"/>
      <c r="V137" s="11"/>
      <c r="W137" s="11"/>
      <c r="X137" s="12"/>
      <c r="Y137" s="12"/>
      <c r="Z137" s="12"/>
      <c r="AA137" s="12"/>
      <c r="AB137" s="12"/>
      <c r="AC137" s="12"/>
      <c r="AD137" s="12"/>
      <c r="AE137" s="12"/>
      <c r="AF137" s="12"/>
      <c r="AG137" s="12"/>
      <c r="AH137" s="12"/>
      <c r="AI137" s="12"/>
      <c r="AJ137" s="12"/>
      <c r="AK137" s="12"/>
      <c r="AL137" s="12"/>
      <c r="AM137" s="12"/>
      <c r="AN137" s="12"/>
      <c r="AO137" s="12"/>
      <c r="AP137" s="12"/>
      <c r="AQ137" s="12"/>
      <c r="AR137" s="12"/>
      <c r="AS137" s="12"/>
      <c r="AT137" s="12"/>
      <c r="AU137" s="12"/>
      <c r="AV137" s="12"/>
      <c r="AW137" s="12"/>
      <c r="AX137" s="12"/>
      <c r="AY137" s="12"/>
      <c r="AZ137" s="12"/>
      <c r="BA137" s="12"/>
      <c r="BB137" s="12"/>
      <c r="BC137" s="12"/>
      <c r="BD137" s="12"/>
      <c r="BE137" s="12"/>
      <c r="BF137" s="12"/>
      <c r="BG137" s="12"/>
      <c r="BH137" s="12"/>
      <c r="BI137" s="12"/>
      <c r="BJ137" s="12"/>
      <c r="BK137" s="12"/>
      <c r="BL137" s="12"/>
      <c r="BM137" s="12"/>
      <c r="BN137" s="12"/>
      <c r="BO137" s="12"/>
      <c r="BP137" s="12"/>
      <c r="BQ137" s="12"/>
      <c r="BR137" s="12"/>
      <c r="BS137" s="12"/>
      <c r="BT137" s="12"/>
      <c r="BU137" s="12"/>
      <c r="BV137" s="12"/>
      <c r="BW137" s="12"/>
      <c r="BX137" s="12"/>
      <c r="BY137" s="12"/>
      <c r="BZ137" s="12"/>
      <c r="CA137" s="12"/>
      <c r="CB137" s="12"/>
      <c r="CC137" s="12"/>
      <c r="CD137" s="12"/>
      <c r="CE137" s="12"/>
      <c r="CF137" s="12"/>
      <c r="CG137" s="12"/>
      <c r="CH137" s="12"/>
      <c r="CI137" s="12"/>
      <c r="CJ137" s="12"/>
      <c r="CK137" s="12"/>
      <c r="CL137" s="12"/>
      <c r="CM137" s="12"/>
      <c r="CN137" s="12"/>
      <c r="CO137" s="12"/>
      <c r="CP137" s="12"/>
      <c r="CQ137" s="12"/>
      <c r="CR137" s="12"/>
      <c r="CS137" s="12"/>
      <c r="CT137" s="12"/>
      <c r="CU137" s="12"/>
      <c r="CV137" s="12"/>
      <c r="CW137" s="12"/>
      <c r="CX137" s="12"/>
      <c r="CY137" s="12"/>
      <c r="CZ137" s="12"/>
      <c r="DA137" s="12"/>
      <c r="DB137" s="12"/>
      <c r="DC137" s="12"/>
      <c r="DD137" s="12"/>
      <c r="DE137" s="12"/>
      <c r="DF137" s="12"/>
      <c r="DG137" s="12"/>
      <c r="DH137" s="12"/>
      <c r="DI137" s="12"/>
      <c r="DJ137" s="12"/>
      <c r="DK137" s="12"/>
      <c r="DL137" s="12"/>
      <c r="DM137" s="12"/>
      <c r="DN137" s="12"/>
      <c r="DO137" s="12"/>
      <c r="DP137" s="12"/>
      <c r="DQ137" s="12"/>
      <c r="DR137" s="12"/>
      <c r="DS137" s="12"/>
      <c r="DT137" s="12"/>
      <c r="DU137" s="12"/>
      <c r="DV137" s="12"/>
      <c r="DW137" s="12"/>
      <c r="DX137" s="12"/>
      <c r="DY137" s="12"/>
      <c r="DZ137" s="12"/>
      <c r="EA137" s="12"/>
      <c r="EB137" s="12"/>
      <c r="EC137" s="12"/>
      <c r="ED137" s="12"/>
      <c r="EE137" s="12"/>
      <c r="EF137" s="12"/>
      <c r="EG137" s="12"/>
      <c r="EH137" s="12"/>
      <c r="EI137" s="12"/>
      <c r="EJ137" s="12"/>
      <c r="EK137" s="12"/>
      <c r="EL137" s="12"/>
      <c r="EM137" s="12"/>
      <c r="EN137" s="12"/>
      <c r="EO137" s="12"/>
      <c r="EP137" s="12"/>
      <c r="EQ137" s="12"/>
      <c r="ER137" s="12"/>
      <c r="ES137" s="12"/>
      <c r="ET137" s="12"/>
      <c r="EU137" s="12"/>
      <c r="EV137" s="12"/>
      <c r="EW137" s="12"/>
      <c r="EX137" s="12"/>
      <c r="EY137" s="12"/>
      <c r="EZ137" s="12"/>
      <c r="FA137" s="12"/>
      <c r="FB137" s="12"/>
      <c r="FC137" s="12"/>
      <c r="FD137" s="12"/>
      <c r="FE137" s="12"/>
      <c r="FF137" s="12"/>
      <c r="FG137" s="12"/>
      <c r="FH137" s="12"/>
      <c r="FI137" s="12"/>
      <c r="FJ137" s="12"/>
      <c r="FK137" s="12"/>
      <c r="FL137" s="12"/>
      <c r="FM137" s="12"/>
      <c r="FN137" s="12"/>
      <c r="FO137" s="12"/>
      <c r="FP137" s="12"/>
      <c r="FQ137" s="12"/>
      <c r="FR137" s="12"/>
      <c r="FS137" s="12"/>
      <c r="FT137" s="12"/>
      <c r="FU137" s="12"/>
      <c r="FV137" s="12"/>
      <c r="FW137" s="12"/>
      <c r="FX137" s="12"/>
      <c r="FY137" s="12"/>
      <c r="FZ137" s="12"/>
      <c r="GA137" s="12"/>
      <c r="GB137" s="12"/>
      <c r="GC137" s="12"/>
      <c r="GD137" s="12"/>
      <c r="GE137" s="12"/>
    </row>
    <row r="138" spans="1:187" ht="21" customHeight="1">
      <c r="A138" s="45"/>
      <c r="B138" s="86" t="s">
        <v>278</v>
      </c>
      <c r="C138" s="10" t="s">
        <v>167</v>
      </c>
      <c r="D138" s="10" t="s">
        <v>168</v>
      </c>
      <c r="E138" s="35">
        <v>6665.7049999999999</v>
      </c>
      <c r="F138" s="35">
        <f>9991.06-E138</f>
        <v>3325.3549999999996</v>
      </c>
      <c r="G138" s="35">
        <v>1143.3</v>
      </c>
      <c r="H138" s="35">
        <f>6955.636-G138</f>
        <v>5812.3360000000002</v>
      </c>
      <c r="I138" s="35">
        <f t="shared" si="10"/>
        <v>16946.696</v>
      </c>
      <c r="J138" s="56">
        <v>17338.61</v>
      </c>
      <c r="K138" s="49">
        <v>1787.98</v>
      </c>
      <c r="L138" s="49">
        <v>2345.1999999999998</v>
      </c>
      <c r="M138" s="49">
        <v>1751.98</v>
      </c>
      <c r="N138" s="49">
        <v>1816.8</v>
      </c>
      <c r="O138" s="56">
        <f t="shared" si="16"/>
        <v>36</v>
      </c>
      <c r="P138" s="1">
        <f t="shared" si="17"/>
        <v>239965.38</v>
      </c>
      <c r="Q138" s="1">
        <f t="shared" ref="Q138:Q201" si="18">(K138-M138)*F138</f>
        <v>119712.77999999998</v>
      </c>
      <c r="R138" s="1">
        <f t="shared" ref="R138:R201" si="19">(L138-N138)*G138</f>
        <v>604119.71999999986</v>
      </c>
      <c r="S138" s="1">
        <f t="shared" ref="S138:S201" si="20">(H138*(L138-N138))</f>
        <v>3071238.3423999995</v>
      </c>
      <c r="T138" s="1">
        <f t="shared" ref="T138:T172" si="21">SUM(P138:S138)</f>
        <v>4035036.2223999994</v>
      </c>
      <c r="U138" s="11"/>
      <c r="V138" s="11"/>
      <c r="W138" s="11"/>
      <c r="X138" s="12"/>
      <c r="Y138" s="12"/>
      <c r="Z138" s="12"/>
      <c r="AA138" s="12"/>
      <c r="AB138" s="12"/>
      <c r="AC138" s="12"/>
      <c r="AD138" s="12"/>
      <c r="AE138" s="12"/>
      <c r="AF138" s="12"/>
      <c r="AG138" s="12"/>
      <c r="AH138" s="12"/>
      <c r="AI138" s="12"/>
      <c r="AJ138" s="12"/>
      <c r="AK138" s="12"/>
      <c r="AL138" s="12"/>
      <c r="AM138" s="12"/>
      <c r="AN138" s="12"/>
      <c r="AO138" s="12"/>
      <c r="AP138" s="12"/>
      <c r="AQ138" s="12"/>
      <c r="AR138" s="12"/>
      <c r="AS138" s="12"/>
      <c r="AT138" s="12"/>
      <c r="AU138" s="12"/>
      <c r="AV138" s="12"/>
      <c r="AW138" s="12"/>
      <c r="AX138" s="12"/>
      <c r="AY138" s="12"/>
      <c r="AZ138" s="12"/>
      <c r="BA138" s="12"/>
      <c r="BB138" s="12"/>
      <c r="BC138" s="12"/>
      <c r="BD138" s="12"/>
      <c r="BE138" s="12"/>
      <c r="BF138" s="12"/>
      <c r="BG138" s="12"/>
      <c r="BH138" s="12"/>
      <c r="BI138" s="12"/>
      <c r="BJ138" s="12"/>
      <c r="BK138" s="12"/>
      <c r="BL138" s="12"/>
      <c r="BM138" s="12"/>
      <c r="BN138" s="12"/>
      <c r="BO138" s="12"/>
      <c r="BP138" s="12"/>
      <c r="BQ138" s="12"/>
      <c r="BR138" s="12"/>
      <c r="BS138" s="12"/>
      <c r="BT138" s="12"/>
      <c r="BU138" s="12"/>
      <c r="BV138" s="12"/>
      <c r="BW138" s="12"/>
      <c r="BX138" s="12"/>
      <c r="BY138" s="12"/>
      <c r="BZ138" s="12"/>
      <c r="CA138" s="12"/>
      <c r="CB138" s="12"/>
      <c r="CC138" s="12"/>
      <c r="CD138" s="12"/>
      <c r="CE138" s="12"/>
      <c r="CF138" s="12"/>
      <c r="CG138" s="12"/>
      <c r="CH138" s="12"/>
      <c r="CI138" s="12"/>
      <c r="CJ138" s="12"/>
      <c r="CK138" s="12"/>
      <c r="CL138" s="12"/>
      <c r="CM138" s="12"/>
      <c r="CN138" s="12"/>
      <c r="CO138" s="12"/>
      <c r="CP138" s="12"/>
      <c r="CQ138" s="12"/>
      <c r="CR138" s="12"/>
      <c r="CS138" s="12"/>
      <c r="CT138" s="12"/>
      <c r="CU138" s="12"/>
      <c r="CV138" s="12"/>
      <c r="CW138" s="12"/>
      <c r="CX138" s="12"/>
      <c r="CY138" s="12"/>
      <c r="CZ138" s="12"/>
      <c r="DA138" s="12"/>
      <c r="DB138" s="12"/>
      <c r="DC138" s="12"/>
      <c r="DD138" s="12"/>
      <c r="DE138" s="12"/>
      <c r="DF138" s="12"/>
      <c r="DG138" s="12"/>
      <c r="DH138" s="12"/>
      <c r="DI138" s="12"/>
      <c r="DJ138" s="12"/>
      <c r="DK138" s="12"/>
      <c r="DL138" s="12"/>
      <c r="DM138" s="12"/>
      <c r="DN138" s="12"/>
      <c r="DO138" s="12"/>
      <c r="DP138" s="12"/>
      <c r="DQ138" s="12"/>
      <c r="DR138" s="12"/>
      <c r="DS138" s="12"/>
      <c r="DT138" s="12"/>
      <c r="DU138" s="12"/>
      <c r="DV138" s="12"/>
      <c r="DW138" s="12"/>
      <c r="DX138" s="12"/>
      <c r="DY138" s="12"/>
      <c r="DZ138" s="12"/>
      <c r="EA138" s="12"/>
      <c r="EB138" s="12"/>
      <c r="EC138" s="12"/>
      <c r="ED138" s="12"/>
      <c r="EE138" s="12"/>
      <c r="EF138" s="12"/>
      <c r="EG138" s="12"/>
      <c r="EH138" s="12"/>
      <c r="EI138" s="12"/>
      <c r="EJ138" s="12"/>
      <c r="EK138" s="12"/>
      <c r="EL138" s="12"/>
      <c r="EM138" s="12"/>
      <c r="EN138" s="12"/>
      <c r="EO138" s="12"/>
      <c r="EP138" s="12"/>
      <c r="EQ138" s="12"/>
      <c r="ER138" s="12"/>
      <c r="ES138" s="12"/>
      <c r="ET138" s="12"/>
      <c r="EU138" s="12"/>
      <c r="EV138" s="12"/>
      <c r="EW138" s="12"/>
      <c r="EX138" s="12"/>
      <c r="EY138" s="12"/>
      <c r="EZ138" s="12"/>
      <c r="FA138" s="12"/>
      <c r="FB138" s="12"/>
      <c r="FC138" s="12"/>
      <c r="FD138" s="12"/>
      <c r="FE138" s="12"/>
      <c r="FF138" s="12"/>
      <c r="FG138" s="12"/>
      <c r="FH138" s="12"/>
      <c r="FI138" s="12"/>
      <c r="FJ138" s="12"/>
      <c r="FK138" s="12"/>
      <c r="FL138" s="12"/>
      <c r="FM138" s="12"/>
      <c r="FN138" s="12"/>
      <c r="FO138" s="12"/>
      <c r="FP138" s="12"/>
      <c r="FQ138" s="12"/>
      <c r="FR138" s="12"/>
      <c r="FS138" s="12"/>
      <c r="FT138" s="12"/>
      <c r="FU138" s="12"/>
      <c r="FV138" s="12"/>
      <c r="FW138" s="12"/>
      <c r="FX138" s="12"/>
      <c r="FY138" s="12"/>
      <c r="FZ138" s="12"/>
      <c r="GA138" s="12"/>
      <c r="GB138" s="12"/>
      <c r="GC138" s="12"/>
      <c r="GD138" s="12"/>
      <c r="GE138" s="12"/>
    </row>
    <row r="139" spans="1:187" ht="21" customHeight="1">
      <c r="A139" s="45"/>
      <c r="B139" s="86" t="s">
        <v>278</v>
      </c>
      <c r="C139" s="10" t="s">
        <v>167</v>
      </c>
      <c r="D139" s="10" t="s">
        <v>169</v>
      </c>
      <c r="E139" s="35">
        <v>3872.3339999999998</v>
      </c>
      <c r="F139" s="35">
        <f>5648.207-E139</f>
        <v>1775.8730000000005</v>
      </c>
      <c r="G139" s="35">
        <v>587.77499999999998</v>
      </c>
      <c r="H139" s="35">
        <f>3776.44-G139</f>
        <v>3188.665</v>
      </c>
      <c r="I139" s="35">
        <f t="shared" ref="I139:I204" si="22">SUM(E139:H139)</f>
        <v>9424.6470000000008</v>
      </c>
      <c r="J139" s="56">
        <v>9954.2900000000009</v>
      </c>
      <c r="K139" s="49">
        <v>2570.98</v>
      </c>
      <c r="L139" s="49">
        <v>2673.82</v>
      </c>
      <c r="M139" s="49">
        <v>1751.98</v>
      </c>
      <c r="N139" s="49">
        <v>1816.8</v>
      </c>
      <c r="O139" s="56">
        <f t="shared" si="16"/>
        <v>819</v>
      </c>
      <c r="P139" s="1">
        <f t="shared" si="17"/>
        <v>3171441.5460000001</v>
      </c>
      <c r="Q139" s="1">
        <f t="shared" si="18"/>
        <v>1454439.9870000004</v>
      </c>
      <c r="R139" s="1">
        <f t="shared" si="19"/>
        <v>503734.93050000007</v>
      </c>
      <c r="S139" s="1">
        <f t="shared" si="20"/>
        <v>2732749.6783000007</v>
      </c>
      <c r="T139" s="1">
        <f t="shared" si="21"/>
        <v>7862366.1418000013</v>
      </c>
      <c r="U139" s="11"/>
      <c r="V139" s="11"/>
      <c r="W139" s="11"/>
      <c r="X139" s="12"/>
      <c r="Y139" s="12"/>
      <c r="Z139" s="12"/>
      <c r="AA139" s="12"/>
      <c r="AB139" s="12"/>
      <c r="AC139" s="12"/>
      <c r="AD139" s="12"/>
      <c r="AE139" s="12"/>
      <c r="AF139" s="12"/>
      <c r="AG139" s="12"/>
      <c r="AH139" s="12"/>
      <c r="AI139" s="12"/>
      <c r="AJ139" s="12"/>
      <c r="AK139" s="12"/>
      <c r="AL139" s="12"/>
      <c r="AM139" s="12"/>
      <c r="AN139" s="12"/>
      <c r="AO139" s="12"/>
      <c r="AP139" s="12"/>
      <c r="AQ139" s="12"/>
      <c r="AR139" s="12"/>
      <c r="AS139" s="12"/>
      <c r="AT139" s="12"/>
      <c r="AU139" s="12"/>
      <c r="AV139" s="12"/>
      <c r="AW139" s="12"/>
      <c r="AX139" s="12"/>
      <c r="AY139" s="12"/>
      <c r="AZ139" s="12"/>
      <c r="BA139" s="12"/>
      <c r="BB139" s="12"/>
      <c r="BC139" s="12"/>
      <c r="BD139" s="12"/>
      <c r="BE139" s="12"/>
      <c r="BF139" s="12"/>
      <c r="BG139" s="12"/>
      <c r="BH139" s="12"/>
      <c r="BI139" s="12"/>
      <c r="BJ139" s="12"/>
      <c r="BK139" s="12"/>
      <c r="BL139" s="12"/>
      <c r="BM139" s="12"/>
      <c r="BN139" s="12"/>
      <c r="BO139" s="12"/>
      <c r="BP139" s="12"/>
      <c r="BQ139" s="12"/>
      <c r="BR139" s="12"/>
      <c r="BS139" s="12"/>
      <c r="BT139" s="12"/>
      <c r="BU139" s="12"/>
      <c r="BV139" s="12"/>
      <c r="BW139" s="12"/>
      <c r="BX139" s="12"/>
      <c r="BY139" s="12"/>
      <c r="BZ139" s="12"/>
      <c r="CA139" s="12"/>
      <c r="CB139" s="12"/>
      <c r="CC139" s="12"/>
      <c r="CD139" s="12"/>
      <c r="CE139" s="12"/>
      <c r="CF139" s="12"/>
      <c r="CG139" s="12"/>
      <c r="CH139" s="12"/>
      <c r="CI139" s="12"/>
      <c r="CJ139" s="12"/>
      <c r="CK139" s="12"/>
      <c r="CL139" s="12"/>
      <c r="CM139" s="12"/>
      <c r="CN139" s="12"/>
      <c r="CO139" s="12"/>
      <c r="CP139" s="12"/>
      <c r="CQ139" s="12"/>
      <c r="CR139" s="12"/>
      <c r="CS139" s="12"/>
      <c r="CT139" s="12"/>
      <c r="CU139" s="12"/>
      <c r="CV139" s="12"/>
      <c r="CW139" s="12"/>
      <c r="CX139" s="12"/>
      <c r="CY139" s="12"/>
      <c r="CZ139" s="12"/>
      <c r="DA139" s="12"/>
      <c r="DB139" s="12"/>
      <c r="DC139" s="12"/>
      <c r="DD139" s="12"/>
      <c r="DE139" s="12"/>
      <c r="DF139" s="12"/>
      <c r="DG139" s="12"/>
      <c r="DH139" s="12"/>
      <c r="DI139" s="12"/>
      <c r="DJ139" s="12"/>
      <c r="DK139" s="12"/>
      <c r="DL139" s="12"/>
      <c r="DM139" s="12"/>
      <c r="DN139" s="12"/>
      <c r="DO139" s="12"/>
      <c r="DP139" s="12"/>
      <c r="DQ139" s="12"/>
      <c r="DR139" s="12"/>
      <c r="DS139" s="12"/>
      <c r="DT139" s="12"/>
      <c r="DU139" s="12"/>
      <c r="DV139" s="12"/>
      <c r="DW139" s="12"/>
      <c r="DX139" s="12"/>
      <c r="DY139" s="12"/>
      <c r="DZ139" s="12"/>
      <c r="EA139" s="12"/>
      <c r="EB139" s="12"/>
      <c r="EC139" s="12"/>
      <c r="ED139" s="12"/>
      <c r="EE139" s="12"/>
      <c r="EF139" s="12"/>
      <c r="EG139" s="12"/>
      <c r="EH139" s="12"/>
      <c r="EI139" s="12"/>
      <c r="EJ139" s="12"/>
      <c r="EK139" s="12"/>
      <c r="EL139" s="12"/>
      <c r="EM139" s="12"/>
      <c r="EN139" s="12"/>
      <c r="EO139" s="12"/>
      <c r="EP139" s="12"/>
      <c r="EQ139" s="12"/>
      <c r="ER139" s="12"/>
      <c r="ES139" s="12"/>
      <c r="ET139" s="12"/>
      <c r="EU139" s="12"/>
      <c r="EV139" s="12"/>
      <c r="EW139" s="12"/>
      <c r="EX139" s="12"/>
      <c r="EY139" s="12"/>
      <c r="EZ139" s="12"/>
      <c r="FA139" s="12"/>
      <c r="FB139" s="12"/>
      <c r="FC139" s="12"/>
      <c r="FD139" s="12"/>
      <c r="FE139" s="12"/>
      <c r="FF139" s="12"/>
      <c r="FG139" s="12"/>
      <c r="FH139" s="12"/>
      <c r="FI139" s="12"/>
      <c r="FJ139" s="12"/>
      <c r="FK139" s="12"/>
      <c r="FL139" s="12"/>
      <c r="FM139" s="12"/>
      <c r="FN139" s="12"/>
      <c r="FO139" s="12"/>
      <c r="FP139" s="12"/>
      <c r="FQ139" s="12"/>
      <c r="FR139" s="12"/>
      <c r="FS139" s="12"/>
      <c r="FT139" s="12"/>
      <c r="FU139" s="12"/>
      <c r="FV139" s="12"/>
      <c r="FW139" s="12"/>
      <c r="FX139" s="12"/>
      <c r="FY139" s="12"/>
      <c r="FZ139" s="12"/>
      <c r="GA139" s="12"/>
      <c r="GB139" s="12"/>
      <c r="GC139" s="12"/>
      <c r="GD139" s="12"/>
      <c r="GE139" s="12"/>
    </row>
    <row r="140" spans="1:187" ht="21" customHeight="1">
      <c r="A140" s="45"/>
      <c r="B140" s="86" t="s">
        <v>3</v>
      </c>
      <c r="C140" s="10" t="s">
        <v>174</v>
      </c>
      <c r="D140" s="10" t="s">
        <v>171</v>
      </c>
      <c r="E140" s="35">
        <v>85.286000000000001</v>
      </c>
      <c r="F140" s="35">
        <f>114.638-E140</f>
        <v>29.352000000000004</v>
      </c>
      <c r="G140" s="35">
        <v>14.039</v>
      </c>
      <c r="H140" s="35">
        <f>70.639-G140</f>
        <v>56.599999999999994</v>
      </c>
      <c r="I140" s="35">
        <f t="shared" si="22"/>
        <v>185.27699999999999</v>
      </c>
      <c r="J140" s="56">
        <v>199.2</v>
      </c>
      <c r="K140" s="49">
        <v>3123.07</v>
      </c>
      <c r="L140" s="49">
        <v>3247.99</v>
      </c>
      <c r="M140" s="49">
        <v>1768.83</v>
      </c>
      <c r="N140" s="49">
        <v>1834.28</v>
      </c>
      <c r="O140" s="56">
        <f t="shared" si="16"/>
        <v>1354.2400000000002</v>
      </c>
      <c r="P140" s="1">
        <f t="shared" si="17"/>
        <v>115497.71264000003</v>
      </c>
      <c r="Q140" s="1">
        <f t="shared" si="18"/>
        <v>39749.652480000012</v>
      </c>
      <c r="R140" s="1">
        <f t="shared" si="19"/>
        <v>19847.074689999998</v>
      </c>
      <c r="S140" s="1">
        <f t="shared" si="20"/>
        <v>80015.985999999975</v>
      </c>
      <c r="T140" s="1">
        <f t="shared" si="21"/>
        <v>255110.42581000002</v>
      </c>
      <c r="U140" s="11"/>
      <c r="V140" s="11"/>
      <c r="W140" s="11"/>
      <c r="X140" s="12"/>
      <c r="Y140" s="12"/>
      <c r="Z140" s="12"/>
      <c r="AA140" s="12"/>
      <c r="AB140" s="12"/>
      <c r="AC140" s="12"/>
      <c r="AD140" s="12"/>
      <c r="AE140" s="12"/>
      <c r="AF140" s="12"/>
      <c r="AG140" s="12"/>
      <c r="AH140" s="12"/>
      <c r="AI140" s="12"/>
      <c r="AJ140" s="12"/>
      <c r="AK140" s="12"/>
      <c r="AL140" s="12"/>
      <c r="AM140" s="12"/>
      <c r="AN140" s="12"/>
      <c r="AO140" s="12"/>
      <c r="AP140" s="12"/>
      <c r="AQ140" s="12"/>
      <c r="AR140" s="12"/>
      <c r="AS140" s="12"/>
      <c r="AT140" s="12"/>
      <c r="AU140" s="12"/>
      <c r="AV140" s="12"/>
      <c r="AW140" s="12"/>
      <c r="AX140" s="12"/>
      <c r="AY140" s="12"/>
      <c r="AZ140" s="12"/>
      <c r="BA140" s="12"/>
      <c r="BB140" s="12"/>
      <c r="BC140" s="12"/>
      <c r="BD140" s="12"/>
      <c r="BE140" s="12"/>
      <c r="BF140" s="12"/>
      <c r="BG140" s="12"/>
      <c r="BH140" s="12"/>
      <c r="BI140" s="12"/>
      <c r="BJ140" s="12"/>
      <c r="BK140" s="12"/>
      <c r="BL140" s="12"/>
      <c r="BM140" s="12"/>
      <c r="BN140" s="12"/>
      <c r="BO140" s="12"/>
      <c r="BP140" s="12"/>
      <c r="BQ140" s="12"/>
      <c r="BR140" s="12"/>
      <c r="BS140" s="12"/>
      <c r="BT140" s="12"/>
      <c r="BU140" s="12"/>
      <c r="BV140" s="12"/>
      <c r="BW140" s="12"/>
      <c r="BX140" s="12"/>
      <c r="BY140" s="12"/>
      <c r="BZ140" s="12"/>
      <c r="CA140" s="12"/>
      <c r="CB140" s="12"/>
      <c r="CC140" s="12"/>
      <c r="CD140" s="12"/>
      <c r="CE140" s="12"/>
      <c r="CF140" s="12"/>
      <c r="CG140" s="12"/>
      <c r="CH140" s="12"/>
      <c r="CI140" s="12"/>
      <c r="CJ140" s="12"/>
      <c r="CK140" s="12"/>
      <c r="CL140" s="12"/>
      <c r="CM140" s="12"/>
      <c r="CN140" s="12"/>
      <c r="CO140" s="12"/>
      <c r="CP140" s="12"/>
      <c r="CQ140" s="12"/>
      <c r="CR140" s="12"/>
      <c r="CS140" s="12"/>
      <c r="CT140" s="12"/>
      <c r="CU140" s="12"/>
      <c r="CV140" s="12"/>
      <c r="CW140" s="12"/>
      <c r="CX140" s="12"/>
      <c r="CY140" s="12"/>
      <c r="CZ140" s="12"/>
      <c r="DA140" s="12"/>
      <c r="DB140" s="12"/>
      <c r="DC140" s="12"/>
      <c r="DD140" s="12"/>
      <c r="DE140" s="12"/>
      <c r="DF140" s="12"/>
      <c r="DG140" s="12"/>
      <c r="DH140" s="12"/>
      <c r="DI140" s="12"/>
      <c r="DJ140" s="12"/>
      <c r="DK140" s="12"/>
      <c r="DL140" s="12"/>
      <c r="DM140" s="12"/>
      <c r="DN140" s="12"/>
      <c r="DO140" s="12"/>
      <c r="DP140" s="12"/>
      <c r="DQ140" s="12"/>
      <c r="DR140" s="12"/>
      <c r="DS140" s="12"/>
      <c r="DT140" s="12"/>
      <c r="DU140" s="12"/>
      <c r="DV140" s="12"/>
      <c r="DW140" s="12"/>
      <c r="DX140" s="12"/>
      <c r="DY140" s="12"/>
      <c r="DZ140" s="12"/>
      <c r="EA140" s="12"/>
      <c r="EB140" s="12"/>
      <c r="EC140" s="12"/>
      <c r="ED140" s="12"/>
      <c r="EE140" s="12"/>
      <c r="EF140" s="12"/>
      <c r="EG140" s="12"/>
      <c r="EH140" s="12"/>
      <c r="EI140" s="12"/>
      <c r="EJ140" s="12"/>
      <c r="EK140" s="12"/>
      <c r="EL140" s="12"/>
      <c r="EM140" s="12"/>
      <c r="EN140" s="12"/>
      <c r="EO140" s="12"/>
      <c r="EP140" s="12"/>
      <c r="EQ140" s="12"/>
      <c r="ER140" s="12"/>
      <c r="ES140" s="12"/>
      <c r="ET140" s="12"/>
      <c r="EU140" s="12"/>
      <c r="EV140" s="12"/>
      <c r="EW140" s="12"/>
      <c r="EX140" s="12"/>
      <c r="EY140" s="12"/>
      <c r="EZ140" s="12"/>
      <c r="FA140" s="12"/>
      <c r="FB140" s="12"/>
      <c r="FC140" s="12"/>
      <c r="FD140" s="12"/>
      <c r="FE140" s="12"/>
      <c r="FF140" s="12"/>
      <c r="FG140" s="12"/>
      <c r="FH140" s="12"/>
      <c r="FI140" s="12"/>
      <c r="FJ140" s="12"/>
      <c r="FK140" s="12"/>
      <c r="FL140" s="12"/>
      <c r="FM140" s="12"/>
      <c r="FN140" s="12"/>
      <c r="FO140" s="12"/>
      <c r="FP140" s="12"/>
      <c r="FQ140" s="12"/>
      <c r="FR140" s="12"/>
      <c r="FS140" s="12"/>
      <c r="FT140" s="12"/>
      <c r="FU140" s="12"/>
      <c r="FV140" s="12"/>
      <c r="FW140" s="12"/>
      <c r="FX140" s="12"/>
      <c r="FY140" s="12"/>
      <c r="FZ140" s="12"/>
      <c r="GA140" s="12"/>
      <c r="GB140" s="12"/>
      <c r="GC140" s="12"/>
      <c r="GD140" s="12"/>
      <c r="GE140" s="12"/>
    </row>
    <row r="141" spans="1:187" ht="21" customHeight="1">
      <c r="A141" s="45"/>
      <c r="B141" s="86" t="s">
        <v>276</v>
      </c>
      <c r="C141" s="10" t="s">
        <v>431</v>
      </c>
      <c r="D141" s="10" t="s">
        <v>424</v>
      </c>
      <c r="E141" s="61">
        <f>389.04*0.6</f>
        <v>233.42400000000001</v>
      </c>
      <c r="F141" s="61">
        <f>389.04*0.4</f>
        <v>155.61600000000001</v>
      </c>
      <c r="G141" s="61">
        <f>259.36*0.2</f>
        <v>51.872000000000007</v>
      </c>
      <c r="H141" s="61">
        <f>259.36*0.8</f>
        <v>207.48800000000003</v>
      </c>
      <c r="I141" s="35">
        <f t="shared" si="22"/>
        <v>648.40000000000009</v>
      </c>
      <c r="J141" s="56">
        <v>648.4</v>
      </c>
      <c r="K141" s="49">
        <v>9632.14</v>
      </c>
      <c r="L141" s="49">
        <v>9632.14</v>
      </c>
      <c r="M141" s="49">
        <v>2067.34</v>
      </c>
      <c r="N141" s="49">
        <v>2143.83</v>
      </c>
      <c r="O141" s="56">
        <f t="shared" si="16"/>
        <v>7564.7999999999993</v>
      </c>
      <c r="P141" s="1">
        <f t="shared" si="17"/>
        <v>1765805.8751999999</v>
      </c>
      <c r="Q141" s="1">
        <f t="shared" si="18"/>
        <v>1177203.9168</v>
      </c>
      <c r="R141" s="1">
        <f t="shared" si="19"/>
        <v>388433.61632000003</v>
      </c>
      <c r="S141" s="1">
        <f t="shared" si="20"/>
        <v>1553734.4652800001</v>
      </c>
      <c r="T141" s="1">
        <f t="shared" si="21"/>
        <v>4885177.8736000005</v>
      </c>
      <c r="U141" s="11"/>
      <c r="V141" s="11"/>
      <c r="W141" s="11"/>
      <c r="X141" s="12"/>
      <c r="Y141" s="12"/>
      <c r="Z141" s="12"/>
      <c r="AA141" s="12"/>
      <c r="AB141" s="12"/>
      <c r="AC141" s="12"/>
      <c r="AD141" s="12"/>
      <c r="AE141" s="12"/>
      <c r="AF141" s="12"/>
      <c r="AG141" s="12"/>
      <c r="AH141" s="12"/>
      <c r="AI141" s="12"/>
      <c r="AJ141" s="12"/>
      <c r="AK141" s="12"/>
      <c r="AL141" s="12"/>
      <c r="AM141" s="12"/>
      <c r="AN141" s="12"/>
      <c r="AO141" s="12"/>
      <c r="AP141" s="12"/>
      <c r="AQ141" s="12"/>
      <c r="AR141" s="12"/>
      <c r="AS141" s="12"/>
      <c r="AT141" s="12"/>
      <c r="AU141" s="12"/>
      <c r="AV141" s="12"/>
      <c r="AW141" s="12"/>
      <c r="AX141" s="12"/>
      <c r="AY141" s="12"/>
      <c r="AZ141" s="12"/>
      <c r="BA141" s="12"/>
      <c r="BB141" s="12"/>
      <c r="BC141" s="12"/>
      <c r="BD141" s="12"/>
      <c r="BE141" s="12"/>
      <c r="BF141" s="12"/>
      <c r="BG141" s="12"/>
      <c r="BH141" s="12"/>
      <c r="BI141" s="12"/>
      <c r="BJ141" s="12"/>
      <c r="BK141" s="12"/>
      <c r="BL141" s="12"/>
      <c r="BM141" s="12"/>
      <c r="BN141" s="12"/>
      <c r="BO141" s="12"/>
      <c r="BP141" s="12"/>
      <c r="BQ141" s="12"/>
      <c r="BR141" s="12"/>
      <c r="BS141" s="12"/>
      <c r="BT141" s="12"/>
      <c r="BU141" s="12"/>
      <c r="BV141" s="12"/>
      <c r="BW141" s="12"/>
      <c r="BX141" s="12"/>
      <c r="BY141" s="12"/>
      <c r="BZ141" s="12"/>
      <c r="CA141" s="12"/>
      <c r="CB141" s="12"/>
      <c r="CC141" s="12"/>
      <c r="CD141" s="12"/>
      <c r="CE141" s="12"/>
      <c r="CF141" s="12"/>
      <c r="CG141" s="12"/>
      <c r="CH141" s="12"/>
      <c r="CI141" s="12"/>
      <c r="CJ141" s="12"/>
      <c r="CK141" s="12"/>
      <c r="CL141" s="12"/>
      <c r="CM141" s="12"/>
      <c r="CN141" s="12"/>
      <c r="CO141" s="12"/>
      <c r="CP141" s="12"/>
      <c r="CQ141" s="12"/>
      <c r="CR141" s="12"/>
      <c r="CS141" s="12"/>
      <c r="CT141" s="12"/>
      <c r="CU141" s="12"/>
      <c r="CV141" s="12"/>
      <c r="CW141" s="12"/>
      <c r="CX141" s="12"/>
      <c r="CY141" s="12"/>
      <c r="CZ141" s="12"/>
      <c r="DA141" s="12"/>
      <c r="DB141" s="12"/>
      <c r="DC141" s="12"/>
      <c r="DD141" s="12"/>
      <c r="DE141" s="12"/>
      <c r="DF141" s="12"/>
      <c r="DG141" s="12"/>
      <c r="DH141" s="12"/>
      <c r="DI141" s="12"/>
      <c r="DJ141" s="12"/>
      <c r="DK141" s="12"/>
      <c r="DL141" s="12"/>
      <c r="DM141" s="12"/>
      <c r="DN141" s="12"/>
      <c r="DO141" s="12"/>
      <c r="DP141" s="12"/>
      <c r="DQ141" s="12"/>
      <c r="DR141" s="12"/>
      <c r="DS141" s="12"/>
      <c r="DT141" s="12"/>
      <c r="DU141" s="12"/>
      <c r="DV141" s="12"/>
      <c r="DW141" s="12"/>
      <c r="DX141" s="12"/>
      <c r="DY141" s="12"/>
      <c r="DZ141" s="12"/>
      <c r="EA141" s="12"/>
      <c r="EB141" s="12"/>
      <c r="EC141" s="12"/>
      <c r="ED141" s="12"/>
      <c r="EE141" s="12"/>
      <c r="EF141" s="12"/>
      <c r="EG141" s="12"/>
      <c r="EH141" s="12"/>
      <c r="EI141" s="12"/>
      <c r="EJ141" s="12"/>
      <c r="EK141" s="12"/>
      <c r="EL141" s="12"/>
      <c r="EM141" s="12"/>
      <c r="EN141" s="12"/>
      <c r="EO141" s="12"/>
      <c r="EP141" s="12"/>
      <c r="EQ141" s="12"/>
      <c r="ER141" s="12"/>
      <c r="ES141" s="12"/>
      <c r="ET141" s="12"/>
      <c r="EU141" s="12"/>
      <c r="EV141" s="12"/>
      <c r="EW141" s="12"/>
      <c r="EX141" s="12"/>
      <c r="EY141" s="12"/>
      <c r="EZ141" s="12"/>
      <c r="FA141" s="12"/>
      <c r="FB141" s="12"/>
      <c r="FC141" s="12"/>
      <c r="FD141" s="12"/>
      <c r="FE141" s="12"/>
      <c r="FF141" s="12"/>
      <c r="FG141" s="12"/>
      <c r="FH141" s="12"/>
      <c r="FI141" s="12"/>
      <c r="FJ141" s="12"/>
      <c r="FK141" s="12"/>
      <c r="FL141" s="12"/>
      <c r="FM141" s="12"/>
      <c r="FN141" s="12"/>
      <c r="FO141" s="12"/>
      <c r="FP141" s="12"/>
      <c r="FQ141" s="12"/>
      <c r="FR141" s="12"/>
      <c r="FS141" s="12"/>
      <c r="FT141" s="12"/>
      <c r="FU141" s="12"/>
      <c r="FV141" s="12"/>
      <c r="FW141" s="12"/>
      <c r="FX141" s="12"/>
      <c r="FY141" s="12"/>
      <c r="FZ141" s="12"/>
      <c r="GA141" s="12"/>
      <c r="GB141" s="12"/>
      <c r="GC141" s="12"/>
      <c r="GD141" s="12"/>
      <c r="GE141" s="12"/>
    </row>
    <row r="142" spans="1:187" ht="21" customHeight="1">
      <c r="A142" s="45"/>
      <c r="B142" s="86" t="s">
        <v>265</v>
      </c>
      <c r="C142" s="10" t="s">
        <v>88</v>
      </c>
      <c r="D142" s="10" t="s">
        <v>170</v>
      </c>
      <c r="E142" s="35">
        <v>1968.194</v>
      </c>
      <c r="F142" s="35">
        <f>2741.589-E142</f>
        <v>773.39499999999998</v>
      </c>
      <c r="G142" s="35">
        <v>198.244</v>
      </c>
      <c r="H142" s="35">
        <f>1762.231-G142</f>
        <v>1563.9870000000001</v>
      </c>
      <c r="I142" s="35">
        <f t="shared" si="22"/>
        <v>4503.82</v>
      </c>
      <c r="J142" s="56">
        <v>4871.83</v>
      </c>
      <c r="K142" s="49">
        <v>4902.3100000000004</v>
      </c>
      <c r="L142" s="49">
        <v>5098.4024000000009</v>
      </c>
      <c r="M142" s="49">
        <v>2107.09</v>
      </c>
      <c r="N142" s="49">
        <v>2185.05233</v>
      </c>
      <c r="O142" s="56">
        <f t="shared" si="16"/>
        <v>2795.2200000000003</v>
      </c>
      <c r="P142" s="1">
        <f t="shared" si="17"/>
        <v>5501535.2326800004</v>
      </c>
      <c r="Q142" s="1">
        <f t="shared" si="18"/>
        <v>2161809.1719</v>
      </c>
      <c r="R142" s="1">
        <f t="shared" si="19"/>
        <v>577554.1712770802</v>
      </c>
      <c r="S142" s="1">
        <f t="shared" si="20"/>
        <v>4556441.6359290918</v>
      </c>
      <c r="T142" s="1">
        <f t="shared" si="21"/>
        <v>12797340.211786173</v>
      </c>
      <c r="U142" s="11"/>
      <c r="V142" s="11"/>
      <c r="W142" s="11"/>
      <c r="X142" s="12"/>
      <c r="Y142" s="12"/>
      <c r="Z142" s="12"/>
      <c r="AA142" s="12"/>
      <c r="AB142" s="12"/>
      <c r="AC142" s="12"/>
      <c r="AD142" s="12"/>
      <c r="AE142" s="12"/>
      <c r="AF142" s="12"/>
      <c r="AG142" s="12"/>
      <c r="AH142" s="12"/>
      <c r="AI142" s="12"/>
      <c r="AJ142" s="12"/>
      <c r="AK142" s="12"/>
      <c r="AL142" s="12"/>
      <c r="AM142" s="12"/>
      <c r="AN142" s="12"/>
      <c r="AO142" s="12"/>
      <c r="AP142" s="12"/>
      <c r="AQ142" s="12"/>
      <c r="AR142" s="12"/>
      <c r="AS142" s="12"/>
      <c r="AT142" s="12"/>
      <c r="AU142" s="12"/>
      <c r="AV142" s="12"/>
      <c r="AW142" s="12"/>
      <c r="AX142" s="12"/>
      <c r="AY142" s="12"/>
      <c r="AZ142" s="12"/>
      <c r="BA142" s="12"/>
      <c r="BB142" s="12"/>
      <c r="BC142" s="12"/>
      <c r="BD142" s="12"/>
      <c r="BE142" s="12"/>
      <c r="BF142" s="12"/>
      <c r="BG142" s="12"/>
      <c r="BH142" s="12"/>
      <c r="BI142" s="12"/>
      <c r="BJ142" s="12"/>
      <c r="BK142" s="12"/>
      <c r="BL142" s="12"/>
      <c r="BM142" s="12"/>
      <c r="BN142" s="12"/>
      <c r="BO142" s="12"/>
      <c r="BP142" s="12"/>
      <c r="BQ142" s="12"/>
      <c r="BR142" s="12"/>
      <c r="BS142" s="12"/>
      <c r="BT142" s="12"/>
      <c r="BU142" s="12"/>
      <c r="BV142" s="12"/>
      <c r="BW142" s="12"/>
      <c r="BX142" s="12"/>
      <c r="BY142" s="12"/>
      <c r="BZ142" s="12"/>
      <c r="CA142" s="12"/>
      <c r="CB142" s="12"/>
      <c r="CC142" s="12"/>
      <c r="CD142" s="12"/>
      <c r="CE142" s="12"/>
      <c r="CF142" s="12"/>
      <c r="CG142" s="12"/>
      <c r="CH142" s="12"/>
      <c r="CI142" s="12"/>
      <c r="CJ142" s="12"/>
      <c r="CK142" s="12"/>
      <c r="CL142" s="12"/>
      <c r="CM142" s="12"/>
      <c r="CN142" s="12"/>
      <c r="CO142" s="12"/>
      <c r="CP142" s="12"/>
      <c r="CQ142" s="12"/>
      <c r="CR142" s="12"/>
      <c r="CS142" s="12"/>
      <c r="CT142" s="12"/>
      <c r="CU142" s="12"/>
      <c r="CV142" s="12"/>
      <c r="CW142" s="12"/>
      <c r="CX142" s="12"/>
      <c r="CY142" s="12"/>
      <c r="CZ142" s="12"/>
      <c r="DA142" s="12"/>
      <c r="DB142" s="12"/>
      <c r="DC142" s="12"/>
      <c r="DD142" s="12"/>
      <c r="DE142" s="12"/>
      <c r="DF142" s="12"/>
      <c r="DG142" s="12"/>
      <c r="DH142" s="12"/>
      <c r="DI142" s="12"/>
      <c r="DJ142" s="12"/>
      <c r="DK142" s="12"/>
      <c r="DL142" s="12"/>
      <c r="DM142" s="12"/>
      <c r="DN142" s="12"/>
      <c r="DO142" s="12"/>
      <c r="DP142" s="12"/>
      <c r="DQ142" s="12"/>
      <c r="DR142" s="12"/>
      <c r="DS142" s="12"/>
      <c r="DT142" s="12"/>
      <c r="DU142" s="12"/>
      <c r="DV142" s="12"/>
      <c r="DW142" s="12"/>
      <c r="DX142" s="12"/>
      <c r="DY142" s="12"/>
      <c r="DZ142" s="12"/>
      <c r="EA142" s="12"/>
      <c r="EB142" s="12"/>
      <c r="EC142" s="12"/>
      <c r="ED142" s="12"/>
      <c r="EE142" s="12"/>
      <c r="EF142" s="12"/>
      <c r="EG142" s="12"/>
      <c r="EH142" s="12"/>
      <c r="EI142" s="12"/>
      <c r="EJ142" s="12"/>
      <c r="EK142" s="12"/>
      <c r="EL142" s="12"/>
      <c r="EM142" s="12"/>
      <c r="EN142" s="12"/>
      <c r="EO142" s="12"/>
      <c r="EP142" s="12"/>
      <c r="EQ142" s="12"/>
      <c r="ER142" s="12"/>
      <c r="ES142" s="12"/>
      <c r="ET142" s="12"/>
      <c r="EU142" s="12"/>
      <c r="EV142" s="12"/>
      <c r="EW142" s="12"/>
      <c r="EX142" s="12"/>
      <c r="EY142" s="12"/>
      <c r="EZ142" s="12"/>
      <c r="FA142" s="12"/>
      <c r="FB142" s="12"/>
      <c r="FC142" s="12"/>
      <c r="FD142" s="12"/>
      <c r="FE142" s="12"/>
      <c r="FF142" s="12"/>
      <c r="FG142" s="12"/>
      <c r="FH142" s="12"/>
      <c r="FI142" s="12"/>
      <c r="FJ142" s="12"/>
      <c r="FK142" s="12"/>
      <c r="FL142" s="12"/>
      <c r="FM142" s="12"/>
      <c r="FN142" s="12"/>
      <c r="FO142" s="12"/>
      <c r="FP142" s="12"/>
      <c r="FQ142" s="12"/>
      <c r="FR142" s="12"/>
      <c r="FS142" s="12"/>
      <c r="FT142" s="12"/>
      <c r="FU142" s="12"/>
      <c r="FV142" s="12"/>
      <c r="FW142" s="12"/>
      <c r="FX142" s="12"/>
      <c r="FY142" s="12"/>
      <c r="FZ142" s="12"/>
      <c r="GA142" s="12"/>
      <c r="GB142" s="12"/>
      <c r="GC142" s="12"/>
      <c r="GD142" s="12"/>
      <c r="GE142" s="12"/>
    </row>
    <row r="143" spans="1:187" ht="21" customHeight="1">
      <c r="A143" s="45"/>
      <c r="B143" s="86" t="s">
        <v>2</v>
      </c>
      <c r="C143" s="10" t="s">
        <v>68</v>
      </c>
      <c r="D143" s="10" t="s">
        <v>176</v>
      </c>
      <c r="E143" s="35">
        <v>747.04</v>
      </c>
      <c r="F143" s="35">
        <f>1146.944-E143</f>
        <v>399.904</v>
      </c>
      <c r="G143" s="35">
        <v>132.57</v>
      </c>
      <c r="H143" s="35">
        <f>650.592-G143</f>
        <v>518.02199999999993</v>
      </c>
      <c r="I143" s="35">
        <f t="shared" si="22"/>
        <v>1797.5359999999998</v>
      </c>
      <c r="J143" s="56">
        <v>1959.5</v>
      </c>
      <c r="K143" s="49">
        <v>2441.79</v>
      </c>
      <c r="L143" s="49">
        <v>2539.46</v>
      </c>
      <c r="M143" s="49">
        <v>1662.02</v>
      </c>
      <c r="N143" s="49">
        <v>1723.51</v>
      </c>
      <c r="O143" s="56">
        <f t="shared" ref="O143:O209" si="23">K143-M143</f>
        <v>779.77</v>
      </c>
      <c r="P143" s="1">
        <f t="shared" si="17"/>
        <v>582519.38079999993</v>
      </c>
      <c r="Q143" s="1">
        <f t="shared" si="18"/>
        <v>311833.14207999996</v>
      </c>
      <c r="R143" s="1">
        <f t="shared" si="19"/>
        <v>108170.4915</v>
      </c>
      <c r="S143" s="1">
        <f t="shared" si="20"/>
        <v>422680.05089999997</v>
      </c>
      <c r="T143" s="1">
        <f t="shared" si="21"/>
        <v>1425203.0652799997</v>
      </c>
      <c r="U143" s="11"/>
      <c r="V143" s="11"/>
      <c r="W143" s="11"/>
      <c r="X143" s="12"/>
      <c r="Y143" s="12"/>
      <c r="Z143" s="12"/>
      <c r="AA143" s="12"/>
      <c r="AB143" s="12"/>
      <c r="AC143" s="12"/>
      <c r="AD143" s="12"/>
      <c r="AE143" s="12"/>
      <c r="AF143" s="12"/>
      <c r="AG143" s="12"/>
      <c r="AH143" s="12"/>
      <c r="AI143" s="12"/>
      <c r="AJ143" s="12"/>
      <c r="AK143" s="12"/>
      <c r="AL143" s="12"/>
      <c r="AM143" s="12"/>
      <c r="AN143" s="12"/>
      <c r="AO143" s="12"/>
      <c r="AP143" s="12"/>
      <c r="AQ143" s="12"/>
      <c r="AR143" s="12"/>
      <c r="AS143" s="12"/>
      <c r="AT143" s="12"/>
      <c r="AU143" s="12"/>
      <c r="AV143" s="12"/>
      <c r="AW143" s="12"/>
      <c r="AX143" s="12"/>
      <c r="AY143" s="12"/>
      <c r="AZ143" s="12"/>
      <c r="BA143" s="12"/>
      <c r="BB143" s="12"/>
      <c r="BC143" s="12"/>
      <c r="BD143" s="12"/>
      <c r="BE143" s="12"/>
      <c r="BF143" s="12"/>
      <c r="BG143" s="12"/>
      <c r="BH143" s="12"/>
      <c r="BI143" s="12"/>
      <c r="BJ143" s="12"/>
      <c r="BK143" s="12"/>
      <c r="BL143" s="12"/>
      <c r="BM143" s="12"/>
      <c r="BN143" s="12"/>
      <c r="BO143" s="12"/>
      <c r="BP143" s="12"/>
      <c r="BQ143" s="12"/>
      <c r="BR143" s="12"/>
      <c r="BS143" s="12"/>
      <c r="BT143" s="12"/>
      <c r="BU143" s="12"/>
      <c r="BV143" s="12"/>
      <c r="BW143" s="12"/>
      <c r="BX143" s="12"/>
      <c r="BY143" s="12"/>
      <c r="BZ143" s="12"/>
      <c r="CA143" s="12"/>
      <c r="CB143" s="12"/>
      <c r="CC143" s="12"/>
      <c r="CD143" s="12"/>
      <c r="CE143" s="12"/>
      <c r="CF143" s="12"/>
      <c r="CG143" s="12"/>
      <c r="CH143" s="12"/>
      <c r="CI143" s="12"/>
      <c r="CJ143" s="12"/>
      <c r="CK143" s="12"/>
      <c r="CL143" s="12"/>
      <c r="CM143" s="12"/>
      <c r="CN143" s="12"/>
      <c r="CO143" s="12"/>
      <c r="CP143" s="12"/>
      <c r="CQ143" s="12"/>
      <c r="CR143" s="12"/>
      <c r="CS143" s="12"/>
      <c r="CT143" s="12"/>
      <c r="CU143" s="12"/>
      <c r="CV143" s="12"/>
      <c r="CW143" s="12"/>
      <c r="CX143" s="12"/>
      <c r="CY143" s="12"/>
      <c r="CZ143" s="12"/>
      <c r="DA143" s="12"/>
      <c r="DB143" s="12"/>
      <c r="DC143" s="12"/>
      <c r="DD143" s="12"/>
      <c r="DE143" s="12"/>
      <c r="DF143" s="12"/>
      <c r="DG143" s="12"/>
      <c r="DH143" s="12"/>
      <c r="DI143" s="12"/>
      <c r="DJ143" s="12"/>
      <c r="DK143" s="12"/>
      <c r="DL143" s="12"/>
      <c r="DM143" s="12"/>
      <c r="DN143" s="12"/>
      <c r="DO143" s="12"/>
      <c r="DP143" s="12"/>
      <c r="DQ143" s="12"/>
      <c r="DR143" s="12"/>
      <c r="DS143" s="12"/>
      <c r="DT143" s="12"/>
      <c r="DU143" s="12"/>
      <c r="DV143" s="12"/>
      <c r="DW143" s="12"/>
      <c r="DX143" s="12"/>
      <c r="DY143" s="12"/>
      <c r="DZ143" s="12"/>
      <c r="EA143" s="12"/>
      <c r="EB143" s="12"/>
      <c r="EC143" s="12"/>
      <c r="ED143" s="12"/>
      <c r="EE143" s="12"/>
      <c r="EF143" s="12"/>
      <c r="EG143" s="12"/>
      <c r="EH143" s="12"/>
      <c r="EI143" s="12"/>
      <c r="EJ143" s="12"/>
      <c r="EK143" s="12"/>
      <c r="EL143" s="12"/>
      <c r="EM143" s="12"/>
      <c r="EN143" s="12"/>
      <c r="EO143" s="12"/>
      <c r="EP143" s="12"/>
      <c r="EQ143" s="12"/>
      <c r="ER143" s="12"/>
      <c r="ES143" s="12"/>
      <c r="ET143" s="12"/>
      <c r="EU143" s="12"/>
      <c r="EV143" s="12"/>
      <c r="EW143" s="12"/>
      <c r="EX143" s="12"/>
      <c r="EY143" s="12"/>
      <c r="EZ143" s="12"/>
      <c r="FA143" s="12"/>
      <c r="FB143" s="12"/>
      <c r="FC143" s="12"/>
      <c r="FD143" s="12"/>
      <c r="FE143" s="12"/>
      <c r="FF143" s="12"/>
      <c r="FG143" s="12"/>
      <c r="FH143" s="12"/>
      <c r="FI143" s="12"/>
      <c r="FJ143" s="12"/>
      <c r="FK143" s="12"/>
      <c r="FL143" s="12"/>
      <c r="FM143" s="12"/>
      <c r="FN143" s="12"/>
      <c r="FO143" s="12"/>
      <c r="FP143" s="12"/>
      <c r="FQ143" s="12"/>
      <c r="FR143" s="12"/>
      <c r="FS143" s="12"/>
      <c r="FT143" s="12"/>
      <c r="FU143" s="12"/>
      <c r="FV143" s="12"/>
      <c r="FW143" s="12"/>
      <c r="FX143" s="12"/>
      <c r="FY143" s="12"/>
      <c r="FZ143" s="12"/>
      <c r="GA143" s="12"/>
      <c r="GB143" s="12"/>
      <c r="GC143" s="12"/>
      <c r="GD143" s="12"/>
      <c r="GE143" s="12"/>
    </row>
    <row r="144" spans="1:187" ht="21" customHeight="1">
      <c r="A144" s="45"/>
      <c r="B144" s="86" t="s">
        <v>2</v>
      </c>
      <c r="C144" s="10" t="s">
        <v>68</v>
      </c>
      <c r="D144" s="10" t="s">
        <v>178</v>
      </c>
      <c r="E144" s="35">
        <v>1003.718</v>
      </c>
      <c r="F144" s="35">
        <f>1662.824-E144</f>
        <v>659.10600000000011</v>
      </c>
      <c r="G144" s="35">
        <v>323.637</v>
      </c>
      <c r="H144" s="35">
        <f>1308.899-G144</f>
        <v>985.26199999999994</v>
      </c>
      <c r="I144" s="35">
        <f t="shared" si="22"/>
        <v>2971.723</v>
      </c>
      <c r="J144" s="56">
        <v>2960.7460000000001</v>
      </c>
      <c r="K144" s="49">
        <v>12814.98</v>
      </c>
      <c r="L144" s="49">
        <v>13327.58</v>
      </c>
      <c r="M144" s="49">
        <v>1212.6199999999999</v>
      </c>
      <c r="N144" s="49">
        <v>1257.49</v>
      </c>
      <c r="O144" s="56">
        <f t="shared" si="23"/>
        <v>11602.36</v>
      </c>
      <c r="P144" s="1">
        <f t="shared" si="17"/>
        <v>11645497.574480001</v>
      </c>
      <c r="Q144" s="1">
        <f t="shared" si="18"/>
        <v>7647185.090160002</v>
      </c>
      <c r="R144" s="1">
        <f t="shared" si="19"/>
        <v>3906327.7173299999</v>
      </c>
      <c r="S144" s="1">
        <f t="shared" si="20"/>
        <v>11892201.01358</v>
      </c>
      <c r="T144" s="1">
        <f t="shared" si="21"/>
        <v>35091211.395550005</v>
      </c>
      <c r="U144" s="11"/>
      <c r="V144" s="11"/>
      <c r="W144" s="11"/>
      <c r="X144" s="12"/>
      <c r="Y144" s="12"/>
      <c r="Z144" s="12"/>
      <c r="AA144" s="12"/>
      <c r="AB144" s="12"/>
      <c r="AC144" s="12"/>
      <c r="AD144" s="12"/>
      <c r="AE144" s="12"/>
      <c r="AF144" s="12"/>
      <c r="AG144" s="12"/>
      <c r="AH144" s="12"/>
      <c r="AI144" s="12"/>
      <c r="AJ144" s="12"/>
      <c r="AK144" s="12"/>
      <c r="AL144" s="12"/>
      <c r="AM144" s="12"/>
      <c r="AN144" s="12"/>
      <c r="AO144" s="12"/>
      <c r="AP144" s="12"/>
      <c r="AQ144" s="12"/>
      <c r="AR144" s="12"/>
      <c r="AS144" s="12"/>
      <c r="AT144" s="12"/>
      <c r="AU144" s="12"/>
      <c r="AV144" s="12"/>
      <c r="AW144" s="12"/>
      <c r="AX144" s="12"/>
      <c r="AY144" s="12"/>
      <c r="AZ144" s="12"/>
      <c r="BA144" s="12"/>
      <c r="BB144" s="12"/>
      <c r="BC144" s="12"/>
      <c r="BD144" s="12"/>
      <c r="BE144" s="12"/>
      <c r="BF144" s="12"/>
      <c r="BG144" s="12"/>
      <c r="BH144" s="12"/>
      <c r="BI144" s="12"/>
      <c r="BJ144" s="12"/>
      <c r="BK144" s="12"/>
      <c r="BL144" s="12"/>
      <c r="BM144" s="12"/>
      <c r="BN144" s="12"/>
      <c r="BO144" s="12"/>
      <c r="BP144" s="12"/>
      <c r="BQ144" s="12"/>
      <c r="BR144" s="12"/>
      <c r="BS144" s="12"/>
      <c r="BT144" s="12"/>
      <c r="BU144" s="12"/>
      <c r="BV144" s="12"/>
      <c r="BW144" s="12"/>
      <c r="BX144" s="12"/>
      <c r="BY144" s="12"/>
      <c r="BZ144" s="12"/>
      <c r="CA144" s="12"/>
      <c r="CB144" s="12"/>
      <c r="CC144" s="12"/>
      <c r="CD144" s="12"/>
      <c r="CE144" s="12"/>
      <c r="CF144" s="12"/>
      <c r="CG144" s="12"/>
      <c r="CH144" s="12"/>
      <c r="CI144" s="12"/>
      <c r="CJ144" s="12"/>
      <c r="CK144" s="12"/>
      <c r="CL144" s="12"/>
      <c r="CM144" s="12"/>
      <c r="CN144" s="12"/>
      <c r="CO144" s="12"/>
      <c r="CP144" s="12"/>
      <c r="CQ144" s="12"/>
      <c r="CR144" s="12"/>
      <c r="CS144" s="12"/>
      <c r="CT144" s="12"/>
      <c r="CU144" s="12"/>
      <c r="CV144" s="12"/>
      <c r="CW144" s="12"/>
      <c r="CX144" s="12"/>
      <c r="CY144" s="12"/>
      <c r="CZ144" s="12"/>
      <c r="DA144" s="12"/>
      <c r="DB144" s="12"/>
      <c r="DC144" s="12"/>
      <c r="DD144" s="12"/>
      <c r="DE144" s="12"/>
      <c r="DF144" s="12"/>
      <c r="DG144" s="12"/>
      <c r="DH144" s="12"/>
      <c r="DI144" s="12"/>
      <c r="DJ144" s="12"/>
      <c r="DK144" s="12"/>
      <c r="DL144" s="12"/>
      <c r="DM144" s="12"/>
      <c r="DN144" s="12"/>
      <c r="DO144" s="12"/>
      <c r="DP144" s="12"/>
      <c r="DQ144" s="12"/>
      <c r="DR144" s="12"/>
      <c r="DS144" s="12"/>
      <c r="DT144" s="12"/>
      <c r="DU144" s="12"/>
      <c r="DV144" s="12"/>
      <c r="DW144" s="12"/>
      <c r="DX144" s="12"/>
      <c r="DY144" s="12"/>
      <c r="DZ144" s="12"/>
      <c r="EA144" s="12"/>
      <c r="EB144" s="12"/>
      <c r="EC144" s="12"/>
      <c r="ED144" s="12"/>
      <c r="EE144" s="12"/>
      <c r="EF144" s="12"/>
      <c r="EG144" s="12"/>
      <c r="EH144" s="12"/>
      <c r="EI144" s="12"/>
      <c r="EJ144" s="12"/>
      <c r="EK144" s="12"/>
      <c r="EL144" s="12"/>
      <c r="EM144" s="12"/>
      <c r="EN144" s="12"/>
      <c r="EO144" s="12"/>
      <c r="EP144" s="12"/>
      <c r="EQ144" s="12"/>
      <c r="ER144" s="12"/>
      <c r="ES144" s="12"/>
      <c r="ET144" s="12"/>
      <c r="EU144" s="12"/>
      <c r="EV144" s="12"/>
      <c r="EW144" s="12"/>
      <c r="EX144" s="12"/>
      <c r="EY144" s="12"/>
      <c r="EZ144" s="12"/>
      <c r="FA144" s="12"/>
      <c r="FB144" s="12"/>
      <c r="FC144" s="12"/>
      <c r="FD144" s="12"/>
      <c r="FE144" s="12"/>
      <c r="FF144" s="12"/>
      <c r="FG144" s="12"/>
      <c r="FH144" s="12"/>
      <c r="FI144" s="12"/>
      <c r="FJ144" s="12"/>
      <c r="FK144" s="12"/>
      <c r="FL144" s="12"/>
      <c r="FM144" s="12"/>
      <c r="FN144" s="12"/>
      <c r="FO144" s="12"/>
      <c r="FP144" s="12"/>
      <c r="FQ144" s="12"/>
      <c r="FR144" s="12"/>
      <c r="FS144" s="12"/>
      <c r="FT144" s="12"/>
      <c r="FU144" s="12"/>
      <c r="FV144" s="12"/>
      <c r="FW144" s="12"/>
      <c r="FX144" s="12"/>
      <c r="FY144" s="12"/>
      <c r="FZ144" s="12"/>
      <c r="GA144" s="12"/>
      <c r="GB144" s="12"/>
      <c r="GC144" s="12"/>
      <c r="GD144" s="12"/>
      <c r="GE144" s="12"/>
    </row>
    <row r="145" spans="1:187" ht="21" customHeight="1">
      <c r="A145" s="45"/>
      <c r="B145" s="86" t="s">
        <v>1</v>
      </c>
      <c r="C145" s="10" t="s">
        <v>177</v>
      </c>
      <c r="D145" s="10" t="s">
        <v>171</v>
      </c>
      <c r="E145" s="35">
        <v>9231.1939999999995</v>
      </c>
      <c r="F145" s="35">
        <f>14623.143-E145</f>
        <v>5391.9490000000005</v>
      </c>
      <c r="G145" s="35">
        <v>1897.14</v>
      </c>
      <c r="H145" s="35">
        <f>9971.595-G145</f>
        <v>8074.454999999999</v>
      </c>
      <c r="I145" s="35">
        <f t="shared" si="22"/>
        <v>24594.737999999998</v>
      </c>
      <c r="J145" s="56">
        <v>25700.7</v>
      </c>
      <c r="K145" s="49">
        <v>4149.37</v>
      </c>
      <c r="L145" s="49">
        <v>4315.34</v>
      </c>
      <c r="M145" s="49">
        <v>1785.68</v>
      </c>
      <c r="N145" s="49">
        <v>1851.75</v>
      </c>
      <c r="O145" s="56">
        <f t="shared" si="23"/>
        <v>2363.6899999999996</v>
      </c>
      <c r="P145" s="1">
        <f t="shared" si="17"/>
        <v>21819680.945859995</v>
      </c>
      <c r="Q145" s="1">
        <f t="shared" si="18"/>
        <v>12744895.931809999</v>
      </c>
      <c r="R145" s="1">
        <f t="shared" si="19"/>
        <v>4673775.1326000001</v>
      </c>
      <c r="S145" s="1">
        <f t="shared" si="20"/>
        <v>19892146.593449999</v>
      </c>
      <c r="T145" s="1">
        <f t="shared" si="21"/>
        <v>59130498.603719994</v>
      </c>
      <c r="U145" s="17"/>
      <c r="V145" s="11"/>
      <c r="W145" s="11"/>
      <c r="X145" s="12"/>
      <c r="Y145" s="12"/>
      <c r="Z145" s="12"/>
      <c r="AA145" s="12"/>
      <c r="AB145" s="12"/>
      <c r="AC145" s="12"/>
      <c r="AD145" s="12"/>
      <c r="AE145" s="12"/>
      <c r="AF145" s="12"/>
      <c r="AG145" s="12"/>
      <c r="AH145" s="12"/>
      <c r="AI145" s="12"/>
      <c r="AJ145" s="12"/>
      <c r="AK145" s="12"/>
      <c r="AL145" s="12"/>
      <c r="AM145" s="12"/>
      <c r="AN145" s="12"/>
      <c r="AO145" s="12"/>
      <c r="AP145" s="12"/>
      <c r="AQ145" s="12"/>
      <c r="AR145" s="12"/>
      <c r="AS145" s="12"/>
      <c r="AT145" s="12"/>
      <c r="AU145" s="12"/>
      <c r="AV145" s="12"/>
      <c r="AW145" s="12"/>
      <c r="AX145" s="12"/>
      <c r="AY145" s="12"/>
      <c r="AZ145" s="12"/>
      <c r="BA145" s="12"/>
      <c r="BB145" s="12"/>
      <c r="BC145" s="12"/>
      <c r="BD145" s="12"/>
      <c r="BE145" s="12"/>
      <c r="BF145" s="12"/>
      <c r="BG145" s="12"/>
      <c r="BH145" s="12"/>
      <c r="BI145" s="12"/>
      <c r="BJ145" s="12"/>
      <c r="BK145" s="12"/>
      <c r="BL145" s="12"/>
      <c r="BM145" s="12"/>
      <c r="BN145" s="12"/>
      <c r="BO145" s="12"/>
      <c r="BP145" s="12"/>
      <c r="BQ145" s="12"/>
      <c r="BR145" s="12"/>
      <c r="BS145" s="12"/>
      <c r="BT145" s="12"/>
      <c r="BU145" s="12"/>
      <c r="BV145" s="12"/>
      <c r="BW145" s="12"/>
      <c r="BX145" s="12"/>
      <c r="BY145" s="12"/>
      <c r="BZ145" s="12"/>
      <c r="CA145" s="12"/>
      <c r="CB145" s="12"/>
      <c r="CC145" s="12"/>
      <c r="CD145" s="12"/>
      <c r="CE145" s="12"/>
      <c r="CF145" s="12"/>
      <c r="CG145" s="12"/>
      <c r="CH145" s="12"/>
      <c r="CI145" s="12"/>
      <c r="CJ145" s="12"/>
      <c r="CK145" s="12"/>
      <c r="CL145" s="12"/>
      <c r="CM145" s="12"/>
      <c r="CN145" s="12"/>
      <c r="CO145" s="12"/>
      <c r="CP145" s="12"/>
      <c r="CQ145" s="12"/>
      <c r="CR145" s="12"/>
      <c r="CS145" s="12"/>
      <c r="CT145" s="12"/>
      <c r="CU145" s="12"/>
      <c r="CV145" s="12"/>
      <c r="CW145" s="12"/>
      <c r="CX145" s="12"/>
      <c r="CY145" s="12"/>
      <c r="CZ145" s="12"/>
      <c r="DA145" s="12"/>
      <c r="DB145" s="12"/>
      <c r="DC145" s="12"/>
      <c r="DD145" s="12"/>
      <c r="DE145" s="12"/>
      <c r="DF145" s="12"/>
      <c r="DG145" s="12"/>
      <c r="DH145" s="12"/>
      <c r="DI145" s="12"/>
      <c r="DJ145" s="12"/>
      <c r="DK145" s="12"/>
      <c r="DL145" s="12"/>
      <c r="DM145" s="12"/>
      <c r="DN145" s="12"/>
      <c r="DO145" s="12"/>
      <c r="DP145" s="12"/>
      <c r="DQ145" s="12"/>
      <c r="DR145" s="12"/>
      <c r="DS145" s="12"/>
      <c r="DT145" s="12"/>
      <c r="DU145" s="12"/>
      <c r="DV145" s="12"/>
      <c r="DW145" s="12"/>
      <c r="DX145" s="12"/>
      <c r="DY145" s="12"/>
      <c r="DZ145" s="12"/>
      <c r="EA145" s="12"/>
      <c r="EB145" s="12"/>
      <c r="EC145" s="12"/>
      <c r="ED145" s="12"/>
      <c r="EE145" s="12"/>
      <c r="EF145" s="12"/>
      <c r="EG145" s="12"/>
      <c r="EH145" s="12"/>
      <c r="EI145" s="12"/>
      <c r="EJ145" s="12"/>
      <c r="EK145" s="12"/>
      <c r="EL145" s="12"/>
      <c r="EM145" s="12"/>
      <c r="EN145" s="12"/>
      <c r="EO145" s="12"/>
      <c r="EP145" s="12"/>
      <c r="EQ145" s="12"/>
      <c r="ER145" s="12"/>
      <c r="ES145" s="12"/>
      <c r="ET145" s="12"/>
      <c r="EU145" s="12"/>
      <c r="EV145" s="12"/>
      <c r="EW145" s="12"/>
      <c r="EX145" s="12"/>
      <c r="EY145" s="12"/>
      <c r="EZ145" s="12"/>
      <c r="FA145" s="12"/>
      <c r="FB145" s="12"/>
      <c r="FC145" s="12"/>
      <c r="FD145" s="12"/>
      <c r="FE145" s="12"/>
      <c r="FF145" s="12"/>
      <c r="FG145" s="12"/>
      <c r="FH145" s="12"/>
      <c r="FI145" s="12"/>
      <c r="FJ145" s="12"/>
      <c r="FK145" s="12"/>
      <c r="FL145" s="12"/>
      <c r="FM145" s="12"/>
      <c r="FN145" s="12"/>
      <c r="FO145" s="12"/>
      <c r="FP145" s="12"/>
      <c r="FQ145" s="12"/>
      <c r="FR145" s="12"/>
      <c r="FS145" s="12"/>
      <c r="FT145" s="12"/>
      <c r="FU145" s="12"/>
      <c r="FV145" s="12"/>
      <c r="FW145" s="12"/>
      <c r="FX145" s="12"/>
      <c r="FY145" s="12"/>
      <c r="FZ145" s="12"/>
      <c r="GA145" s="12"/>
      <c r="GB145" s="12"/>
      <c r="GC145" s="12"/>
      <c r="GD145" s="12"/>
      <c r="GE145" s="12"/>
    </row>
    <row r="146" spans="1:187" ht="21" customHeight="1">
      <c r="A146" s="45"/>
      <c r="B146" s="86" t="s">
        <v>1</v>
      </c>
      <c r="C146" s="10" t="s">
        <v>177</v>
      </c>
      <c r="D146" s="10" t="s">
        <v>166</v>
      </c>
      <c r="E146" s="35">
        <v>2067.942</v>
      </c>
      <c r="F146" s="35">
        <f>2893.78-E146</f>
        <v>825.83800000000019</v>
      </c>
      <c r="G146" s="35">
        <v>217.488</v>
      </c>
      <c r="H146" s="35">
        <f>1716.406-G146</f>
        <v>1498.9179999999999</v>
      </c>
      <c r="I146" s="35">
        <f t="shared" si="22"/>
        <v>4610.1859999999997</v>
      </c>
      <c r="J146" s="56">
        <v>4917.88</v>
      </c>
      <c r="K146" s="49">
        <v>4978.8999999999996</v>
      </c>
      <c r="L146" s="49">
        <v>5178.0600000000004</v>
      </c>
      <c r="M146" s="49">
        <v>1785.68</v>
      </c>
      <c r="N146" s="49">
        <v>1851.75</v>
      </c>
      <c r="O146" s="56">
        <f t="shared" si="23"/>
        <v>3193.2199999999993</v>
      </c>
      <c r="P146" s="1">
        <f t="shared" si="17"/>
        <v>6603393.7532399986</v>
      </c>
      <c r="Q146" s="1">
        <f t="shared" si="18"/>
        <v>2637082.41836</v>
      </c>
      <c r="R146" s="1">
        <f t="shared" si="19"/>
        <v>723432.50928000011</v>
      </c>
      <c r="S146" s="1">
        <f t="shared" si="20"/>
        <v>4985865.9325799998</v>
      </c>
      <c r="T146" s="1">
        <f t="shared" si="21"/>
        <v>14949774.613459999</v>
      </c>
      <c r="U146" s="11"/>
      <c r="V146" s="11"/>
      <c r="W146" s="11"/>
      <c r="X146" s="12"/>
      <c r="Y146" s="12"/>
      <c r="Z146" s="12"/>
      <c r="AA146" s="12"/>
      <c r="AB146" s="12"/>
      <c r="AC146" s="12"/>
      <c r="AD146" s="12"/>
      <c r="AE146" s="12"/>
      <c r="AF146" s="12"/>
      <c r="AG146" s="12"/>
      <c r="AH146" s="12"/>
      <c r="AI146" s="12"/>
      <c r="AJ146" s="12"/>
      <c r="AK146" s="12"/>
      <c r="AL146" s="12"/>
      <c r="AM146" s="12"/>
      <c r="AN146" s="12"/>
      <c r="AO146" s="12"/>
      <c r="AP146" s="12"/>
      <c r="AQ146" s="12"/>
      <c r="AR146" s="12"/>
      <c r="AS146" s="12"/>
      <c r="AT146" s="12"/>
      <c r="AU146" s="12"/>
      <c r="AV146" s="12"/>
      <c r="AW146" s="12"/>
      <c r="AX146" s="12"/>
      <c r="AY146" s="12"/>
      <c r="AZ146" s="12"/>
      <c r="BA146" s="12"/>
      <c r="BB146" s="12"/>
      <c r="BC146" s="12"/>
      <c r="BD146" s="12"/>
      <c r="BE146" s="12"/>
      <c r="BF146" s="12"/>
      <c r="BG146" s="12"/>
      <c r="BH146" s="12"/>
      <c r="BI146" s="12"/>
      <c r="BJ146" s="12"/>
      <c r="BK146" s="12"/>
      <c r="BL146" s="12"/>
      <c r="BM146" s="12"/>
      <c r="BN146" s="12"/>
      <c r="BO146" s="12"/>
      <c r="BP146" s="12"/>
      <c r="BQ146" s="12"/>
      <c r="BR146" s="12"/>
      <c r="BS146" s="12"/>
      <c r="BT146" s="12"/>
      <c r="BU146" s="12"/>
      <c r="BV146" s="12"/>
      <c r="BW146" s="12"/>
      <c r="BX146" s="12"/>
      <c r="BY146" s="12"/>
      <c r="BZ146" s="12"/>
      <c r="CA146" s="12"/>
      <c r="CB146" s="12"/>
      <c r="CC146" s="12"/>
      <c r="CD146" s="12"/>
      <c r="CE146" s="12"/>
      <c r="CF146" s="12"/>
      <c r="CG146" s="12"/>
      <c r="CH146" s="12"/>
      <c r="CI146" s="12"/>
      <c r="CJ146" s="12"/>
      <c r="CK146" s="12"/>
      <c r="CL146" s="12"/>
      <c r="CM146" s="12"/>
      <c r="CN146" s="12"/>
      <c r="CO146" s="12"/>
      <c r="CP146" s="12"/>
      <c r="CQ146" s="12"/>
      <c r="CR146" s="12"/>
      <c r="CS146" s="12"/>
      <c r="CT146" s="12"/>
      <c r="CU146" s="12"/>
      <c r="CV146" s="12"/>
      <c r="CW146" s="12"/>
      <c r="CX146" s="12"/>
      <c r="CY146" s="12"/>
      <c r="CZ146" s="12"/>
      <c r="DA146" s="12"/>
      <c r="DB146" s="12"/>
      <c r="DC146" s="12"/>
      <c r="DD146" s="12"/>
      <c r="DE146" s="12"/>
      <c r="DF146" s="12"/>
      <c r="DG146" s="12"/>
      <c r="DH146" s="12"/>
      <c r="DI146" s="12"/>
      <c r="DJ146" s="12"/>
      <c r="DK146" s="12"/>
      <c r="DL146" s="12"/>
      <c r="DM146" s="12"/>
      <c r="DN146" s="12"/>
      <c r="DO146" s="12"/>
      <c r="DP146" s="12"/>
      <c r="DQ146" s="12"/>
      <c r="DR146" s="12"/>
      <c r="DS146" s="12"/>
      <c r="DT146" s="12"/>
      <c r="DU146" s="12"/>
      <c r="DV146" s="12"/>
      <c r="DW146" s="12"/>
      <c r="DX146" s="12"/>
      <c r="DY146" s="12"/>
      <c r="DZ146" s="12"/>
      <c r="EA146" s="12"/>
      <c r="EB146" s="12"/>
      <c r="EC146" s="12"/>
      <c r="ED146" s="12"/>
      <c r="EE146" s="12"/>
      <c r="EF146" s="12"/>
      <c r="EG146" s="12"/>
      <c r="EH146" s="12"/>
      <c r="EI146" s="12"/>
      <c r="EJ146" s="12"/>
      <c r="EK146" s="12"/>
      <c r="EL146" s="12"/>
      <c r="EM146" s="12"/>
      <c r="EN146" s="12"/>
      <c r="EO146" s="12"/>
      <c r="EP146" s="12"/>
      <c r="EQ146" s="12"/>
      <c r="ER146" s="12"/>
      <c r="ES146" s="12"/>
      <c r="ET146" s="12"/>
      <c r="EU146" s="12"/>
      <c r="EV146" s="12"/>
      <c r="EW146" s="12"/>
      <c r="EX146" s="12"/>
      <c r="EY146" s="12"/>
      <c r="EZ146" s="12"/>
      <c r="FA146" s="12"/>
      <c r="FB146" s="12"/>
      <c r="FC146" s="12"/>
      <c r="FD146" s="12"/>
      <c r="FE146" s="12"/>
      <c r="FF146" s="12"/>
      <c r="FG146" s="12"/>
      <c r="FH146" s="12"/>
      <c r="FI146" s="12"/>
      <c r="FJ146" s="12"/>
      <c r="FK146" s="12"/>
      <c r="FL146" s="12"/>
      <c r="FM146" s="12"/>
      <c r="FN146" s="12"/>
      <c r="FO146" s="12"/>
      <c r="FP146" s="12"/>
      <c r="FQ146" s="12"/>
      <c r="FR146" s="12"/>
      <c r="FS146" s="12"/>
      <c r="FT146" s="12"/>
      <c r="FU146" s="12"/>
      <c r="FV146" s="12"/>
      <c r="FW146" s="12"/>
      <c r="FX146" s="12"/>
      <c r="FY146" s="12"/>
      <c r="FZ146" s="12"/>
      <c r="GA146" s="12"/>
      <c r="GB146" s="12"/>
      <c r="GC146" s="12"/>
      <c r="GD146" s="12"/>
      <c r="GE146" s="12"/>
    </row>
    <row r="147" spans="1:187" ht="21" customHeight="1">
      <c r="A147" s="45"/>
      <c r="B147" s="86" t="s">
        <v>1</v>
      </c>
      <c r="C147" s="10" t="s">
        <v>177</v>
      </c>
      <c r="D147" s="10" t="s">
        <v>169</v>
      </c>
      <c r="E147" s="35">
        <v>1392.646</v>
      </c>
      <c r="F147" s="35">
        <f>2159.573-E147</f>
        <v>766.92699999999991</v>
      </c>
      <c r="G147" s="35">
        <v>312.33999999999997</v>
      </c>
      <c r="H147" s="35">
        <f>1673.02-G147</f>
        <v>1360.68</v>
      </c>
      <c r="I147" s="35">
        <f t="shared" si="22"/>
        <v>3832.5929999999998</v>
      </c>
      <c r="J147" s="56">
        <v>4105.8100000000004</v>
      </c>
      <c r="K147" s="49">
        <v>4978.8999999999996</v>
      </c>
      <c r="L147" s="49">
        <v>5178.0600000000004</v>
      </c>
      <c r="M147" s="49">
        <v>1785.68</v>
      </c>
      <c r="N147" s="49">
        <v>1851.75</v>
      </c>
      <c r="O147" s="56">
        <f t="shared" si="23"/>
        <v>3193.2199999999993</v>
      </c>
      <c r="P147" s="1">
        <f t="shared" si="17"/>
        <v>4447025.0601199986</v>
      </c>
      <c r="Q147" s="1">
        <f t="shared" si="18"/>
        <v>2448966.6349399993</v>
      </c>
      <c r="R147" s="1">
        <f t="shared" si="19"/>
        <v>1038939.6654000001</v>
      </c>
      <c r="S147" s="1">
        <f t="shared" si="20"/>
        <v>4526043.4908000007</v>
      </c>
      <c r="T147" s="1">
        <f t="shared" si="21"/>
        <v>12460974.851259999</v>
      </c>
      <c r="U147" s="11"/>
      <c r="V147" s="11"/>
      <c r="W147" s="11"/>
      <c r="X147" s="12"/>
      <c r="Y147" s="12"/>
      <c r="Z147" s="12"/>
      <c r="AA147" s="12"/>
      <c r="AB147" s="12"/>
      <c r="AC147" s="12"/>
      <c r="AD147" s="12"/>
      <c r="AE147" s="12"/>
      <c r="AF147" s="12"/>
      <c r="AG147" s="12"/>
      <c r="AH147" s="12"/>
      <c r="AI147" s="12"/>
      <c r="AJ147" s="12"/>
      <c r="AK147" s="12"/>
      <c r="AL147" s="12"/>
      <c r="AM147" s="12"/>
      <c r="AN147" s="12"/>
      <c r="AO147" s="12"/>
      <c r="AP147" s="12"/>
      <c r="AQ147" s="12"/>
      <c r="AR147" s="12"/>
      <c r="AS147" s="12"/>
      <c r="AT147" s="12"/>
      <c r="AU147" s="12"/>
      <c r="AV147" s="12"/>
      <c r="AW147" s="12"/>
      <c r="AX147" s="12"/>
      <c r="AY147" s="12"/>
      <c r="AZ147" s="12"/>
      <c r="BA147" s="12"/>
      <c r="BB147" s="12"/>
      <c r="BC147" s="12"/>
      <c r="BD147" s="12"/>
      <c r="BE147" s="12"/>
      <c r="BF147" s="12"/>
      <c r="BG147" s="12"/>
      <c r="BH147" s="12"/>
      <c r="BI147" s="12"/>
      <c r="BJ147" s="12"/>
      <c r="BK147" s="12"/>
      <c r="BL147" s="12"/>
      <c r="BM147" s="12"/>
      <c r="BN147" s="12"/>
      <c r="BO147" s="12"/>
      <c r="BP147" s="12"/>
      <c r="BQ147" s="12"/>
      <c r="BR147" s="12"/>
      <c r="BS147" s="12"/>
      <c r="BT147" s="12"/>
      <c r="BU147" s="12"/>
      <c r="BV147" s="12"/>
      <c r="BW147" s="12"/>
      <c r="BX147" s="12"/>
      <c r="BY147" s="12"/>
      <c r="BZ147" s="12"/>
      <c r="CA147" s="12"/>
      <c r="CB147" s="12"/>
      <c r="CC147" s="12"/>
      <c r="CD147" s="12"/>
      <c r="CE147" s="12"/>
      <c r="CF147" s="12"/>
      <c r="CG147" s="12"/>
      <c r="CH147" s="12"/>
      <c r="CI147" s="12"/>
      <c r="CJ147" s="12"/>
      <c r="CK147" s="12"/>
      <c r="CL147" s="12"/>
      <c r="CM147" s="12"/>
      <c r="CN147" s="12"/>
      <c r="CO147" s="12"/>
      <c r="CP147" s="12"/>
      <c r="CQ147" s="12"/>
      <c r="CR147" s="12"/>
      <c r="CS147" s="12"/>
      <c r="CT147" s="12"/>
      <c r="CU147" s="12"/>
      <c r="CV147" s="12"/>
      <c r="CW147" s="12"/>
      <c r="CX147" s="12"/>
      <c r="CY147" s="12"/>
      <c r="CZ147" s="12"/>
      <c r="DA147" s="12"/>
      <c r="DB147" s="12"/>
      <c r="DC147" s="12"/>
      <c r="DD147" s="12"/>
      <c r="DE147" s="12"/>
      <c r="DF147" s="12"/>
      <c r="DG147" s="12"/>
      <c r="DH147" s="12"/>
      <c r="DI147" s="12"/>
      <c r="DJ147" s="12"/>
      <c r="DK147" s="12"/>
      <c r="DL147" s="12"/>
      <c r="DM147" s="12"/>
      <c r="DN147" s="12"/>
      <c r="DO147" s="12"/>
      <c r="DP147" s="12"/>
      <c r="DQ147" s="12"/>
      <c r="DR147" s="12"/>
      <c r="DS147" s="12"/>
      <c r="DT147" s="12"/>
      <c r="DU147" s="12"/>
      <c r="DV147" s="12"/>
      <c r="DW147" s="12"/>
      <c r="DX147" s="12"/>
      <c r="DY147" s="12"/>
      <c r="DZ147" s="12"/>
      <c r="EA147" s="12"/>
      <c r="EB147" s="12"/>
      <c r="EC147" s="12"/>
      <c r="ED147" s="12"/>
      <c r="EE147" s="12"/>
      <c r="EF147" s="12"/>
      <c r="EG147" s="12"/>
      <c r="EH147" s="12"/>
      <c r="EI147" s="12"/>
      <c r="EJ147" s="12"/>
      <c r="EK147" s="12"/>
      <c r="EL147" s="12"/>
      <c r="EM147" s="12"/>
      <c r="EN147" s="12"/>
      <c r="EO147" s="12"/>
      <c r="EP147" s="12"/>
      <c r="EQ147" s="12"/>
      <c r="ER147" s="12"/>
      <c r="ES147" s="12"/>
      <c r="ET147" s="12"/>
      <c r="EU147" s="12"/>
      <c r="EV147" s="12"/>
      <c r="EW147" s="12"/>
      <c r="EX147" s="12"/>
      <c r="EY147" s="12"/>
      <c r="EZ147" s="12"/>
      <c r="FA147" s="12"/>
      <c r="FB147" s="12"/>
      <c r="FC147" s="12"/>
      <c r="FD147" s="12"/>
      <c r="FE147" s="12"/>
      <c r="FF147" s="12"/>
      <c r="FG147" s="12"/>
      <c r="FH147" s="12"/>
      <c r="FI147" s="12"/>
      <c r="FJ147" s="12"/>
      <c r="FK147" s="12"/>
      <c r="FL147" s="12"/>
      <c r="FM147" s="12"/>
      <c r="FN147" s="12"/>
      <c r="FO147" s="12"/>
      <c r="FP147" s="12"/>
      <c r="FQ147" s="12"/>
      <c r="FR147" s="12"/>
      <c r="FS147" s="12"/>
      <c r="FT147" s="12"/>
      <c r="FU147" s="12"/>
      <c r="FV147" s="12"/>
      <c r="FW147" s="12"/>
      <c r="FX147" s="12"/>
      <c r="FY147" s="12"/>
      <c r="FZ147" s="12"/>
      <c r="GA147" s="12"/>
      <c r="GB147" s="12"/>
      <c r="GC147" s="12"/>
      <c r="GD147" s="12"/>
      <c r="GE147" s="12"/>
    </row>
    <row r="148" spans="1:187" ht="21" customHeight="1">
      <c r="A148" s="45"/>
      <c r="B148" s="86" t="s">
        <v>1</v>
      </c>
      <c r="C148" s="10" t="s">
        <v>177</v>
      </c>
      <c r="D148" s="10" t="s">
        <v>170</v>
      </c>
      <c r="E148" s="35">
        <v>765.95899999999995</v>
      </c>
      <c r="F148" s="35">
        <f>1269.325-E148</f>
        <v>503.3660000000001</v>
      </c>
      <c r="G148" s="35">
        <v>250.209</v>
      </c>
      <c r="H148" s="35">
        <f>979.466-G148</f>
        <v>729.25700000000006</v>
      </c>
      <c r="I148" s="35">
        <f t="shared" si="22"/>
        <v>2248.7910000000002</v>
      </c>
      <c r="J148" s="56">
        <v>2213.4699999999998</v>
      </c>
      <c r="K148" s="49">
        <v>4978.8999999999996</v>
      </c>
      <c r="L148" s="49">
        <v>5178.0600000000004</v>
      </c>
      <c r="M148" s="49">
        <v>1785.68</v>
      </c>
      <c r="N148" s="49">
        <v>1851.75</v>
      </c>
      <c r="O148" s="56">
        <f t="shared" si="23"/>
        <v>3193.2199999999993</v>
      </c>
      <c r="P148" s="1">
        <f t="shared" si="17"/>
        <v>2445875.5979799991</v>
      </c>
      <c r="Q148" s="1">
        <f t="shared" si="18"/>
        <v>1607358.37852</v>
      </c>
      <c r="R148" s="1">
        <f t="shared" si="19"/>
        <v>832272.69879000005</v>
      </c>
      <c r="S148" s="1">
        <f t="shared" si="20"/>
        <v>2425734.8516700007</v>
      </c>
      <c r="T148" s="1">
        <f t="shared" si="21"/>
        <v>7311241.5269599995</v>
      </c>
      <c r="U148" s="11"/>
      <c r="V148" s="11"/>
      <c r="W148" s="11"/>
      <c r="X148" s="12"/>
      <c r="Y148" s="12"/>
      <c r="Z148" s="12"/>
      <c r="AA148" s="12"/>
      <c r="AB148" s="12"/>
      <c r="AC148" s="12"/>
      <c r="AD148" s="12"/>
      <c r="AE148" s="12"/>
      <c r="AF148" s="12"/>
      <c r="AG148" s="12"/>
      <c r="AH148" s="12"/>
      <c r="AI148" s="12"/>
      <c r="AJ148" s="12"/>
      <c r="AK148" s="12"/>
      <c r="AL148" s="12"/>
      <c r="AM148" s="12"/>
      <c r="AN148" s="12"/>
      <c r="AO148" s="12"/>
      <c r="AP148" s="12"/>
      <c r="AQ148" s="12"/>
      <c r="AR148" s="12"/>
      <c r="AS148" s="12"/>
      <c r="AT148" s="12"/>
      <c r="AU148" s="12"/>
      <c r="AV148" s="12"/>
      <c r="AW148" s="12"/>
      <c r="AX148" s="12"/>
      <c r="AY148" s="12"/>
      <c r="AZ148" s="12"/>
      <c r="BA148" s="12"/>
      <c r="BB148" s="12"/>
      <c r="BC148" s="12"/>
      <c r="BD148" s="12"/>
      <c r="BE148" s="12"/>
      <c r="BF148" s="12"/>
      <c r="BG148" s="12"/>
      <c r="BH148" s="12"/>
      <c r="BI148" s="12"/>
      <c r="BJ148" s="12"/>
      <c r="BK148" s="12"/>
      <c r="BL148" s="12"/>
      <c r="BM148" s="12"/>
      <c r="BN148" s="12"/>
      <c r="BO148" s="12"/>
      <c r="BP148" s="12"/>
      <c r="BQ148" s="12"/>
      <c r="BR148" s="12"/>
      <c r="BS148" s="12"/>
      <c r="BT148" s="12"/>
      <c r="BU148" s="12"/>
      <c r="BV148" s="12"/>
      <c r="BW148" s="12"/>
      <c r="BX148" s="12"/>
      <c r="BY148" s="12"/>
      <c r="BZ148" s="12"/>
      <c r="CA148" s="12"/>
      <c r="CB148" s="12"/>
      <c r="CC148" s="12"/>
      <c r="CD148" s="12"/>
      <c r="CE148" s="12"/>
      <c r="CF148" s="12"/>
      <c r="CG148" s="12"/>
      <c r="CH148" s="12"/>
      <c r="CI148" s="12"/>
      <c r="CJ148" s="12"/>
      <c r="CK148" s="12"/>
      <c r="CL148" s="12"/>
      <c r="CM148" s="12"/>
      <c r="CN148" s="12"/>
      <c r="CO148" s="12"/>
      <c r="CP148" s="12"/>
      <c r="CQ148" s="12"/>
      <c r="CR148" s="12"/>
      <c r="CS148" s="12"/>
      <c r="CT148" s="12"/>
      <c r="CU148" s="12"/>
      <c r="CV148" s="12"/>
      <c r="CW148" s="12"/>
      <c r="CX148" s="12"/>
      <c r="CY148" s="12"/>
      <c r="CZ148" s="12"/>
      <c r="DA148" s="12"/>
      <c r="DB148" s="12"/>
      <c r="DC148" s="12"/>
      <c r="DD148" s="12"/>
      <c r="DE148" s="12"/>
      <c r="DF148" s="12"/>
      <c r="DG148" s="12"/>
      <c r="DH148" s="12"/>
      <c r="DI148" s="12"/>
      <c r="DJ148" s="12"/>
      <c r="DK148" s="12"/>
      <c r="DL148" s="12"/>
      <c r="DM148" s="12"/>
      <c r="DN148" s="12"/>
      <c r="DO148" s="12"/>
      <c r="DP148" s="12"/>
      <c r="DQ148" s="12"/>
      <c r="DR148" s="12"/>
      <c r="DS148" s="12"/>
      <c r="DT148" s="12"/>
      <c r="DU148" s="12"/>
      <c r="DV148" s="12"/>
      <c r="DW148" s="12"/>
      <c r="DX148" s="12"/>
      <c r="DY148" s="12"/>
      <c r="DZ148" s="12"/>
      <c r="EA148" s="12"/>
      <c r="EB148" s="12"/>
      <c r="EC148" s="12"/>
      <c r="ED148" s="12"/>
      <c r="EE148" s="12"/>
      <c r="EF148" s="12"/>
      <c r="EG148" s="12"/>
      <c r="EH148" s="12"/>
      <c r="EI148" s="12"/>
      <c r="EJ148" s="12"/>
      <c r="EK148" s="12"/>
      <c r="EL148" s="12"/>
      <c r="EM148" s="12"/>
      <c r="EN148" s="12"/>
      <c r="EO148" s="12"/>
      <c r="EP148" s="12"/>
      <c r="EQ148" s="12"/>
      <c r="ER148" s="12"/>
      <c r="ES148" s="12"/>
      <c r="ET148" s="12"/>
      <c r="EU148" s="12"/>
      <c r="EV148" s="12"/>
      <c r="EW148" s="12"/>
      <c r="EX148" s="12"/>
      <c r="EY148" s="12"/>
      <c r="EZ148" s="12"/>
      <c r="FA148" s="12"/>
      <c r="FB148" s="12"/>
      <c r="FC148" s="12"/>
      <c r="FD148" s="12"/>
      <c r="FE148" s="12"/>
      <c r="FF148" s="12"/>
      <c r="FG148" s="12"/>
      <c r="FH148" s="12"/>
      <c r="FI148" s="12"/>
      <c r="FJ148" s="12"/>
      <c r="FK148" s="12"/>
      <c r="FL148" s="12"/>
      <c r="FM148" s="12"/>
      <c r="FN148" s="12"/>
      <c r="FO148" s="12"/>
      <c r="FP148" s="12"/>
      <c r="FQ148" s="12"/>
      <c r="FR148" s="12"/>
      <c r="FS148" s="12"/>
      <c r="FT148" s="12"/>
      <c r="FU148" s="12"/>
      <c r="FV148" s="12"/>
      <c r="FW148" s="12"/>
      <c r="FX148" s="12"/>
      <c r="FY148" s="12"/>
      <c r="FZ148" s="12"/>
      <c r="GA148" s="12"/>
      <c r="GB148" s="12"/>
      <c r="GC148" s="12"/>
      <c r="GD148" s="12"/>
      <c r="GE148" s="12"/>
    </row>
    <row r="149" spans="1:187" ht="21" customHeight="1">
      <c r="A149" s="45" t="s">
        <v>337</v>
      </c>
      <c r="B149" s="86">
        <v>7729314745</v>
      </c>
      <c r="C149" s="10" t="s">
        <v>341</v>
      </c>
      <c r="D149" s="10" t="s">
        <v>344</v>
      </c>
      <c r="E149" s="35">
        <f>100.529*0.6</f>
        <v>60.317399999999992</v>
      </c>
      <c r="F149" s="35">
        <f>100.529*0.4</f>
        <v>40.211600000000004</v>
      </c>
      <c r="G149" s="35">
        <f>82.251*0.2</f>
        <v>16.450200000000002</v>
      </c>
      <c r="H149" s="35">
        <f>82.251*0.8</f>
        <v>65.80080000000001</v>
      </c>
      <c r="I149" s="35">
        <f t="shared" si="22"/>
        <v>182.78</v>
      </c>
      <c r="J149" s="56">
        <v>182.8</v>
      </c>
      <c r="K149" s="49">
        <v>11447.03</v>
      </c>
      <c r="L149" s="49">
        <v>11904.9112</v>
      </c>
      <c r="M149" s="49">
        <v>1796.32</v>
      </c>
      <c r="N149" s="49">
        <v>1862.7838399999998</v>
      </c>
      <c r="O149" s="56">
        <f t="shared" si="23"/>
        <v>9650.7100000000009</v>
      </c>
      <c r="P149" s="1">
        <f t="shared" si="17"/>
        <v>582105.735354</v>
      </c>
      <c r="Q149" s="1">
        <f t="shared" si="18"/>
        <v>388070.4902360001</v>
      </c>
      <c r="R149" s="1">
        <f t="shared" si="19"/>
        <v>165195.00349747203</v>
      </c>
      <c r="S149" s="1">
        <f t="shared" si="20"/>
        <v>660780.01398988813</v>
      </c>
      <c r="T149" s="1">
        <f t="shared" si="21"/>
        <v>1796151.2430773603</v>
      </c>
      <c r="U149" s="11"/>
      <c r="V149" s="11"/>
      <c r="W149" s="11"/>
      <c r="X149" s="12"/>
      <c r="Y149" s="12"/>
      <c r="Z149" s="12"/>
      <c r="AA149" s="12"/>
      <c r="AB149" s="12"/>
      <c r="AC149" s="12"/>
      <c r="AD149" s="12"/>
      <c r="AE149" s="12"/>
      <c r="AF149" s="12"/>
      <c r="AG149" s="12"/>
      <c r="AH149" s="12"/>
      <c r="AI149" s="12"/>
      <c r="AJ149" s="12"/>
      <c r="AK149" s="12"/>
      <c r="AL149" s="12"/>
      <c r="AM149" s="12"/>
      <c r="AN149" s="12"/>
      <c r="AO149" s="12"/>
      <c r="AP149" s="12"/>
      <c r="AQ149" s="12"/>
      <c r="AR149" s="12"/>
      <c r="AS149" s="12"/>
      <c r="AT149" s="12"/>
      <c r="AU149" s="12"/>
      <c r="AV149" s="12"/>
      <c r="AW149" s="12"/>
      <c r="AX149" s="12"/>
      <c r="AY149" s="12"/>
      <c r="AZ149" s="12"/>
      <c r="BA149" s="12"/>
      <c r="BB149" s="12"/>
      <c r="BC149" s="12"/>
      <c r="BD149" s="12"/>
      <c r="BE149" s="12"/>
      <c r="BF149" s="12"/>
      <c r="BG149" s="12"/>
      <c r="BH149" s="12"/>
      <c r="BI149" s="12"/>
      <c r="BJ149" s="12"/>
      <c r="BK149" s="12"/>
      <c r="BL149" s="12"/>
      <c r="BM149" s="12"/>
      <c r="BN149" s="12"/>
      <c r="BO149" s="12"/>
      <c r="BP149" s="12"/>
      <c r="BQ149" s="12"/>
      <c r="BR149" s="12"/>
      <c r="BS149" s="12"/>
      <c r="BT149" s="12"/>
      <c r="BU149" s="12"/>
      <c r="BV149" s="12"/>
      <c r="BW149" s="12"/>
      <c r="BX149" s="12"/>
      <c r="BY149" s="12"/>
      <c r="BZ149" s="12"/>
      <c r="CA149" s="12"/>
      <c r="CB149" s="12"/>
      <c r="CC149" s="12"/>
      <c r="CD149" s="12"/>
      <c r="CE149" s="12"/>
      <c r="CF149" s="12"/>
      <c r="CG149" s="12"/>
      <c r="CH149" s="12"/>
      <c r="CI149" s="12"/>
      <c r="CJ149" s="12"/>
      <c r="CK149" s="12"/>
      <c r="CL149" s="12"/>
      <c r="CM149" s="12"/>
      <c r="CN149" s="12"/>
      <c r="CO149" s="12"/>
      <c r="CP149" s="12"/>
      <c r="CQ149" s="12"/>
      <c r="CR149" s="12"/>
      <c r="CS149" s="12"/>
      <c r="CT149" s="12"/>
      <c r="CU149" s="12"/>
      <c r="CV149" s="12"/>
      <c r="CW149" s="12"/>
      <c r="CX149" s="12"/>
      <c r="CY149" s="12"/>
      <c r="CZ149" s="12"/>
      <c r="DA149" s="12"/>
      <c r="DB149" s="12"/>
      <c r="DC149" s="12"/>
      <c r="DD149" s="12"/>
      <c r="DE149" s="12"/>
      <c r="DF149" s="12"/>
      <c r="DG149" s="12"/>
      <c r="DH149" s="12"/>
      <c r="DI149" s="12"/>
      <c r="DJ149" s="12"/>
      <c r="DK149" s="12"/>
      <c r="DL149" s="12"/>
      <c r="DM149" s="12"/>
      <c r="DN149" s="12"/>
      <c r="DO149" s="12"/>
      <c r="DP149" s="12"/>
      <c r="DQ149" s="12"/>
      <c r="DR149" s="12"/>
      <c r="DS149" s="12"/>
      <c r="DT149" s="12"/>
      <c r="DU149" s="12"/>
      <c r="DV149" s="12"/>
      <c r="DW149" s="12"/>
      <c r="DX149" s="12"/>
      <c r="DY149" s="12"/>
      <c r="DZ149" s="12"/>
      <c r="EA149" s="12"/>
      <c r="EB149" s="12"/>
      <c r="EC149" s="12"/>
      <c r="ED149" s="12"/>
      <c r="EE149" s="12"/>
      <c r="EF149" s="12"/>
      <c r="EG149" s="12"/>
      <c r="EH149" s="12"/>
      <c r="EI149" s="12"/>
      <c r="EJ149" s="12"/>
      <c r="EK149" s="12"/>
      <c r="EL149" s="12"/>
      <c r="EM149" s="12"/>
      <c r="EN149" s="12"/>
      <c r="EO149" s="12"/>
      <c r="EP149" s="12"/>
      <c r="EQ149" s="12"/>
      <c r="ER149" s="12"/>
      <c r="ES149" s="12"/>
      <c r="ET149" s="12"/>
      <c r="EU149" s="12"/>
      <c r="EV149" s="12"/>
      <c r="EW149" s="12"/>
      <c r="EX149" s="12"/>
      <c r="EY149" s="12"/>
      <c r="EZ149" s="12"/>
      <c r="FA149" s="12"/>
      <c r="FB149" s="12"/>
      <c r="FC149" s="12"/>
      <c r="FD149" s="12"/>
      <c r="FE149" s="12"/>
      <c r="FF149" s="12"/>
      <c r="FG149" s="12"/>
      <c r="FH149" s="12"/>
      <c r="FI149" s="12"/>
      <c r="FJ149" s="12"/>
      <c r="FK149" s="12"/>
      <c r="FL149" s="12"/>
      <c r="FM149" s="12"/>
      <c r="FN149" s="12"/>
      <c r="FO149" s="12"/>
      <c r="FP149" s="12"/>
      <c r="FQ149" s="12"/>
      <c r="FR149" s="12"/>
      <c r="FS149" s="12"/>
      <c r="FT149" s="12"/>
      <c r="FU149" s="12"/>
      <c r="FV149" s="12"/>
      <c r="FW149" s="12"/>
      <c r="FX149" s="12"/>
      <c r="FY149" s="12"/>
      <c r="FZ149" s="12"/>
      <c r="GA149" s="12"/>
      <c r="GB149" s="12"/>
      <c r="GC149" s="12"/>
      <c r="GD149" s="12"/>
      <c r="GE149" s="12"/>
    </row>
    <row r="150" spans="1:187" ht="21" customHeight="1">
      <c r="A150" s="45" t="s">
        <v>337</v>
      </c>
      <c r="B150" s="86">
        <v>7729314745</v>
      </c>
      <c r="C150" s="10" t="s">
        <v>341</v>
      </c>
      <c r="D150" s="10" t="s">
        <v>345</v>
      </c>
      <c r="E150" s="35">
        <f>165.2805*0.6</f>
        <v>99.168299999999988</v>
      </c>
      <c r="F150" s="35">
        <f>165.2805*0.4</f>
        <v>66.112200000000001</v>
      </c>
      <c r="G150" s="35">
        <f>135.2295*0.2</f>
        <v>27.045900000000003</v>
      </c>
      <c r="H150" s="35">
        <f>135.2295*0.8</f>
        <v>108.18360000000001</v>
      </c>
      <c r="I150" s="35">
        <f t="shared" si="22"/>
        <v>300.51</v>
      </c>
      <c r="J150" s="56">
        <v>300.5</v>
      </c>
      <c r="K150" s="49">
        <v>5511.94</v>
      </c>
      <c r="L150" s="49">
        <v>5715.8817799999988</v>
      </c>
      <c r="M150" s="49">
        <v>1796.32</v>
      </c>
      <c r="N150" s="49">
        <v>1862.7838399999998</v>
      </c>
      <c r="O150" s="56">
        <f t="shared" si="23"/>
        <v>3715.62</v>
      </c>
      <c r="P150" s="1">
        <f t="shared" si="17"/>
        <v>368471.71884599992</v>
      </c>
      <c r="Q150" s="1">
        <f t="shared" si="18"/>
        <v>245647.81256399999</v>
      </c>
      <c r="R150" s="1">
        <f t="shared" si="19"/>
        <v>104210.50157544597</v>
      </c>
      <c r="S150" s="1">
        <f t="shared" si="20"/>
        <v>416842.0063017839</v>
      </c>
      <c r="T150" s="1">
        <f t="shared" si="21"/>
        <v>1135172.0392872298</v>
      </c>
      <c r="U150" s="11"/>
      <c r="V150" s="11"/>
      <c r="W150" s="11"/>
      <c r="X150" s="12"/>
      <c r="Y150" s="12"/>
      <c r="Z150" s="12"/>
      <c r="AA150" s="12"/>
      <c r="AB150" s="12"/>
      <c r="AC150" s="12"/>
      <c r="AD150" s="12"/>
      <c r="AE150" s="12"/>
      <c r="AF150" s="12"/>
      <c r="AG150" s="12"/>
      <c r="AH150" s="12"/>
      <c r="AI150" s="12"/>
      <c r="AJ150" s="12"/>
      <c r="AK150" s="12"/>
      <c r="AL150" s="12"/>
      <c r="AM150" s="12"/>
      <c r="AN150" s="12"/>
      <c r="AO150" s="12"/>
      <c r="AP150" s="12"/>
      <c r="AQ150" s="12"/>
      <c r="AR150" s="12"/>
      <c r="AS150" s="12"/>
      <c r="AT150" s="12"/>
      <c r="AU150" s="12"/>
      <c r="AV150" s="12"/>
      <c r="AW150" s="12"/>
      <c r="AX150" s="12"/>
      <c r="AY150" s="12"/>
      <c r="AZ150" s="12"/>
      <c r="BA150" s="12"/>
      <c r="BB150" s="12"/>
      <c r="BC150" s="12"/>
      <c r="BD150" s="12"/>
      <c r="BE150" s="12"/>
      <c r="BF150" s="12"/>
      <c r="BG150" s="12"/>
      <c r="BH150" s="12"/>
      <c r="BI150" s="12"/>
      <c r="BJ150" s="12"/>
      <c r="BK150" s="12"/>
      <c r="BL150" s="12"/>
      <c r="BM150" s="12"/>
      <c r="BN150" s="12"/>
      <c r="BO150" s="12"/>
      <c r="BP150" s="12"/>
      <c r="BQ150" s="12"/>
      <c r="BR150" s="12"/>
      <c r="BS150" s="12"/>
      <c r="BT150" s="12"/>
      <c r="BU150" s="12"/>
      <c r="BV150" s="12"/>
      <c r="BW150" s="12"/>
      <c r="BX150" s="12"/>
      <c r="BY150" s="12"/>
      <c r="BZ150" s="12"/>
      <c r="CA150" s="12"/>
      <c r="CB150" s="12"/>
      <c r="CC150" s="12"/>
      <c r="CD150" s="12"/>
      <c r="CE150" s="12"/>
      <c r="CF150" s="12"/>
      <c r="CG150" s="12"/>
      <c r="CH150" s="12"/>
      <c r="CI150" s="12"/>
      <c r="CJ150" s="12"/>
      <c r="CK150" s="12"/>
      <c r="CL150" s="12"/>
      <c r="CM150" s="12"/>
      <c r="CN150" s="12"/>
      <c r="CO150" s="12"/>
      <c r="CP150" s="12"/>
      <c r="CQ150" s="12"/>
      <c r="CR150" s="12"/>
      <c r="CS150" s="12"/>
      <c r="CT150" s="12"/>
      <c r="CU150" s="12"/>
      <c r="CV150" s="12"/>
      <c r="CW150" s="12"/>
      <c r="CX150" s="12"/>
      <c r="CY150" s="12"/>
      <c r="CZ150" s="12"/>
      <c r="DA150" s="12"/>
      <c r="DB150" s="12"/>
      <c r="DC150" s="12"/>
      <c r="DD150" s="12"/>
      <c r="DE150" s="12"/>
      <c r="DF150" s="12"/>
      <c r="DG150" s="12"/>
      <c r="DH150" s="12"/>
      <c r="DI150" s="12"/>
      <c r="DJ150" s="12"/>
      <c r="DK150" s="12"/>
      <c r="DL150" s="12"/>
      <c r="DM150" s="12"/>
      <c r="DN150" s="12"/>
      <c r="DO150" s="12"/>
      <c r="DP150" s="12"/>
      <c r="DQ150" s="12"/>
      <c r="DR150" s="12"/>
      <c r="DS150" s="12"/>
      <c r="DT150" s="12"/>
      <c r="DU150" s="12"/>
      <c r="DV150" s="12"/>
      <c r="DW150" s="12"/>
      <c r="DX150" s="12"/>
      <c r="DY150" s="12"/>
      <c r="DZ150" s="12"/>
      <c r="EA150" s="12"/>
      <c r="EB150" s="12"/>
      <c r="EC150" s="12"/>
      <c r="ED150" s="12"/>
      <c r="EE150" s="12"/>
      <c r="EF150" s="12"/>
      <c r="EG150" s="12"/>
      <c r="EH150" s="12"/>
      <c r="EI150" s="12"/>
      <c r="EJ150" s="12"/>
      <c r="EK150" s="12"/>
      <c r="EL150" s="12"/>
      <c r="EM150" s="12"/>
      <c r="EN150" s="12"/>
      <c r="EO150" s="12"/>
      <c r="EP150" s="12"/>
      <c r="EQ150" s="12"/>
      <c r="ER150" s="12"/>
      <c r="ES150" s="12"/>
      <c r="ET150" s="12"/>
      <c r="EU150" s="12"/>
      <c r="EV150" s="12"/>
      <c r="EW150" s="12"/>
      <c r="EX150" s="12"/>
      <c r="EY150" s="12"/>
      <c r="EZ150" s="12"/>
      <c r="FA150" s="12"/>
      <c r="FB150" s="12"/>
      <c r="FC150" s="12"/>
      <c r="FD150" s="12"/>
      <c r="FE150" s="12"/>
      <c r="FF150" s="12"/>
      <c r="FG150" s="12"/>
      <c r="FH150" s="12"/>
      <c r="FI150" s="12"/>
      <c r="FJ150" s="12"/>
      <c r="FK150" s="12"/>
      <c r="FL150" s="12"/>
      <c r="FM150" s="12"/>
      <c r="FN150" s="12"/>
      <c r="FO150" s="12"/>
      <c r="FP150" s="12"/>
      <c r="FQ150" s="12"/>
      <c r="FR150" s="12"/>
      <c r="FS150" s="12"/>
      <c r="FT150" s="12"/>
      <c r="FU150" s="12"/>
      <c r="FV150" s="12"/>
      <c r="FW150" s="12"/>
      <c r="FX150" s="12"/>
      <c r="FY150" s="12"/>
      <c r="FZ150" s="12"/>
      <c r="GA150" s="12"/>
      <c r="GB150" s="12"/>
      <c r="GC150" s="12"/>
      <c r="GD150" s="12"/>
      <c r="GE150" s="12"/>
    </row>
    <row r="151" spans="1:187" ht="21" customHeight="1">
      <c r="A151" s="45" t="s">
        <v>337</v>
      </c>
      <c r="B151" s="86">
        <v>7729314745</v>
      </c>
      <c r="C151" s="10" t="s">
        <v>341</v>
      </c>
      <c r="D151" s="10" t="s">
        <v>166</v>
      </c>
      <c r="E151" s="35">
        <f>778.25*0.6</f>
        <v>466.95</v>
      </c>
      <c r="F151" s="35">
        <f>778.25*0.4</f>
        <v>311.3</v>
      </c>
      <c r="G151" s="35">
        <f>636.75*0.2</f>
        <v>127.35000000000001</v>
      </c>
      <c r="H151" s="35">
        <f>636.75*0.8</f>
        <v>509.40000000000003</v>
      </c>
      <c r="I151" s="35">
        <f t="shared" si="22"/>
        <v>1415</v>
      </c>
      <c r="J151" s="56">
        <v>1415.31</v>
      </c>
      <c r="K151" s="49">
        <v>3610.29</v>
      </c>
      <c r="L151" s="49">
        <v>3743.8707299999996</v>
      </c>
      <c r="M151" s="49">
        <v>1660.47</v>
      </c>
      <c r="N151" s="49">
        <v>1721.9073899999999</v>
      </c>
      <c r="O151" s="56">
        <f t="shared" si="23"/>
        <v>1949.82</v>
      </c>
      <c r="P151" s="1">
        <f t="shared" si="17"/>
        <v>910468.44899999991</v>
      </c>
      <c r="Q151" s="1">
        <f t="shared" si="18"/>
        <v>606978.96600000001</v>
      </c>
      <c r="R151" s="1">
        <f t="shared" si="19"/>
        <v>257497.031349</v>
      </c>
      <c r="S151" s="1">
        <f t="shared" si="20"/>
        <v>1029988.125396</v>
      </c>
      <c r="T151" s="1">
        <f t="shared" si="21"/>
        <v>2804932.5717449998</v>
      </c>
      <c r="U151" s="11"/>
      <c r="V151" s="11"/>
      <c r="W151" s="11"/>
      <c r="X151" s="12"/>
      <c r="Y151" s="12"/>
      <c r="Z151" s="12"/>
      <c r="AA151" s="12"/>
      <c r="AB151" s="12"/>
      <c r="AC151" s="12"/>
      <c r="AD151" s="12"/>
      <c r="AE151" s="12"/>
      <c r="AF151" s="12"/>
      <c r="AG151" s="12"/>
      <c r="AH151" s="12"/>
      <c r="AI151" s="12"/>
      <c r="AJ151" s="12"/>
      <c r="AK151" s="12"/>
      <c r="AL151" s="12"/>
      <c r="AM151" s="12"/>
      <c r="AN151" s="12"/>
      <c r="AO151" s="12"/>
      <c r="AP151" s="12"/>
      <c r="AQ151" s="12"/>
      <c r="AR151" s="12"/>
      <c r="AS151" s="12"/>
      <c r="AT151" s="12"/>
      <c r="AU151" s="12"/>
      <c r="AV151" s="12"/>
      <c r="AW151" s="12"/>
      <c r="AX151" s="12"/>
      <c r="AY151" s="12"/>
      <c r="AZ151" s="12"/>
      <c r="BA151" s="12"/>
      <c r="BB151" s="12"/>
      <c r="BC151" s="12"/>
      <c r="BD151" s="12"/>
      <c r="BE151" s="12"/>
      <c r="BF151" s="12"/>
      <c r="BG151" s="12"/>
      <c r="BH151" s="12"/>
      <c r="BI151" s="12"/>
      <c r="BJ151" s="12"/>
      <c r="BK151" s="12"/>
      <c r="BL151" s="12"/>
      <c r="BM151" s="12"/>
      <c r="BN151" s="12"/>
      <c r="BO151" s="12"/>
      <c r="BP151" s="12"/>
      <c r="BQ151" s="12"/>
      <c r="BR151" s="12"/>
      <c r="BS151" s="12"/>
      <c r="BT151" s="12"/>
      <c r="BU151" s="12"/>
      <c r="BV151" s="12"/>
      <c r="BW151" s="12"/>
      <c r="BX151" s="12"/>
      <c r="BY151" s="12"/>
      <c r="BZ151" s="12"/>
      <c r="CA151" s="12"/>
      <c r="CB151" s="12"/>
      <c r="CC151" s="12"/>
      <c r="CD151" s="12"/>
      <c r="CE151" s="12"/>
      <c r="CF151" s="12"/>
      <c r="CG151" s="12"/>
      <c r="CH151" s="12"/>
      <c r="CI151" s="12"/>
      <c r="CJ151" s="12"/>
      <c r="CK151" s="12"/>
      <c r="CL151" s="12"/>
      <c r="CM151" s="12"/>
      <c r="CN151" s="12"/>
      <c r="CO151" s="12"/>
      <c r="CP151" s="12"/>
      <c r="CQ151" s="12"/>
      <c r="CR151" s="12"/>
      <c r="CS151" s="12"/>
      <c r="CT151" s="12"/>
      <c r="CU151" s="12"/>
      <c r="CV151" s="12"/>
      <c r="CW151" s="12"/>
      <c r="CX151" s="12"/>
      <c r="CY151" s="12"/>
      <c r="CZ151" s="12"/>
      <c r="DA151" s="12"/>
      <c r="DB151" s="12"/>
      <c r="DC151" s="12"/>
      <c r="DD151" s="12"/>
      <c r="DE151" s="12"/>
      <c r="DF151" s="12"/>
      <c r="DG151" s="12"/>
      <c r="DH151" s="12"/>
      <c r="DI151" s="12"/>
      <c r="DJ151" s="12"/>
      <c r="DK151" s="12"/>
      <c r="DL151" s="12"/>
      <c r="DM151" s="12"/>
      <c r="DN151" s="12"/>
      <c r="DO151" s="12"/>
      <c r="DP151" s="12"/>
      <c r="DQ151" s="12"/>
      <c r="DR151" s="12"/>
      <c r="DS151" s="12"/>
      <c r="DT151" s="12"/>
      <c r="DU151" s="12"/>
      <c r="DV151" s="12"/>
      <c r="DW151" s="12"/>
      <c r="DX151" s="12"/>
      <c r="DY151" s="12"/>
      <c r="DZ151" s="12"/>
      <c r="EA151" s="12"/>
      <c r="EB151" s="12"/>
      <c r="EC151" s="12"/>
      <c r="ED151" s="12"/>
      <c r="EE151" s="12"/>
      <c r="EF151" s="12"/>
      <c r="EG151" s="12"/>
      <c r="EH151" s="12"/>
      <c r="EI151" s="12"/>
      <c r="EJ151" s="12"/>
      <c r="EK151" s="12"/>
      <c r="EL151" s="12"/>
      <c r="EM151" s="12"/>
      <c r="EN151" s="12"/>
      <c r="EO151" s="12"/>
      <c r="EP151" s="12"/>
      <c r="EQ151" s="12"/>
      <c r="ER151" s="12"/>
      <c r="ES151" s="12"/>
      <c r="ET151" s="12"/>
      <c r="EU151" s="12"/>
      <c r="EV151" s="12"/>
      <c r="EW151" s="12"/>
      <c r="EX151" s="12"/>
      <c r="EY151" s="12"/>
      <c r="EZ151" s="12"/>
      <c r="FA151" s="12"/>
      <c r="FB151" s="12"/>
      <c r="FC151" s="12"/>
      <c r="FD151" s="12"/>
      <c r="FE151" s="12"/>
      <c r="FF151" s="12"/>
      <c r="FG151" s="12"/>
      <c r="FH151" s="12"/>
      <c r="FI151" s="12"/>
      <c r="FJ151" s="12"/>
      <c r="FK151" s="12"/>
      <c r="FL151" s="12"/>
      <c r="FM151" s="12"/>
      <c r="FN151" s="12"/>
      <c r="FO151" s="12"/>
      <c r="FP151" s="12"/>
      <c r="FQ151" s="12"/>
      <c r="FR151" s="12"/>
      <c r="FS151" s="12"/>
      <c r="FT151" s="12"/>
      <c r="FU151" s="12"/>
      <c r="FV151" s="12"/>
      <c r="FW151" s="12"/>
      <c r="FX151" s="12"/>
      <c r="FY151" s="12"/>
      <c r="FZ151" s="12"/>
      <c r="GA151" s="12"/>
      <c r="GB151" s="12"/>
      <c r="GC151" s="12"/>
      <c r="GD151" s="12"/>
      <c r="GE151" s="12"/>
    </row>
    <row r="152" spans="1:187" ht="21" customHeight="1">
      <c r="A152" s="45"/>
      <c r="B152" s="86" t="s">
        <v>276</v>
      </c>
      <c r="C152" s="10" t="s">
        <v>425</v>
      </c>
      <c r="D152" s="10" t="s">
        <v>426</v>
      </c>
      <c r="E152" s="61">
        <f>358.44*0.6</f>
        <v>215.06399999999999</v>
      </c>
      <c r="F152" s="61">
        <f>358.44*0.4</f>
        <v>143.376</v>
      </c>
      <c r="G152" s="61">
        <f>238.96*0.2</f>
        <v>47.792000000000002</v>
      </c>
      <c r="H152" s="61">
        <f>238.96*0.8</f>
        <v>191.16800000000001</v>
      </c>
      <c r="I152" s="35">
        <f t="shared" si="22"/>
        <v>597.4</v>
      </c>
      <c r="J152" s="56">
        <v>597.4</v>
      </c>
      <c r="K152" s="49">
        <v>5921.01</v>
      </c>
      <c r="L152" s="49">
        <v>6157.85</v>
      </c>
      <c r="M152" s="49">
        <v>2067.34</v>
      </c>
      <c r="N152" s="49">
        <v>2143.83</v>
      </c>
      <c r="O152" s="56"/>
      <c r="P152" s="1">
        <f t="shared" si="17"/>
        <v>828785.68487999996</v>
      </c>
      <c r="Q152" s="1">
        <f t="shared" si="18"/>
        <v>552523.78992000001</v>
      </c>
      <c r="R152" s="1">
        <f t="shared" si="19"/>
        <v>191838.04384000003</v>
      </c>
      <c r="S152" s="1">
        <f t="shared" si="20"/>
        <v>767352.17536000011</v>
      </c>
      <c r="T152" s="1">
        <f t="shared" si="21"/>
        <v>2340499.6940000001</v>
      </c>
      <c r="U152" s="11"/>
      <c r="V152" s="11"/>
      <c r="W152" s="11"/>
      <c r="X152" s="12"/>
      <c r="Y152" s="12"/>
      <c r="Z152" s="12"/>
      <c r="AA152" s="12"/>
      <c r="AB152" s="12"/>
      <c r="AC152" s="12"/>
      <c r="AD152" s="12"/>
      <c r="AE152" s="12"/>
      <c r="AF152" s="12"/>
      <c r="AG152" s="12"/>
      <c r="AH152" s="12"/>
      <c r="AI152" s="12"/>
      <c r="AJ152" s="12"/>
      <c r="AK152" s="12"/>
      <c r="AL152" s="12"/>
      <c r="AM152" s="12"/>
      <c r="AN152" s="12"/>
      <c r="AO152" s="12"/>
      <c r="AP152" s="12"/>
      <c r="AQ152" s="12"/>
      <c r="AR152" s="12"/>
      <c r="AS152" s="12"/>
      <c r="AT152" s="12"/>
      <c r="AU152" s="12"/>
      <c r="AV152" s="12"/>
      <c r="AW152" s="12"/>
      <c r="AX152" s="12"/>
      <c r="AY152" s="12"/>
      <c r="AZ152" s="12"/>
      <c r="BA152" s="12"/>
      <c r="BB152" s="12"/>
      <c r="BC152" s="12"/>
      <c r="BD152" s="12"/>
      <c r="BE152" s="12"/>
      <c r="BF152" s="12"/>
      <c r="BG152" s="12"/>
      <c r="BH152" s="12"/>
      <c r="BI152" s="12"/>
      <c r="BJ152" s="12"/>
      <c r="BK152" s="12"/>
      <c r="BL152" s="12"/>
      <c r="BM152" s="12"/>
      <c r="BN152" s="12"/>
      <c r="BO152" s="12"/>
      <c r="BP152" s="12"/>
      <c r="BQ152" s="12"/>
      <c r="BR152" s="12"/>
      <c r="BS152" s="12"/>
      <c r="BT152" s="12"/>
      <c r="BU152" s="12"/>
      <c r="BV152" s="12"/>
      <c r="BW152" s="12"/>
      <c r="BX152" s="12"/>
      <c r="BY152" s="12"/>
      <c r="BZ152" s="12"/>
      <c r="CA152" s="12"/>
      <c r="CB152" s="12"/>
      <c r="CC152" s="12"/>
      <c r="CD152" s="12"/>
      <c r="CE152" s="12"/>
      <c r="CF152" s="12"/>
      <c r="CG152" s="12"/>
      <c r="CH152" s="12"/>
      <c r="CI152" s="12"/>
      <c r="CJ152" s="12"/>
      <c r="CK152" s="12"/>
      <c r="CL152" s="12"/>
      <c r="CM152" s="12"/>
      <c r="CN152" s="12"/>
      <c r="CO152" s="12"/>
      <c r="CP152" s="12"/>
      <c r="CQ152" s="12"/>
      <c r="CR152" s="12"/>
      <c r="CS152" s="12"/>
      <c r="CT152" s="12"/>
      <c r="CU152" s="12"/>
      <c r="CV152" s="12"/>
      <c r="CW152" s="12"/>
      <c r="CX152" s="12"/>
      <c r="CY152" s="12"/>
      <c r="CZ152" s="12"/>
      <c r="DA152" s="12"/>
      <c r="DB152" s="12"/>
      <c r="DC152" s="12"/>
      <c r="DD152" s="12"/>
      <c r="DE152" s="12"/>
      <c r="DF152" s="12"/>
      <c r="DG152" s="12"/>
      <c r="DH152" s="12"/>
      <c r="DI152" s="12"/>
      <c r="DJ152" s="12"/>
      <c r="DK152" s="12"/>
      <c r="DL152" s="12"/>
      <c r="DM152" s="12"/>
      <c r="DN152" s="12"/>
      <c r="DO152" s="12"/>
      <c r="DP152" s="12"/>
      <c r="DQ152" s="12"/>
      <c r="DR152" s="12"/>
      <c r="DS152" s="12"/>
      <c r="DT152" s="12"/>
      <c r="DU152" s="12"/>
      <c r="DV152" s="12"/>
      <c r="DW152" s="12"/>
      <c r="DX152" s="12"/>
      <c r="DY152" s="12"/>
      <c r="DZ152" s="12"/>
      <c r="EA152" s="12"/>
      <c r="EB152" s="12"/>
      <c r="EC152" s="12"/>
      <c r="ED152" s="12"/>
      <c r="EE152" s="12"/>
      <c r="EF152" s="12"/>
      <c r="EG152" s="12"/>
      <c r="EH152" s="12"/>
      <c r="EI152" s="12"/>
      <c r="EJ152" s="12"/>
      <c r="EK152" s="12"/>
      <c r="EL152" s="12"/>
      <c r="EM152" s="12"/>
      <c r="EN152" s="12"/>
      <c r="EO152" s="12"/>
      <c r="EP152" s="12"/>
      <c r="EQ152" s="12"/>
      <c r="ER152" s="12"/>
      <c r="ES152" s="12"/>
      <c r="ET152" s="12"/>
      <c r="EU152" s="12"/>
      <c r="EV152" s="12"/>
      <c r="EW152" s="12"/>
      <c r="EX152" s="12"/>
      <c r="EY152" s="12"/>
      <c r="EZ152" s="12"/>
      <c r="FA152" s="12"/>
      <c r="FB152" s="12"/>
      <c r="FC152" s="12"/>
      <c r="FD152" s="12"/>
      <c r="FE152" s="12"/>
      <c r="FF152" s="12"/>
      <c r="FG152" s="12"/>
      <c r="FH152" s="12"/>
      <c r="FI152" s="12"/>
      <c r="FJ152" s="12"/>
      <c r="FK152" s="12"/>
      <c r="FL152" s="12"/>
      <c r="FM152" s="12"/>
      <c r="FN152" s="12"/>
      <c r="FO152" s="12"/>
      <c r="FP152" s="12"/>
      <c r="FQ152" s="12"/>
      <c r="FR152" s="12"/>
      <c r="FS152" s="12"/>
      <c r="FT152" s="12"/>
      <c r="FU152" s="12"/>
      <c r="FV152" s="12"/>
      <c r="FW152" s="12"/>
      <c r="FX152" s="12"/>
      <c r="FY152" s="12"/>
      <c r="FZ152" s="12"/>
      <c r="GA152" s="12"/>
      <c r="GB152" s="12"/>
      <c r="GC152" s="12"/>
      <c r="GD152" s="12"/>
      <c r="GE152" s="12"/>
    </row>
    <row r="153" spans="1:187" ht="21" customHeight="1">
      <c r="A153" s="45"/>
      <c r="B153" s="86" t="s">
        <v>391</v>
      </c>
      <c r="C153" s="10" t="s">
        <v>392</v>
      </c>
      <c r="D153" s="10" t="s">
        <v>171</v>
      </c>
      <c r="E153" s="35">
        <v>694.85</v>
      </c>
      <c r="F153" s="35">
        <f>1097.65-E153</f>
        <v>402.80000000000007</v>
      </c>
      <c r="G153" s="35">
        <v>88.335999999999999</v>
      </c>
      <c r="H153" s="35">
        <v>729.09699999999998</v>
      </c>
      <c r="I153" s="35">
        <f t="shared" si="22"/>
        <v>1915.0830000000001</v>
      </c>
      <c r="J153" s="56">
        <v>1946.2</v>
      </c>
      <c r="K153" s="49">
        <v>6342.21</v>
      </c>
      <c r="L153" s="49">
        <v>6595.9</v>
      </c>
      <c r="M153" s="49">
        <v>2107.08</v>
      </c>
      <c r="N153" s="49">
        <v>2185.04</v>
      </c>
      <c r="O153" s="56">
        <f t="shared" si="23"/>
        <v>4235.13</v>
      </c>
      <c r="P153" s="1">
        <f t="shared" si="17"/>
        <v>2942780.0805000002</v>
      </c>
      <c r="Q153" s="1">
        <f t="shared" si="18"/>
        <v>1705910.3640000003</v>
      </c>
      <c r="R153" s="1">
        <f t="shared" si="19"/>
        <v>389637.72895999998</v>
      </c>
      <c r="S153" s="1">
        <f t="shared" si="20"/>
        <v>3215944.7934199995</v>
      </c>
      <c r="T153" s="1">
        <f t="shared" si="21"/>
        <v>8254272.9668799993</v>
      </c>
      <c r="U153" s="11"/>
      <c r="V153" s="11"/>
      <c r="W153" s="11"/>
      <c r="X153" s="12"/>
      <c r="Y153" s="12"/>
      <c r="Z153" s="12"/>
      <c r="AA153" s="12"/>
      <c r="AB153" s="12"/>
      <c r="AC153" s="12"/>
      <c r="AD153" s="12"/>
      <c r="AE153" s="12"/>
      <c r="AF153" s="12"/>
      <c r="AG153" s="12"/>
      <c r="AH153" s="12"/>
      <c r="AI153" s="12"/>
      <c r="AJ153" s="12"/>
      <c r="AK153" s="12"/>
      <c r="AL153" s="12"/>
      <c r="AM153" s="12"/>
      <c r="AN153" s="12"/>
      <c r="AO153" s="12"/>
      <c r="AP153" s="12"/>
      <c r="AQ153" s="12"/>
      <c r="AR153" s="12"/>
      <c r="AS153" s="12"/>
      <c r="AT153" s="12"/>
      <c r="AU153" s="12"/>
      <c r="AV153" s="12"/>
      <c r="AW153" s="12"/>
      <c r="AX153" s="12"/>
      <c r="AY153" s="12"/>
      <c r="AZ153" s="12"/>
      <c r="BA153" s="12"/>
      <c r="BB153" s="12"/>
      <c r="BC153" s="12"/>
      <c r="BD153" s="12"/>
      <c r="BE153" s="12"/>
      <c r="BF153" s="12"/>
      <c r="BG153" s="12"/>
      <c r="BH153" s="12"/>
      <c r="BI153" s="12"/>
      <c r="BJ153" s="12"/>
      <c r="BK153" s="12"/>
      <c r="BL153" s="12"/>
      <c r="BM153" s="12"/>
      <c r="BN153" s="12"/>
      <c r="BO153" s="12"/>
      <c r="BP153" s="12"/>
      <c r="BQ153" s="12"/>
      <c r="BR153" s="12"/>
      <c r="BS153" s="12"/>
      <c r="BT153" s="12"/>
      <c r="BU153" s="12"/>
      <c r="BV153" s="12"/>
      <c r="BW153" s="12"/>
      <c r="BX153" s="12"/>
      <c r="BY153" s="12"/>
      <c r="BZ153" s="12"/>
      <c r="CA153" s="12"/>
      <c r="CB153" s="12"/>
      <c r="CC153" s="12"/>
      <c r="CD153" s="12"/>
      <c r="CE153" s="12"/>
      <c r="CF153" s="12"/>
      <c r="CG153" s="12"/>
      <c r="CH153" s="12"/>
      <c r="CI153" s="12"/>
      <c r="CJ153" s="12"/>
      <c r="CK153" s="12"/>
      <c r="CL153" s="12"/>
      <c r="CM153" s="12"/>
      <c r="CN153" s="12"/>
      <c r="CO153" s="12"/>
      <c r="CP153" s="12"/>
      <c r="CQ153" s="12"/>
      <c r="CR153" s="12"/>
      <c r="CS153" s="12"/>
      <c r="CT153" s="12"/>
      <c r="CU153" s="12"/>
      <c r="CV153" s="12"/>
      <c r="CW153" s="12"/>
      <c r="CX153" s="12"/>
      <c r="CY153" s="12"/>
      <c r="CZ153" s="12"/>
      <c r="DA153" s="12"/>
      <c r="DB153" s="12"/>
      <c r="DC153" s="12"/>
      <c r="DD153" s="12"/>
      <c r="DE153" s="12"/>
      <c r="DF153" s="12"/>
      <c r="DG153" s="12"/>
      <c r="DH153" s="12"/>
      <c r="DI153" s="12"/>
      <c r="DJ153" s="12"/>
      <c r="DK153" s="12"/>
      <c r="DL153" s="12"/>
      <c r="DM153" s="12"/>
      <c r="DN153" s="12"/>
      <c r="DO153" s="12"/>
      <c r="DP153" s="12"/>
      <c r="DQ153" s="12"/>
      <c r="DR153" s="12"/>
      <c r="DS153" s="12"/>
      <c r="DT153" s="12"/>
      <c r="DU153" s="12"/>
      <c r="DV153" s="12"/>
      <c r="DW153" s="12"/>
      <c r="DX153" s="12"/>
      <c r="DY153" s="12"/>
      <c r="DZ153" s="12"/>
      <c r="EA153" s="12"/>
      <c r="EB153" s="12"/>
      <c r="EC153" s="12"/>
      <c r="ED153" s="12"/>
      <c r="EE153" s="12"/>
      <c r="EF153" s="12"/>
      <c r="EG153" s="12"/>
      <c r="EH153" s="12"/>
      <c r="EI153" s="12"/>
      <c r="EJ153" s="12"/>
      <c r="EK153" s="12"/>
      <c r="EL153" s="12"/>
      <c r="EM153" s="12"/>
      <c r="EN153" s="12"/>
      <c r="EO153" s="12"/>
      <c r="EP153" s="12"/>
      <c r="EQ153" s="12"/>
      <c r="ER153" s="12"/>
      <c r="ES153" s="12"/>
      <c r="ET153" s="12"/>
      <c r="EU153" s="12"/>
      <c r="EV153" s="12"/>
      <c r="EW153" s="12"/>
      <c r="EX153" s="12"/>
      <c r="EY153" s="12"/>
      <c r="EZ153" s="12"/>
      <c r="FA153" s="12"/>
      <c r="FB153" s="12"/>
      <c r="FC153" s="12"/>
      <c r="FD153" s="12"/>
      <c r="FE153" s="12"/>
      <c r="FF153" s="12"/>
      <c r="FG153" s="12"/>
      <c r="FH153" s="12"/>
      <c r="FI153" s="12"/>
      <c r="FJ153" s="12"/>
      <c r="FK153" s="12"/>
      <c r="FL153" s="12"/>
      <c r="FM153" s="12"/>
      <c r="FN153" s="12"/>
      <c r="FO153" s="12"/>
      <c r="FP153" s="12"/>
      <c r="FQ153" s="12"/>
      <c r="FR153" s="12"/>
      <c r="FS153" s="12"/>
      <c r="FT153" s="12"/>
      <c r="FU153" s="12"/>
      <c r="FV153" s="12"/>
      <c r="FW153" s="12"/>
      <c r="FX153" s="12"/>
      <c r="FY153" s="12"/>
      <c r="FZ153" s="12"/>
      <c r="GA153" s="12"/>
      <c r="GB153" s="12"/>
      <c r="GC153" s="12"/>
      <c r="GD153" s="12"/>
      <c r="GE153" s="12"/>
    </row>
    <row r="154" spans="1:187" s="76" customFormat="1" ht="21" customHeight="1">
      <c r="A154" s="75"/>
      <c r="B154" s="90">
        <v>7606053324</v>
      </c>
      <c r="C154" s="18" t="s">
        <v>411</v>
      </c>
      <c r="D154" s="11"/>
      <c r="E154" s="62">
        <v>3908</v>
      </c>
      <c r="F154" s="62">
        <v>2344</v>
      </c>
      <c r="G154" s="35">
        <v>1059</v>
      </c>
      <c r="H154" s="35">
        <v>3717</v>
      </c>
      <c r="I154" s="35">
        <f t="shared" si="22"/>
        <v>11028</v>
      </c>
      <c r="J154" s="56">
        <v>11028</v>
      </c>
      <c r="K154" s="49">
        <v>1634.05</v>
      </c>
      <c r="L154" s="49">
        <v>1634.05</v>
      </c>
      <c r="M154" s="49">
        <v>1476.1</v>
      </c>
      <c r="N154" s="49">
        <v>1530.7156999999997</v>
      </c>
      <c r="O154" s="56"/>
      <c r="P154" s="1">
        <f t="shared" si="17"/>
        <v>617268.60000000021</v>
      </c>
      <c r="Q154" s="1">
        <f t="shared" si="18"/>
        <v>370234.8000000001</v>
      </c>
      <c r="R154" s="1">
        <f t="shared" si="19"/>
        <v>109431.02370000022</v>
      </c>
      <c r="S154" s="1">
        <f t="shared" si="20"/>
        <v>384093.59310000081</v>
      </c>
      <c r="T154" s="1">
        <f t="shared" si="21"/>
        <v>1481028.0168000015</v>
      </c>
      <c r="U154" s="11"/>
      <c r="V154" s="11"/>
      <c r="W154" s="11"/>
      <c r="X154" s="12"/>
      <c r="Y154" s="12"/>
      <c r="Z154" s="12"/>
      <c r="AA154" s="12"/>
      <c r="AB154" s="12"/>
      <c r="AC154" s="12"/>
      <c r="AD154" s="12"/>
      <c r="AE154" s="12"/>
      <c r="AF154" s="12"/>
      <c r="AG154" s="12"/>
      <c r="AH154" s="12"/>
      <c r="AI154" s="12"/>
      <c r="AJ154" s="12"/>
      <c r="AK154" s="12"/>
      <c r="AL154" s="12"/>
      <c r="AM154" s="12"/>
      <c r="AN154" s="12"/>
      <c r="AO154" s="12"/>
      <c r="AP154" s="12"/>
      <c r="AQ154" s="12"/>
      <c r="AR154" s="12"/>
      <c r="AS154" s="12"/>
      <c r="AT154" s="12"/>
      <c r="AU154" s="12"/>
      <c r="AV154" s="12"/>
      <c r="AW154" s="12"/>
      <c r="AX154" s="12"/>
      <c r="AY154" s="12"/>
      <c r="AZ154" s="12"/>
      <c r="BA154" s="12"/>
      <c r="BB154" s="12"/>
      <c r="BC154" s="12"/>
      <c r="BD154" s="12"/>
      <c r="BE154" s="12"/>
      <c r="BF154" s="12"/>
      <c r="BG154" s="12"/>
      <c r="BH154" s="12"/>
      <c r="BI154" s="12"/>
      <c r="BJ154" s="12"/>
      <c r="BK154" s="12"/>
      <c r="BL154" s="12"/>
      <c r="BM154" s="12"/>
      <c r="BN154" s="12"/>
      <c r="BO154" s="12"/>
      <c r="BP154" s="12"/>
      <c r="BQ154" s="12"/>
      <c r="BR154" s="12"/>
      <c r="BS154" s="12"/>
      <c r="BT154" s="12"/>
      <c r="BU154" s="12"/>
      <c r="BV154" s="12"/>
      <c r="BW154" s="12"/>
      <c r="BX154" s="12"/>
      <c r="BY154" s="12"/>
      <c r="BZ154" s="12"/>
      <c r="CA154" s="12"/>
      <c r="CB154" s="12"/>
      <c r="CC154" s="12"/>
      <c r="CD154" s="12"/>
      <c r="CE154" s="12"/>
      <c r="CF154" s="12"/>
      <c r="CG154" s="12"/>
      <c r="CH154" s="12"/>
      <c r="CI154" s="12"/>
      <c r="CJ154" s="12"/>
      <c r="CK154" s="12"/>
      <c r="CL154" s="12"/>
      <c r="CM154" s="12"/>
      <c r="CN154" s="12"/>
      <c r="CO154" s="12"/>
      <c r="CP154" s="12"/>
      <c r="CQ154" s="12"/>
      <c r="CR154" s="12"/>
      <c r="CS154" s="12"/>
      <c r="CT154" s="12"/>
      <c r="CU154" s="12"/>
      <c r="CV154" s="12"/>
      <c r="CW154" s="12"/>
      <c r="CX154" s="12"/>
      <c r="CY154" s="12"/>
      <c r="CZ154" s="12"/>
      <c r="DA154" s="12"/>
      <c r="DB154" s="12"/>
      <c r="DC154" s="12"/>
      <c r="DD154" s="12"/>
      <c r="DE154" s="12"/>
      <c r="DF154" s="12"/>
      <c r="DG154" s="12"/>
      <c r="DH154" s="12"/>
      <c r="DI154" s="12"/>
      <c r="DJ154" s="12"/>
      <c r="DK154" s="12"/>
      <c r="DL154" s="12"/>
      <c r="DM154" s="12"/>
      <c r="DN154" s="12"/>
      <c r="DO154" s="12"/>
      <c r="DP154" s="12"/>
      <c r="DQ154" s="12"/>
      <c r="DR154" s="12"/>
      <c r="DS154" s="12"/>
      <c r="DT154" s="12"/>
      <c r="DU154" s="12"/>
      <c r="DV154" s="12"/>
      <c r="DW154" s="12"/>
      <c r="DX154" s="12"/>
      <c r="DY154" s="12"/>
      <c r="DZ154" s="12"/>
      <c r="EA154" s="12"/>
      <c r="EB154" s="12"/>
      <c r="EC154" s="12"/>
      <c r="ED154" s="12"/>
      <c r="EE154" s="12"/>
      <c r="EF154" s="12"/>
      <c r="EG154" s="12"/>
      <c r="EH154" s="12"/>
      <c r="EI154" s="12"/>
      <c r="EJ154" s="12"/>
      <c r="EK154" s="12"/>
      <c r="EL154" s="12"/>
      <c r="EM154" s="12"/>
      <c r="EN154" s="12"/>
      <c r="EO154" s="12"/>
      <c r="EP154" s="12"/>
      <c r="EQ154" s="12"/>
      <c r="ER154" s="12"/>
      <c r="ES154" s="12"/>
      <c r="ET154" s="12"/>
      <c r="EU154" s="12"/>
      <c r="EV154" s="12"/>
      <c r="EW154" s="12"/>
      <c r="EX154" s="12"/>
      <c r="EY154" s="12"/>
      <c r="EZ154" s="12"/>
      <c r="FA154" s="12"/>
      <c r="FB154" s="12"/>
      <c r="FC154" s="12"/>
      <c r="FD154" s="12"/>
      <c r="FE154" s="12"/>
      <c r="FF154" s="12"/>
      <c r="FG154" s="12"/>
      <c r="FH154" s="12"/>
      <c r="FI154" s="12"/>
      <c r="FJ154" s="12"/>
      <c r="FK154" s="12"/>
      <c r="FL154" s="12"/>
      <c r="FM154" s="12"/>
      <c r="FN154" s="12"/>
      <c r="FO154" s="12"/>
      <c r="FP154" s="12"/>
      <c r="FQ154" s="12"/>
      <c r="FR154" s="12"/>
      <c r="FS154" s="12"/>
      <c r="FT154" s="12"/>
      <c r="FU154" s="12"/>
      <c r="FV154" s="12"/>
      <c r="FW154" s="12"/>
      <c r="FX154" s="12"/>
      <c r="FY154" s="12"/>
      <c r="FZ154" s="12"/>
      <c r="GA154" s="12"/>
      <c r="GB154" s="12"/>
      <c r="GC154" s="12"/>
      <c r="GD154" s="12"/>
      <c r="GE154" s="12"/>
    </row>
    <row r="155" spans="1:187" ht="21" customHeight="1">
      <c r="A155" s="45"/>
      <c r="B155" s="101" t="s">
        <v>179</v>
      </c>
      <c r="C155" s="101"/>
      <c r="D155" s="101"/>
      <c r="E155" s="34"/>
      <c r="F155" s="34"/>
      <c r="G155" s="34"/>
      <c r="H155" s="34"/>
      <c r="I155" s="35">
        <f t="shared" si="22"/>
        <v>0</v>
      </c>
      <c r="J155" s="11"/>
      <c r="K155" s="64"/>
      <c r="L155" s="64"/>
      <c r="M155" s="64"/>
      <c r="N155" s="64"/>
      <c r="O155" s="56">
        <f t="shared" si="23"/>
        <v>0</v>
      </c>
      <c r="P155" s="1">
        <f t="shared" si="17"/>
        <v>0</v>
      </c>
      <c r="Q155" s="1">
        <f t="shared" si="18"/>
        <v>0</v>
      </c>
      <c r="R155" s="1">
        <f t="shared" si="19"/>
        <v>0</v>
      </c>
      <c r="S155" s="1">
        <f t="shared" si="20"/>
        <v>0</v>
      </c>
      <c r="T155" s="1">
        <f t="shared" si="21"/>
        <v>0</v>
      </c>
      <c r="U155" s="45"/>
      <c r="V155" s="45"/>
      <c r="W155" s="45"/>
    </row>
    <row r="156" spans="1:187" ht="21" customHeight="1">
      <c r="A156" s="45"/>
      <c r="B156" s="86" t="s">
        <v>30</v>
      </c>
      <c r="C156" s="10" t="s">
        <v>180</v>
      </c>
      <c r="D156" s="10"/>
      <c r="E156" s="35">
        <v>119.37</v>
      </c>
      <c r="F156" s="35">
        <f>198.97-E156</f>
        <v>79.599999999999994</v>
      </c>
      <c r="G156" s="35">
        <v>39.79</v>
      </c>
      <c r="H156" s="35">
        <f>159.18-G156</f>
        <v>119.39000000000001</v>
      </c>
      <c r="I156" s="35">
        <f t="shared" si="22"/>
        <v>358.15</v>
      </c>
      <c r="J156" s="56">
        <v>350</v>
      </c>
      <c r="K156" s="49">
        <v>5540.95</v>
      </c>
      <c r="L156" s="49">
        <v>5745.97</v>
      </c>
      <c r="M156" s="49">
        <v>1120.24</v>
      </c>
      <c r="N156" s="49">
        <v>1161.69</v>
      </c>
      <c r="O156" s="56">
        <f t="shared" si="23"/>
        <v>4420.71</v>
      </c>
      <c r="P156" s="1">
        <f t="shared" si="17"/>
        <v>527700.15269999998</v>
      </c>
      <c r="Q156" s="1">
        <f t="shared" si="18"/>
        <v>351888.516</v>
      </c>
      <c r="R156" s="1">
        <f t="shared" si="19"/>
        <v>182408.50120000003</v>
      </c>
      <c r="S156" s="1">
        <f t="shared" si="20"/>
        <v>547317.18920000014</v>
      </c>
      <c r="T156" s="1">
        <f t="shared" si="21"/>
        <v>1609314.3591000002</v>
      </c>
      <c r="U156" s="11"/>
      <c r="V156" s="11"/>
      <c r="W156" s="11"/>
      <c r="X156" s="12"/>
      <c r="Y156" s="12"/>
      <c r="Z156" s="12"/>
      <c r="AA156" s="12"/>
      <c r="AB156" s="12"/>
      <c r="AC156" s="12"/>
      <c r="AD156" s="12"/>
      <c r="AE156" s="12"/>
      <c r="AF156" s="12"/>
      <c r="AG156" s="12"/>
      <c r="AH156" s="12"/>
      <c r="AI156" s="12"/>
      <c r="AJ156" s="12"/>
      <c r="AK156" s="12"/>
      <c r="AL156" s="12"/>
      <c r="AM156" s="12"/>
      <c r="AN156" s="12"/>
      <c r="AO156" s="12"/>
      <c r="AP156" s="12"/>
      <c r="AQ156" s="12"/>
      <c r="AR156" s="12"/>
      <c r="AS156" s="12"/>
      <c r="AT156" s="12"/>
      <c r="AU156" s="12"/>
      <c r="AV156" s="12"/>
      <c r="AW156" s="12"/>
      <c r="AX156" s="12"/>
      <c r="AY156" s="12"/>
      <c r="AZ156" s="12"/>
      <c r="BA156" s="12"/>
      <c r="BB156" s="12"/>
      <c r="BC156" s="12"/>
      <c r="BD156" s="12"/>
      <c r="BE156" s="12"/>
      <c r="BF156" s="12"/>
      <c r="BG156" s="12"/>
      <c r="BH156" s="12"/>
      <c r="BI156" s="12"/>
      <c r="BJ156" s="12"/>
      <c r="BK156" s="12"/>
      <c r="BL156" s="12"/>
      <c r="BM156" s="12"/>
      <c r="BN156" s="12"/>
      <c r="BO156" s="12"/>
      <c r="BP156" s="12"/>
      <c r="BQ156" s="12"/>
      <c r="BR156" s="12"/>
      <c r="BS156" s="12"/>
      <c r="BT156" s="12"/>
      <c r="BU156" s="12"/>
      <c r="BV156" s="12"/>
      <c r="BW156" s="12"/>
      <c r="BX156" s="12"/>
      <c r="BY156" s="12"/>
      <c r="BZ156" s="12"/>
      <c r="CA156" s="12"/>
      <c r="CB156" s="12"/>
      <c r="CC156" s="12"/>
      <c r="CD156" s="12"/>
      <c r="CE156" s="12"/>
      <c r="CF156" s="12"/>
      <c r="CG156" s="12"/>
      <c r="CH156" s="12"/>
      <c r="CI156" s="12"/>
      <c r="CJ156" s="12"/>
      <c r="CK156" s="12"/>
      <c r="CL156" s="12"/>
      <c r="CM156" s="12"/>
      <c r="CN156" s="12"/>
      <c r="CO156" s="12"/>
      <c r="CP156" s="12"/>
      <c r="CQ156" s="12"/>
      <c r="CR156" s="12"/>
      <c r="CS156" s="12"/>
      <c r="CT156" s="12"/>
      <c r="CU156" s="12"/>
      <c r="CV156" s="12"/>
      <c r="CW156" s="12"/>
      <c r="CX156" s="12"/>
      <c r="CY156" s="12"/>
      <c r="CZ156" s="12"/>
      <c r="DA156" s="12"/>
      <c r="DB156" s="12"/>
      <c r="DC156" s="12"/>
      <c r="DD156" s="12"/>
      <c r="DE156" s="12"/>
      <c r="DF156" s="12"/>
      <c r="DG156" s="12"/>
      <c r="DH156" s="12"/>
      <c r="DI156" s="12"/>
      <c r="DJ156" s="12"/>
      <c r="DK156" s="12"/>
      <c r="DL156" s="12"/>
      <c r="DM156" s="12"/>
      <c r="DN156" s="12"/>
      <c r="DO156" s="12"/>
      <c r="DP156" s="12"/>
      <c r="DQ156" s="12"/>
      <c r="DR156" s="12"/>
      <c r="DS156" s="12"/>
      <c r="DT156" s="12"/>
      <c r="DU156" s="12"/>
      <c r="DV156" s="12"/>
      <c r="DW156" s="12"/>
      <c r="DX156" s="12"/>
      <c r="DY156" s="12"/>
      <c r="DZ156" s="12"/>
      <c r="EA156" s="12"/>
      <c r="EB156" s="12"/>
      <c r="EC156" s="12"/>
      <c r="ED156" s="12"/>
      <c r="EE156" s="12"/>
      <c r="EF156" s="12"/>
      <c r="EG156" s="12"/>
      <c r="EH156" s="12"/>
      <c r="EI156" s="12"/>
      <c r="EJ156" s="12"/>
      <c r="EK156" s="12"/>
      <c r="EL156" s="12"/>
      <c r="EM156" s="12"/>
      <c r="EN156" s="12"/>
      <c r="EO156" s="12"/>
      <c r="EP156" s="12"/>
      <c r="EQ156" s="12"/>
      <c r="ER156" s="12"/>
      <c r="ES156" s="12"/>
      <c r="ET156" s="12"/>
      <c r="EU156" s="12"/>
      <c r="EV156" s="12"/>
      <c r="EW156" s="12"/>
      <c r="EX156" s="12"/>
      <c r="EY156" s="12"/>
      <c r="EZ156" s="12"/>
      <c r="FA156" s="12"/>
      <c r="FB156" s="12"/>
      <c r="FC156" s="12"/>
      <c r="FD156" s="12"/>
      <c r="FE156" s="12"/>
      <c r="FF156" s="12"/>
      <c r="FG156" s="12"/>
      <c r="FH156" s="12"/>
      <c r="FI156" s="12"/>
      <c r="FJ156" s="12"/>
      <c r="FK156" s="12"/>
      <c r="FL156" s="12"/>
      <c r="FM156" s="12"/>
      <c r="FN156" s="12"/>
      <c r="FO156" s="12"/>
      <c r="FP156" s="12"/>
      <c r="FQ156" s="12"/>
      <c r="FR156" s="12"/>
      <c r="FS156" s="12"/>
      <c r="FT156" s="12"/>
      <c r="FU156" s="12"/>
      <c r="FV156" s="12"/>
      <c r="FW156" s="12"/>
      <c r="FX156" s="12"/>
      <c r="FY156" s="12"/>
      <c r="FZ156" s="12"/>
      <c r="GA156" s="12"/>
      <c r="GB156" s="12"/>
      <c r="GC156" s="12"/>
      <c r="GD156" s="12"/>
      <c r="GE156" s="12"/>
    </row>
    <row r="157" spans="1:187" ht="21" customHeight="1">
      <c r="A157" s="45" t="s">
        <v>337</v>
      </c>
      <c r="B157" s="86">
        <v>7729314745</v>
      </c>
      <c r="C157" s="10" t="s">
        <v>341</v>
      </c>
      <c r="D157" s="10"/>
      <c r="E157" s="35">
        <f>2610.465*0.6</f>
        <v>1566.279</v>
      </c>
      <c r="F157" s="35">
        <f>2610.465*0.4</f>
        <v>1044.1860000000001</v>
      </c>
      <c r="G157" s="35">
        <f>2135.835*0.2</f>
        <v>427.16700000000003</v>
      </c>
      <c r="H157" s="35">
        <f>2135.835*0.8</f>
        <v>1708.6680000000001</v>
      </c>
      <c r="I157" s="35">
        <f t="shared" si="22"/>
        <v>4746.3</v>
      </c>
      <c r="J157" s="56">
        <v>4746.3</v>
      </c>
      <c r="K157" s="49">
        <v>7208.8</v>
      </c>
      <c r="L157" s="49">
        <v>7497.152</v>
      </c>
      <c r="M157" s="49">
        <v>1218.97</v>
      </c>
      <c r="N157" s="49">
        <v>1264.0718899999999</v>
      </c>
      <c r="O157" s="56">
        <f t="shared" si="23"/>
        <v>5989.83</v>
      </c>
      <c r="P157" s="1">
        <f t="shared" si="17"/>
        <v>9381744.942569999</v>
      </c>
      <c r="Q157" s="1">
        <f t="shared" si="18"/>
        <v>6254496.6283800006</v>
      </c>
      <c r="R157" s="1">
        <f t="shared" si="19"/>
        <v>2662566.1313483701</v>
      </c>
      <c r="S157" s="1">
        <f t="shared" si="20"/>
        <v>10650264.52539348</v>
      </c>
      <c r="T157" s="1">
        <f t="shared" si="21"/>
        <v>28949072.227691852</v>
      </c>
      <c r="U157" s="11"/>
      <c r="V157" s="11"/>
      <c r="W157" s="11"/>
      <c r="X157" s="12"/>
      <c r="Y157" s="12"/>
      <c r="Z157" s="12"/>
      <c r="AA157" s="12"/>
      <c r="AB157" s="12"/>
      <c r="AC157" s="12"/>
      <c r="AD157" s="12"/>
      <c r="AE157" s="12"/>
      <c r="AF157" s="12"/>
      <c r="AG157" s="12"/>
      <c r="AH157" s="12"/>
      <c r="AI157" s="12"/>
      <c r="AJ157" s="12"/>
      <c r="AK157" s="12"/>
      <c r="AL157" s="12"/>
      <c r="AM157" s="12"/>
      <c r="AN157" s="12"/>
      <c r="AO157" s="12"/>
      <c r="AP157" s="12"/>
      <c r="AQ157" s="12"/>
      <c r="AR157" s="12"/>
      <c r="AS157" s="12"/>
      <c r="AT157" s="12"/>
      <c r="AU157" s="12"/>
      <c r="AV157" s="12"/>
      <c r="AW157" s="12"/>
      <c r="AX157" s="12"/>
      <c r="AY157" s="12"/>
      <c r="AZ157" s="12"/>
      <c r="BA157" s="12"/>
      <c r="BB157" s="12"/>
      <c r="BC157" s="12"/>
      <c r="BD157" s="12"/>
      <c r="BE157" s="12"/>
      <c r="BF157" s="12"/>
      <c r="BG157" s="12"/>
      <c r="BH157" s="12"/>
      <c r="BI157" s="12"/>
      <c r="BJ157" s="12"/>
      <c r="BK157" s="12"/>
      <c r="BL157" s="12"/>
      <c r="BM157" s="12"/>
      <c r="BN157" s="12"/>
      <c r="BO157" s="12"/>
      <c r="BP157" s="12"/>
      <c r="BQ157" s="12"/>
      <c r="BR157" s="12"/>
      <c r="BS157" s="12"/>
      <c r="BT157" s="12"/>
      <c r="BU157" s="12"/>
      <c r="BV157" s="12"/>
      <c r="BW157" s="12"/>
      <c r="BX157" s="12"/>
      <c r="BY157" s="12"/>
      <c r="BZ157" s="12"/>
      <c r="CA157" s="12"/>
      <c r="CB157" s="12"/>
      <c r="CC157" s="12"/>
      <c r="CD157" s="12"/>
      <c r="CE157" s="12"/>
      <c r="CF157" s="12"/>
      <c r="CG157" s="12"/>
      <c r="CH157" s="12"/>
      <c r="CI157" s="12"/>
      <c r="CJ157" s="12"/>
      <c r="CK157" s="12"/>
      <c r="CL157" s="12"/>
      <c r="CM157" s="12"/>
      <c r="CN157" s="12"/>
      <c r="CO157" s="12"/>
      <c r="CP157" s="12"/>
      <c r="CQ157" s="12"/>
      <c r="CR157" s="12"/>
      <c r="CS157" s="12"/>
      <c r="CT157" s="12"/>
      <c r="CU157" s="12"/>
      <c r="CV157" s="12"/>
      <c r="CW157" s="12"/>
      <c r="CX157" s="12"/>
      <c r="CY157" s="12"/>
      <c r="CZ157" s="12"/>
      <c r="DA157" s="12"/>
      <c r="DB157" s="12"/>
      <c r="DC157" s="12"/>
      <c r="DD157" s="12"/>
      <c r="DE157" s="12"/>
      <c r="DF157" s="12"/>
      <c r="DG157" s="12"/>
      <c r="DH157" s="12"/>
      <c r="DI157" s="12"/>
      <c r="DJ157" s="12"/>
      <c r="DK157" s="12"/>
      <c r="DL157" s="12"/>
      <c r="DM157" s="12"/>
      <c r="DN157" s="12"/>
      <c r="DO157" s="12"/>
      <c r="DP157" s="12"/>
      <c r="DQ157" s="12"/>
      <c r="DR157" s="12"/>
      <c r="DS157" s="12"/>
      <c r="DT157" s="12"/>
      <c r="DU157" s="12"/>
      <c r="DV157" s="12"/>
      <c r="DW157" s="12"/>
      <c r="DX157" s="12"/>
      <c r="DY157" s="12"/>
      <c r="DZ157" s="12"/>
      <c r="EA157" s="12"/>
      <c r="EB157" s="12"/>
      <c r="EC157" s="12"/>
      <c r="ED157" s="12"/>
      <c r="EE157" s="12"/>
      <c r="EF157" s="12"/>
      <c r="EG157" s="12"/>
      <c r="EH157" s="12"/>
      <c r="EI157" s="12"/>
      <c r="EJ157" s="12"/>
      <c r="EK157" s="12"/>
      <c r="EL157" s="12"/>
      <c r="EM157" s="12"/>
      <c r="EN157" s="12"/>
      <c r="EO157" s="12"/>
      <c r="EP157" s="12"/>
      <c r="EQ157" s="12"/>
      <c r="ER157" s="12"/>
      <c r="ES157" s="12"/>
      <c r="ET157" s="12"/>
      <c r="EU157" s="12"/>
      <c r="EV157" s="12"/>
      <c r="EW157" s="12"/>
      <c r="EX157" s="12"/>
      <c r="EY157" s="12"/>
      <c r="EZ157" s="12"/>
      <c r="FA157" s="12"/>
      <c r="FB157" s="12"/>
      <c r="FC157" s="12"/>
      <c r="FD157" s="12"/>
      <c r="FE157" s="12"/>
      <c r="FF157" s="12"/>
      <c r="FG157" s="12"/>
      <c r="FH157" s="12"/>
      <c r="FI157" s="12"/>
      <c r="FJ157" s="12"/>
      <c r="FK157" s="12"/>
      <c r="FL157" s="12"/>
      <c r="FM157" s="12"/>
      <c r="FN157" s="12"/>
      <c r="FO157" s="12"/>
      <c r="FP157" s="12"/>
      <c r="FQ157" s="12"/>
      <c r="FR157" s="12"/>
      <c r="FS157" s="12"/>
      <c r="FT157" s="12"/>
      <c r="FU157" s="12"/>
      <c r="FV157" s="12"/>
      <c r="FW157" s="12"/>
      <c r="FX157" s="12"/>
      <c r="FY157" s="12"/>
      <c r="FZ157" s="12"/>
      <c r="GA157" s="12"/>
      <c r="GB157" s="12"/>
      <c r="GC157" s="12"/>
      <c r="GD157" s="12"/>
      <c r="GE157" s="12"/>
    </row>
    <row r="158" spans="1:187" ht="21" customHeight="1">
      <c r="A158" s="45"/>
      <c r="B158" s="86" t="s">
        <v>379</v>
      </c>
      <c r="C158" s="10" t="s">
        <v>378</v>
      </c>
      <c r="D158" s="10" t="s">
        <v>46</v>
      </c>
      <c r="E158" s="35">
        <v>155.042</v>
      </c>
      <c r="F158" s="35">
        <f>258.404-E158</f>
        <v>103.36199999999999</v>
      </c>
      <c r="G158" s="35">
        <v>52.86</v>
      </c>
      <c r="H158" s="35">
        <f>115.693+287.98</f>
        <v>403.673</v>
      </c>
      <c r="I158" s="35">
        <f t="shared" si="22"/>
        <v>714.93700000000001</v>
      </c>
      <c r="J158" s="56">
        <v>465.1</v>
      </c>
      <c r="K158" s="49">
        <v>8280.85</v>
      </c>
      <c r="L158" s="49">
        <v>8612.08</v>
      </c>
      <c r="M158" s="49">
        <v>948.88</v>
      </c>
      <c r="N158" s="49">
        <v>983.99</v>
      </c>
      <c r="O158" s="56">
        <f t="shared" si="23"/>
        <v>7331.97</v>
      </c>
      <c r="P158" s="1">
        <f t="shared" si="17"/>
        <v>1136763.2927399999</v>
      </c>
      <c r="Q158" s="1">
        <f t="shared" si="18"/>
        <v>757847.08314</v>
      </c>
      <c r="R158" s="1">
        <f t="shared" si="19"/>
        <v>403220.83740000002</v>
      </c>
      <c r="S158" s="1">
        <f t="shared" si="20"/>
        <v>3079253.9745700001</v>
      </c>
      <c r="T158" s="1">
        <f t="shared" si="21"/>
        <v>5377085.1878500003</v>
      </c>
      <c r="U158" s="11"/>
      <c r="V158" s="11"/>
      <c r="W158" s="11"/>
      <c r="X158" s="12"/>
      <c r="Y158" s="12"/>
      <c r="Z158" s="12"/>
      <c r="AA158" s="12"/>
      <c r="AB158" s="12"/>
      <c r="AC158" s="12"/>
      <c r="AD158" s="12"/>
      <c r="AE158" s="12"/>
      <c r="AF158" s="12"/>
      <c r="AG158" s="12"/>
      <c r="AH158" s="12"/>
      <c r="AI158" s="12"/>
      <c r="AJ158" s="12"/>
      <c r="AK158" s="12"/>
      <c r="AL158" s="12"/>
      <c r="AM158" s="12"/>
      <c r="AN158" s="12"/>
      <c r="AO158" s="12"/>
      <c r="AP158" s="12"/>
      <c r="AQ158" s="12"/>
      <c r="AR158" s="12"/>
      <c r="AS158" s="12"/>
      <c r="AT158" s="12"/>
      <c r="AU158" s="12"/>
      <c r="AV158" s="12"/>
      <c r="AW158" s="12"/>
      <c r="AX158" s="12"/>
      <c r="AY158" s="12"/>
      <c r="AZ158" s="12"/>
      <c r="BA158" s="12"/>
      <c r="BB158" s="12"/>
      <c r="BC158" s="12"/>
      <c r="BD158" s="12"/>
      <c r="BE158" s="12"/>
      <c r="BF158" s="12"/>
      <c r="BG158" s="12"/>
      <c r="BH158" s="12"/>
      <c r="BI158" s="12"/>
      <c r="BJ158" s="12"/>
      <c r="BK158" s="12"/>
      <c r="BL158" s="12"/>
      <c r="BM158" s="12"/>
      <c r="BN158" s="12"/>
      <c r="BO158" s="12"/>
      <c r="BP158" s="12"/>
      <c r="BQ158" s="12"/>
      <c r="BR158" s="12"/>
      <c r="BS158" s="12"/>
      <c r="BT158" s="12"/>
      <c r="BU158" s="12"/>
      <c r="BV158" s="12"/>
      <c r="BW158" s="12"/>
      <c r="BX158" s="12"/>
      <c r="BY158" s="12"/>
      <c r="BZ158" s="12"/>
      <c r="CA158" s="12"/>
      <c r="CB158" s="12"/>
      <c r="CC158" s="12"/>
      <c r="CD158" s="12"/>
      <c r="CE158" s="12"/>
      <c r="CF158" s="12"/>
      <c r="CG158" s="12"/>
      <c r="CH158" s="12"/>
      <c r="CI158" s="12"/>
      <c r="CJ158" s="12"/>
      <c r="CK158" s="12"/>
      <c r="CL158" s="12"/>
      <c r="CM158" s="12"/>
      <c r="CN158" s="12"/>
      <c r="CO158" s="12"/>
      <c r="CP158" s="12"/>
      <c r="CQ158" s="12"/>
      <c r="CR158" s="12"/>
      <c r="CS158" s="12"/>
      <c r="CT158" s="12"/>
      <c r="CU158" s="12"/>
      <c r="CV158" s="12"/>
      <c r="CW158" s="12"/>
      <c r="CX158" s="12"/>
      <c r="CY158" s="12"/>
      <c r="CZ158" s="12"/>
      <c r="DA158" s="12"/>
      <c r="DB158" s="12"/>
      <c r="DC158" s="12"/>
      <c r="DD158" s="12"/>
      <c r="DE158" s="12"/>
      <c r="DF158" s="12"/>
      <c r="DG158" s="12"/>
      <c r="DH158" s="12"/>
      <c r="DI158" s="12"/>
      <c r="DJ158" s="12"/>
      <c r="DK158" s="12"/>
      <c r="DL158" s="12"/>
      <c r="DM158" s="12"/>
      <c r="DN158" s="12"/>
      <c r="DO158" s="12"/>
      <c r="DP158" s="12"/>
      <c r="DQ158" s="12"/>
      <c r="DR158" s="12"/>
      <c r="DS158" s="12"/>
      <c r="DT158" s="12"/>
      <c r="DU158" s="12"/>
      <c r="DV158" s="12"/>
      <c r="DW158" s="12"/>
      <c r="DX158" s="12"/>
      <c r="DY158" s="12"/>
      <c r="DZ158" s="12"/>
      <c r="EA158" s="12"/>
      <c r="EB158" s="12"/>
      <c r="EC158" s="12"/>
      <c r="ED158" s="12"/>
      <c r="EE158" s="12"/>
      <c r="EF158" s="12"/>
      <c r="EG158" s="12"/>
      <c r="EH158" s="12"/>
      <c r="EI158" s="12"/>
      <c r="EJ158" s="12"/>
      <c r="EK158" s="12"/>
      <c r="EL158" s="12"/>
      <c r="EM158" s="12"/>
      <c r="EN158" s="12"/>
      <c r="EO158" s="12"/>
      <c r="EP158" s="12"/>
      <c r="EQ158" s="12"/>
      <c r="ER158" s="12"/>
      <c r="ES158" s="12"/>
      <c r="ET158" s="12"/>
      <c r="EU158" s="12"/>
      <c r="EV158" s="12"/>
      <c r="EW158" s="12"/>
      <c r="EX158" s="12"/>
      <c r="EY158" s="12"/>
      <c r="EZ158" s="12"/>
      <c r="FA158" s="12"/>
      <c r="FB158" s="12"/>
      <c r="FC158" s="12"/>
      <c r="FD158" s="12"/>
      <c r="FE158" s="12"/>
      <c r="FF158" s="12"/>
      <c r="FG158" s="12"/>
      <c r="FH158" s="12"/>
      <c r="FI158" s="12"/>
      <c r="FJ158" s="12"/>
      <c r="FK158" s="12"/>
      <c r="FL158" s="12"/>
      <c r="FM158" s="12"/>
      <c r="FN158" s="12"/>
      <c r="FO158" s="12"/>
      <c r="FP158" s="12"/>
      <c r="FQ158" s="12"/>
      <c r="FR158" s="12"/>
      <c r="FS158" s="12"/>
      <c r="FT158" s="12"/>
      <c r="FU158" s="12"/>
      <c r="FV158" s="12"/>
      <c r="FW158" s="12"/>
      <c r="FX158" s="12"/>
      <c r="FY158" s="12"/>
      <c r="FZ158" s="12"/>
      <c r="GA158" s="12"/>
      <c r="GB158" s="12"/>
      <c r="GC158" s="12"/>
      <c r="GD158" s="12"/>
      <c r="GE158" s="12"/>
    </row>
    <row r="159" spans="1:187" ht="21" customHeight="1">
      <c r="A159" s="45"/>
      <c r="B159" s="86" t="s">
        <v>379</v>
      </c>
      <c r="C159" s="10" t="s">
        <v>378</v>
      </c>
      <c r="D159" s="10" t="s">
        <v>181</v>
      </c>
      <c r="E159" s="35">
        <v>183.56200000000001</v>
      </c>
      <c r="F159" s="35">
        <f>305.936-E159</f>
        <v>122.37399999999997</v>
      </c>
      <c r="G159" s="35">
        <v>68.257000000000005</v>
      </c>
      <c r="H159" s="35">
        <f>91.379+305.89</f>
        <v>397.26900000000001</v>
      </c>
      <c r="I159" s="35">
        <f t="shared" si="22"/>
        <v>771.46199999999999</v>
      </c>
      <c r="J159" s="56">
        <v>550.70000000000005</v>
      </c>
      <c r="K159" s="49">
        <v>5961.03</v>
      </c>
      <c r="L159" s="49">
        <v>6181.59</v>
      </c>
      <c r="M159" s="49">
        <v>948.88</v>
      </c>
      <c r="N159" s="49">
        <v>983.99</v>
      </c>
      <c r="O159" s="56">
        <f t="shared" si="23"/>
        <v>5012.1499999999996</v>
      </c>
      <c r="P159" s="1">
        <f t="shared" si="17"/>
        <v>920040.27830000001</v>
      </c>
      <c r="Q159" s="1">
        <f t="shared" si="18"/>
        <v>613356.84409999975</v>
      </c>
      <c r="R159" s="1">
        <f t="shared" si="19"/>
        <v>354772.58320000005</v>
      </c>
      <c r="S159" s="1">
        <f t="shared" si="20"/>
        <v>2064845.3544000001</v>
      </c>
      <c r="T159" s="1">
        <f t="shared" si="21"/>
        <v>3953015.0599999996</v>
      </c>
      <c r="U159" s="11"/>
      <c r="V159" s="11"/>
      <c r="W159" s="11"/>
      <c r="X159" s="12"/>
      <c r="Y159" s="12"/>
      <c r="Z159" s="12"/>
      <c r="AA159" s="12"/>
      <c r="AB159" s="12"/>
      <c r="AC159" s="12"/>
      <c r="AD159" s="12"/>
      <c r="AE159" s="12"/>
      <c r="AF159" s="12"/>
      <c r="AG159" s="12"/>
      <c r="AH159" s="12"/>
      <c r="AI159" s="12"/>
      <c r="AJ159" s="12"/>
      <c r="AK159" s="12"/>
      <c r="AL159" s="12"/>
      <c r="AM159" s="12"/>
      <c r="AN159" s="12"/>
      <c r="AO159" s="12"/>
      <c r="AP159" s="12"/>
      <c r="AQ159" s="12"/>
      <c r="AR159" s="12"/>
      <c r="AS159" s="12"/>
      <c r="AT159" s="12"/>
      <c r="AU159" s="12"/>
      <c r="AV159" s="12"/>
      <c r="AW159" s="12"/>
      <c r="AX159" s="12"/>
      <c r="AY159" s="12"/>
      <c r="AZ159" s="12"/>
      <c r="BA159" s="12"/>
      <c r="BB159" s="12"/>
      <c r="BC159" s="12"/>
      <c r="BD159" s="12"/>
      <c r="BE159" s="12"/>
      <c r="BF159" s="12"/>
      <c r="BG159" s="12"/>
      <c r="BH159" s="12"/>
      <c r="BI159" s="12"/>
      <c r="BJ159" s="12"/>
      <c r="BK159" s="12"/>
      <c r="BL159" s="12"/>
      <c r="BM159" s="12"/>
      <c r="BN159" s="12"/>
      <c r="BO159" s="12"/>
      <c r="BP159" s="12"/>
      <c r="BQ159" s="12"/>
      <c r="BR159" s="12"/>
      <c r="BS159" s="12"/>
      <c r="BT159" s="12"/>
      <c r="BU159" s="12"/>
      <c r="BV159" s="12"/>
      <c r="BW159" s="12"/>
      <c r="BX159" s="12"/>
      <c r="BY159" s="12"/>
      <c r="BZ159" s="12"/>
      <c r="CA159" s="12"/>
      <c r="CB159" s="12"/>
      <c r="CC159" s="12"/>
      <c r="CD159" s="12"/>
      <c r="CE159" s="12"/>
      <c r="CF159" s="12"/>
      <c r="CG159" s="12"/>
      <c r="CH159" s="12"/>
      <c r="CI159" s="12"/>
      <c r="CJ159" s="12"/>
      <c r="CK159" s="12"/>
      <c r="CL159" s="12"/>
      <c r="CM159" s="12"/>
      <c r="CN159" s="12"/>
      <c r="CO159" s="12"/>
      <c r="CP159" s="12"/>
      <c r="CQ159" s="12"/>
      <c r="CR159" s="12"/>
      <c r="CS159" s="12"/>
      <c r="CT159" s="12"/>
      <c r="CU159" s="12"/>
      <c r="CV159" s="12"/>
      <c r="CW159" s="12"/>
      <c r="CX159" s="12"/>
      <c r="CY159" s="12"/>
      <c r="CZ159" s="12"/>
      <c r="DA159" s="12"/>
      <c r="DB159" s="12"/>
      <c r="DC159" s="12"/>
      <c r="DD159" s="12"/>
      <c r="DE159" s="12"/>
      <c r="DF159" s="12"/>
      <c r="DG159" s="12"/>
      <c r="DH159" s="12"/>
      <c r="DI159" s="12"/>
      <c r="DJ159" s="12"/>
      <c r="DK159" s="12"/>
      <c r="DL159" s="12"/>
      <c r="DM159" s="12"/>
      <c r="DN159" s="12"/>
      <c r="DO159" s="12"/>
      <c r="DP159" s="12"/>
      <c r="DQ159" s="12"/>
      <c r="DR159" s="12"/>
      <c r="DS159" s="12"/>
      <c r="DT159" s="12"/>
      <c r="DU159" s="12"/>
      <c r="DV159" s="12"/>
      <c r="DW159" s="12"/>
      <c r="DX159" s="12"/>
      <c r="DY159" s="12"/>
      <c r="DZ159" s="12"/>
      <c r="EA159" s="12"/>
      <c r="EB159" s="12"/>
      <c r="EC159" s="12"/>
      <c r="ED159" s="12"/>
      <c r="EE159" s="12"/>
      <c r="EF159" s="12"/>
      <c r="EG159" s="12"/>
      <c r="EH159" s="12"/>
      <c r="EI159" s="12"/>
      <c r="EJ159" s="12"/>
      <c r="EK159" s="12"/>
      <c r="EL159" s="12"/>
      <c r="EM159" s="12"/>
      <c r="EN159" s="12"/>
      <c r="EO159" s="12"/>
      <c r="EP159" s="12"/>
      <c r="EQ159" s="12"/>
      <c r="ER159" s="12"/>
      <c r="ES159" s="12"/>
      <c r="ET159" s="12"/>
      <c r="EU159" s="12"/>
      <c r="EV159" s="12"/>
      <c r="EW159" s="12"/>
      <c r="EX159" s="12"/>
      <c r="EY159" s="12"/>
      <c r="EZ159" s="12"/>
      <c r="FA159" s="12"/>
      <c r="FB159" s="12"/>
      <c r="FC159" s="12"/>
      <c r="FD159" s="12"/>
      <c r="FE159" s="12"/>
      <c r="FF159" s="12"/>
      <c r="FG159" s="12"/>
      <c r="FH159" s="12"/>
      <c r="FI159" s="12"/>
      <c r="FJ159" s="12"/>
      <c r="FK159" s="12"/>
      <c r="FL159" s="12"/>
      <c r="FM159" s="12"/>
      <c r="FN159" s="12"/>
      <c r="FO159" s="12"/>
      <c r="FP159" s="12"/>
      <c r="FQ159" s="12"/>
      <c r="FR159" s="12"/>
      <c r="FS159" s="12"/>
      <c r="FT159" s="12"/>
      <c r="FU159" s="12"/>
      <c r="FV159" s="12"/>
      <c r="FW159" s="12"/>
      <c r="FX159" s="12"/>
      <c r="FY159" s="12"/>
      <c r="FZ159" s="12"/>
      <c r="GA159" s="12"/>
      <c r="GB159" s="12"/>
      <c r="GC159" s="12"/>
      <c r="GD159" s="12"/>
      <c r="GE159" s="12"/>
    </row>
    <row r="160" spans="1:187" ht="21" customHeight="1">
      <c r="A160" s="45"/>
      <c r="B160" s="90">
        <v>7606053324</v>
      </c>
      <c r="C160" s="18" t="s">
        <v>411</v>
      </c>
      <c r="D160" s="10"/>
      <c r="E160" s="35">
        <v>445000</v>
      </c>
      <c r="F160" s="35">
        <v>213940</v>
      </c>
      <c r="G160" s="35">
        <v>85060</v>
      </c>
      <c r="H160" s="35">
        <v>372000</v>
      </c>
      <c r="I160" s="35">
        <f t="shared" si="22"/>
        <v>1116000</v>
      </c>
      <c r="J160" s="56">
        <v>1116000</v>
      </c>
      <c r="K160" s="49">
        <v>1100.77</v>
      </c>
      <c r="L160" s="49">
        <v>1310.22</v>
      </c>
      <c r="M160" s="49">
        <v>1100.77</v>
      </c>
      <c r="N160" s="49">
        <v>1141.4984899999999</v>
      </c>
      <c r="O160" s="56"/>
      <c r="P160" s="1">
        <f t="shared" si="17"/>
        <v>0</v>
      </c>
      <c r="Q160" s="1">
        <f t="shared" si="18"/>
        <v>0</v>
      </c>
      <c r="R160" s="1">
        <f t="shared" si="19"/>
        <v>14351451.640600007</v>
      </c>
      <c r="S160" s="1">
        <f t="shared" si="20"/>
        <v>62764401.720000029</v>
      </c>
      <c r="T160" s="1">
        <f t="shared" si="21"/>
        <v>77115853.360600039</v>
      </c>
      <c r="U160" s="11"/>
      <c r="V160" s="11"/>
      <c r="W160" s="11"/>
      <c r="X160" s="12"/>
      <c r="Y160" s="12"/>
      <c r="Z160" s="12"/>
      <c r="AA160" s="12"/>
      <c r="AB160" s="12"/>
      <c r="AC160" s="12"/>
      <c r="AD160" s="12"/>
      <c r="AE160" s="12"/>
      <c r="AF160" s="12"/>
      <c r="AG160" s="12"/>
      <c r="AH160" s="12"/>
      <c r="AI160" s="12"/>
      <c r="AJ160" s="12"/>
      <c r="AK160" s="12"/>
      <c r="AL160" s="12"/>
      <c r="AM160" s="12"/>
      <c r="AN160" s="12"/>
      <c r="AO160" s="12"/>
      <c r="AP160" s="12"/>
      <c r="AQ160" s="12"/>
      <c r="AR160" s="12"/>
      <c r="AS160" s="12"/>
      <c r="AT160" s="12"/>
      <c r="AU160" s="12"/>
      <c r="AV160" s="12"/>
      <c r="AW160" s="12"/>
      <c r="AX160" s="12"/>
      <c r="AY160" s="12"/>
      <c r="AZ160" s="12"/>
      <c r="BA160" s="12"/>
      <c r="BB160" s="12"/>
      <c r="BC160" s="12"/>
      <c r="BD160" s="12"/>
      <c r="BE160" s="12"/>
      <c r="BF160" s="12"/>
      <c r="BG160" s="12"/>
      <c r="BH160" s="12"/>
      <c r="BI160" s="12"/>
      <c r="BJ160" s="12"/>
      <c r="BK160" s="12"/>
      <c r="BL160" s="12"/>
      <c r="BM160" s="12"/>
      <c r="BN160" s="12"/>
      <c r="BO160" s="12"/>
      <c r="BP160" s="12"/>
      <c r="BQ160" s="12"/>
      <c r="BR160" s="12"/>
      <c r="BS160" s="12"/>
      <c r="BT160" s="12"/>
      <c r="BU160" s="12"/>
      <c r="BV160" s="12"/>
      <c r="BW160" s="12"/>
      <c r="BX160" s="12"/>
      <c r="BY160" s="12"/>
      <c r="BZ160" s="12"/>
      <c r="CA160" s="12"/>
      <c r="CB160" s="12"/>
      <c r="CC160" s="12"/>
      <c r="CD160" s="12"/>
      <c r="CE160" s="12"/>
      <c r="CF160" s="12"/>
      <c r="CG160" s="12"/>
      <c r="CH160" s="12"/>
      <c r="CI160" s="12"/>
      <c r="CJ160" s="12"/>
      <c r="CK160" s="12"/>
      <c r="CL160" s="12"/>
      <c r="CM160" s="12"/>
      <c r="CN160" s="12"/>
      <c r="CO160" s="12"/>
      <c r="CP160" s="12"/>
      <c r="CQ160" s="12"/>
      <c r="CR160" s="12"/>
      <c r="CS160" s="12"/>
      <c r="CT160" s="12"/>
      <c r="CU160" s="12"/>
      <c r="CV160" s="12"/>
      <c r="CW160" s="12"/>
      <c r="CX160" s="12"/>
      <c r="CY160" s="12"/>
      <c r="CZ160" s="12"/>
      <c r="DA160" s="12"/>
      <c r="DB160" s="12"/>
      <c r="DC160" s="12"/>
      <c r="DD160" s="12"/>
      <c r="DE160" s="12"/>
      <c r="DF160" s="12"/>
      <c r="DG160" s="12"/>
      <c r="DH160" s="12"/>
      <c r="DI160" s="12"/>
      <c r="DJ160" s="12"/>
      <c r="DK160" s="12"/>
      <c r="DL160" s="12"/>
      <c r="DM160" s="12"/>
      <c r="DN160" s="12"/>
      <c r="DO160" s="12"/>
      <c r="DP160" s="12"/>
      <c r="DQ160" s="12"/>
      <c r="DR160" s="12"/>
      <c r="DS160" s="12"/>
      <c r="DT160" s="12"/>
      <c r="DU160" s="12"/>
      <c r="DV160" s="12"/>
      <c r="DW160" s="12"/>
      <c r="DX160" s="12"/>
      <c r="DY160" s="12"/>
      <c r="DZ160" s="12"/>
      <c r="EA160" s="12"/>
      <c r="EB160" s="12"/>
      <c r="EC160" s="12"/>
      <c r="ED160" s="12"/>
      <c r="EE160" s="12"/>
      <c r="EF160" s="12"/>
      <c r="EG160" s="12"/>
      <c r="EH160" s="12"/>
      <c r="EI160" s="12"/>
      <c r="EJ160" s="12"/>
      <c r="EK160" s="12"/>
      <c r="EL160" s="12"/>
      <c r="EM160" s="12"/>
      <c r="EN160" s="12"/>
      <c r="EO160" s="12"/>
      <c r="EP160" s="12"/>
      <c r="EQ160" s="12"/>
      <c r="ER160" s="12"/>
      <c r="ES160" s="12"/>
      <c r="ET160" s="12"/>
      <c r="EU160" s="12"/>
      <c r="EV160" s="12"/>
      <c r="EW160" s="12"/>
      <c r="EX160" s="12"/>
      <c r="EY160" s="12"/>
      <c r="EZ160" s="12"/>
      <c r="FA160" s="12"/>
      <c r="FB160" s="12"/>
      <c r="FC160" s="12"/>
      <c r="FD160" s="12"/>
      <c r="FE160" s="12"/>
      <c r="FF160" s="12"/>
      <c r="FG160" s="12"/>
      <c r="FH160" s="12"/>
      <c r="FI160" s="12"/>
      <c r="FJ160" s="12"/>
      <c r="FK160" s="12"/>
      <c r="FL160" s="12"/>
      <c r="FM160" s="12"/>
      <c r="FN160" s="12"/>
      <c r="FO160" s="12"/>
      <c r="FP160" s="12"/>
      <c r="FQ160" s="12"/>
      <c r="FR160" s="12"/>
      <c r="FS160" s="12"/>
      <c r="FT160" s="12"/>
      <c r="FU160" s="12"/>
      <c r="FV160" s="12"/>
      <c r="FW160" s="12"/>
      <c r="FX160" s="12"/>
      <c r="FY160" s="12"/>
      <c r="FZ160" s="12"/>
      <c r="GA160" s="12"/>
      <c r="GB160" s="12"/>
      <c r="GC160" s="12"/>
      <c r="GD160" s="12"/>
      <c r="GE160" s="12"/>
    </row>
    <row r="161" spans="1:187" ht="21" customHeight="1">
      <c r="A161" s="45"/>
      <c r="B161" s="101" t="s">
        <v>182</v>
      </c>
      <c r="C161" s="101"/>
      <c r="D161" s="101"/>
      <c r="E161" s="34"/>
      <c r="F161" s="34"/>
      <c r="G161" s="34"/>
      <c r="H161" s="34"/>
      <c r="I161" s="35">
        <f t="shared" si="22"/>
        <v>0</v>
      </c>
      <c r="J161" s="11"/>
      <c r="K161" s="64"/>
      <c r="L161" s="64"/>
      <c r="M161" s="64"/>
      <c r="N161" s="64"/>
      <c r="O161" s="56">
        <f t="shared" si="23"/>
        <v>0</v>
      </c>
      <c r="P161" s="1">
        <f t="shared" si="17"/>
        <v>0</v>
      </c>
      <c r="Q161" s="1">
        <f t="shared" si="18"/>
        <v>0</v>
      </c>
      <c r="R161" s="1">
        <f t="shared" si="19"/>
        <v>0</v>
      </c>
      <c r="S161" s="1">
        <f t="shared" si="20"/>
        <v>0</v>
      </c>
      <c r="T161" s="1">
        <f t="shared" si="21"/>
        <v>0</v>
      </c>
      <c r="U161" s="45"/>
      <c r="V161" s="45"/>
      <c r="W161" s="45"/>
    </row>
    <row r="162" spans="1:187" ht="21" customHeight="1">
      <c r="A162" s="45"/>
      <c r="B162" s="86" t="s">
        <v>406</v>
      </c>
      <c r="C162" s="10" t="s">
        <v>405</v>
      </c>
      <c r="D162" s="10" t="s">
        <v>183</v>
      </c>
      <c r="E162" s="42">
        <v>17384.465</v>
      </c>
      <c r="F162" s="35">
        <f>25600.941-E162</f>
        <v>8216.4759999999987</v>
      </c>
      <c r="G162" s="35">
        <v>2570.6990000000001</v>
      </c>
      <c r="H162" s="35">
        <f>17197.021-G162</f>
        <v>14626.322</v>
      </c>
      <c r="I162" s="35">
        <f t="shared" si="22"/>
        <v>42797.962</v>
      </c>
      <c r="J162" s="56">
        <v>43848</v>
      </c>
      <c r="K162" s="49">
        <v>3911.19</v>
      </c>
      <c r="L162" s="49">
        <v>4067.6376</v>
      </c>
      <c r="M162" s="49">
        <v>1485.53</v>
      </c>
      <c r="N162" s="49">
        <v>1540.49461</v>
      </c>
      <c r="O162" s="56">
        <f t="shared" si="23"/>
        <v>2425.66</v>
      </c>
      <c r="P162" s="1">
        <f t="shared" si="17"/>
        <v>42168801.3719</v>
      </c>
      <c r="Q162" s="1">
        <f t="shared" si="18"/>
        <v>19930377.174159996</v>
      </c>
      <c r="R162" s="1">
        <f t="shared" si="19"/>
        <v>6496523.9572500112</v>
      </c>
      <c r="S162" s="1">
        <f t="shared" si="20"/>
        <v>36962807.111782782</v>
      </c>
      <c r="T162" s="1">
        <f t="shared" si="21"/>
        <v>105558509.61509278</v>
      </c>
      <c r="U162" s="11"/>
      <c r="V162" s="11"/>
      <c r="W162" s="11"/>
      <c r="X162" s="12"/>
      <c r="Y162" s="12"/>
      <c r="Z162" s="12"/>
      <c r="AA162" s="12"/>
      <c r="AB162" s="12"/>
      <c r="AC162" s="12"/>
      <c r="AD162" s="12"/>
      <c r="AE162" s="12"/>
      <c r="AF162" s="12"/>
      <c r="AG162" s="12"/>
      <c r="AH162" s="12"/>
      <c r="AI162" s="12"/>
      <c r="AJ162" s="12"/>
      <c r="AK162" s="12"/>
      <c r="AL162" s="12"/>
      <c r="AM162" s="12"/>
      <c r="AN162" s="12"/>
      <c r="AO162" s="12"/>
      <c r="AP162" s="12"/>
      <c r="AQ162" s="12"/>
      <c r="AR162" s="12"/>
      <c r="AS162" s="12"/>
      <c r="AT162" s="12"/>
      <c r="AU162" s="12"/>
      <c r="AV162" s="12"/>
      <c r="AW162" s="12"/>
      <c r="AX162" s="12"/>
      <c r="AY162" s="12"/>
      <c r="AZ162" s="12"/>
      <c r="BA162" s="12"/>
      <c r="BB162" s="12"/>
      <c r="BC162" s="12"/>
      <c r="BD162" s="12"/>
      <c r="BE162" s="12"/>
      <c r="BF162" s="12"/>
      <c r="BG162" s="12"/>
      <c r="BH162" s="12"/>
      <c r="BI162" s="12"/>
      <c r="BJ162" s="12"/>
      <c r="BK162" s="12"/>
      <c r="BL162" s="12"/>
      <c r="BM162" s="12"/>
      <c r="BN162" s="12"/>
      <c r="BO162" s="12"/>
      <c r="BP162" s="12"/>
      <c r="BQ162" s="12"/>
      <c r="BR162" s="12"/>
      <c r="BS162" s="12"/>
      <c r="BT162" s="12"/>
      <c r="BU162" s="12"/>
      <c r="BV162" s="12"/>
      <c r="BW162" s="12"/>
      <c r="BX162" s="12"/>
      <c r="BY162" s="12"/>
      <c r="BZ162" s="12"/>
      <c r="CA162" s="12"/>
      <c r="CB162" s="12"/>
      <c r="CC162" s="12"/>
      <c r="CD162" s="12"/>
      <c r="CE162" s="12"/>
      <c r="CF162" s="12"/>
      <c r="CG162" s="12"/>
      <c r="CH162" s="12"/>
      <c r="CI162" s="12"/>
      <c r="CJ162" s="12"/>
      <c r="CK162" s="12"/>
      <c r="CL162" s="12"/>
      <c r="CM162" s="12"/>
      <c r="CN162" s="12"/>
      <c r="CO162" s="12"/>
      <c r="CP162" s="12"/>
      <c r="CQ162" s="12"/>
      <c r="CR162" s="12"/>
      <c r="CS162" s="12"/>
      <c r="CT162" s="12"/>
      <c r="CU162" s="12"/>
      <c r="CV162" s="12"/>
      <c r="CW162" s="12"/>
      <c r="CX162" s="12"/>
      <c r="CY162" s="12"/>
      <c r="CZ162" s="12"/>
      <c r="DA162" s="12"/>
      <c r="DB162" s="12"/>
      <c r="DC162" s="12"/>
      <c r="DD162" s="12"/>
      <c r="DE162" s="12"/>
      <c r="DF162" s="12"/>
      <c r="DG162" s="12"/>
      <c r="DH162" s="12"/>
      <c r="DI162" s="12"/>
      <c r="DJ162" s="12"/>
      <c r="DK162" s="12"/>
      <c r="DL162" s="12"/>
      <c r="DM162" s="12"/>
      <c r="DN162" s="12"/>
      <c r="DO162" s="12"/>
      <c r="DP162" s="12"/>
      <c r="DQ162" s="12"/>
      <c r="DR162" s="12"/>
      <c r="DS162" s="12"/>
      <c r="DT162" s="12"/>
      <c r="DU162" s="12"/>
      <c r="DV162" s="12"/>
      <c r="DW162" s="12"/>
      <c r="DX162" s="12"/>
      <c r="DY162" s="12"/>
      <c r="DZ162" s="12"/>
      <c r="EA162" s="12"/>
      <c r="EB162" s="12"/>
      <c r="EC162" s="12"/>
      <c r="ED162" s="12"/>
      <c r="EE162" s="12"/>
      <c r="EF162" s="12"/>
      <c r="EG162" s="12"/>
      <c r="EH162" s="12"/>
      <c r="EI162" s="12"/>
      <c r="EJ162" s="12"/>
      <c r="EK162" s="12"/>
      <c r="EL162" s="12"/>
      <c r="EM162" s="12"/>
      <c r="EN162" s="12"/>
      <c r="EO162" s="12"/>
      <c r="EP162" s="12"/>
      <c r="EQ162" s="12"/>
      <c r="ER162" s="12"/>
      <c r="ES162" s="12"/>
      <c r="ET162" s="12"/>
      <c r="EU162" s="12"/>
      <c r="EV162" s="12"/>
      <c r="EW162" s="12"/>
      <c r="EX162" s="12"/>
      <c r="EY162" s="12"/>
      <c r="EZ162" s="12"/>
      <c r="FA162" s="12"/>
      <c r="FB162" s="12"/>
      <c r="FC162" s="12"/>
      <c r="FD162" s="12"/>
      <c r="FE162" s="12"/>
      <c r="FF162" s="12"/>
      <c r="FG162" s="12"/>
      <c r="FH162" s="12"/>
      <c r="FI162" s="12"/>
      <c r="FJ162" s="12"/>
      <c r="FK162" s="12"/>
      <c r="FL162" s="12"/>
      <c r="FM162" s="12"/>
      <c r="FN162" s="12"/>
      <c r="FO162" s="12"/>
      <c r="FP162" s="12"/>
      <c r="FQ162" s="12"/>
      <c r="FR162" s="12"/>
      <c r="FS162" s="12"/>
      <c r="FT162" s="12"/>
      <c r="FU162" s="12"/>
      <c r="FV162" s="12"/>
      <c r="FW162" s="12"/>
      <c r="FX162" s="12"/>
      <c r="FY162" s="12"/>
      <c r="FZ162" s="12"/>
      <c r="GA162" s="12"/>
      <c r="GB162" s="12"/>
      <c r="GC162" s="12"/>
      <c r="GD162" s="12"/>
      <c r="GE162" s="12"/>
    </row>
    <row r="163" spans="1:187" ht="21" customHeight="1">
      <c r="A163" s="45"/>
      <c r="B163" s="86" t="s">
        <v>406</v>
      </c>
      <c r="C163" s="10" t="s">
        <v>405</v>
      </c>
      <c r="D163" s="10" t="s">
        <v>192</v>
      </c>
      <c r="E163" s="35">
        <v>6.282</v>
      </c>
      <c r="F163" s="35">
        <f>10.47-E163</f>
        <v>4.1880000000000006</v>
      </c>
      <c r="G163" s="35">
        <v>0.97699999999999998</v>
      </c>
      <c r="H163" s="35">
        <f>(5.435+1.824)-G163</f>
        <v>6.2819999999999991</v>
      </c>
      <c r="I163" s="35">
        <f t="shared" si="22"/>
        <v>17.728999999999999</v>
      </c>
      <c r="J163" s="56">
        <v>16.75</v>
      </c>
      <c r="K163" s="49">
        <v>3680.89</v>
      </c>
      <c r="L163" s="49">
        <v>3828.1255999999998</v>
      </c>
      <c r="M163" s="49">
        <v>1141.5</v>
      </c>
      <c r="N163" s="49">
        <v>1183.7355</v>
      </c>
      <c r="O163" s="56">
        <f t="shared" si="23"/>
        <v>2539.39</v>
      </c>
      <c r="P163" s="1">
        <f t="shared" si="17"/>
        <v>15952.447979999999</v>
      </c>
      <c r="Q163" s="1">
        <f t="shared" si="18"/>
        <v>10634.965320000001</v>
      </c>
      <c r="R163" s="1">
        <f t="shared" si="19"/>
        <v>2583.5691276999996</v>
      </c>
      <c r="S163" s="1">
        <f t="shared" si="20"/>
        <v>16612.058608199994</v>
      </c>
      <c r="T163" s="1">
        <f t="shared" si="21"/>
        <v>45783.041035899994</v>
      </c>
      <c r="U163" s="11"/>
      <c r="V163" s="11"/>
      <c r="W163" s="11"/>
      <c r="X163" s="12"/>
      <c r="Y163" s="12"/>
      <c r="Z163" s="12"/>
      <c r="AA163" s="12"/>
      <c r="AB163" s="12"/>
      <c r="AC163" s="12"/>
      <c r="AD163" s="12"/>
      <c r="AE163" s="12"/>
      <c r="AF163" s="12"/>
      <c r="AG163" s="12"/>
      <c r="AH163" s="12"/>
      <c r="AI163" s="12"/>
      <c r="AJ163" s="12"/>
      <c r="AK163" s="12"/>
      <c r="AL163" s="12"/>
      <c r="AM163" s="12"/>
      <c r="AN163" s="12"/>
      <c r="AO163" s="12"/>
      <c r="AP163" s="12"/>
      <c r="AQ163" s="12"/>
      <c r="AR163" s="12"/>
      <c r="AS163" s="12"/>
      <c r="AT163" s="12"/>
      <c r="AU163" s="12"/>
      <c r="AV163" s="12"/>
      <c r="AW163" s="12"/>
      <c r="AX163" s="12"/>
      <c r="AY163" s="12"/>
      <c r="AZ163" s="12"/>
      <c r="BA163" s="12"/>
      <c r="BB163" s="12"/>
      <c r="BC163" s="12"/>
      <c r="BD163" s="12"/>
      <c r="BE163" s="12"/>
      <c r="BF163" s="12"/>
      <c r="BG163" s="12"/>
      <c r="BH163" s="12"/>
      <c r="BI163" s="12"/>
      <c r="BJ163" s="12"/>
      <c r="BK163" s="12"/>
      <c r="BL163" s="12"/>
      <c r="BM163" s="12"/>
      <c r="BN163" s="12"/>
      <c r="BO163" s="12"/>
      <c r="BP163" s="12"/>
      <c r="BQ163" s="12"/>
      <c r="BR163" s="12"/>
      <c r="BS163" s="12"/>
      <c r="BT163" s="12"/>
      <c r="BU163" s="12"/>
      <c r="BV163" s="12"/>
      <c r="BW163" s="12"/>
      <c r="BX163" s="12"/>
      <c r="BY163" s="12"/>
      <c r="BZ163" s="12"/>
      <c r="CA163" s="12"/>
      <c r="CB163" s="12"/>
      <c r="CC163" s="12"/>
      <c r="CD163" s="12"/>
      <c r="CE163" s="12"/>
      <c r="CF163" s="12"/>
      <c r="CG163" s="12"/>
      <c r="CH163" s="12"/>
      <c r="CI163" s="12"/>
      <c r="CJ163" s="12"/>
      <c r="CK163" s="12"/>
      <c r="CL163" s="12"/>
      <c r="CM163" s="12"/>
      <c r="CN163" s="12"/>
      <c r="CO163" s="12"/>
      <c r="CP163" s="12"/>
      <c r="CQ163" s="12"/>
      <c r="CR163" s="12"/>
      <c r="CS163" s="12"/>
      <c r="CT163" s="12"/>
      <c r="CU163" s="12"/>
      <c r="CV163" s="12"/>
      <c r="CW163" s="12"/>
      <c r="CX163" s="12"/>
      <c r="CY163" s="12"/>
      <c r="CZ163" s="12"/>
      <c r="DA163" s="12"/>
      <c r="DB163" s="12"/>
      <c r="DC163" s="12"/>
      <c r="DD163" s="12"/>
      <c r="DE163" s="12"/>
      <c r="DF163" s="12"/>
      <c r="DG163" s="12"/>
      <c r="DH163" s="12"/>
      <c r="DI163" s="12"/>
      <c r="DJ163" s="12"/>
      <c r="DK163" s="12"/>
      <c r="DL163" s="12"/>
      <c r="DM163" s="12"/>
      <c r="DN163" s="12"/>
      <c r="DO163" s="12"/>
      <c r="DP163" s="12"/>
      <c r="DQ163" s="12"/>
      <c r="DR163" s="12"/>
      <c r="DS163" s="12"/>
      <c r="DT163" s="12"/>
      <c r="DU163" s="12"/>
      <c r="DV163" s="12"/>
      <c r="DW163" s="12"/>
      <c r="DX163" s="12"/>
      <c r="DY163" s="12"/>
      <c r="DZ163" s="12"/>
      <c r="EA163" s="12"/>
      <c r="EB163" s="12"/>
      <c r="EC163" s="12"/>
      <c r="ED163" s="12"/>
      <c r="EE163" s="12"/>
      <c r="EF163" s="12"/>
      <c r="EG163" s="12"/>
      <c r="EH163" s="12"/>
      <c r="EI163" s="12"/>
      <c r="EJ163" s="12"/>
      <c r="EK163" s="12"/>
      <c r="EL163" s="12"/>
      <c r="EM163" s="12"/>
      <c r="EN163" s="12"/>
      <c r="EO163" s="12"/>
      <c r="EP163" s="12"/>
      <c r="EQ163" s="12"/>
      <c r="ER163" s="12"/>
      <c r="ES163" s="12"/>
      <c r="ET163" s="12"/>
      <c r="EU163" s="12"/>
      <c r="EV163" s="12"/>
      <c r="EW163" s="12"/>
      <c r="EX163" s="12"/>
      <c r="EY163" s="12"/>
      <c r="EZ163" s="12"/>
      <c r="FA163" s="12"/>
      <c r="FB163" s="12"/>
      <c r="FC163" s="12"/>
      <c r="FD163" s="12"/>
      <c r="FE163" s="12"/>
      <c r="FF163" s="12"/>
      <c r="FG163" s="12"/>
      <c r="FH163" s="12"/>
      <c r="FI163" s="12"/>
      <c r="FJ163" s="12"/>
      <c r="FK163" s="12"/>
      <c r="FL163" s="12"/>
      <c r="FM163" s="12"/>
      <c r="FN163" s="12"/>
      <c r="FO163" s="12"/>
      <c r="FP163" s="12"/>
      <c r="FQ163" s="12"/>
      <c r="FR163" s="12"/>
      <c r="FS163" s="12"/>
      <c r="FT163" s="12"/>
      <c r="FU163" s="12"/>
      <c r="FV163" s="12"/>
      <c r="FW163" s="12"/>
      <c r="FX163" s="12"/>
      <c r="FY163" s="12"/>
      <c r="FZ163" s="12"/>
      <c r="GA163" s="12"/>
      <c r="GB163" s="12"/>
      <c r="GC163" s="12"/>
      <c r="GD163" s="12"/>
      <c r="GE163" s="12"/>
    </row>
    <row r="164" spans="1:187" ht="21" customHeight="1">
      <c r="A164" s="45"/>
      <c r="B164" s="86" t="s">
        <v>273</v>
      </c>
      <c r="C164" s="10" t="s">
        <v>197</v>
      </c>
      <c r="D164" s="10" t="s">
        <v>198</v>
      </c>
      <c r="E164" s="35">
        <v>2361.692</v>
      </c>
      <c r="F164" s="35">
        <f>3552.06116-E164</f>
        <v>1190.3691600000002</v>
      </c>
      <c r="G164" s="35">
        <v>369.16800000000001</v>
      </c>
      <c r="H164" s="35">
        <f>2742.237-G164</f>
        <v>2373.069</v>
      </c>
      <c r="I164" s="35">
        <f t="shared" si="22"/>
        <v>6294.2981600000003</v>
      </c>
      <c r="J164" s="56">
        <v>6347.62</v>
      </c>
      <c r="K164" s="49">
        <v>3165.26</v>
      </c>
      <c r="L164" s="49">
        <v>3343.43</v>
      </c>
      <c r="M164" s="49">
        <v>1449.15</v>
      </c>
      <c r="N164" s="49">
        <v>1502.76855</v>
      </c>
      <c r="O164" s="56">
        <f t="shared" si="23"/>
        <v>1716.1100000000001</v>
      </c>
      <c r="P164" s="1">
        <f t="shared" si="17"/>
        <v>4052923.2581200004</v>
      </c>
      <c r="Q164" s="1">
        <f t="shared" si="18"/>
        <v>2042804.4191676006</v>
      </c>
      <c r="R164" s="1">
        <f t="shared" si="19"/>
        <v>679513.30617359991</v>
      </c>
      <c r="S164" s="1">
        <f t="shared" si="20"/>
        <v>4368016.6264900491</v>
      </c>
      <c r="T164" s="1">
        <f t="shared" si="21"/>
        <v>11143257.60995125</v>
      </c>
      <c r="U164" s="11"/>
      <c r="V164" s="11"/>
      <c r="W164" s="11"/>
      <c r="X164" s="12"/>
      <c r="Y164" s="12"/>
      <c r="Z164" s="12"/>
      <c r="AA164" s="12"/>
      <c r="AB164" s="12"/>
      <c r="AC164" s="12"/>
      <c r="AD164" s="12"/>
      <c r="AE164" s="12"/>
      <c r="AF164" s="12"/>
      <c r="AG164" s="12"/>
      <c r="AH164" s="12"/>
      <c r="AI164" s="12"/>
      <c r="AJ164" s="12"/>
      <c r="AK164" s="12"/>
      <c r="AL164" s="12"/>
      <c r="AM164" s="12"/>
      <c r="AN164" s="12"/>
      <c r="AO164" s="12"/>
      <c r="AP164" s="12"/>
      <c r="AQ164" s="12"/>
      <c r="AR164" s="12"/>
      <c r="AS164" s="12"/>
      <c r="AT164" s="12"/>
      <c r="AU164" s="12"/>
      <c r="AV164" s="12"/>
      <c r="AW164" s="12"/>
      <c r="AX164" s="12"/>
      <c r="AY164" s="12"/>
      <c r="AZ164" s="12"/>
      <c r="BA164" s="12"/>
      <c r="BB164" s="12"/>
      <c r="BC164" s="12"/>
      <c r="BD164" s="12"/>
      <c r="BE164" s="12"/>
      <c r="BF164" s="12"/>
      <c r="BG164" s="12"/>
      <c r="BH164" s="12"/>
      <c r="BI164" s="12"/>
      <c r="BJ164" s="12"/>
      <c r="BK164" s="12"/>
      <c r="BL164" s="12"/>
      <c r="BM164" s="12"/>
      <c r="BN164" s="12"/>
      <c r="BO164" s="12"/>
      <c r="BP164" s="12"/>
      <c r="BQ164" s="12"/>
      <c r="BR164" s="12"/>
      <c r="BS164" s="12"/>
      <c r="BT164" s="12"/>
      <c r="BU164" s="12"/>
      <c r="BV164" s="12"/>
      <c r="BW164" s="12"/>
      <c r="BX164" s="12"/>
      <c r="BY164" s="12"/>
      <c r="BZ164" s="12"/>
      <c r="CA164" s="12"/>
      <c r="CB164" s="12"/>
      <c r="CC164" s="12"/>
      <c r="CD164" s="12"/>
      <c r="CE164" s="12"/>
      <c r="CF164" s="12"/>
      <c r="CG164" s="12"/>
      <c r="CH164" s="12"/>
      <c r="CI164" s="12"/>
      <c r="CJ164" s="12"/>
      <c r="CK164" s="12"/>
      <c r="CL164" s="12"/>
      <c r="CM164" s="12"/>
      <c r="CN164" s="12"/>
      <c r="CO164" s="12"/>
      <c r="CP164" s="12"/>
      <c r="CQ164" s="12"/>
      <c r="CR164" s="12"/>
      <c r="CS164" s="12"/>
      <c r="CT164" s="12"/>
      <c r="CU164" s="12"/>
      <c r="CV164" s="12"/>
      <c r="CW164" s="12"/>
      <c r="CX164" s="12"/>
      <c r="CY164" s="12"/>
      <c r="CZ164" s="12"/>
      <c r="DA164" s="12"/>
      <c r="DB164" s="12"/>
      <c r="DC164" s="12"/>
      <c r="DD164" s="12"/>
      <c r="DE164" s="12"/>
      <c r="DF164" s="12"/>
      <c r="DG164" s="12"/>
      <c r="DH164" s="12"/>
      <c r="DI164" s="12"/>
      <c r="DJ164" s="12"/>
      <c r="DK164" s="12"/>
      <c r="DL164" s="12"/>
      <c r="DM164" s="12"/>
      <c r="DN164" s="12"/>
      <c r="DO164" s="12"/>
      <c r="DP164" s="12"/>
      <c r="DQ164" s="12"/>
      <c r="DR164" s="12"/>
      <c r="DS164" s="12"/>
      <c r="DT164" s="12"/>
      <c r="DU164" s="12"/>
      <c r="DV164" s="12"/>
      <c r="DW164" s="12"/>
      <c r="DX164" s="12"/>
      <c r="DY164" s="12"/>
      <c r="DZ164" s="12"/>
      <c r="EA164" s="12"/>
      <c r="EB164" s="12"/>
      <c r="EC164" s="12"/>
      <c r="ED164" s="12"/>
      <c r="EE164" s="12"/>
      <c r="EF164" s="12"/>
      <c r="EG164" s="12"/>
      <c r="EH164" s="12"/>
      <c r="EI164" s="12"/>
      <c r="EJ164" s="12"/>
      <c r="EK164" s="12"/>
      <c r="EL164" s="12"/>
      <c r="EM164" s="12"/>
      <c r="EN164" s="12"/>
      <c r="EO164" s="12"/>
      <c r="EP164" s="12"/>
      <c r="EQ164" s="12"/>
      <c r="ER164" s="12"/>
      <c r="ES164" s="12"/>
      <c r="ET164" s="12"/>
      <c r="EU164" s="12"/>
      <c r="EV164" s="12"/>
      <c r="EW164" s="12"/>
      <c r="EX164" s="12"/>
      <c r="EY164" s="12"/>
      <c r="EZ164" s="12"/>
      <c r="FA164" s="12"/>
      <c r="FB164" s="12"/>
      <c r="FC164" s="12"/>
      <c r="FD164" s="12"/>
      <c r="FE164" s="12"/>
      <c r="FF164" s="12"/>
      <c r="FG164" s="12"/>
      <c r="FH164" s="12"/>
      <c r="FI164" s="12"/>
      <c r="FJ164" s="12"/>
      <c r="FK164" s="12"/>
      <c r="FL164" s="12"/>
      <c r="FM164" s="12"/>
      <c r="FN164" s="12"/>
      <c r="FO164" s="12"/>
      <c r="FP164" s="12"/>
      <c r="FQ164" s="12"/>
      <c r="FR164" s="12"/>
      <c r="FS164" s="12"/>
      <c r="FT164" s="12"/>
      <c r="FU164" s="12"/>
      <c r="FV164" s="12"/>
      <c r="FW164" s="12"/>
      <c r="FX164" s="12"/>
      <c r="FY164" s="12"/>
      <c r="FZ164" s="12"/>
      <c r="GA164" s="12"/>
      <c r="GB164" s="12"/>
      <c r="GC164" s="12"/>
      <c r="GD164" s="12"/>
      <c r="GE164" s="12"/>
    </row>
    <row r="165" spans="1:187" ht="21" customHeight="1">
      <c r="A165" s="45"/>
      <c r="B165" s="86" t="s">
        <v>382</v>
      </c>
      <c r="C165" s="10" t="s">
        <v>383</v>
      </c>
      <c r="D165" s="10" t="s">
        <v>193</v>
      </c>
      <c r="E165" s="35">
        <v>7.6079999999999997</v>
      </c>
      <c r="F165" s="35">
        <f>11.126-E165</f>
        <v>3.5179999999999998</v>
      </c>
      <c r="G165" s="35">
        <v>1.6</v>
      </c>
      <c r="H165" s="35">
        <v>9.6</v>
      </c>
      <c r="I165" s="35">
        <f t="shared" si="22"/>
        <v>22.326000000000001</v>
      </c>
      <c r="J165" s="56">
        <v>27.94</v>
      </c>
      <c r="K165" s="49">
        <v>6065.93</v>
      </c>
      <c r="L165" s="49">
        <v>6308.5672000000004</v>
      </c>
      <c r="M165" s="49">
        <v>1346.95</v>
      </c>
      <c r="N165" s="49">
        <v>1396.7871499999999</v>
      </c>
      <c r="O165" s="56">
        <f t="shared" si="23"/>
        <v>4718.9800000000005</v>
      </c>
      <c r="P165" s="1">
        <f t="shared" si="17"/>
        <v>35901.999840000004</v>
      </c>
      <c r="Q165" s="1">
        <f t="shared" si="18"/>
        <v>16601.371640000001</v>
      </c>
      <c r="R165" s="1">
        <f t="shared" si="19"/>
        <v>7858.8480800000007</v>
      </c>
      <c r="S165" s="1">
        <f t="shared" si="20"/>
        <v>47153.088479999999</v>
      </c>
      <c r="T165" s="1">
        <f t="shared" si="21"/>
        <v>107515.30804</v>
      </c>
      <c r="U165" s="11"/>
      <c r="V165" s="11"/>
      <c r="W165" s="11"/>
      <c r="X165" s="12"/>
      <c r="Y165" s="12"/>
      <c r="Z165" s="12"/>
      <c r="AA165" s="12"/>
      <c r="AB165" s="12"/>
      <c r="AC165" s="12"/>
      <c r="AD165" s="12"/>
      <c r="AE165" s="12"/>
      <c r="AF165" s="12"/>
      <c r="AG165" s="12"/>
      <c r="AH165" s="12"/>
      <c r="AI165" s="12"/>
      <c r="AJ165" s="12"/>
      <c r="AK165" s="12"/>
      <c r="AL165" s="12"/>
      <c r="AM165" s="12"/>
      <c r="AN165" s="12"/>
      <c r="AO165" s="12"/>
      <c r="AP165" s="12"/>
      <c r="AQ165" s="12"/>
      <c r="AR165" s="12"/>
      <c r="AS165" s="12"/>
      <c r="AT165" s="12"/>
      <c r="AU165" s="12"/>
      <c r="AV165" s="12"/>
      <c r="AW165" s="12"/>
      <c r="AX165" s="12"/>
      <c r="AY165" s="12"/>
      <c r="AZ165" s="12"/>
      <c r="BA165" s="12"/>
      <c r="BB165" s="12"/>
      <c r="BC165" s="12"/>
      <c r="BD165" s="12"/>
      <c r="BE165" s="12"/>
      <c r="BF165" s="12"/>
      <c r="BG165" s="12"/>
      <c r="BH165" s="12"/>
      <c r="BI165" s="12"/>
      <c r="BJ165" s="12"/>
      <c r="BK165" s="12"/>
      <c r="BL165" s="12"/>
      <c r="BM165" s="12"/>
      <c r="BN165" s="12"/>
      <c r="BO165" s="12"/>
      <c r="BP165" s="12"/>
      <c r="BQ165" s="12"/>
      <c r="BR165" s="12"/>
      <c r="BS165" s="12"/>
      <c r="BT165" s="12"/>
      <c r="BU165" s="12"/>
      <c r="BV165" s="12"/>
      <c r="BW165" s="12"/>
      <c r="BX165" s="12"/>
      <c r="BY165" s="12"/>
      <c r="BZ165" s="12"/>
      <c r="CA165" s="12"/>
      <c r="CB165" s="12"/>
      <c r="CC165" s="12"/>
      <c r="CD165" s="12"/>
      <c r="CE165" s="12"/>
      <c r="CF165" s="12"/>
      <c r="CG165" s="12"/>
      <c r="CH165" s="12"/>
      <c r="CI165" s="12"/>
      <c r="CJ165" s="12"/>
      <c r="CK165" s="12"/>
      <c r="CL165" s="12"/>
      <c r="CM165" s="12"/>
      <c r="CN165" s="12"/>
      <c r="CO165" s="12"/>
      <c r="CP165" s="12"/>
      <c r="CQ165" s="12"/>
      <c r="CR165" s="12"/>
      <c r="CS165" s="12"/>
      <c r="CT165" s="12"/>
      <c r="CU165" s="12"/>
      <c r="CV165" s="12"/>
      <c r="CW165" s="12"/>
      <c r="CX165" s="12"/>
      <c r="CY165" s="12"/>
      <c r="CZ165" s="12"/>
      <c r="DA165" s="12"/>
      <c r="DB165" s="12"/>
      <c r="DC165" s="12"/>
      <c r="DD165" s="12"/>
      <c r="DE165" s="12"/>
      <c r="DF165" s="12"/>
      <c r="DG165" s="12"/>
      <c r="DH165" s="12"/>
      <c r="DI165" s="12"/>
      <c r="DJ165" s="12"/>
      <c r="DK165" s="12"/>
      <c r="DL165" s="12"/>
      <c r="DM165" s="12"/>
      <c r="DN165" s="12"/>
      <c r="DO165" s="12"/>
      <c r="DP165" s="12"/>
      <c r="DQ165" s="12"/>
      <c r="DR165" s="12"/>
      <c r="DS165" s="12"/>
      <c r="DT165" s="12"/>
      <c r="DU165" s="12"/>
      <c r="DV165" s="12"/>
      <c r="DW165" s="12"/>
      <c r="DX165" s="12"/>
      <c r="DY165" s="12"/>
      <c r="DZ165" s="12"/>
      <c r="EA165" s="12"/>
      <c r="EB165" s="12"/>
      <c r="EC165" s="12"/>
      <c r="ED165" s="12"/>
      <c r="EE165" s="12"/>
      <c r="EF165" s="12"/>
      <c r="EG165" s="12"/>
      <c r="EH165" s="12"/>
      <c r="EI165" s="12"/>
      <c r="EJ165" s="12"/>
      <c r="EK165" s="12"/>
      <c r="EL165" s="12"/>
      <c r="EM165" s="12"/>
      <c r="EN165" s="12"/>
      <c r="EO165" s="12"/>
      <c r="EP165" s="12"/>
      <c r="EQ165" s="12"/>
      <c r="ER165" s="12"/>
      <c r="ES165" s="12"/>
      <c r="ET165" s="12"/>
      <c r="EU165" s="12"/>
      <c r="EV165" s="12"/>
      <c r="EW165" s="12"/>
      <c r="EX165" s="12"/>
      <c r="EY165" s="12"/>
      <c r="EZ165" s="12"/>
      <c r="FA165" s="12"/>
      <c r="FB165" s="12"/>
      <c r="FC165" s="12"/>
      <c r="FD165" s="12"/>
      <c r="FE165" s="12"/>
      <c r="FF165" s="12"/>
      <c r="FG165" s="12"/>
      <c r="FH165" s="12"/>
      <c r="FI165" s="12"/>
      <c r="FJ165" s="12"/>
      <c r="FK165" s="12"/>
      <c r="FL165" s="12"/>
      <c r="FM165" s="12"/>
      <c r="FN165" s="12"/>
      <c r="FO165" s="12"/>
      <c r="FP165" s="12"/>
      <c r="FQ165" s="12"/>
      <c r="FR165" s="12"/>
      <c r="FS165" s="12"/>
      <c r="FT165" s="12"/>
      <c r="FU165" s="12"/>
      <c r="FV165" s="12"/>
      <c r="FW165" s="12"/>
      <c r="FX165" s="12"/>
      <c r="FY165" s="12"/>
      <c r="FZ165" s="12"/>
      <c r="GA165" s="12"/>
      <c r="GB165" s="12"/>
      <c r="GC165" s="12"/>
      <c r="GD165" s="12"/>
      <c r="GE165" s="12"/>
    </row>
    <row r="166" spans="1:187" ht="21" customHeight="1">
      <c r="A166" s="45"/>
      <c r="B166" s="86" t="s">
        <v>382</v>
      </c>
      <c r="C166" s="10" t="s">
        <v>383</v>
      </c>
      <c r="D166" s="10" t="s">
        <v>194</v>
      </c>
      <c r="E166" s="35">
        <v>17.231999999999999</v>
      </c>
      <c r="F166" s="35">
        <f>25.199-E166</f>
        <v>7.9670000000000023</v>
      </c>
      <c r="G166" s="35">
        <v>2.6</v>
      </c>
      <c r="H166" s="35">
        <v>15.63</v>
      </c>
      <c r="I166" s="35">
        <f t="shared" si="22"/>
        <v>43.429000000000002</v>
      </c>
      <c r="J166" s="56">
        <v>45.95</v>
      </c>
      <c r="K166" s="49">
        <v>4459.18</v>
      </c>
      <c r="L166" s="49">
        <v>4637.5472000000009</v>
      </c>
      <c r="M166" s="49">
        <v>1762.88</v>
      </c>
      <c r="N166" s="49">
        <v>1828.1065599999999</v>
      </c>
      <c r="O166" s="56">
        <f t="shared" si="23"/>
        <v>2696.3</v>
      </c>
      <c r="P166" s="1">
        <f t="shared" ref="P166:P229" si="24">(K166-M166)*E166</f>
        <v>46462.641600000003</v>
      </c>
      <c r="Q166" s="1">
        <f t="shared" si="18"/>
        <v>21481.422100000007</v>
      </c>
      <c r="R166" s="1">
        <f t="shared" si="19"/>
        <v>7304.545664000002</v>
      </c>
      <c r="S166" s="1">
        <f t="shared" si="20"/>
        <v>43911.557203200013</v>
      </c>
      <c r="T166" s="1">
        <f t="shared" si="21"/>
        <v>119160.16656720004</v>
      </c>
      <c r="U166" s="11"/>
      <c r="V166" s="11"/>
      <c r="W166" s="11"/>
      <c r="X166" s="12"/>
      <c r="Y166" s="12"/>
      <c r="Z166" s="12"/>
      <c r="AA166" s="12"/>
      <c r="AB166" s="12"/>
      <c r="AC166" s="12"/>
      <c r="AD166" s="12"/>
      <c r="AE166" s="12"/>
      <c r="AF166" s="12"/>
      <c r="AG166" s="12"/>
      <c r="AH166" s="12"/>
      <c r="AI166" s="12"/>
      <c r="AJ166" s="12"/>
      <c r="AK166" s="12"/>
      <c r="AL166" s="12"/>
      <c r="AM166" s="12"/>
      <c r="AN166" s="12"/>
      <c r="AO166" s="12"/>
      <c r="AP166" s="12"/>
      <c r="AQ166" s="12"/>
      <c r="AR166" s="12"/>
      <c r="AS166" s="12"/>
      <c r="AT166" s="12"/>
      <c r="AU166" s="12"/>
      <c r="AV166" s="12"/>
      <c r="AW166" s="12"/>
      <c r="AX166" s="12"/>
      <c r="AY166" s="12"/>
      <c r="AZ166" s="12"/>
      <c r="BA166" s="12"/>
      <c r="BB166" s="12"/>
      <c r="BC166" s="12"/>
      <c r="BD166" s="12"/>
      <c r="BE166" s="12"/>
      <c r="BF166" s="12"/>
      <c r="BG166" s="12"/>
      <c r="BH166" s="12"/>
      <c r="BI166" s="12"/>
      <c r="BJ166" s="12"/>
      <c r="BK166" s="12"/>
      <c r="BL166" s="12"/>
      <c r="BM166" s="12"/>
      <c r="BN166" s="12"/>
      <c r="BO166" s="12"/>
      <c r="BP166" s="12"/>
      <c r="BQ166" s="12"/>
      <c r="BR166" s="12"/>
      <c r="BS166" s="12"/>
      <c r="BT166" s="12"/>
      <c r="BU166" s="12"/>
      <c r="BV166" s="12"/>
      <c r="BW166" s="12"/>
      <c r="BX166" s="12"/>
      <c r="BY166" s="12"/>
      <c r="BZ166" s="12"/>
      <c r="CA166" s="12"/>
      <c r="CB166" s="12"/>
      <c r="CC166" s="12"/>
      <c r="CD166" s="12"/>
      <c r="CE166" s="12"/>
      <c r="CF166" s="12"/>
      <c r="CG166" s="12"/>
      <c r="CH166" s="12"/>
      <c r="CI166" s="12"/>
      <c r="CJ166" s="12"/>
      <c r="CK166" s="12"/>
      <c r="CL166" s="12"/>
      <c r="CM166" s="12"/>
      <c r="CN166" s="12"/>
      <c r="CO166" s="12"/>
      <c r="CP166" s="12"/>
      <c r="CQ166" s="12"/>
      <c r="CR166" s="12"/>
      <c r="CS166" s="12"/>
      <c r="CT166" s="12"/>
      <c r="CU166" s="12"/>
      <c r="CV166" s="12"/>
      <c r="CW166" s="12"/>
      <c r="CX166" s="12"/>
      <c r="CY166" s="12"/>
      <c r="CZ166" s="12"/>
      <c r="DA166" s="12"/>
      <c r="DB166" s="12"/>
      <c r="DC166" s="12"/>
      <c r="DD166" s="12"/>
      <c r="DE166" s="12"/>
      <c r="DF166" s="12"/>
      <c r="DG166" s="12"/>
      <c r="DH166" s="12"/>
      <c r="DI166" s="12"/>
      <c r="DJ166" s="12"/>
      <c r="DK166" s="12"/>
      <c r="DL166" s="12"/>
      <c r="DM166" s="12"/>
      <c r="DN166" s="12"/>
      <c r="DO166" s="12"/>
      <c r="DP166" s="12"/>
      <c r="DQ166" s="12"/>
      <c r="DR166" s="12"/>
      <c r="DS166" s="12"/>
      <c r="DT166" s="12"/>
      <c r="DU166" s="12"/>
      <c r="DV166" s="12"/>
      <c r="DW166" s="12"/>
      <c r="DX166" s="12"/>
      <c r="DY166" s="12"/>
      <c r="DZ166" s="12"/>
      <c r="EA166" s="12"/>
      <c r="EB166" s="12"/>
      <c r="EC166" s="12"/>
      <c r="ED166" s="12"/>
      <c r="EE166" s="12"/>
      <c r="EF166" s="12"/>
      <c r="EG166" s="12"/>
      <c r="EH166" s="12"/>
      <c r="EI166" s="12"/>
      <c r="EJ166" s="12"/>
      <c r="EK166" s="12"/>
      <c r="EL166" s="12"/>
      <c r="EM166" s="12"/>
      <c r="EN166" s="12"/>
      <c r="EO166" s="12"/>
      <c r="EP166" s="12"/>
      <c r="EQ166" s="12"/>
      <c r="ER166" s="12"/>
      <c r="ES166" s="12"/>
      <c r="ET166" s="12"/>
      <c r="EU166" s="12"/>
      <c r="EV166" s="12"/>
      <c r="EW166" s="12"/>
      <c r="EX166" s="12"/>
      <c r="EY166" s="12"/>
      <c r="EZ166" s="12"/>
      <c r="FA166" s="12"/>
      <c r="FB166" s="12"/>
      <c r="FC166" s="12"/>
      <c r="FD166" s="12"/>
      <c r="FE166" s="12"/>
      <c r="FF166" s="12"/>
      <c r="FG166" s="12"/>
      <c r="FH166" s="12"/>
      <c r="FI166" s="12"/>
      <c r="FJ166" s="12"/>
      <c r="FK166" s="12"/>
      <c r="FL166" s="12"/>
      <c r="FM166" s="12"/>
      <c r="FN166" s="12"/>
      <c r="FO166" s="12"/>
      <c r="FP166" s="12"/>
      <c r="FQ166" s="12"/>
      <c r="FR166" s="12"/>
      <c r="FS166" s="12"/>
      <c r="FT166" s="12"/>
      <c r="FU166" s="12"/>
      <c r="FV166" s="12"/>
      <c r="FW166" s="12"/>
      <c r="FX166" s="12"/>
      <c r="FY166" s="12"/>
      <c r="FZ166" s="12"/>
      <c r="GA166" s="12"/>
      <c r="GB166" s="12"/>
      <c r="GC166" s="12"/>
      <c r="GD166" s="12"/>
      <c r="GE166" s="12"/>
    </row>
    <row r="167" spans="1:187" ht="21" customHeight="1">
      <c r="A167" s="45"/>
      <c r="B167" s="86" t="s">
        <v>274</v>
      </c>
      <c r="C167" s="10" t="s">
        <v>188</v>
      </c>
      <c r="D167" s="10" t="s">
        <v>189</v>
      </c>
      <c r="E167" s="35">
        <v>1973.5519999999999</v>
      </c>
      <c r="F167" s="35">
        <f>2629.39-E167</f>
        <v>655.83799999999997</v>
      </c>
      <c r="G167" s="35">
        <v>428.214</v>
      </c>
      <c r="H167" s="35">
        <f>2177.4-G167</f>
        <v>1749.1860000000001</v>
      </c>
      <c r="I167" s="35">
        <f t="shared" si="22"/>
        <v>4806.79</v>
      </c>
      <c r="J167" s="56">
        <v>5848.5758000000005</v>
      </c>
      <c r="K167" s="49">
        <v>3618.16</v>
      </c>
      <c r="L167" s="49">
        <v>4221.79</v>
      </c>
      <c r="M167" s="49">
        <v>1373.66</v>
      </c>
      <c r="N167" s="49">
        <v>1424.48542</v>
      </c>
      <c r="O167" s="56">
        <f t="shared" si="23"/>
        <v>2244.5</v>
      </c>
      <c r="P167" s="1">
        <f t="shared" si="24"/>
        <v>4429637.4639999997</v>
      </c>
      <c r="Q167" s="1">
        <f t="shared" si="18"/>
        <v>1472028.3909999998</v>
      </c>
      <c r="R167" s="1">
        <f t="shared" si="19"/>
        <v>1197844.9834201201</v>
      </c>
      <c r="S167" s="1">
        <f t="shared" si="20"/>
        <v>4893006.00907188</v>
      </c>
      <c r="T167" s="1">
        <f t="shared" si="21"/>
        <v>11992516.847491998</v>
      </c>
      <c r="U167" s="11"/>
      <c r="V167" s="11"/>
      <c r="W167" s="11"/>
      <c r="X167" s="12"/>
      <c r="Y167" s="12"/>
      <c r="Z167" s="12"/>
      <c r="AA167" s="12"/>
      <c r="AB167" s="12"/>
      <c r="AC167" s="12"/>
      <c r="AD167" s="12"/>
      <c r="AE167" s="12"/>
      <c r="AF167" s="12"/>
      <c r="AG167" s="12"/>
      <c r="AH167" s="12"/>
      <c r="AI167" s="12"/>
      <c r="AJ167" s="12"/>
      <c r="AK167" s="12"/>
      <c r="AL167" s="12"/>
      <c r="AM167" s="12"/>
      <c r="AN167" s="12"/>
      <c r="AO167" s="12"/>
      <c r="AP167" s="12"/>
      <c r="AQ167" s="12"/>
      <c r="AR167" s="12"/>
      <c r="AS167" s="12"/>
      <c r="AT167" s="12"/>
      <c r="AU167" s="12"/>
      <c r="AV167" s="12"/>
      <c r="AW167" s="12"/>
      <c r="AX167" s="12"/>
      <c r="AY167" s="12"/>
      <c r="AZ167" s="12"/>
      <c r="BA167" s="12"/>
      <c r="BB167" s="12"/>
      <c r="BC167" s="12"/>
      <c r="BD167" s="12"/>
      <c r="BE167" s="12"/>
      <c r="BF167" s="12"/>
      <c r="BG167" s="12"/>
      <c r="BH167" s="12"/>
      <c r="BI167" s="12"/>
      <c r="BJ167" s="12"/>
      <c r="BK167" s="12"/>
      <c r="BL167" s="12"/>
      <c r="BM167" s="12"/>
      <c r="BN167" s="12"/>
      <c r="BO167" s="12"/>
      <c r="BP167" s="12"/>
      <c r="BQ167" s="12"/>
      <c r="BR167" s="12"/>
      <c r="BS167" s="12"/>
      <c r="BT167" s="12"/>
      <c r="BU167" s="12"/>
      <c r="BV167" s="12"/>
      <c r="BW167" s="12"/>
      <c r="BX167" s="12"/>
      <c r="BY167" s="12"/>
      <c r="BZ167" s="12"/>
      <c r="CA167" s="12"/>
      <c r="CB167" s="12"/>
      <c r="CC167" s="12"/>
      <c r="CD167" s="12"/>
      <c r="CE167" s="12"/>
      <c r="CF167" s="12"/>
      <c r="CG167" s="12"/>
      <c r="CH167" s="12"/>
      <c r="CI167" s="12"/>
      <c r="CJ167" s="12"/>
      <c r="CK167" s="12"/>
      <c r="CL167" s="12"/>
      <c r="CM167" s="12"/>
      <c r="CN167" s="12"/>
      <c r="CO167" s="12"/>
      <c r="CP167" s="12"/>
      <c r="CQ167" s="12"/>
      <c r="CR167" s="12"/>
      <c r="CS167" s="12"/>
      <c r="CT167" s="12"/>
      <c r="CU167" s="12"/>
      <c r="CV167" s="12"/>
      <c r="CW167" s="12"/>
      <c r="CX167" s="12"/>
      <c r="CY167" s="12"/>
      <c r="CZ167" s="12"/>
      <c r="DA167" s="12"/>
      <c r="DB167" s="12"/>
      <c r="DC167" s="12"/>
      <c r="DD167" s="12"/>
      <c r="DE167" s="12"/>
      <c r="DF167" s="12"/>
      <c r="DG167" s="12"/>
      <c r="DH167" s="12"/>
      <c r="DI167" s="12"/>
      <c r="DJ167" s="12"/>
      <c r="DK167" s="12"/>
      <c r="DL167" s="12"/>
      <c r="DM167" s="12"/>
      <c r="DN167" s="12"/>
      <c r="DO167" s="12"/>
      <c r="DP167" s="12"/>
      <c r="DQ167" s="12"/>
      <c r="DR167" s="12"/>
      <c r="DS167" s="12"/>
      <c r="DT167" s="12"/>
      <c r="DU167" s="12"/>
      <c r="DV167" s="12"/>
      <c r="DW167" s="12"/>
      <c r="DX167" s="12"/>
      <c r="DY167" s="12"/>
      <c r="DZ167" s="12"/>
      <c r="EA167" s="12"/>
      <c r="EB167" s="12"/>
      <c r="EC167" s="12"/>
      <c r="ED167" s="12"/>
      <c r="EE167" s="12"/>
      <c r="EF167" s="12"/>
      <c r="EG167" s="12"/>
      <c r="EH167" s="12"/>
      <c r="EI167" s="12"/>
      <c r="EJ167" s="12"/>
      <c r="EK167" s="12"/>
      <c r="EL167" s="12"/>
      <c r="EM167" s="12"/>
      <c r="EN167" s="12"/>
      <c r="EO167" s="12"/>
      <c r="EP167" s="12"/>
      <c r="EQ167" s="12"/>
      <c r="ER167" s="12"/>
      <c r="ES167" s="12"/>
      <c r="ET167" s="12"/>
      <c r="EU167" s="12"/>
      <c r="EV167" s="12"/>
      <c r="EW167" s="12"/>
      <c r="EX167" s="12"/>
      <c r="EY167" s="12"/>
      <c r="EZ167" s="12"/>
      <c r="FA167" s="12"/>
      <c r="FB167" s="12"/>
      <c r="FC167" s="12"/>
      <c r="FD167" s="12"/>
      <c r="FE167" s="12"/>
      <c r="FF167" s="12"/>
      <c r="FG167" s="12"/>
      <c r="FH167" s="12"/>
      <c r="FI167" s="12"/>
      <c r="FJ167" s="12"/>
      <c r="FK167" s="12"/>
      <c r="FL167" s="12"/>
      <c r="FM167" s="12"/>
      <c r="FN167" s="12"/>
      <c r="FO167" s="12"/>
      <c r="FP167" s="12"/>
      <c r="FQ167" s="12"/>
      <c r="FR167" s="12"/>
      <c r="FS167" s="12"/>
      <c r="FT167" s="12"/>
      <c r="FU167" s="12"/>
      <c r="FV167" s="12"/>
      <c r="FW167" s="12"/>
      <c r="FX167" s="12"/>
      <c r="FY167" s="12"/>
      <c r="FZ167" s="12"/>
      <c r="GA167" s="12"/>
      <c r="GB167" s="12"/>
      <c r="GC167" s="12"/>
      <c r="GD167" s="12"/>
      <c r="GE167" s="12"/>
    </row>
    <row r="168" spans="1:187" ht="21" customHeight="1">
      <c r="A168" s="45"/>
      <c r="B168" s="86" t="s">
        <v>9</v>
      </c>
      <c r="C168" s="10" t="s">
        <v>184</v>
      </c>
      <c r="D168" s="10" t="s">
        <v>185</v>
      </c>
      <c r="E168" s="35">
        <v>258.87299999999999</v>
      </c>
      <c r="F168" s="35">
        <f>362.344-E168</f>
        <v>103.471</v>
      </c>
      <c r="G168" s="35">
        <v>20.263000000000002</v>
      </c>
      <c r="H168" s="35">
        <f>239.636-G168</f>
        <v>219.37299999999999</v>
      </c>
      <c r="I168" s="35">
        <f t="shared" si="22"/>
        <v>601.98</v>
      </c>
      <c r="J168" s="56">
        <v>653.57000000000005</v>
      </c>
      <c r="K168" s="49">
        <v>2802.28</v>
      </c>
      <c r="L168" s="49">
        <v>2914.3712000000005</v>
      </c>
      <c r="M168" s="49">
        <v>1642.75</v>
      </c>
      <c r="N168" s="49">
        <v>1703.5317499999999</v>
      </c>
      <c r="O168" s="56">
        <f t="shared" si="23"/>
        <v>1159.5300000000002</v>
      </c>
      <c r="P168" s="1">
        <f t="shared" si="24"/>
        <v>300171.00969000004</v>
      </c>
      <c r="Q168" s="1">
        <f t="shared" si="18"/>
        <v>119977.72863000003</v>
      </c>
      <c r="R168" s="1">
        <f t="shared" si="19"/>
        <v>24535.239775350015</v>
      </c>
      <c r="S168" s="1">
        <f t="shared" si="20"/>
        <v>265625.48266485013</v>
      </c>
      <c r="T168" s="1">
        <f t="shared" si="21"/>
        <v>710309.46076020016</v>
      </c>
      <c r="U168" s="11"/>
      <c r="V168" s="11"/>
      <c r="W168" s="11"/>
      <c r="X168" s="12"/>
      <c r="Y168" s="12"/>
      <c r="Z168" s="12"/>
      <c r="AA168" s="12"/>
      <c r="AB168" s="12"/>
      <c r="AC168" s="12"/>
      <c r="AD168" s="12"/>
      <c r="AE168" s="12"/>
      <c r="AF168" s="12"/>
      <c r="AG168" s="12"/>
      <c r="AH168" s="12"/>
      <c r="AI168" s="12"/>
      <c r="AJ168" s="12"/>
      <c r="AK168" s="12"/>
      <c r="AL168" s="12"/>
      <c r="AM168" s="12"/>
      <c r="AN168" s="12"/>
      <c r="AO168" s="12"/>
      <c r="AP168" s="12"/>
      <c r="AQ168" s="12"/>
      <c r="AR168" s="12"/>
      <c r="AS168" s="12"/>
      <c r="AT168" s="12"/>
      <c r="AU168" s="12"/>
      <c r="AV168" s="12"/>
      <c r="AW168" s="12"/>
      <c r="AX168" s="12"/>
      <c r="AY168" s="12"/>
      <c r="AZ168" s="12"/>
      <c r="BA168" s="12"/>
      <c r="BB168" s="12"/>
      <c r="BC168" s="12"/>
      <c r="BD168" s="12"/>
      <c r="BE168" s="12"/>
      <c r="BF168" s="12"/>
      <c r="BG168" s="12"/>
      <c r="BH168" s="12"/>
      <c r="BI168" s="12"/>
      <c r="BJ168" s="12"/>
      <c r="BK168" s="12"/>
      <c r="BL168" s="12"/>
      <c r="BM168" s="12"/>
      <c r="BN168" s="12"/>
      <c r="BO168" s="12"/>
      <c r="BP168" s="12"/>
      <c r="BQ168" s="12"/>
      <c r="BR168" s="12"/>
      <c r="BS168" s="12"/>
      <c r="BT168" s="12"/>
      <c r="BU168" s="12"/>
      <c r="BV168" s="12"/>
      <c r="BW168" s="12"/>
      <c r="BX168" s="12"/>
      <c r="BY168" s="12"/>
      <c r="BZ168" s="12"/>
      <c r="CA168" s="12"/>
      <c r="CB168" s="12"/>
      <c r="CC168" s="12"/>
      <c r="CD168" s="12"/>
      <c r="CE168" s="12"/>
      <c r="CF168" s="12"/>
      <c r="CG168" s="12"/>
      <c r="CH168" s="12"/>
      <c r="CI168" s="12"/>
      <c r="CJ168" s="12"/>
      <c r="CK168" s="12"/>
      <c r="CL168" s="12"/>
      <c r="CM168" s="12"/>
      <c r="CN168" s="12"/>
      <c r="CO168" s="12"/>
      <c r="CP168" s="12"/>
      <c r="CQ168" s="12"/>
      <c r="CR168" s="12"/>
      <c r="CS168" s="12"/>
      <c r="CT168" s="12"/>
      <c r="CU168" s="12"/>
      <c r="CV168" s="12"/>
      <c r="CW168" s="12"/>
      <c r="CX168" s="12"/>
      <c r="CY168" s="12"/>
      <c r="CZ168" s="12"/>
      <c r="DA168" s="12"/>
      <c r="DB168" s="12"/>
      <c r="DC168" s="12"/>
      <c r="DD168" s="12"/>
      <c r="DE168" s="12"/>
      <c r="DF168" s="12"/>
      <c r="DG168" s="12"/>
      <c r="DH168" s="12"/>
      <c r="DI168" s="12"/>
      <c r="DJ168" s="12"/>
      <c r="DK168" s="12"/>
      <c r="DL168" s="12"/>
      <c r="DM168" s="12"/>
      <c r="DN168" s="12"/>
      <c r="DO168" s="12"/>
      <c r="DP168" s="12"/>
      <c r="DQ168" s="12"/>
      <c r="DR168" s="12"/>
      <c r="DS168" s="12"/>
      <c r="DT168" s="12"/>
      <c r="DU168" s="12"/>
      <c r="DV168" s="12"/>
      <c r="DW168" s="12"/>
      <c r="DX168" s="12"/>
      <c r="DY168" s="12"/>
      <c r="DZ168" s="12"/>
      <c r="EA168" s="12"/>
      <c r="EB168" s="12"/>
      <c r="EC168" s="12"/>
      <c r="ED168" s="12"/>
      <c r="EE168" s="12"/>
      <c r="EF168" s="12"/>
      <c r="EG168" s="12"/>
      <c r="EH168" s="12"/>
      <c r="EI168" s="12"/>
      <c r="EJ168" s="12"/>
      <c r="EK168" s="12"/>
      <c r="EL168" s="12"/>
      <c r="EM168" s="12"/>
      <c r="EN168" s="12"/>
      <c r="EO168" s="12"/>
      <c r="EP168" s="12"/>
      <c r="EQ168" s="12"/>
      <c r="ER168" s="12"/>
      <c r="ES168" s="12"/>
      <c r="ET168" s="12"/>
      <c r="EU168" s="12"/>
      <c r="EV168" s="12"/>
      <c r="EW168" s="12"/>
      <c r="EX168" s="12"/>
      <c r="EY168" s="12"/>
      <c r="EZ168" s="12"/>
      <c r="FA168" s="12"/>
      <c r="FB168" s="12"/>
      <c r="FC168" s="12"/>
      <c r="FD168" s="12"/>
      <c r="FE168" s="12"/>
      <c r="FF168" s="12"/>
      <c r="FG168" s="12"/>
      <c r="FH168" s="12"/>
      <c r="FI168" s="12"/>
      <c r="FJ168" s="12"/>
      <c r="FK168" s="12"/>
      <c r="FL168" s="12"/>
      <c r="FM168" s="12"/>
      <c r="FN168" s="12"/>
      <c r="FO168" s="12"/>
      <c r="FP168" s="12"/>
      <c r="FQ168" s="12"/>
      <c r="FR168" s="12"/>
      <c r="FS168" s="12"/>
      <c r="FT168" s="12"/>
      <c r="FU168" s="12"/>
      <c r="FV168" s="12"/>
      <c r="FW168" s="12"/>
      <c r="FX168" s="12"/>
      <c r="FY168" s="12"/>
      <c r="FZ168" s="12"/>
      <c r="GA168" s="12"/>
      <c r="GB168" s="12"/>
      <c r="GC168" s="12"/>
      <c r="GD168" s="12"/>
      <c r="GE168" s="12"/>
    </row>
    <row r="169" spans="1:187" ht="21" customHeight="1">
      <c r="A169" s="45"/>
      <c r="B169" s="86" t="s">
        <v>31</v>
      </c>
      <c r="C169" s="10" t="s">
        <v>190</v>
      </c>
      <c r="D169" s="10" t="s">
        <v>191</v>
      </c>
      <c r="E169" s="35">
        <v>59.082000000000001</v>
      </c>
      <c r="F169" s="35">
        <f>86.399-E169</f>
        <v>27.317</v>
      </c>
      <c r="G169" s="35">
        <v>8.5500000000000007</v>
      </c>
      <c r="H169" s="35">
        <f>63.513-G169</f>
        <v>54.962999999999994</v>
      </c>
      <c r="I169" s="35">
        <f t="shared" si="22"/>
        <v>149.91199999999998</v>
      </c>
      <c r="J169" s="56">
        <v>189.702</v>
      </c>
      <c r="K169" s="49">
        <v>5156.87</v>
      </c>
      <c r="L169" s="49">
        <v>5363.1448</v>
      </c>
      <c r="M169" s="49">
        <v>1868.01</v>
      </c>
      <c r="N169" s="49">
        <v>1937.12637</v>
      </c>
      <c r="O169" s="56">
        <f t="shared" si="23"/>
        <v>3288.8599999999997</v>
      </c>
      <c r="P169" s="1">
        <f t="shared" si="24"/>
        <v>194312.42651999998</v>
      </c>
      <c r="Q169" s="1">
        <f t="shared" si="18"/>
        <v>89841.788619999992</v>
      </c>
      <c r="R169" s="1">
        <f t="shared" si="19"/>
        <v>29292.457576500005</v>
      </c>
      <c r="S169" s="1">
        <f t="shared" si="20"/>
        <v>188304.25096809</v>
      </c>
      <c r="T169" s="1">
        <f t="shared" si="21"/>
        <v>501750.92368459003</v>
      </c>
      <c r="U169" s="11"/>
      <c r="V169" s="11"/>
      <c r="W169" s="11"/>
      <c r="X169" s="12"/>
      <c r="Y169" s="12"/>
      <c r="Z169" s="12"/>
      <c r="AA169" s="12"/>
      <c r="AB169" s="12"/>
      <c r="AC169" s="12"/>
      <c r="AD169" s="12"/>
      <c r="AE169" s="12"/>
      <c r="AF169" s="12"/>
      <c r="AG169" s="12"/>
      <c r="AH169" s="12"/>
      <c r="AI169" s="12"/>
      <c r="AJ169" s="12"/>
      <c r="AK169" s="12"/>
      <c r="AL169" s="12"/>
      <c r="AM169" s="12"/>
      <c r="AN169" s="12"/>
      <c r="AO169" s="12"/>
      <c r="AP169" s="12"/>
      <c r="AQ169" s="12"/>
      <c r="AR169" s="12"/>
      <c r="AS169" s="12"/>
      <c r="AT169" s="12"/>
      <c r="AU169" s="12"/>
      <c r="AV169" s="12"/>
      <c r="AW169" s="12"/>
      <c r="AX169" s="12"/>
      <c r="AY169" s="12"/>
      <c r="AZ169" s="12"/>
      <c r="BA169" s="12"/>
      <c r="BB169" s="12"/>
      <c r="BC169" s="12"/>
      <c r="BD169" s="12"/>
      <c r="BE169" s="12"/>
      <c r="BF169" s="12"/>
      <c r="BG169" s="12"/>
      <c r="BH169" s="12"/>
      <c r="BI169" s="12"/>
      <c r="BJ169" s="12"/>
      <c r="BK169" s="12"/>
      <c r="BL169" s="12"/>
      <c r="BM169" s="12"/>
      <c r="BN169" s="12"/>
      <c r="BO169" s="12"/>
      <c r="BP169" s="12"/>
      <c r="BQ169" s="12"/>
      <c r="BR169" s="12"/>
      <c r="BS169" s="12"/>
      <c r="BT169" s="12"/>
      <c r="BU169" s="12"/>
      <c r="BV169" s="12"/>
      <c r="BW169" s="12"/>
      <c r="BX169" s="12"/>
      <c r="BY169" s="12"/>
      <c r="BZ169" s="12"/>
      <c r="CA169" s="12"/>
      <c r="CB169" s="12"/>
      <c r="CC169" s="12"/>
      <c r="CD169" s="12"/>
      <c r="CE169" s="12"/>
      <c r="CF169" s="12"/>
      <c r="CG169" s="12"/>
      <c r="CH169" s="12"/>
      <c r="CI169" s="12"/>
      <c r="CJ169" s="12"/>
      <c r="CK169" s="12"/>
      <c r="CL169" s="12"/>
      <c r="CM169" s="12"/>
      <c r="CN169" s="12"/>
      <c r="CO169" s="12"/>
      <c r="CP169" s="12"/>
      <c r="CQ169" s="12"/>
      <c r="CR169" s="12"/>
      <c r="CS169" s="12"/>
      <c r="CT169" s="12"/>
      <c r="CU169" s="12"/>
      <c r="CV169" s="12"/>
      <c r="CW169" s="12"/>
      <c r="CX169" s="12"/>
      <c r="CY169" s="12"/>
      <c r="CZ169" s="12"/>
      <c r="DA169" s="12"/>
      <c r="DB169" s="12"/>
      <c r="DC169" s="12"/>
      <c r="DD169" s="12"/>
      <c r="DE169" s="12"/>
      <c r="DF169" s="12"/>
      <c r="DG169" s="12"/>
      <c r="DH169" s="12"/>
      <c r="DI169" s="12"/>
      <c r="DJ169" s="12"/>
      <c r="DK169" s="12"/>
      <c r="DL169" s="12"/>
      <c r="DM169" s="12"/>
      <c r="DN169" s="12"/>
      <c r="DO169" s="12"/>
      <c r="DP169" s="12"/>
      <c r="DQ169" s="12"/>
      <c r="DR169" s="12"/>
      <c r="DS169" s="12"/>
      <c r="DT169" s="12"/>
      <c r="DU169" s="12"/>
      <c r="DV169" s="12"/>
      <c r="DW169" s="12"/>
      <c r="DX169" s="12"/>
      <c r="DY169" s="12"/>
      <c r="DZ169" s="12"/>
      <c r="EA169" s="12"/>
      <c r="EB169" s="12"/>
      <c r="EC169" s="12"/>
      <c r="ED169" s="12"/>
      <c r="EE169" s="12"/>
      <c r="EF169" s="12"/>
      <c r="EG169" s="12"/>
      <c r="EH169" s="12"/>
      <c r="EI169" s="12"/>
      <c r="EJ169" s="12"/>
      <c r="EK169" s="12"/>
      <c r="EL169" s="12"/>
      <c r="EM169" s="12"/>
      <c r="EN169" s="12"/>
      <c r="EO169" s="12"/>
      <c r="EP169" s="12"/>
      <c r="EQ169" s="12"/>
      <c r="ER169" s="12"/>
      <c r="ES169" s="12"/>
      <c r="ET169" s="12"/>
      <c r="EU169" s="12"/>
      <c r="EV169" s="12"/>
      <c r="EW169" s="12"/>
      <c r="EX169" s="12"/>
      <c r="EY169" s="12"/>
      <c r="EZ169" s="12"/>
      <c r="FA169" s="12"/>
      <c r="FB169" s="12"/>
      <c r="FC169" s="12"/>
      <c r="FD169" s="12"/>
      <c r="FE169" s="12"/>
      <c r="FF169" s="12"/>
      <c r="FG169" s="12"/>
      <c r="FH169" s="12"/>
      <c r="FI169" s="12"/>
      <c r="FJ169" s="12"/>
      <c r="FK169" s="12"/>
      <c r="FL169" s="12"/>
      <c r="FM169" s="12"/>
      <c r="FN169" s="12"/>
      <c r="FO169" s="12"/>
      <c r="FP169" s="12"/>
      <c r="FQ169" s="12"/>
      <c r="FR169" s="12"/>
      <c r="FS169" s="12"/>
      <c r="FT169" s="12"/>
      <c r="FU169" s="12"/>
      <c r="FV169" s="12"/>
      <c r="FW169" s="12"/>
      <c r="FX169" s="12"/>
      <c r="FY169" s="12"/>
      <c r="FZ169" s="12"/>
      <c r="GA169" s="12"/>
      <c r="GB169" s="12"/>
      <c r="GC169" s="12"/>
      <c r="GD169" s="12"/>
      <c r="GE169" s="12"/>
    </row>
    <row r="170" spans="1:187" ht="21" customHeight="1">
      <c r="A170" s="45"/>
      <c r="B170" s="86" t="s">
        <v>34</v>
      </c>
      <c r="C170" s="10" t="s">
        <v>195</v>
      </c>
      <c r="D170" s="10" t="s">
        <v>196</v>
      </c>
      <c r="E170" s="35">
        <v>16.134</v>
      </c>
      <c r="F170" s="35">
        <f>23.594-E170</f>
        <v>7.4600000000000009</v>
      </c>
      <c r="G170" s="35">
        <v>2.5099999999999998</v>
      </c>
      <c r="H170" s="35">
        <f>18.644-G170</f>
        <v>16.134</v>
      </c>
      <c r="I170" s="35">
        <f t="shared" si="22"/>
        <v>42.238</v>
      </c>
      <c r="J170" s="56">
        <v>76.082976000000002</v>
      </c>
      <c r="K170" s="49">
        <v>3417.89</v>
      </c>
      <c r="L170" s="49">
        <v>3554.6055999999999</v>
      </c>
      <c r="M170" s="49">
        <v>1377.76</v>
      </c>
      <c r="N170" s="49">
        <v>1428.7371199999998</v>
      </c>
      <c r="O170" s="56">
        <f t="shared" si="23"/>
        <v>2040.1299999999999</v>
      </c>
      <c r="P170" s="1">
        <f t="shared" si="24"/>
        <v>32915.457419999999</v>
      </c>
      <c r="Q170" s="1">
        <f t="shared" si="18"/>
        <v>15219.3698</v>
      </c>
      <c r="R170" s="1">
        <f t="shared" si="19"/>
        <v>5335.9298847999999</v>
      </c>
      <c r="S170" s="1">
        <f t="shared" si="20"/>
        <v>34298.762056320003</v>
      </c>
      <c r="T170" s="1">
        <f t="shared" si="21"/>
        <v>87769.519161119999</v>
      </c>
      <c r="U170" s="11"/>
      <c r="V170" s="11"/>
      <c r="W170" s="11"/>
      <c r="X170" s="12"/>
      <c r="Y170" s="12"/>
      <c r="Z170" s="12"/>
      <c r="AA170" s="12"/>
      <c r="AB170" s="12"/>
      <c r="AC170" s="12"/>
      <c r="AD170" s="12"/>
      <c r="AE170" s="12"/>
      <c r="AF170" s="12"/>
      <c r="AG170" s="12"/>
      <c r="AH170" s="12"/>
      <c r="AI170" s="12"/>
      <c r="AJ170" s="12"/>
      <c r="AK170" s="12"/>
      <c r="AL170" s="12"/>
      <c r="AM170" s="12"/>
      <c r="AN170" s="12"/>
      <c r="AO170" s="12"/>
      <c r="AP170" s="12"/>
      <c r="AQ170" s="12"/>
      <c r="AR170" s="12"/>
      <c r="AS170" s="12"/>
      <c r="AT170" s="12"/>
      <c r="AU170" s="12"/>
      <c r="AV170" s="12"/>
      <c r="AW170" s="12"/>
      <c r="AX170" s="12"/>
      <c r="AY170" s="12"/>
      <c r="AZ170" s="12"/>
      <c r="BA170" s="12"/>
      <c r="BB170" s="12"/>
      <c r="BC170" s="12"/>
      <c r="BD170" s="12"/>
      <c r="BE170" s="12"/>
      <c r="BF170" s="12"/>
      <c r="BG170" s="12"/>
      <c r="BH170" s="12"/>
      <c r="BI170" s="12"/>
      <c r="BJ170" s="12"/>
      <c r="BK170" s="12"/>
      <c r="BL170" s="12"/>
      <c r="BM170" s="12"/>
      <c r="BN170" s="12"/>
      <c r="BO170" s="12"/>
      <c r="BP170" s="12"/>
      <c r="BQ170" s="12"/>
      <c r="BR170" s="12"/>
      <c r="BS170" s="12"/>
      <c r="BT170" s="12"/>
      <c r="BU170" s="12"/>
      <c r="BV170" s="12"/>
      <c r="BW170" s="12"/>
      <c r="BX170" s="12"/>
      <c r="BY170" s="12"/>
      <c r="BZ170" s="12"/>
      <c r="CA170" s="12"/>
      <c r="CB170" s="12"/>
      <c r="CC170" s="12"/>
      <c r="CD170" s="12"/>
      <c r="CE170" s="12"/>
      <c r="CF170" s="12"/>
      <c r="CG170" s="12"/>
      <c r="CH170" s="12"/>
      <c r="CI170" s="12"/>
      <c r="CJ170" s="12"/>
      <c r="CK170" s="12"/>
      <c r="CL170" s="12"/>
      <c r="CM170" s="12"/>
      <c r="CN170" s="12"/>
      <c r="CO170" s="12"/>
      <c r="CP170" s="12"/>
      <c r="CQ170" s="12"/>
      <c r="CR170" s="12"/>
      <c r="CS170" s="12"/>
      <c r="CT170" s="12"/>
      <c r="CU170" s="12"/>
      <c r="CV170" s="12"/>
      <c r="CW170" s="12"/>
      <c r="CX170" s="12"/>
      <c r="CY170" s="12"/>
      <c r="CZ170" s="12"/>
      <c r="DA170" s="12"/>
      <c r="DB170" s="12"/>
      <c r="DC170" s="12"/>
      <c r="DD170" s="12"/>
      <c r="DE170" s="12"/>
      <c r="DF170" s="12"/>
      <c r="DG170" s="12"/>
      <c r="DH170" s="12"/>
      <c r="DI170" s="12"/>
      <c r="DJ170" s="12"/>
      <c r="DK170" s="12"/>
      <c r="DL170" s="12"/>
      <c r="DM170" s="12"/>
      <c r="DN170" s="12"/>
      <c r="DO170" s="12"/>
      <c r="DP170" s="12"/>
      <c r="DQ170" s="12"/>
      <c r="DR170" s="12"/>
      <c r="DS170" s="12"/>
      <c r="DT170" s="12"/>
      <c r="DU170" s="12"/>
      <c r="DV170" s="12"/>
      <c r="DW170" s="12"/>
      <c r="DX170" s="12"/>
      <c r="DY170" s="12"/>
      <c r="DZ170" s="12"/>
      <c r="EA170" s="12"/>
      <c r="EB170" s="12"/>
      <c r="EC170" s="12"/>
      <c r="ED170" s="12"/>
      <c r="EE170" s="12"/>
      <c r="EF170" s="12"/>
      <c r="EG170" s="12"/>
      <c r="EH170" s="12"/>
      <c r="EI170" s="12"/>
      <c r="EJ170" s="12"/>
      <c r="EK170" s="12"/>
      <c r="EL170" s="12"/>
      <c r="EM170" s="12"/>
      <c r="EN170" s="12"/>
      <c r="EO170" s="12"/>
      <c r="EP170" s="12"/>
      <c r="EQ170" s="12"/>
      <c r="ER170" s="12"/>
      <c r="ES170" s="12"/>
      <c r="ET170" s="12"/>
      <c r="EU170" s="12"/>
      <c r="EV170" s="12"/>
      <c r="EW170" s="12"/>
      <c r="EX170" s="12"/>
      <c r="EY170" s="12"/>
      <c r="EZ170" s="12"/>
      <c r="FA170" s="12"/>
      <c r="FB170" s="12"/>
      <c r="FC170" s="12"/>
      <c r="FD170" s="12"/>
      <c r="FE170" s="12"/>
      <c r="FF170" s="12"/>
      <c r="FG170" s="12"/>
      <c r="FH170" s="12"/>
      <c r="FI170" s="12"/>
      <c r="FJ170" s="12"/>
      <c r="FK170" s="12"/>
      <c r="FL170" s="12"/>
      <c r="FM170" s="12"/>
      <c r="FN170" s="12"/>
      <c r="FO170" s="12"/>
      <c r="FP170" s="12"/>
      <c r="FQ170" s="12"/>
      <c r="FR170" s="12"/>
      <c r="FS170" s="12"/>
      <c r="FT170" s="12"/>
      <c r="FU170" s="12"/>
      <c r="FV170" s="12"/>
      <c r="FW170" s="12"/>
      <c r="FX170" s="12"/>
      <c r="FY170" s="12"/>
      <c r="FZ170" s="12"/>
      <c r="GA170" s="12"/>
      <c r="GB170" s="12"/>
      <c r="GC170" s="12"/>
      <c r="GD170" s="12"/>
      <c r="GE170" s="12"/>
    </row>
    <row r="171" spans="1:187" ht="21" customHeight="1">
      <c r="A171" s="45"/>
      <c r="B171" s="86" t="s">
        <v>275</v>
      </c>
      <c r="C171" s="10" t="s">
        <v>186</v>
      </c>
      <c r="D171" s="10" t="s">
        <v>187</v>
      </c>
      <c r="E171" s="35">
        <v>566.79999999999995</v>
      </c>
      <c r="F171" s="35">
        <f>834.139-E171</f>
        <v>267.33900000000006</v>
      </c>
      <c r="G171" s="35">
        <v>72.099999999999994</v>
      </c>
      <c r="H171" s="35">
        <f>624.346-G171</f>
        <v>552.24599999999998</v>
      </c>
      <c r="I171" s="35">
        <f t="shared" si="22"/>
        <v>1458.4850000000001</v>
      </c>
      <c r="J171" s="56">
        <v>1926.16326</v>
      </c>
      <c r="K171" s="49">
        <v>2339.13</v>
      </c>
      <c r="L171" s="49">
        <v>2432.6952000000001</v>
      </c>
      <c r="M171" s="49">
        <v>1553.3</v>
      </c>
      <c r="N171" s="49">
        <v>1610.7720999999999</v>
      </c>
      <c r="O171" s="56">
        <f t="shared" si="23"/>
        <v>785.83000000000015</v>
      </c>
      <c r="P171" s="1">
        <f t="shared" si="24"/>
        <v>445408.44400000008</v>
      </c>
      <c r="Q171" s="1">
        <f t="shared" si="18"/>
        <v>210083.00637000008</v>
      </c>
      <c r="R171" s="1">
        <f t="shared" si="19"/>
        <v>59260.655510000011</v>
      </c>
      <c r="S171" s="1">
        <f t="shared" si="20"/>
        <v>453903.74428260012</v>
      </c>
      <c r="T171" s="1">
        <f t="shared" si="21"/>
        <v>1168655.8501626002</v>
      </c>
      <c r="U171" s="11"/>
      <c r="V171" s="11"/>
      <c r="W171" s="11"/>
      <c r="X171" s="12"/>
      <c r="Y171" s="12"/>
      <c r="Z171" s="12"/>
      <c r="AA171" s="12"/>
      <c r="AB171" s="12"/>
      <c r="AC171" s="12"/>
      <c r="AD171" s="12"/>
      <c r="AE171" s="12"/>
      <c r="AF171" s="12"/>
      <c r="AG171" s="12"/>
      <c r="AH171" s="12"/>
      <c r="AI171" s="12"/>
      <c r="AJ171" s="12"/>
      <c r="AK171" s="12"/>
      <c r="AL171" s="12"/>
      <c r="AM171" s="12"/>
      <c r="AN171" s="12"/>
      <c r="AO171" s="12"/>
      <c r="AP171" s="12"/>
      <c r="AQ171" s="12"/>
      <c r="AR171" s="12"/>
      <c r="AS171" s="12"/>
      <c r="AT171" s="12"/>
      <c r="AU171" s="12"/>
      <c r="AV171" s="12"/>
      <c r="AW171" s="12"/>
      <c r="AX171" s="12"/>
      <c r="AY171" s="12"/>
      <c r="AZ171" s="12"/>
      <c r="BA171" s="12"/>
      <c r="BB171" s="12"/>
      <c r="BC171" s="12"/>
      <c r="BD171" s="12"/>
      <c r="BE171" s="12"/>
      <c r="BF171" s="12"/>
      <c r="BG171" s="12"/>
      <c r="BH171" s="12"/>
      <c r="BI171" s="12"/>
      <c r="BJ171" s="12"/>
      <c r="BK171" s="12"/>
      <c r="BL171" s="12"/>
      <c r="BM171" s="12"/>
      <c r="BN171" s="12"/>
      <c r="BO171" s="12"/>
      <c r="BP171" s="12"/>
      <c r="BQ171" s="12"/>
      <c r="BR171" s="12"/>
      <c r="BS171" s="12"/>
      <c r="BT171" s="12"/>
      <c r="BU171" s="12"/>
      <c r="BV171" s="12"/>
      <c r="BW171" s="12"/>
      <c r="BX171" s="12"/>
      <c r="BY171" s="12"/>
      <c r="BZ171" s="12"/>
      <c r="CA171" s="12"/>
      <c r="CB171" s="12"/>
      <c r="CC171" s="12"/>
      <c r="CD171" s="12"/>
      <c r="CE171" s="12"/>
      <c r="CF171" s="12"/>
      <c r="CG171" s="12"/>
      <c r="CH171" s="12"/>
      <c r="CI171" s="12"/>
      <c r="CJ171" s="12"/>
      <c r="CK171" s="12"/>
      <c r="CL171" s="12"/>
      <c r="CM171" s="12"/>
      <c r="CN171" s="12"/>
      <c r="CO171" s="12"/>
      <c r="CP171" s="12"/>
      <c r="CQ171" s="12"/>
      <c r="CR171" s="12"/>
      <c r="CS171" s="12"/>
      <c r="CT171" s="12"/>
      <c r="CU171" s="12"/>
      <c r="CV171" s="12"/>
      <c r="CW171" s="12"/>
      <c r="CX171" s="12"/>
      <c r="CY171" s="12"/>
      <c r="CZ171" s="12"/>
      <c r="DA171" s="12"/>
      <c r="DB171" s="12"/>
      <c r="DC171" s="12"/>
      <c r="DD171" s="12"/>
      <c r="DE171" s="12"/>
      <c r="DF171" s="12"/>
      <c r="DG171" s="12"/>
      <c r="DH171" s="12"/>
      <c r="DI171" s="12"/>
      <c r="DJ171" s="12"/>
      <c r="DK171" s="12"/>
      <c r="DL171" s="12"/>
      <c r="DM171" s="12"/>
      <c r="DN171" s="12"/>
      <c r="DO171" s="12"/>
      <c r="DP171" s="12"/>
      <c r="DQ171" s="12"/>
      <c r="DR171" s="12"/>
      <c r="DS171" s="12"/>
      <c r="DT171" s="12"/>
      <c r="DU171" s="12"/>
      <c r="DV171" s="12"/>
      <c r="DW171" s="12"/>
      <c r="DX171" s="12"/>
      <c r="DY171" s="12"/>
      <c r="DZ171" s="12"/>
      <c r="EA171" s="12"/>
      <c r="EB171" s="12"/>
      <c r="EC171" s="12"/>
      <c r="ED171" s="12"/>
      <c r="EE171" s="12"/>
      <c r="EF171" s="12"/>
      <c r="EG171" s="12"/>
      <c r="EH171" s="12"/>
      <c r="EI171" s="12"/>
      <c r="EJ171" s="12"/>
      <c r="EK171" s="12"/>
      <c r="EL171" s="12"/>
      <c r="EM171" s="12"/>
      <c r="EN171" s="12"/>
      <c r="EO171" s="12"/>
      <c r="EP171" s="12"/>
      <c r="EQ171" s="12"/>
      <c r="ER171" s="12"/>
      <c r="ES171" s="12"/>
      <c r="ET171" s="12"/>
      <c r="EU171" s="12"/>
      <c r="EV171" s="12"/>
      <c r="EW171" s="12"/>
      <c r="EX171" s="12"/>
      <c r="EY171" s="12"/>
      <c r="EZ171" s="12"/>
      <c r="FA171" s="12"/>
      <c r="FB171" s="12"/>
      <c r="FC171" s="12"/>
      <c r="FD171" s="12"/>
      <c r="FE171" s="12"/>
      <c r="FF171" s="12"/>
      <c r="FG171" s="12"/>
      <c r="FH171" s="12"/>
      <c r="FI171" s="12"/>
      <c r="FJ171" s="12"/>
      <c r="FK171" s="12"/>
      <c r="FL171" s="12"/>
      <c r="FM171" s="12"/>
      <c r="FN171" s="12"/>
      <c r="FO171" s="12"/>
      <c r="FP171" s="12"/>
      <c r="FQ171" s="12"/>
      <c r="FR171" s="12"/>
      <c r="FS171" s="12"/>
      <c r="FT171" s="12"/>
      <c r="FU171" s="12"/>
      <c r="FV171" s="12"/>
      <c r="FW171" s="12"/>
      <c r="FX171" s="12"/>
      <c r="FY171" s="12"/>
      <c r="FZ171" s="12"/>
      <c r="GA171" s="12"/>
      <c r="GB171" s="12"/>
      <c r="GC171" s="12"/>
      <c r="GD171" s="12"/>
      <c r="GE171" s="12"/>
    </row>
    <row r="172" spans="1:187" ht="21" customHeight="1">
      <c r="A172" s="45"/>
      <c r="B172" s="86" t="s">
        <v>272</v>
      </c>
      <c r="C172" s="10" t="s">
        <v>199</v>
      </c>
      <c r="D172" s="10" t="s">
        <v>200</v>
      </c>
      <c r="E172" s="35">
        <v>47.841000000000001</v>
      </c>
      <c r="F172" s="35">
        <f>64.535-E172</f>
        <v>16.693999999999996</v>
      </c>
      <c r="G172" s="35">
        <v>8.5</v>
      </c>
      <c r="H172" s="35">
        <v>51</v>
      </c>
      <c r="I172" s="35">
        <f t="shared" si="22"/>
        <v>124.035</v>
      </c>
      <c r="J172" s="56">
        <v>135.97333333333333</v>
      </c>
      <c r="K172" s="49">
        <v>4212.1099999999997</v>
      </c>
      <c r="L172" s="49">
        <v>4380.5944</v>
      </c>
      <c r="M172" s="49">
        <v>1855.67</v>
      </c>
      <c r="N172" s="49">
        <v>1924.32979</v>
      </c>
      <c r="O172" s="56">
        <f t="shared" si="23"/>
        <v>2356.4399999999996</v>
      </c>
      <c r="P172" s="1">
        <f t="shared" si="24"/>
        <v>112734.44603999998</v>
      </c>
      <c r="Q172" s="1">
        <f t="shared" si="18"/>
        <v>39338.409359999983</v>
      </c>
      <c r="R172" s="1">
        <f t="shared" si="19"/>
        <v>20878.249185000001</v>
      </c>
      <c r="S172" s="1">
        <f t="shared" si="20"/>
        <v>125269.49511</v>
      </c>
      <c r="T172" s="1">
        <f t="shared" si="21"/>
        <v>298220.59969499998</v>
      </c>
      <c r="U172" s="11"/>
      <c r="V172" s="11"/>
      <c r="W172" s="11"/>
      <c r="X172" s="12"/>
      <c r="Y172" s="12"/>
      <c r="Z172" s="12"/>
      <c r="AA172" s="12"/>
      <c r="AB172" s="12"/>
      <c r="AC172" s="12"/>
      <c r="AD172" s="12"/>
      <c r="AE172" s="12"/>
      <c r="AF172" s="12"/>
      <c r="AG172" s="12"/>
      <c r="AH172" s="12"/>
      <c r="AI172" s="12"/>
      <c r="AJ172" s="12"/>
      <c r="AK172" s="12"/>
      <c r="AL172" s="12"/>
      <c r="AM172" s="12"/>
      <c r="AN172" s="12"/>
      <c r="AO172" s="12"/>
      <c r="AP172" s="12"/>
      <c r="AQ172" s="12"/>
      <c r="AR172" s="12"/>
      <c r="AS172" s="12"/>
      <c r="AT172" s="12"/>
      <c r="AU172" s="12"/>
      <c r="AV172" s="12"/>
      <c r="AW172" s="12"/>
      <c r="AX172" s="12"/>
      <c r="AY172" s="12"/>
      <c r="AZ172" s="12"/>
      <c r="BA172" s="12"/>
      <c r="BB172" s="12"/>
      <c r="BC172" s="12"/>
      <c r="BD172" s="12"/>
      <c r="BE172" s="12"/>
      <c r="BF172" s="12"/>
      <c r="BG172" s="12"/>
      <c r="BH172" s="12"/>
      <c r="BI172" s="12"/>
      <c r="BJ172" s="12"/>
      <c r="BK172" s="12"/>
      <c r="BL172" s="12"/>
      <c r="BM172" s="12"/>
      <c r="BN172" s="12"/>
      <c r="BO172" s="12"/>
      <c r="BP172" s="12"/>
      <c r="BQ172" s="12"/>
      <c r="BR172" s="12"/>
      <c r="BS172" s="12"/>
      <c r="BT172" s="12"/>
      <c r="BU172" s="12"/>
      <c r="BV172" s="12"/>
      <c r="BW172" s="12"/>
      <c r="BX172" s="12"/>
      <c r="BY172" s="12"/>
      <c r="BZ172" s="12"/>
      <c r="CA172" s="12"/>
      <c r="CB172" s="12"/>
      <c r="CC172" s="12"/>
      <c r="CD172" s="12"/>
      <c r="CE172" s="12"/>
      <c r="CF172" s="12"/>
      <c r="CG172" s="12"/>
      <c r="CH172" s="12"/>
      <c r="CI172" s="12"/>
      <c r="CJ172" s="12"/>
      <c r="CK172" s="12"/>
      <c r="CL172" s="12"/>
      <c r="CM172" s="12"/>
      <c r="CN172" s="12"/>
      <c r="CO172" s="12"/>
      <c r="CP172" s="12"/>
      <c r="CQ172" s="12"/>
      <c r="CR172" s="12"/>
      <c r="CS172" s="12"/>
      <c r="CT172" s="12"/>
      <c r="CU172" s="12"/>
      <c r="CV172" s="12"/>
      <c r="CW172" s="12"/>
      <c r="CX172" s="12"/>
      <c r="CY172" s="12"/>
      <c r="CZ172" s="12"/>
      <c r="DA172" s="12"/>
      <c r="DB172" s="12"/>
      <c r="DC172" s="12"/>
      <c r="DD172" s="12"/>
      <c r="DE172" s="12"/>
      <c r="DF172" s="12"/>
      <c r="DG172" s="12"/>
      <c r="DH172" s="12"/>
      <c r="DI172" s="12"/>
      <c r="DJ172" s="12"/>
      <c r="DK172" s="12"/>
      <c r="DL172" s="12"/>
      <c r="DM172" s="12"/>
      <c r="DN172" s="12"/>
      <c r="DO172" s="12"/>
      <c r="DP172" s="12"/>
      <c r="DQ172" s="12"/>
      <c r="DR172" s="12"/>
      <c r="DS172" s="12"/>
      <c r="DT172" s="12"/>
      <c r="DU172" s="12"/>
      <c r="DV172" s="12"/>
      <c r="DW172" s="12"/>
      <c r="DX172" s="12"/>
      <c r="DY172" s="12"/>
      <c r="DZ172" s="12"/>
      <c r="EA172" s="12"/>
      <c r="EB172" s="12"/>
      <c r="EC172" s="12"/>
      <c r="ED172" s="12"/>
      <c r="EE172" s="12"/>
      <c r="EF172" s="12"/>
      <c r="EG172" s="12"/>
      <c r="EH172" s="12"/>
      <c r="EI172" s="12"/>
      <c r="EJ172" s="12"/>
      <c r="EK172" s="12"/>
      <c r="EL172" s="12"/>
      <c r="EM172" s="12"/>
      <c r="EN172" s="12"/>
      <c r="EO172" s="12"/>
      <c r="EP172" s="12"/>
      <c r="EQ172" s="12"/>
      <c r="ER172" s="12"/>
      <c r="ES172" s="12"/>
      <c r="ET172" s="12"/>
      <c r="EU172" s="12"/>
      <c r="EV172" s="12"/>
      <c r="EW172" s="12"/>
      <c r="EX172" s="12"/>
      <c r="EY172" s="12"/>
      <c r="EZ172" s="12"/>
      <c r="FA172" s="12"/>
      <c r="FB172" s="12"/>
      <c r="FC172" s="12"/>
      <c r="FD172" s="12"/>
      <c r="FE172" s="12"/>
      <c r="FF172" s="12"/>
      <c r="FG172" s="12"/>
      <c r="FH172" s="12"/>
      <c r="FI172" s="12"/>
      <c r="FJ172" s="12"/>
      <c r="FK172" s="12"/>
      <c r="FL172" s="12"/>
      <c r="FM172" s="12"/>
      <c r="FN172" s="12"/>
      <c r="FO172" s="12"/>
      <c r="FP172" s="12"/>
      <c r="FQ172" s="12"/>
      <c r="FR172" s="12"/>
      <c r="FS172" s="12"/>
      <c r="FT172" s="12"/>
      <c r="FU172" s="12"/>
      <c r="FV172" s="12"/>
      <c r="FW172" s="12"/>
      <c r="FX172" s="12"/>
      <c r="FY172" s="12"/>
      <c r="FZ172" s="12"/>
      <c r="GA172" s="12"/>
      <c r="GB172" s="12"/>
      <c r="GC172" s="12"/>
      <c r="GD172" s="12"/>
      <c r="GE172" s="12"/>
    </row>
    <row r="173" spans="1:187" ht="21" customHeight="1">
      <c r="A173" s="45"/>
      <c r="B173" s="86" t="s">
        <v>382</v>
      </c>
      <c r="C173" s="10" t="s">
        <v>383</v>
      </c>
      <c r="D173" s="10" t="s">
        <v>201</v>
      </c>
      <c r="E173" s="35">
        <v>7.6079999999999997</v>
      </c>
      <c r="F173" s="35">
        <f>11.38-E173</f>
        <v>3.7720000000000011</v>
      </c>
      <c r="G173" s="35">
        <v>1.18</v>
      </c>
      <c r="H173" s="35">
        <v>7.05</v>
      </c>
      <c r="I173" s="35">
        <f t="shared" si="22"/>
        <v>19.61</v>
      </c>
      <c r="J173" s="56">
        <v>20.75</v>
      </c>
      <c r="K173" s="49">
        <v>3639.69</v>
      </c>
      <c r="L173" s="49">
        <v>4463.47</v>
      </c>
      <c r="M173" s="49">
        <v>1855.5</v>
      </c>
      <c r="N173" s="49">
        <v>1924.1534999999999</v>
      </c>
      <c r="O173" s="56">
        <f t="shared" si="23"/>
        <v>1784.19</v>
      </c>
      <c r="P173" s="1">
        <f t="shared" si="24"/>
        <v>13574.11752</v>
      </c>
      <c r="Q173" s="1">
        <f t="shared" si="18"/>
        <v>6729.9646800000019</v>
      </c>
      <c r="R173" s="1">
        <f t="shared" si="19"/>
        <v>2996.3934700000004</v>
      </c>
      <c r="S173" s="1">
        <f t="shared" si="20"/>
        <v>17902.181325000001</v>
      </c>
      <c r="T173" s="1">
        <f>SUM(P173:S173)</f>
        <v>41202.656994999998</v>
      </c>
      <c r="U173" s="11"/>
      <c r="V173" s="11"/>
      <c r="W173" s="11"/>
      <c r="X173" s="12"/>
      <c r="Y173" s="12"/>
      <c r="Z173" s="12"/>
      <c r="AA173" s="12"/>
      <c r="AB173" s="12"/>
      <c r="AC173" s="12"/>
      <c r="AD173" s="12"/>
      <c r="AE173" s="12"/>
      <c r="AF173" s="12"/>
      <c r="AG173" s="12"/>
      <c r="AH173" s="12"/>
      <c r="AI173" s="12"/>
      <c r="AJ173" s="12"/>
      <c r="AK173" s="12"/>
      <c r="AL173" s="12"/>
      <c r="AM173" s="12"/>
      <c r="AN173" s="12"/>
      <c r="AO173" s="12"/>
      <c r="AP173" s="12"/>
      <c r="AQ173" s="12"/>
      <c r="AR173" s="12"/>
      <c r="AS173" s="12"/>
      <c r="AT173" s="12"/>
      <c r="AU173" s="12"/>
      <c r="AV173" s="12"/>
      <c r="AW173" s="12"/>
      <c r="AX173" s="12"/>
      <c r="AY173" s="12"/>
      <c r="AZ173" s="12"/>
      <c r="BA173" s="12"/>
      <c r="BB173" s="12"/>
      <c r="BC173" s="12"/>
      <c r="BD173" s="12"/>
      <c r="BE173" s="12"/>
      <c r="BF173" s="12"/>
      <c r="BG173" s="12"/>
      <c r="BH173" s="12"/>
      <c r="BI173" s="12"/>
      <c r="BJ173" s="12"/>
      <c r="BK173" s="12"/>
      <c r="BL173" s="12"/>
      <c r="BM173" s="12"/>
      <c r="BN173" s="12"/>
      <c r="BO173" s="12"/>
      <c r="BP173" s="12"/>
      <c r="BQ173" s="12"/>
      <c r="BR173" s="12"/>
      <c r="BS173" s="12"/>
      <c r="BT173" s="12"/>
      <c r="BU173" s="12"/>
      <c r="BV173" s="12"/>
      <c r="BW173" s="12"/>
      <c r="BX173" s="12"/>
      <c r="BY173" s="12"/>
      <c r="BZ173" s="12"/>
      <c r="CA173" s="12"/>
      <c r="CB173" s="12"/>
      <c r="CC173" s="12"/>
      <c r="CD173" s="12"/>
      <c r="CE173" s="12"/>
      <c r="CF173" s="12"/>
      <c r="CG173" s="12"/>
      <c r="CH173" s="12"/>
      <c r="CI173" s="12"/>
      <c r="CJ173" s="12"/>
      <c r="CK173" s="12"/>
      <c r="CL173" s="12"/>
      <c r="CM173" s="12"/>
      <c r="CN173" s="12"/>
      <c r="CO173" s="12"/>
      <c r="CP173" s="12"/>
      <c r="CQ173" s="12"/>
      <c r="CR173" s="12"/>
      <c r="CS173" s="12"/>
      <c r="CT173" s="12"/>
      <c r="CU173" s="12"/>
      <c r="CV173" s="12"/>
      <c r="CW173" s="12"/>
      <c r="CX173" s="12"/>
      <c r="CY173" s="12"/>
      <c r="CZ173" s="12"/>
      <c r="DA173" s="12"/>
      <c r="DB173" s="12"/>
      <c r="DC173" s="12"/>
      <c r="DD173" s="12"/>
      <c r="DE173" s="12"/>
      <c r="DF173" s="12"/>
      <c r="DG173" s="12"/>
      <c r="DH173" s="12"/>
      <c r="DI173" s="12"/>
      <c r="DJ173" s="12"/>
      <c r="DK173" s="12"/>
      <c r="DL173" s="12"/>
      <c r="DM173" s="12"/>
      <c r="DN173" s="12"/>
      <c r="DO173" s="12"/>
      <c r="DP173" s="12"/>
      <c r="DQ173" s="12"/>
      <c r="DR173" s="12"/>
      <c r="DS173" s="12"/>
      <c r="DT173" s="12"/>
      <c r="DU173" s="12"/>
      <c r="DV173" s="12"/>
      <c r="DW173" s="12"/>
      <c r="DX173" s="12"/>
      <c r="DY173" s="12"/>
      <c r="DZ173" s="12"/>
      <c r="EA173" s="12"/>
      <c r="EB173" s="12"/>
      <c r="EC173" s="12"/>
      <c r="ED173" s="12"/>
      <c r="EE173" s="12"/>
      <c r="EF173" s="12"/>
      <c r="EG173" s="12"/>
      <c r="EH173" s="12"/>
      <c r="EI173" s="12"/>
      <c r="EJ173" s="12"/>
      <c r="EK173" s="12"/>
      <c r="EL173" s="12"/>
      <c r="EM173" s="12"/>
      <c r="EN173" s="12"/>
      <c r="EO173" s="12"/>
      <c r="EP173" s="12"/>
      <c r="EQ173" s="12"/>
      <c r="ER173" s="12"/>
      <c r="ES173" s="12"/>
      <c r="ET173" s="12"/>
      <c r="EU173" s="12"/>
      <c r="EV173" s="12"/>
      <c r="EW173" s="12"/>
      <c r="EX173" s="12"/>
      <c r="EY173" s="12"/>
      <c r="EZ173" s="12"/>
      <c r="FA173" s="12"/>
      <c r="FB173" s="12"/>
      <c r="FC173" s="12"/>
      <c r="FD173" s="12"/>
      <c r="FE173" s="12"/>
      <c r="FF173" s="12"/>
      <c r="FG173" s="12"/>
      <c r="FH173" s="12"/>
      <c r="FI173" s="12"/>
      <c r="FJ173" s="12"/>
      <c r="FK173" s="12"/>
      <c r="FL173" s="12"/>
      <c r="FM173" s="12"/>
      <c r="FN173" s="12"/>
      <c r="FO173" s="12"/>
      <c r="FP173" s="12"/>
      <c r="FQ173" s="12"/>
      <c r="FR173" s="12"/>
      <c r="FS173" s="12"/>
      <c r="FT173" s="12"/>
      <c r="FU173" s="12"/>
      <c r="FV173" s="12"/>
      <c r="FW173" s="12"/>
      <c r="FX173" s="12"/>
      <c r="FY173" s="12"/>
      <c r="FZ173" s="12"/>
      <c r="GA173" s="12"/>
      <c r="GB173" s="12"/>
      <c r="GC173" s="12"/>
      <c r="GD173" s="12"/>
      <c r="GE173" s="12"/>
    </row>
    <row r="174" spans="1:187" ht="21" customHeight="1">
      <c r="A174" s="45"/>
      <c r="B174" s="86" t="s">
        <v>382</v>
      </c>
      <c r="C174" s="10" t="s">
        <v>383</v>
      </c>
      <c r="D174" s="10" t="s">
        <v>302</v>
      </c>
      <c r="E174" s="35">
        <v>59.927999999999997</v>
      </c>
      <c r="F174" s="35">
        <f>84.997-E174</f>
        <v>25.069000000000003</v>
      </c>
      <c r="G174" s="35">
        <v>9.3699999999999992</v>
      </c>
      <c r="H174" s="35">
        <v>56.22</v>
      </c>
      <c r="I174" s="35">
        <f t="shared" si="22"/>
        <v>150.58699999999999</v>
      </c>
      <c r="J174" s="56">
        <v>149.06</v>
      </c>
      <c r="K174" s="49">
        <v>6071.3</v>
      </c>
      <c r="L174" s="49">
        <v>6314.152</v>
      </c>
      <c r="M174" s="49">
        <v>1644.32</v>
      </c>
      <c r="N174" s="49">
        <v>1705.1598399999998</v>
      </c>
      <c r="O174" s="56">
        <f t="shared" si="23"/>
        <v>4426.9800000000005</v>
      </c>
      <c r="P174" s="1">
        <f t="shared" si="24"/>
        <v>265300.05744</v>
      </c>
      <c r="Q174" s="1">
        <f t="shared" si="18"/>
        <v>110979.96162000002</v>
      </c>
      <c r="R174" s="1">
        <f t="shared" si="19"/>
        <v>43186.256539199996</v>
      </c>
      <c r="S174" s="1">
        <f t="shared" si="20"/>
        <v>259117.53923519998</v>
      </c>
      <c r="T174" s="1">
        <f t="shared" ref="T174:T237" si="25">SUM(P174:S174)</f>
        <v>678583.81483440008</v>
      </c>
      <c r="U174" s="11"/>
      <c r="V174" s="11"/>
      <c r="W174" s="11"/>
      <c r="X174" s="12"/>
      <c r="Y174" s="12"/>
      <c r="Z174" s="12"/>
      <c r="AA174" s="12"/>
      <c r="AB174" s="12"/>
      <c r="AC174" s="12"/>
      <c r="AD174" s="12"/>
      <c r="AE174" s="12"/>
      <c r="AF174" s="12"/>
      <c r="AG174" s="12"/>
      <c r="AH174" s="12"/>
      <c r="AI174" s="12"/>
      <c r="AJ174" s="12"/>
      <c r="AK174" s="12"/>
      <c r="AL174" s="12"/>
      <c r="AM174" s="12"/>
      <c r="AN174" s="12"/>
      <c r="AO174" s="12"/>
      <c r="AP174" s="12"/>
      <c r="AQ174" s="12"/>
      <c r="AR174" s="12"/>
      <c r="AS174" s="12"/>
      <c r="AT174" s="12"/>
      <c r="AU174" s="12"/>
      <c r="AV174" s="12"/>
      <c r="AW174" s="12"/>
      <c r="AX174" s="12"/>
      <c r="AY174" s="12"/>
      <c r="AZ174" s="12"/>
      <c r="BA174" s="12"/>
      <c r="BB174" s="12"/>
      <c r="BC174" s="12"/>
      <c r="BD174" s="12"/>
      <c r="BE174" s="12"/>
      <c r="BF174" s="12"/>
      <c r="BG174" s="12"/>
      <c r="BH174" s="12"/>
      <c r="BI174" s="12"/>
      <c r="BJ174" s="12"/>
      <c r="BK174" s="12"/>
      <c r="BL174" s="12"/>
      <c r="BM174" s="12"/>
      <c r="BN174" s="12"/>
      <c r="BO174" s="12"/>
      <c r="BP174" s="12"/>
      <c r="BQ174" s="12"/>
      <c r="BR174" s="12"/>
      <c r="BS174" s="12"/>
      <c r="BT174" s="12"/>
      <c r="BU174" s="12"/>
      <c r="BV174" s="12"/>
      <c r="BW174" s="12"/>
      <c r="BX174" s="12"/>
      <c r="BY174" s="12"/>
      <c r="BZ174" s="12"/>
      <c r="CA174" s="12"/>
      <c r="CB174" s="12"/>
      <c r="CC174" s="12"/>
      <c r="CD174" s="12"/>
      <c r="CE174" s="12"/>
      <c r="CF174" s="12"/>
      <c r="CG174" s="12"/>
      <c r="CH174" s="12"/>
      <c r="CI174" s="12"/>
      <c r="CJ174" s="12"/>
      <c r="CK174" s="12"/>
      <c r="CL174" s="12"/>
      <c r="CM174" s="12"/>
      <c r="CN174" s="12"/>
      <c r="CO174" s="12"/>
      <c r="CP174" s="12"/>
      <c r="CQ174" s="12"/>
      <c r="CR174" s="12"/>
      <c r="CS174" s="12"/>
      <c r="CT174" s="12"/>
      <c r="CU174" s="12"/>
      <c r="CV174" s="12"/>
      <c r="CW174" s="12"/>
      <c r="CX174" s="12"/>
      <c r="CY174" s="12"/>
      <c r="CZ174" s="12"/>
      <c r="DA174" s="12"/>
      <c r="DB174" s="12"/>
      <c r="DC174" s="12"/>
      <c r="DD174" s="12"/>
      <c r="DE174" s="12"/>
      <c r="DF174" s="12"/>
      <c r="DG174" s="12"/>
      <c r="DH174" s="12"/>
      <c r="DI174" s="12"/>
      <c r="DJ174" s="12"/>
      <c r="DK174" s="12"/>
      <c r="DL174" s="12"/>
      <c r="DM174" s="12"/>
      <c r="DN174" s="12"/>
      <c r="DO174" s="12"/>
      <c r="DP174" s="12"/>
      <c r="DQ174" s="12"/>
      <c r="DR174" s="12"/>
      <c r="DS174" s="12"/>
      <c r="DT174" s="12"/>
      <c r="DU174" s="12"/>
      <c r="DV174" s="12"/>
      <c r="DW174" s="12"/>
      <c r="DX174" s="12"/>
      <c r="DY174" s="12"/>
      <c r="DZ174" s="12"/>
      <c r="EA174" s="12"/>
      <c r="EB174" s="12"/>
      <c r="EC174" s="12"/>
      <c r="ED174" s="12"/>
      <c r="EE174" s="12"/>
      <c r="EF174" s="12"/>
      <c r="EG174" s="12"/>
      <c r="EH174" s="12"/>
      <c r="EI174" s="12"/>
      <c r="EJ174" s="12"/>
      <c r="EK174" s="12"/>
      <c r="EL174" s="12"/>
      <c r="EM174" s="12"/>
      <c r="EN174" s="12"/>
      <c r="EO174" s="12"/>
      <c r="EP174" s="12"/>
      <c r="EQ174" s="12"/>
      <c r="ER174" s="12"/>
      <c r="ES174" s="12"/>
      <c r="ET174" s="12"/>
      <c r="EU174" s="12"/>
      <c r="EV174" s="12"/>
      <c r="EW174" s="12"/>
      <c r="EX174" s="12"/>
      <c r="EY174" s="12"/>
      <c r="EZ174" s="12"/>
      <c r="FA174" s="12"/>
      <c r="FB174" s="12"/>
      <c r="FC174" s="12"/>
      <c r="FD174" s="12"/>
      <c r="FE174" s="12"/>
      <c r="FF174" s="12"/>
      <c r="FG174" s="12"/>
      <c r="FH174" s="12"/>
      <c r="FI174" s="12"/>
      <c r="FJ174" s="12"/>
      <c r="FK174" s="12"/>
      <c r="FL174" s="12"/>
      <c r="FM174" s="12"/>
      <c r="FN174" s="12"/>
      <c r="FO174" s="12"/>
      <c r="FP174" s="12"/>
      <c r="FQ174" s="12"/>
      <c r="FR174" s="12"/>
      <c r="FS174" s="12"/>
      <c r="FT174" s="12"/>
      <c r="FU174" s="12"/>
      <c r="FV174" s="12"/>
      <c r="FW174" s="12"/>
      <c r="FX174" s="12"/>
      <c r="FY174" s="12"/>
      <c r="FZ174" s="12"/>
      <c r="GA174" s="12"/>
      <c r="GB174" s="12"/>
      <c r="GC174" s="12"/>
      <c r="GD174" s="12"/>
      <c r="GE174" s="12"/>
    </row>
    <row r="175" spans="1:187" ht="21" customHeight="1">
      <c r="A175" s="45"/>
      <c r="B175" s="101" t="s">
        <v>202</v>
      </c>
      <c r="C175" s="101"/>
      <c r="D175" s="101"/>
      <c r="E175" s="34"/>
      <c r="F175" s="34"/>
      <c r="G175" s="34"/>
      <c r="H175" s="34"/>
      <c r="I175" s="35">
        <f t="shared" si="22"/>
        <v>0</v>
      </c>
      <c r="J175" s="11"/>
      <c r="K175" s="64"/>
      <c r="L175" s="64"/>
      <c r="M175" s="64"/>
      <c r="N175" s="64"/>
      <c r="O175" s="56">
        <f t="shared" si="23"/>
        <v>0</v>
      </c>
      <c r="P175" s="1">
        <f t="shared" si="24"/>
        <v>0</v>
      </c>
      <c r="Q175" s="1">
        <f t="shared" si="18"/>
        <v>0</v>
      </c>
      <c r="R175" s="1">
        <f t="shared" si="19"/>
        <v>0</v>
      </c>
      <c r="S175" s="1">
        <f t="shared" si="20"/>
        <v>0</v>
      </c>
      <c r="T175" s="1">
        <f t="shared" si="25"/>
        <v>0</v>
      </c>
      <c r="U175" s="45"/>
      <c r="V175" s="45"/>
      <c r="W175" s="45"/>
    </row>
    <row r="176" spans="1:187" ht="21" customHeight="1">
      <c r="A176" s="45"/>
      <c r="B176" s="86" t="s">
        <v>267</v>
      </c>
      <c r="C176" s="10" t="s">
        <v>215</v>
      </c>
      <c r="D176" s="10" t="s">
        <v>325</v>
      </c>
      <c r="E176" s="35">
        <v>1021.745</v>
      </c>
      <c r="F176" s="35">
        <f>1572.266-E176</f>
        <v>550.52100000000007</v>
      </c>
      <c r="G176" s="35">
        <v>204.524</v>
      </c>
      <c r="H176" s="35">
        <f>1069.424-G176</f>
        <v>864.9</v>
      </c>
      <c r="I176" s="35">
        <f t="shared" si="22"/>
        <v>2641.69</v>
      </c>
      <c r="J176" s="56">
        <v>2981.02</v>
      </c>
      <c r="K176" s="49">
        <v>3948.94</v>
      </c>
      <c r="L176" s="49">
        <v>4106.8999999999996</v>
      </c>
      <c r="M176" s="49">
        <v>1443.85</v>
      </c>
      <c r="N176" s="49">
        <v>1497.27</v>
      </c>
      <c r="O176" s="56">
        <f t="shared" si="23"/>
        <v>2505.09</v>
      </c>
      <c r="P176" s="1">
        <f t="shared" si="24"/>
        <v>2559563.1820499999</v>
      </c>
      <c r="Q176" s="1">
        <f t="shared" si="18"/>
        <v>1379104.6518900003</v>
      </c>
      <c r="R176" s="1">
        <f t="shared" si="19"/>
        <v>533731.96611999988</v>
      </c>
      <c r="S176" s="1">
        <f t="shared" si="20"/>
        <v>2257068.9869999997</v>
      </c>
      <c r="T176" s="1">
        <f t="shared" si="25"/>
        <v>6729468.78706</v>
      </c>
      <c r="U176" s="11"/>
      <c r="V176" s="11"/>
      <c r="W176" s="11"/>
      <c r="X176" s="12"/>
      <c r="Y176" s="12"/>
      <c r="Z176" s="12"/>
      <c r="AA176" s="12"/>
      <c r="AB176" s="12"/>
      <c r="AC176" s="12"/>
      <c r="AD176" s="12"/>
      <c r="AE176" s="12"/>
      <c r="AF176" s="12"/>
      <c r="AG176" s="12"/>
      <c r="AH176" s="12"/>
      <c r="AI176" s="12"/>
      <c r="AJ176" s="12"/>
      <c r="AK176" s="12"/>
      <c r="AL176" s="12"/>
      <c r="AM176" s="12"/>
      <c r="AN176" s="12"/>
      <c r="AO176" s="12"/>
      <c r="AP176" s="12"/>
      <c r="AQ176" s="12"/>
      <c r="AR176" s="12"/>
      <c r="AS176" s="12"/>
      <c r="AT176" s="12"/>
      <c r="AU176" s="12"/>
      <c r="AV176" s="12"/>
      <c r="AW176" s="12"/>
      <c r="AX176" s="12"/>
      <c r="AY176" s="12"/>
      <c r="AZ176" s="12"/>
      <c r="BA176" s="12"/>
      <c r="BB176" s="12"/>
      <c r="BC176" s="12"/>
      <c r="BD176" s="12"/>
      <c r="BE176" s="12"/>
      <c r="BF176" s="12"/>
      <c r="BG176" s="12"/>
      <c r="BH176" s="12"/>
      <c r="BI176" s="12"/>
      <c r="BJ176" s="12"/>
      <c r="BK176" s="12"/>
      <c r="BL176" s="12"/>
      <c r="BM176" s="12"/>
      <c r="BN176" s="12"/>
      <c r="BO176" s="12"/>
      <c r="BP176" s="12"/>
      <c r="BQ176" s="12"/>
      <c r="BR176" s="12"/>
      <c r="BS176" s="12"/>
      <c r="BT176" s="12"/>
      <c r="BU176" s="12"/>
      <c r="BV176" s="12"/>
      <c r="BW176" s="12"/>
      <c r="BX176" s="12"/>
      <c r="BY176" s="12"/>
      <c r="BZ176" s="12"/>
      <c r="CA176" s="12"/>
      <c r="CB176" s="12"/>
      <c r="CC176" s="12"/>
      <c r="CD176" s="12"/>
      <c r="CE176" s="12"/>
      <c r="CF176" s="12"/>
      <c r="CG176" s="12"/>
      <c r="CH176" s="12"/>
      <c r="CI176" s="12"/>
      <c r="CJ176" s="12"/>
      <c r="CK176" s="12"/>
      <c r="CL176" s="12"/>
      <c r="CM176" s="12"/>
      <c r="CN176" s="12"/>
      <c r="CO176" s="12"/>
      <c r="CP176" s="12"/>
      <c r="CQ176" s="12"/>
      <c r="CR176" s="12"/>
      <c r="CS176" s="12"/>
      <c r="CT176" s="12"/>
      <c r="CU176" s="12"/>
      <c r="CV176" s="12"/>
      <c r="CW176" s="12"/>
      <c r="CX176" s="12"/>
      <c r="CY176" s="12"/>
      <c r="CZ176" s="12"/>
      <c r="DA176" s="12"/>
      <c r="DB176" s="12"/>
      <c r="DC176" s="12"/>
      <c r="DD176" s="12"/>
      <c r="DE176" s="12"/>
      <c r="DF176" s="12"/>
      <c r="DG176" s="12"/>
      <c r="DH176" s="12"/>
      <c r="DI176" s="12"/>
      <c r="DJ176" s="12"/>
      <c r="DK176" s="12"/>
      <c r="DL176" s="12"/>
      <c r="DM176" s="12"/>
      <c r="DN176" s="12"/>
      <c r="DO176" s="12"/>
      <c r="DP176" s="12"/>
      <c r="DQ176" s="12"/>
      <c r="DR176" s="12"/>
      <c r="DS176" s="12"/>
      <c r="DT176" s="12"/>
      <c r="DU176" s="12"/>
      <c r="DV176" s="12"/>
      <c r="DW176" s="12"/>
      <c r="DX176" s="12"/>
      <c r="DY176" s="12"/>
      <c r="DZ176" s="12"/>
      <c r="EA176" s="12"/>
      <c r="EB176" s="12"/>
      <c r="EC176" s="12"/>
      <c r="ED176" s="12"/>
      <c r="EE176" s="12"/>
      <c r="EF176" s="12"/>
      <c r="EG176" s="12"/>
      <c r="EH176" s="12"/>
      <c r="EI176" s="12"/>
      <c r="EJ176" s="12"/>
      <c r="EK176" s="12"/>
      <c r="EL176" s="12"/>
      <c r="EM176" s="12"/>
      <c r="EN176" s="12"/>
      <c r="EO176" s="12"/>
      <c r="EP176" s="12"/>
      <c r="EQ176" s="12"/>
      <c r="ER176" s="12"/>
      <c r="ES176" s="12"/>
      <c r="ET176" s="12"/>
      <c r="EU176" s="12"/>
      <c r="EV176" s="12"/>
      <c r="EW176" s="12"/>
      <c r="EX176" s="12"/>
      <c r="EY176" s="12"/>
      <c r="EZ176" s="12"/>
      <c r="FA176" s="12"/>
      <c r="FB176" s="12"/>
      <c r="FC176" s="12"/>
      <c r="FD176" s="12"/>
      <c r="FE176" s="12"/>
      <c r="FF176" s="12"/>
      <c r="FG176" s="12"/>
      <c r="FH176" s="12"/>
      <c r="FI176" s="12"/>
      <c r="FJ176" s="12"/>
      <c r="FK176" s="12"/>
      <c r="FL176" s="12"/>
      <c r="FM176" s="12"/>
      <c r="FN176" s="12"/>
      <c r="FO176" s="12"/>
      <c r="FP176" s="12"/>
      <c r="FQ176" s="12"/>
      <c r="FR176" s="12"/>
      <c r="FS176" s="12"/>
      <c r="FT176" s="12"/>
      <c r="FU176" s="12"/>
      <c r="FV176" s="12"/>
      <c r="FW176" s="12"/>
      <c r="FX176" s="12"/>
      <c r="FY176" s="12"/>
      <c r="FZ176" s="12"/>
      <c r="GA176" s="12"/>
      <c r="GB176" s="12"/>
      <c r="GC176" s="12"/>
      <c r="GD176" s="12"/>
      <c r="GE176" s="12"/>
    </row>
    <row r="177" spans="1:187" ht="21" customHeight="1">
      <c r="A177" s="45"/>
      <c r="B177" s="86" t="s">
        <v>400</v>
      </c>
      <c r="C177" s="10" t="s">
        <v>401</v>
      </c>
      <c r="D177" s="10" t="s">
        <v>300</v>
      </c>
      <c r="E177" s="35">
        <v>755.96799999999996</v>
      </c>
      <c r="F177" s="35">
        <f>1182.214-E177</f>
        <v>426.24599999999998</v>
      </c>
      <c r="G177" s="35">
        <v>193.43</v>
      </c>
      <c r="H177" s="35">
        <v>800</v>
      </c>
      <c r="I177" s="35">
        <f t="shared" si="22"/>
        <v>2175.6440000000002</v>
      </c>
      <c r="J177" s="56">
        <v>2271.4299999999998</v>
      </c>
      <c r="K177" s="49">
        <v>4346.26</v>
      </c>
      <c r="L177" s="49">
        <v>4520.1099999999997</v>
      </c>
      <c r="M177" s="49">
        <v>1432.83</v>
      </c>
      <c r="N177" s="49">
        <v>1485.84</v>
      </c>
      <c r="O177" s="56">
        <f t="shared" si="23"/>
        <v>2913.4300000000003</v>
      </c>
      <c r="P177" s="1">
        <f t="shared" si="24"/>
        <v>2202459.8502400001</v>
      </c>
      <c r="Q177" s="1">
        <f t="shared" si="18"/>
        <v>1241837.88378</v>
      </c>
      <c r="R177" s="1">
        <f t="shared" si="19"/>
        <v>586918.84609999997</v>
      </c>
      <c r="S177" s="1">
        <f t="shared" si="20"/>
        <v>2427415.9999999995</v>
      </c>
      <c r="T177" s="1">
        <f t="shared" si="25"/>
        <v>6458632.5801199991</v>
      </c>
      <c r="U177" s="11"/>
      <c r="V177" s="11"/>
      <c r="W177" s="11"/>
      <c r="X177" s="12"/>
      <c r="Y177" s="12"/>
      <c r="Z177" s="12"/>
      <c r="AA177" s="12"/>
      <c r="AB177" s="12"/>
      <c r="AC177" s="12"/>
      <c r="AD177" s="12"/>
      <c r="AE177" s="12"/>
      <c r="AF177" s="12"/>
      <c r="AG177" s="12"/>
      <c r="AH177" s="12"/>
      <c r="AI177" s="12"/>
      <c r="AJ177" s="12"/>
      <c r="AK177" s="12"/>
      <c r="AL177" s="12"/>
      <c r="AM177" s="12"/>
      <c r="AN177" s="12"/>
      <c r="AO177" s="12"/>
      <c r="AP177" s="12"/>
      <c r="AQ177" s="12"/>
      <c r="AR177" s="12"/>
      <c r="AS177" s="12"/>
      <c r="AT177" s="12"/>
      <c r="AU177" s="12"/>
      <c r="AV177" s="12"/>
      <c r="AW177" s="12"/>
      <c r="AX177" s="12"/>
      <c r="AY177" s="12"/>
      <c r="AZ177" s="12"/>
      <c r="BA177" s="12"/>
      <c r="BB177" s="12"/>
      <c r="BC177" s="12"/>
      <c r="BD177" s="12"/>
      <c r="BE177" s="12"/>
      <c r="BF177" s="12"/>
      <c r="BG177" s="12"/>
      <c r="BH177" s="12"/>
      <c r="BI177" s="12"/>
      <c r="BJ177" s="12"/>
      <c r="BK177" s="12"/>
      <c r="BL177" s="12"/>
      <c r="BM177" s="12"/>
      <c r="BN177" s="12"/>
      <c r="BO177" s="12"/>
      <c r="BP177" s="12"/>
      <c r="BQ177" s="12"/>
      <c r="BR177" s="12"/>
      <c r="BS177" s="12"/>
      <c r="BT177" s="12"/>
      <c r="BU177" s="12"/>
      <c r="BV177" s="12"/>
      <c r="BW177" s="12"/>
      <c r="BX177" s="12"/>
      <c r="BY177" s="12"/>
      <c r="BZ177" s="12"/>
      <c r="CA177" s="12"/>
      <c r="CB177" s="12"/>
      <c r="CC177" s="12"/>
      <c r="CD177" s="12"/>
      <c r="CE177" s="12"/>
      <c r="CF177" s="12"/>
      <c r="CG177" s="12"/>
      <c r="CH177" s="12"/>
      <c r="CI177" s="12"/>
      <c r="CJ177" s="12"/>
      <c r="CK177" s="12"/>
      <c r="CL177" s="12"/>
      <c r="CM177" s="12"/>
      <c r="CN177" s="12"/>
      <c r="CO177" s="12"/>
      <c r="CP177" s="12"/>
      <c r="CQ177" s="12"/>
      <c r="CR177" s="12"/>
      <c r="CS177" s="12"/>
      <c r="CT177" s="12"/>
      <c r="CU177" s="12"/>
      <c r="CV177" s="12"/>
      <c r="CW177" s="12"/>
      <c r="CX177" s="12"/>
      <c r="CY177" s="12"/>
      <c r="CZ177" s="12"/>
      <c r="DA177" s="12"/>
      <c r="DB177" s="12"/>
      <c r="DC177" s="12"/>
      <c r="DD177" s="12"/>
      <c r="DE177" s="12"/>
      <c r="DF177" s="12"/>
      <c r="DG177" s="12"/>
      <c r="DH177" s="12"/>
      <c r="DI177" s="12"/>
      <c r="DJ177" s="12"/>
      <c r="DK177" s="12"/>
      <c r="DL177" s="12"/>
      <c r="DM177" s="12"/>
      <c r="DN177" s="12"/>
      <c r="DO177" s="12"/>
      <c r="DP177" s="12"/>
      <c r="DQ177" s="12"/>
      <c r="DR177" s="12"/>
      <c r="DS177" s="12"/>
      <c r="DT177" s="12"/>
      <c r="DU177" s="12"/>
      <c r="DV177" s="12"/>
      <c r="DW177" s="12"/>
      <c r="DX177" s="12"/>
      <c r="DY177" s="12"/>
      <c r="DZ177" s="12"/>
      <c r="EA177" s="12"/>
      <c r="EB177" s="12"/>
      <c r="EC177" s="12"/>
      <c r="ED177" s="12"/>
      <c r="EE177" s="12"/>
      <c r="EF177" s="12"/>
      <c r="EG177" s="12"/>
      <c r="EH177" s="12"/>
      <c r="EI177" s="12"/>
      <c r="EJ177" s="12"/>
      <c r="EK177" s="12"/>
      <c r="EL177" s="12"/>
      <c r="EM177" s="12"/>
      <c r="EN177" s="12"/>
      <c r="EO177" s="12"/>
      <c r="EP177" s="12"/>
      <c r="EQ177" s="12"/>
      <c r="ER177" s="12"/>
      <c r="ES177" s="12"/>
      <c r="ET177" s="12"/>
      <c r="EU177" s="12"/>
      <c r="EV177" s="12"/>
      <c r="EW177" s="12"/>
      <c r="EX177" s="12"/>
      <c r="EY177" s="12"/>
      <c r="EZ177" s="12"/>
      <c r="FA177" s="12"/>
      <c r="FB177" s="12"/>
      <c r="FC177" s="12"/>
      <c r="FD177" s="12"/>
      <c r="FE177" s="12"/>
      <c r="FF177" s="12"/>
      <c r="FG177" s="12"/>
      <c r="FH177" s="12"/>
      <c r="FI177" s="12"/>
      <c r="FJ177" s="12"/>
      <c r="FK177" s="12"/>
      <c r="FL177" s="12"/>
      <c r="FM177" s="12"/>
      <c r="FN177" s="12"/>
      <c r="FO177" s="12"/>
      <c r="FP177" s="12"/>
      <c r="FQ177" s="12"/>
      <c r="FR177" s="12"/>
      <c r="FS177" s="12"/>
      <c r="FT177" s="12"/>
      <c r="FU177" s="12"/>
      <c r="FV177" s="12"/>
      <c r="FW177" s="12"/>
      <c r="FX177" s="12"/>
      <c r="FY177" s="12"/>
      <c r="FZ177" s="12"/>
      <c r="GA177" s="12"/>
      <c r="GB177" s="12"/>
      <c r="GC177" s="12"/>
      <c r="GD177" s="12"/>
      <c r="GE177" s="12"/>
    </row>
    <row r="178" spans="1:187" ht="21" customHeight="1">
      <c r="A178" s="45"/>
      <c r="B178" s="86" t="s">
        <v>29</v>
      </c>
      <c r="C178" s="10" t="s">
        <v>214</v>
      </c>
      <c r="D178" s="10" t="s">
        <v>208</v>
      </c>
      <c r="E178" s="35">
        <v>3259.2689999999998</v>
      </c>
      <c r="F178" s="35">
        <f>4912.938-E178</f>
        <v>1653.6690000000003</v>
      </c>
      <c r="G178" s="35">
        <v>592.16099999999994</v>
      </c>
      <c r="H178" s="35">
        <f>3230.329-G178</f>
        <v>2638.1680000000001</v>
      </c>
      <c r="I178" s="35">
        <f t="shared" si="22"/>
        <v>8143.2669999999998</v>
      </c>
      <c r="J178" s="56">
        <v>9146</v>
      </c>
      <c r="K178" s="49">
        <v>3905.73</v>
      </c>
      <c r="L178" s="49">
        <v>4105.96</v>
      </c>
      <c r="M178" s="49">
        <v>1432.83</v>
      </c>
      <c r="N178" s="49">
        <v>1485.84</v>
      </c>
      <c r="O178" s="56">
        <f t="shared" si="23"/>
        <v>2472.9</v>
      </c>
      <c r="P178" s="1">
        <f t="shared" si="24"/>
        <v>8059846.3100999994</v>
      </c>
      <c r="Q178" s="1">
        <f t="shared" si="18"/>
        <v>4089358.0701000011</v>
      </c>
      <c r="R178" s="1">
        <f t="shared" si="19"/>
        <v>1551532.8793199998</v>
      </c>
      <c r="S178" s="1">
        <f t="shared" si="20"/>
        <v>6912316.7401599996</v>
      </c>
      <c r="T178" s="1">
        <f t="shared" si="25"/>
        <v>20613053.999679998</v>
      </c>
      <c r="U178" s="11"/>
      <c r="V178" s="11"/>
      <c r="W178" s="11"/>
      <c r="X178" s="12"/>
      <c r="Y178" s="12"/>
      <c r="Z178" s="12"/>
      <c r="AA178" s="12"/>
      <c r="AB178" s="12"/>
      <c r="AC178" s="12"/>
      <c r="AD178" s="12"/>
      <c r="AE178" s="12"/>
      <c r="AF178" s="12"/>
      <c r="AG178" s="12"/>
      <c r="AH178" s="12"/>
      <c r="AI178" s="12"/>
      <c r="AJ178" s="12"/>
      <c r="AK178" s="12"/>
      <c r="AL178" s="12"/>
      <c r="AM178" s="12"/>
      <c r="AN178" s="12"/>
      <c r="AO178" s="12"/>
      <c r="AP178" s="12"/>
      <c r="AQ178" s="12"/>
      <c r="AR178" s="12"/>
      <c r="AS178" s="12"/>
      <c r="AT178" s="12"/>
      <c r="AU178" s="12"/>
      <c r="AV178" s="12"/>
      <c r="AW178" s="12"/>
      <c r="AX178" s="12"/>
      <c r="AY178" s="12"/>
      <c r="AZ178" s="12"/>
      <c r="BA178" s="12"/>
      <c r="BB178" s="12"/>
      <c r="BC178" s="12"/>
      <c r="BD178" s="12"/>
      <c r="BE178" s="12"/>
      <c r="BF178" s="12"/>
      <c r="BG178" s="12"/>
      <c r="BH178" s="12"/>
      <c r="BI178" s="12"/>
      <c r="BJ178" s="12"/>
      <c r="BK178" s="12"/>
      <c r="BL178" s="12"/>
      <c r="BM178" s="12"/>
      <c r="BN178" s="12"/>
      <c r="BO178" s="12"/>
      <c r="BP178" s="12"/>
      <c r="BQ178" s="12"/>
      <c r="BR178" s="12"/>
      <c r="BS178" s="12"/>
      <c r="BT178" s="12"/>
      <c r="BU178" s="12"/>
      <c r="BV178" s="12"/>
      <c r="BW178" s="12"/>
      <c r="BX178" s="12"/>
      <c r="BY178" s="12"/>
      <c r="BZ178" s="12"/>
      <c r="CA178" s="12"/>
      <c r="CB178" s="12"/>
      <c r="CC178" s="12"/>
      <c r="CD178" s="12"/>
      <c r="CE178" s="12"/>
      <c r="CF178" s="12"/>
      <c r="CG178" s="12"/>
      <c r="CH178" s="12"/>
      <c r="CI178" s="12"/>
      <c r="CJ178" s="12"/>
      <c r="CK178" s="12"/>
      <c r="CL178" s="12"/>
      <c r="CM178" s="12"/>
      <c r="CN178" s="12"/>
      <c r="CO178" s="12"/>
      <c r="CP178" s="12"/>
      <c r="CQ178" s="12"/>
      <c r="CR178" s="12"/>
      <c r="CS178" s="12"/>
      <c r="CT178" s="12"/>
      <c r="CU178" s="12"/>
      <c r="CV178" s="12"/>
      <c r="CW178" s="12"/>
      <c r="CX178" s="12"/>
      <c r="CY178" s="12"/>
      <c r="CZ178" s="12"/>
      <c r="DA178" s="12"/>
      <c r="DB178" s="12"/>
      <c r="DC178" s="12"/>
      <c r="DD178" s="12"/>
      <c r="DE178" s="12"/>
      <c r="DF178" s="12"/>
      <c r="DG178" s="12"/>
      <c r="DH178" s="12"/>
      <c r="DI178" s="12"/>
      <c r="DJ178" s="12"/>
      <c r="DK178" s="12"/>
      <c r="DL178" s="12"/>
      <c r="DM178" s="12"/>
      <c r="DN178" s="12"/>
      <c r="DO178" s="12"/>
      <c r="DP178" s="12"/>
      <c r="DQ178" s="12"/>
      <c r="DR178" s="12"/>
      <c r="DS178" s="12"/>
      <c r="DT178" s="12"/>
      <c r="DU178" s="12"/>
      <c r="DV178" s="12"/>
      <c r="DW178" s="12"/>
      <c r="DX178" s="12"/>
      <c r="DY178" s="12"/>
      <c r="DZ178" s="12"/>
      <c r="EA178" s="12"/>
      <c r="EB178" s="12"/>
      <c r="EC178" s="12"/>
      <c r="ED178" s="12"/>
      <c r="EE178" s="12"/>
      <c r="EF178" s="12"/>
      <c r="EG178" s="12"/>
      <c r="EH178" s="12"/>
      <c r="EI178" s="12"/>
      <c r="EJ178" s="12"/>
      <c r="EK178" s="12"/>
      <c r="EL178" s="12"/>
      <c r="EM178" s="12"/>
      <c r="EN178" s="12"/>
      <c r="EO178" s="12"/>
      <c r="EP178" s="12"/>
      <c r="EQ178" s="12"/>
      <c r="ER178" s="12"/>
      <c r="ES178" s="12"/>
      <c r="ET178" s="12"/>
      <c r="EU178" s="12"/>
      <c r="EV178" s="12"/>
      <c r="EW178" s="12"/>
      <c r="EX178" s="12"/>
      <c r="EY178" s="12"/>
      <c r="EZ178" s="12"/>
      <c r="FA178" s="12"/>
      <c r="FB178" s="12"/>
      <c r="FC178" s="12"/>
      <c r="FD178" s="12"/>
      <c r="FE178" s="12"/>
      <c r="FF178" s="12"/>
      <c r="FG178" s="12"/>
      <c r="FH178" s="12"/>
      <c r="FI178" s="12"/>
      <c r="FJ178" s="12"/>
      <c r="FK178" s="12"/>
      <c r="FL178" s="12"/>
      <c r="FM178" s="12"/>
      <c r="FN178" s="12"/>
      <c r="FO178" s="12"/>
      <c r="FP178" s="12"/>
      <c r="FQ178" s="12"/>
      <c r="FR178" s="12"/>
      <c r="FS178" s="12"/>
      <c r="FT178" s="12"/>
      <c r="FU178" s="12"/>
      <c r="FV178" s="12"/>
      <c r="FW178" s="12"/>
      <c r="FX178" s="12"/>
      <c r="FY178" s="12"/>
      <c r="FZ178" s="12"/>
      <c r="GA178" s="12"/>
      <c r="GB178" s="12"/>
      <c r="GC178" s="12"/>
      <c r="GD178" s="12"/>
      <c r="GE178" s="12"/>
    </row>
    <row r="179" spans="1:187" ht="21" customHeight="1">
      <c r="A179" s="45"/>
      <c r="B179" s="86" t="s">
        <v>270</v>
      </c>
      <c r="C179" s="10" t="s">
        <v>205</v>
      </c>
      <c r="D179" s="10" t="s">
        <v>206</v>
      </c>
      <c r="E179" s="35">
        <v>3671.558</v>
      </c>
      <c r="F179" s="35">
        <f>5816.564-E179</f>
        <v>2145.0060000000003</v>
      </c>
      <c r="G179" s="35">
        <v>529.36500000000001</v>
      </c>
      <c r="H179" s="35">
        <f>3837.38-G179</f>
        <v>3308.0150000000003</v>
      </c>
      <c r="I179" s="35">
        <f t="shared" si="22"/>
        <v>9653.9439999999995</v>
      </c>
      <c r="J179" s="56">
        <v>8579.1099999999988</v>
      </c>
      <c r="K179" s="49">
        <v>5096.57</v>
      </c>
      <c r="L179" s="49">
        <v>5300.43</v>
      </c>
      <c r="M179" s="49">
        <v>1401.13</v>
      </c>
      <c r="N179" s="49">
        <v>1452.97</v>
      </c>
      <c r="O179" s="56">
        <f t="shared" si="23"/>
        <v>3695.4399999999996</v>
      </c>
      <c r="P179" s="1">
        <f t="shared" si="24"/>
        <v>13568022.295519998</v>
      </c>
      <c r="Q179" s="1">
        <f t="shared" si="18"/>
        <v>7926740.9726400003</v>
      </c>
      <c r="R179" s="1">
        <f t="shared" si="19"/>
        <v>2036710.6629000001</v>
      </c>
      <c r="S179" s="1">
        <f t="shared" si="20"/>
        <v>12727455.391900001</v>
      </c>
      <c r="T179" s="1">
        <f t="shared" si="25"/>
        <v>36258929.322960004</v>
      </c>
      <c r="U179" s="11"/>
      <c r="V179" s="11"/>
      <c r="W179" s="11"/>
      <c r="X179" s="12"/>
      <c r="Y179" s="12"/>
      <c r="Z179" s="12"/>
      <c r="AA179" s="12"/>
      <c r="AB179" s="12"/>
      <c r="AC179" s="12"/>
      <c r="AD179" s="12"/>
      <c r="AE179" s="12"/>
      <c r="AF179" s="12"/>
      <c r="AG179" s="12"/>
      <c r="AH179" s="12"/>
      <c r="AI179" s="12"/>
      <c r="AJ179" s="12"/>
      <c r="AK179" s="12"/>
      <c r="AL179" s="12"/>
      <c r="AM179" s="12"/>
      <c r="AN179" s="12"/>
      <c r="AO179" s="12"/>
      <c r="AP179" s="12"/>
      <c r="AQ179" s="12"/>
      <c r="AR179" s="12"/>
      <c r="AS179" s="12"/>
      <c r="AT179" s="12"/>
      <c r="AU179" s="12"/>
      <c r="AV179" s="12"/>
      <c r="AW179" s="12"/>
      <c r="AX179" s="12"/>
      <c r="AY179" s="12"/>
      <c r="AZ179" s="12"/>
      <c r="BA179" s="12"/>
      <c r="BB179" s="12"/>
      <c r="BC179" s="12"/>
      <c r="BD179" s="12"/>
      <c r="BE179" s="12"/>
      <c r="BF179" s="12"/>
      <c r="BG179" s="12"/>
      <c r="BH179" s="12"/>
      <c r="BI179" s="12"/>
      <c r="BJ179" s="12"/>
      <c r="BK179" s="12"/>
      <c r="BL179" s="12"/>
      <c r="BM179" s="12"/>
      <c r="BN179" s="12"/>
      <c r="BO179" s="12"/>
      <c r="BP179" s="12"/>
      <c r="BQ179" s="12"/>
      <c r="BR179" s="12"/>
      <c r="BS179" s="12"/>
      <c r="BT179" s="12"/>
      <c r="BU179" s="12"/>
      <c r="BV179" s="12"/>
      <c r="BW179" s="12"/>
      <c r="BX179" s="12"/>
      <c r="BY179" s="12"/>
      <c r="BZ179" s="12"/>
      <c r="CA179" s="12"/>
      <c r="CB179" s="12"/>
      <c r="CC179" s="12"/>
      <c r="CD179" s="12"/>
      <c r="CE179" s="12"/>
      <c r="CF179" s="12"/>
      <c r="CG179" s="12"/>
      <c r="CH179" s="12"/>
      <c r="CI179" s="12"/>
      <c r="CJ179" s="12"/>
      <c r="CK179" s="12"/>
      <c r="CL179" s="12"/>
      <c r="CM179" s="12"/>
      <c r="CN179" s="12"/>
      <c r="CO179" s="12"/>
      <c r="CP179" s="12"/>
      <c r="CQ179" s="12"/>
      <c r="CR179" s="12"/>
      <c r="CS179" s="12"/>
      <c r="CT179" s="12"/>
      <c r="CU179" s="12"/>
      <c r="CV179" s="12"/>
      <c r="CW179" s="12"/>
      <c r="CX179" s="12"/>
      <c r="CY179" s="12"/>
      <c r="CZ179" s="12"/>
      <c r="DA179" s="12"/>
      <c r="DB179" s="12"/>
      <c r="DC179" s="12"/>
      <c r="DD179" s="12"/>
      <c r="DE179" s="12"/>
      <c r="DF179" s="12"/>
      <c r="DG179" s="12"/>
      <c r="DH179" s="12"/>
      <c r="DI179" s="12"/>
      <c r="DJ179" s="12"/>
      <c r="DK179" s="12"/>
      <c r="DL179" s="12"/>
      <c r="DM179" s="12"/>
      <c r="DN179" s="12"/>
      <c r="DO179" s="12"/>
      <c r="DP179" s="12"/>
      <c r="DQ179" s="12"/>
      <c r="DR179" s="12"/>
      <c r="DS179" s="12"/>
      <c r="DT179" s="12"/>
      <c r="DU179" s="12"/>
      <c r="DV179" s="12"/>
      <c r="DW179" s="12"/>
      <c r="DX179" s="12"/>
      <c r="DY179" s="12"/>
      <c r="DZ179" s="12"/>
      <c r="EA179" s="12"/>
      <c r="EB179" s="12"/>
      <c r="EC179" s="12"/>
      <c r="ED179" s="12"/>
      <c r="EE179" s="12"/>
      <c r="EF179" s="12"/>
      <c r="EG179" s="12"/>
      <c r="EH179" s="12"/>
      <c r="EI179" s="12"/>
      <c r="EJ179" s="12"/>
      <c r="EK179" s="12"/>
      <c r="EL179" s="12"/>
      <c r="EM179" s="12"/>
      <c r="EN179" s="12"/>
      <c r="EO179" s="12"/>
      <c r="EP179" s="12"/>
      <c r="EQ179" s="12"/>
      <c r="ER179" s="12"/>
      <c r="ES179" s="12"/>
      <c r="ET179" s="12"/>
      <c r="EU179" s="12"/>
      <c r="EV179" s="12"/>
      <c r="EW179" s="12"/>
      <c r="EX179" s="12"/>
      <c r="EY179" s="12"/>
      <c r="EZ179" s="12"/>
      <c r="FA179" s="12"/>
      <c r="FB179" s="12"/>
      <c r="FC179" s="12"/>
      <c r="FD179" s="12"/>
      <c r="FE179" s="12"/>
      <c r="FF179" s="12"/>
      <c r="FG179" s="12"/>
      <c r="FH179" s="12"/>
      <c r="FI179" s="12"/>
      <c r="FJ179" s="12"/>
      <c r="FK179" s="12"/>
      <c r="FL179" s="12"/>
      <c r="FM179" s="12"/>
      <c r="FN179" s="12"/>
      <c r="FO179" s="12"/>
      <c r="FP179" s="12"/>
      <c r="FQ179" s="12"/>
      <c r="FR179" s="12"/>
      <c r="FS179" s="12"/>
      <c r="FT179" s="12"/>
      <c r="FU179" s="12"/>
      <c r="FV179" s="12"/>
      <c r="FW179" s="12"/>
      <c r="FX179" s="12"/>
      <c r="FY179" s="12"/>
      <c r="FZ179" s="12"/>
      <c r="GA179" s="12"/>
      <c r="GB179" s="12"/>
      <c r="GC179" s="12"/>
      <c r="GD179" s="12"/>
      <c r="GE179" s="12"/>
    </row>
    <row r="180" spans="1:187" ht="21" customHeight="1">
      <c r="A180" s="45"/>
      <c r="B180" s="86" t="s">
        <v>7</v>
      </c>
      <c r="C180" s="10" t="s">
        <v>399</v>
      </c>
      <c r="D180" s="10" t="s">
        <v>311</v>
      </c>
      <c r="E180" s="35">
        <v>190.41</v>
      </c>
      <c r="F180" s="35">
        <f>319.936-E180</f>
        <v>129.52599999999998</v>
      </c>
      <c r="G180" s="35">
        <v>63.47</v>
      </c>
      <c r="H180" s="35">
        <f>253.88-G180</f>
        <v>190.41</v>
      </c>
      <c r="I180" s="35">
        <f t="shared" si="22"/>
        <v>573.81599999999992</v>
      </c>
      <c r="J180" s="56">
        <v>569.16</v>
      </c>
      <c r="K180" s="49">
        <v>4738.18</v>
      </c>
      <c r="L180" s="49">
        <v>4927.71</v>
      </c>
      <c r="M180" s="49">
        <v>1460.38</v>
      </c>
      <c r="N180" s="49">
        <v>1514.41</v>
      </c>
      <c r="O180" s="56">
        <f t="shared" si="23"/>
        <v>3277.8</v>
      </c>
      <c r="P180" s="1">
        <f t="shared" si="24"/>
        <v>624125.89800000004</v>
      </c>
      <c r="Q180" s="1">
        <f t="shared" si="18"/>
        <v>424560.32279999997</v>
      </c>
      <c r="R180" s="1">
        <f t="shared" si="19"/>
        <v>216642.15100000001</v>
      </c>
      <c r="S180" s="1">
        <f t="shared" si="20"/>
        <v>649926.45299999998</v>
      </c>
      <c r="T180" s="1">
        <f t="shared" si="25"/>
        <v>1915254.8248000001</v>
      </c>
      <c r="U180" s="11"/>
      <c r="V180" s="11"/>
      <c r="W180" s="11"/>
      <c r="X180" s="12"/>
      <c r="Y180" s="12"/>
      <c r="Z180" s="12"/>
      <c r="AA180" s="12"/>
      <c r="AB180" s="12"/>
      <c r="AC180" s="12"/>
      <c r="AD180" s="12"/>
      <c r="AE180" s="12"/>
      <c r="AF180" s="12"/>
      <c r="AG180" s="12"/>
      <c r="AH180" s="12"/>
      <c r="AI180" s="12"/>
      <c r="AJ180" s="12"/>
      <c r="AK180" s="12"/>
      <c r="AL180" s="12"/>
      <c r="AM180" s="12"/>
      <c r="AN180" s="12"/>
      <c r="AO180" s="12"/>
      <c r="AP180" s="12"/>
      <c r="AQ180" s="12"/>
      <c r="AR180" s="12"/>
      <c r="AS180" s="12"/>
      <c r="AT180" s="12"/>
      <c r="AU180" s="12"/>
      <c r="AV180" s="12"/>
      <c r="AW180" s="12"/>
      <c r="AX180" s="12"/>
      <c r="AY180" s="12"/>
      <c r="AZ180" s="12"/>
      <c r="BA180" s="12"/>
      <c r="BB180" s="12"/>
      <c r="BC180" s="12"/>
      <c r="BD180" s="12"/>
      <c r="BE180" s="12"/>
      <c r="BF180" s="12"/>
      <c r="BG180" s="12"/>
      <c r="BH180" s="12"/>
      <c r="BI180" s="12"/>
      <c r="BJ180" s="12"/>
      <c r="BK180" s="12"/>
      <c r="BL180" s="12"/>
      <c r="BM180" s="12"/>
      <c r="BN180" s="12"/>
      <c r="BO180" s="12"/>
      <c r="BP180" s="12"/>
      <c r="BQ180" s="12"/>
      <c r="BR180" s="12"/>
      <c r="BS180" s="12"/>
      <c r="BT180" s="12"/>
      <c r="BU180" s="12"/>
      <c r="BV180" s="12"/>
      <c r="BW180" s="12"/>
      <c r="BX180" s="12"/>
      <c r="BY180" s="12"/>
      <c r="BZ180" s="12"/>
      <c r="CA180" s="12"/>
      <c r="CB180" s="12"/>
      <c r="CC180" s="12"/>
      <c r="CD180" s="12"/>
      <c r="CE180" s="12"/>
      <c r="CF180" s="12"/>
      <c r="CG180" s="12"/>
      <c r="CH180" s="12"/>
      <c r="CI180" s="12"/>
      <c r="CJ180" s="12"/>
      <c r="CK180" s="12"/>
      <c r="CL180" s="12"/>
      <c r="CM180" s="12"/>
      <c r="CN180" s="12"/>
      <c r="CO180" s="12"/>
      <c r="CP180" s="12"/>
      <c r="CQ180" s="12"/>
      <c r="CR180" s="12"/>
      <c r="CS180" s="12"/>
      <c r="CT180" s="12"/>
      <c r="CU180" s="12"/>
      <c r="CV180" s="12"/>
      <c r="CW180" s="12"/>
      <c r="CX180" s="12"/>
      <c r="CY180" s="12"/>
      <c r="CZ180" s="12"/>
      <c r="DA180" s="12"/>
      <c r="DB180" s="12"/>
      <c r="DC180" s="12"/>
      <c r="DD180" s="12"/>
      <c r="DE180" s="12"/>
      <c r="DF180" s="12"/>
      <c r="DG180" s="12"/>
      <c r="DH180" s="12"/>
      <c r="DI180" s="12"/>
      <c r="DJ180" s="12"/>
      <c r="DK180" s="12"/>
      <c r="DL180" s="12"/>
      <c r="DM180" s="12"/>
      <c r="DN180" s="12"/>
      <c r="DO180" s="12"/>
      <c r="DP180" s="12"/>
      <c r="DQ180" s="12"/>
      <c r="DR180" s="12"/>
      <c r="DS180" s="12"/>
      <c r="DT180" s="12"/>
      <c r="DU180" s="12"/>
      <c r="DV180" s="12"/>
      <c r="DW180" s="12"/>
      <c r="DX180" s="12"/>
      <c r="DY180" s="12"/>
      <c r="DZ180" s="12"/>
      <c r="EA180" s="12"/>
      <c r="EB180" s="12"/>
      <c r="EC180" s="12"/>
      <c r="ED180" s="12"/>
      <c r="EE180" s="12"/>
      <c r="EF180" s="12"/>
      <c r="EG180" s="12"/>
      <c r="EH180" s="12"/>
      <c r="EI180" s="12"/>
      <c r="EJ180" s="12"/>
      <c r="EK180" s="12"/>
      <c r="EL180" s="12"/>
      <c r="EM180" s="12"/>
      <c r="EN180" s="12"/>
      <c r="EO180" s="12"/>
      <c r="EP180" s="12"/>
      <c r="EQ180" s="12"/>
      <c r="ER180" s="12"/>
      <c r="ES180" s="12"/>
      <c r="ET180" s="12"/>
      <c r="EU180" s="12"/>
      <c r="EV180" s="12"/>
      <c r="EW180" s="12"/>
      <c r="EX180" s="12"/>
      <c r="EY180" s="12"/>
      <c r="EZ180" s="12"/>
      <c r="FA180" s="12"/>
      <c r="FB180" s="12"/>
      <c r="FC180" s="12"/>
      <c r="FD180" s="12"/>
      <c r="FE180" s="12"/>
      <c r="FF180" s="12"/>
      <c r="FG180" s="12"/>
      <c r="FH180" s="12"/>
      <c r="FI180" s="12"/>
      <c r="FJ180" s="12"/>
      <c r="FK180" s="12"/>
      <c r="FL180" s="12"/>
      <c r="FM180" s="12"/>
      <c r="FN180" s="12"/>
      <c r="FO180" s="12"/>
      <c r="FP180" s="12"/>
      <c r="FQ180" s="12"/>
      <c r="FR180" s="12"/>
      <c r="FS180" s="12"/>
      <c r="FT180" s="12"/>
      <c r="FU180" s="12"/>
      <c r="FV180" s="12"/>
      <c r="FW180" s="12"/>
      <c r="FX180" s="12"/>
      <c r="FY180" s="12"/>
      <c r="FZ180" s="12"/>
      <c r="GA180" s="12"/>
      <c r="GB180" s="12"/>
      <c r="GC180" s="12"/>
      <c r="GD180" s="12"/>
      <c r="GE180" s="12"/>
    </row>
    <row r="181" spans="1:187" ht="21" customHeight="1">
      <c r="A181" s="45"/>
      <c r="B181" s="86" t="s">
        <v>7</v>
      </c>
      <c r="C181" s="10" t="s">
        <v>399</v>
      </c>
      <c r="D181" s="10" t="s">
        <v>310</v>
      </c>
      <c r="E181" s="35">
        <v>67.700999999999993</v>
      </c>
      <c r="F181" s="35">
        <f>112.835-E181</f>
        <v>45.134</v>
      </c>
      <c r="G181" s="35">
        <v>22.567</v>
      </c>
      <c r="H181" s="35">
        <f>90.268-G181</f>
        <v>67.700999999999993</v>
      </c>
      <c r="I181" s="35">
        <f t="shared" si="22"/>
        <v>203.10299999999998</v>
      </c>
      <c r="J181" s="56">
        <v>202.94</v>
      </c>
      <c r="K181" s="49">
        <v>4738.18</v>
      </c>
      <c r="L181" s="49">
        <v>4927.71</v>
      </c>
      <c r="M181" s="49">
        <v>1396.07</v>
      </c>
      <c r="N181" s="49">
        <v>1447.72</v>
      </c>
      <c r="O181" s="56">
        <f t="shared" si="23"/>
        <v>3342.1100000000006</v>
      </c>
      <c r="P181" s="1">
        <f t="shared" si="24"/>
        <v>226264.18911000001</v>
      </c>
      <c r="Q181" s="1">
        <f t="shared" si="18"/>
        <v>150842.79274000003</v>
      </c>
      <c r="R181" s="1">
        <f t="shared" si="19"/>
        <v>78532.934329999989</v>
      </c>
      <c r="S181" s="1">
        <f t="shared" si="20"/>
        <v>235598.80298999997</v>
      </c>
      <c r="T181" s="1">
        <f t="shared" si="25"/>
        <v>691238.71917000005</v>
      </c>
      <c r="U181" s="11"/>
      <c r="V181" s="11"/>
      <c r="W181" s="11"/>
      <c r="X181" s="12"/>
      <c r="Y181" s="12"/>
      <c r="Z181" s="12"/>
      <c r="AA181" s="12"/>
      <c r="AB181" s="12"/>
      <c r="AC181" s="12"/>
      <c r="AD181" s="12"/>
      <c r="AE181" s="12"/>
      <c r="AF181" s="12"/>
      <c r="AG181" s="12"/>
      <c r="AH181" s="12"/>
      <c r="AI181" s="12"/>
      <c r="AJ181" s="12"/>
      <c r="AK181" s="12"/>
      <c r="AL181" s="12"/>
      <c r="AM181" s="12"/>
      <c r="AN181" s="12"/>
      <c r="AO181" s="12"/>
      <c r="AP181" s="12"/>
      <c r="AQ181" s="12"/>
      <c r="AR181" s="12"/>
      <c r="AS181" s="12"/>
      <c r="AT181" s="12"/>
      <c r="AU181" s="12"/>
      <c r="AV181" s="12"/>
      <c r="AW181" s="12"/>
      <c r="AX181" s="12"/>
      <c r="AY181" s="12"/>
      <c r="AZ181" s="12"/>
      <c r="BA181" s="12"/>
      <c r="BB181" s="12"/>
      <c r="BC181" s="12"/>
      <c r="BD181" s="12"/>
      <c r="BE181" s="12"/>
      <c r="BF181" s="12"/>
      <c r="BG181" s="12"/>
      <c r="BH181" s="12"/>
      <c r="BI181" s="12"/>
      <c r="BJ181" s="12"/>
      <c r="BK181" s="12"/>
      <c r="BL181" s="12"/>
      <c r="BM181" s="12"/>
      <c r="BN181" s="12"/>
      <c r="BO181" s="12"/>
      <c r="BP181" s="12"/>
      <c r="BQ181" s="12"/>
      <c r="BR181" s="12"/>
      <c r="BS181" s="12"/>
      <c r="BT181" s="12"/>
      <c r="BU181" s="12"/>
      <c r="BV181" s="12"/>
      <c r="BW181" s="12"/>
      <c r="BX181" s="12"/>
      <c r="BY181" s="12"/>
      <c r="BZ181" s="12"/>
      <c r="CA181" s="12"/>
      <c r="CB181" s="12"/>
      <c r="CC181" s="12"/>
      <c r="CD181" s="12"/>
      <c r="CE181" s="12"/>
      <c r="CF181" s="12"/>
      <c r="CG181" s="12"/>
      <c r="CH181" s="12"/>
      <c r="CI181" s="12"/>
      <c r="CJ181" s="12"/>
      <c r="CK181" s="12"/>
      <c r="CL181" s="12"/>
      <c r="CM181" s="12"/>
      <c r="CN181" s="12"/>
      <c r="CO181" s="12"/>
      <c r="CP181" s="12"/>
      <c r="CQ181" s="12"/>
      <c r="CR181" s="12"/>
      <c r="CS181" s="12"/>
      <c r="CT181" s="12"/>
      <c r="CU181" s="12"/>
      <c r="CV181" s="12"/>
      <c r="CW181" s="12"/>
      <c r="CX181" s="12"/>
      <c r="CY181" s="12"/>
      <c r="CZ181" s="12"/>
      <c r="DA181" s="12"/>
      <c r="DB181" s="12"/>
      <c r="DC181" s="12"/>
      <c r="DD181" s="12"/>
      <c r="DE181" s="12"/>
      <c r="DF181" s="12"/>
      <c r="DG181" s="12"/>
      <c r="DH181" s="12"/>
      <c r="DI181" s="12"/>
      <c r="DJ181" s="12"/>
      <c r="DK181" s="12"/>
      <c r="DL181" s="12"/>
      <c r="DM181" s="12"/>
      <c r="DN181" s="12"/>
      <c r="DO181" s="12"/>
      <c r="DP181" s="12"/>
      <c r="DQ181" s="12"/>
      <c r="DR181" s="12"/>
      <c r="DS181" s="12"/>
      <c r="DT181" s="12"/>
      <c r="DU181" s="12"/>
      <c r="DV181" s="12"/>
      <c r="DW181" s="12"/>
      <c r="DX181" s="12"/>
      <c r="DY181" s="12"/>
      <c r="DZ181" s="12"/>
      <c r="EA181" s="12"/>
      <c r="EB181" s="12"/>
      <c r="EC181" s="12"/>
      <c r="ED181" s="12"/>
      <c r="EE181" s="12"/>
      <c r="EF181" s="12"/>
      <c r="EG181" s="12"/>
      <c r="EH181" s="12"/>
      <c r="EI181" s="12"/>
      <c r="EJ181" s="12"/>
      <c r="EK181" s="12"/>
      <c r="EL181" s="12"/>
      <c r="EM181" s="12"/>
      <c r="EN181" s="12"/>
      <c r="EO181" s="12"/>
      <c r="EP181" s="12"/>
      <c r="EQ181" s="12"/>
      <c r="ER181" s="12"/>
      <c r="ES181" s="12"/>
      <c r="ET181" s="12"/>
      <c r="EU181" s="12"/>
      <c r="EV181" s="12"/>
      <c r="EW181" s="12"/>
      <c r="EX181" s="12"/>
      <c r="EY181" s="12"/>
      <c r="EZ181" s="12"/>
      <c r="FA181" s="12"/>
      <c r="FB181" s="12"/>
      <c r="FC181" s="12"/>
      <c r="FD181" s="12"/>
      <c r="FE181" s="12"/>
      <c r="FF181" s="12"/>
      <c r="FG181" s="12"/>
      <c r="FH181" s="12"/>
      <c r="FI181" s="12"/>
      <c r="FJ181" s="12"/>
      <c r="FK181" s="12"/>
      <c r="FL181" s="12"/>
      <c r="FM181" s="12"/>
      <c r="FN181" s="12"/>
      <c r="FO181" s="12"/>
      <c r="FP181" s="12"/>
      <c r="FQ181" s="12"/>
      <c r="FR181" s="12"/>
      <c r="FS181" s="12"/>
      <c r="FT181" s="12"/>
      <c r="FU181" s="12"/>
      <c r="FV181" s="12"/>
      <c r="FW181" s="12"/>
      <c r="FX181" s="12"/>
      <c r="FY181" s="12"/>
      <c r="FZ181" s="12"/>
      <c r="GA181" s="12"/>
      <c r="GB181" s="12"/>
      <c r="GC181" s="12"/>
      <c r="GD181" s="12"/>
      <c r="GE181" s="12"/>
    </row>
    <row r="182" spans="1:187" ht="21" customHeight="1">
      <c r="A182" s="45"/>
      <c r="B182" s="86" t="s">
        <v>269</v>
      </c>
      <c r="C182" s="10" t="s">
        <v>207</v>
      </c>
      <c r="D182" s="10" t="s">
        <v>208</v>
      </c>
      <c r="E182" s="35">
        <v>4928.9179999999997</v>
      </c>
      <c r="F182" s="35">
        <f>7253.263-E182</f>
        <v>2324.3450000000003</v>
      </c>
      <c r="G182" s="35">
        <v>571.43399999999997</v>
      </c>
      <c r="H182" s="35">
        <f>4176.563-G182</f>
        <v>3605.1289999999999</v>
      </c>
      <c r="I182" s="35">
        <f t="shared" si="22"/>
        <v>11429.826000000001</v>
      </c>
      <c r="J182" s="56">
        <v>10758</v>
      </c>
      <c r="K182" s="49">
        <v>4489.4399999999996</v>
      </c>
      <c r="L182" s="49">
        <v>4669.0200000000004</v>
      </c>
      <c r="M182" s="49">
        <v>1432.83</v>
      </c>
      <c r="N182" s="49">
        <v>1485.84</v>
      </c>
      <c r="O182" s="56">
        <f t="shared" si="23"/>
        <v>3056.6099999999997</v>
      </c>
      <c r="P182" s="1">
        <f t="shared" si="24"/>
        <v>15065780.047979997</v>
      </c>
      <c r="Q182" s="1">
        <f t="shared" si="18"/>
        <v>7104616.1704500001</v>
      </c>
      <c r="R182" s="1">
        <f t="shared" si="19"/>
        <v>1818977.28012</v>
      </c>
      <c r="S182" s="1">
        <f t="shared" si="20"/>
        <v>11475774.53022</v>
      </c>
      <c r="T182" s="1">
        <f t="shared" si="25"/>
        <v>35465148.02877</v>
      </c>
      <c r="U182" s="11"/>
      <c r="V182" s="11"/>
      <c r="W182" s="11"/>
      <c r="X182" s="12"/>
      <c r="Y182" s="12"/>
      <c r="Z182" s="12"/>
      <c r="AA182" s="12"/>
      <c r="AB182" s="12"/>
      <c r="AC182" s="12"/>
      <c r="AD182" s="12"/>
      <c r="AE182" s="12"/>
      <c r="AF182" s="12"/>
      <c r="AG182" s="12"/>
      <c r="AH182" s="12"/>
      <c r="AI182" s="12"/>
      <c r="AJ182" s="12"/>
      <c r="AK182" s="12"/>
      <c r="AL182" s="12"/>
      <c r="AM182" s="12"/>
      <c r="AN182" s="12"/>
      <c r="AO182" s="12"/>
      <c r="AP182" s="12"/>
      <c r="AQ182" s="12"/>
      <c r="AR182" s="12"/>
      <c r="AS182" s="12"/>
      <c r="AT182" s="12"/>
      <c r="AU182" s="12"/>
      <c r="AV182" s="12"/>
      <c r="AW182" s="12"/>
      <c r="AX182" s="12"/>
      <c r="AY182" s="12"/>
      <c r="AZ182" s="12"/>
      <c r="BA182" s="12"/>
      <c r="BB182" s="12"/>
      <c r="BC182" s="12"/>
      <c r="BD182" s="12"/>
      <c r="BE182" s="12"/>
      <c r="BF182" s="12"/>
      <c r="BG182" s="12"/>
      <c r="BH182" s="12"/>
      <c r="BI182" s="12"/>
      <c r="BJ182" s="12"/>
      <c r="BK182" s="12"/>
      <c r="BL182" s="12"/>
      <c r="BM182" s="12"/>
      <c r="BN182" s="12"/>
      <c r="BO182" s="12"/>
      <c r="BP182" s="12"/>
      <c r="BQ182" s="12"/>
      <c r="BR182" s="12"/>
      <c r="BS182" s="12"/>
      <c r="BT182" s="12"/>
      <c r="BU182" s="12"/>
      <c r="BV182" s="12"/>
      <c r="BW182" s="12"/>
      <c r="BX182" s="12"/>
      <c r="BY182" s="12"/>
      <c r="BZ182" s="12"/>
      <c r="CA182" s="12"/>
      <c r="CB182" s="12"/>
      <c r="CC182" s="12"/>
      <c r="CD182" s="12"/>
      <c r="CE182" s="12"/>
      <c r="CF182" s="12"/>
      <c r="CG182" s="12"/>
      <c r="CH182" s="12"/>
      <c r="CI182" s="12"/>
      <c r="CJ182" s="12"/>
      <c r="CK182" s="12"/>
      <c r="CL182" s="12"/>
      <c r="CM182" s="12"/>
      <c r="CN182" s="12"/>
      <c r="CO182" s="12"/>
      <c r="CP182" s="12"/>
      <c r="CQ182" s="12"/>
      <c r="CR182" s="12"/>
      <c r="CS182" s="12"/>
      <c r="CT182" s="12"/>
      <c r="CU182" s="12"/>
      <c r="CV182" s="12"/>
      <c r="CW182" s="12"/>
      <c r="CX182" s="12"/>
      <c r="CY182" s="12"/>
      <c r="CZ182" s="12"/>
      <c r="DA182" s="12"/>
      <c r="DB182" s="12"/>
      <c r="DC182" s="12"/>
      <c r="DD182" s="12"/>
      <c r="DE182" s="12"/>
      <c r="DF182" s="12"/>
      <c r="DG182" s="12"/>
      <c r="DH182" s="12"/>
      <c r="DI182" s="12"/>
      <c r="DJ182" s="12"/>
      <c r="DK182" s="12"/>
      <c r="DL182" s="12"/>
      <c r="DM182" s="12"/>
      <c r="DN182" s="12"/>
      <c r="DO182" s="12"/>
      <c r="DP182" s="12"/>
      <c r="DQ182" s="12"/>
      <c r="DR182" s="12"/>
      <c r="DS182" s="12"/>
      <c r="DT182" s="12"/>
      <c r="DU182" s="12"/>
      <c r="DV182" s="12"/>
      <c r="DW182" s="12"/>
      <c r="DX182" s="12"/>
      <c r="DY182" s="12"/>
      <c r="DZ182" s="12"/>
      <c r="EA182" s="12"/>
      <c r="EB182" s="12"/>
      <c r="EC182" s="12"/>
      <c r="ED182" s="12"/>
      <c r="EE182" s="12"/>
      <c r="EF182" s="12"/>
      <c r="EG182" s="12"/>
      <c r="EH182" s="12"/>
      <c r="EI182" s="12"/>
      <c r="EJ182" s="12"/>
      <c r="EK182" s="12"/>
      <c r="EL182" s="12"/>
      <c r="EM182" s="12"/>
      <c r="EN182" s="12"/>
      <c r="EO182" s="12"/>
      <c r="EP182" s="12"/>
      <c r="EQ182" s="12"/>
      <c r="ER182" s="12"/>
      <c r="ES182" s="12"/>
      <c r="ET182" s="12"/>
      <c r="EU182" s="12"/>
      <c r="EV182" s="12"/>
      <c r="EW182" s="12"/>
      <c r="EX182" s="12"/>
      <c r="EY182" s="12"/>
      <c r="EZ182" s="12"/>
      <c r="FA182" s="12"/>
      <c r="FB182" s="12"/>
      <c r="FC182" s="12"/>
      <c r="FD182" s="12"/>
      <c r="FE182" s="12"/>
      <c r="FF182" s="12"/>
      <c r="FG182" s="12"/>
      <c r="FH182" s="12"/>
      <c r="FI182" s="12"/>
      <c r="FJ182" s="12"/>
      <c r="FK182" s="12"/>
      <c r="FL182" s="12"/>
      <c r="FM182" s="12"/>
      <c r="FN182" s="12"/>
      <c r="FO182" s="12"/>
      <c r="FP182" s="12"/>
      <c r="FQ182" s="12"/>
      <c r="FR182" s="12"/>
      <c r="FS182" s="12"/>
      <c r="FT182" s="12"/>
      <c r="FU182" s="12"/>
      <c r="FV182" s="12"/>
      <c r="FW182" s="12"/>
      <c r="FX182" s="12"/>
      <c r="FY182" s="12"/>
      <c r="FZ182" s="12"/>
      <c r="GA182" s="12"/>
      <c r="GB182" s="12"/>
      <c r="GC182" s="12"/>
      <c r="GD182" s="12"/>
      <c r="GE182" s="12"/>
    </row>
    <row r="183" spans="1:187" ht="21" customHeight="1">
      <c r="A183" s="45"/>
      <c r="B183" s="86" t="s">
        <v>267</v>
      </c>
      <c r="C183" s="10" t="s">
        <v>215</v>
      </c>
      <c r="D183" s="10" t="s">
        <v>319</v>
      </c>
      <c r="E183" s="35">
        <v>471.58600000000001</v>
      </c>
      <c r="F183" s="35">
        <f>703.109-E183</f>
        <v>231.52300000000002</v>
      </c>
      <c r="G183" s="35">
        <v>77.599999999999994</v>
      </c>
      <c r="H183" s="35">
        <f>308.281-G183</f>
        <v>230.68100000000001</v>
      </c>
      <c r="I183" s="35">
        <f t="shared" si="22"/>
        <v>1011.3900000000001</v>
      </c>
      <c r="J183" s="56">
        <v>1177.6300000000001</v>
      </c>
      <c r="K183" s="49">
        <v>4701.32</v>
      </c>
      <c r="L183" s="49">
        <v>4889.37</v>
      </c>
      <c r="M183" s="49">
        <v>1432.83</v>
      </c>
      <c r="N183" s="49">
        <v>1485.84</v>
      </c>
      <c r="O183" s="56">
        <f t="shared" si="23"/>
        <v>3268.49</v>
      </c>
      <c r="P183" s="1">
        <f t="shared" si="24"/>
        <v>1541374.1251399999</v>
      </c>
      <c r="Q183" s="1">
        <f t="shared" si="18"/>
        <v>756730.61027000006</v>
      </c>
      <c r="R183" s="1">
        <f t="shared" si="19"/>
        <v>264113.92799999996</v>
      </c>
      <c r="S183" s="1">
        <f t="shared" si="20"/>
        <v>785129.70392999996</v>
      </c>
      <c r="T183" s="1">
        <f t="shared" si="25"/>
        <v>3347348.3673399999</v>
      </c>
      <c r="U183" s="11"/>
      <c r="V183" s="11"/>
      <c r="W183" s="11"/>
      <c r="X183" s="12"/>
      <c r="Y183" s="12"/>
      <c r="Z183" s="12"/>
      <c r="AA183" s="12"/>
      <c r="AB183" s="12"/>
      <c r="AC183" s="12"/>
      <c r="AD183" s="12"/>
      <c r="AE183" s="12"/>
      <c r="AF183" s="12"/>
      <c r="AG183" s="12"/>
      <c r="AH183" s="12"/>
      <c r="AI183" s="12"/>
      <c r="AJ183" s="12"/>
      <c r="AK183" s="12"/>
      <c r="AL183" s="12"/>
      <c r="AM183" s="12"/>
      <c r="AN183" s="12"/>
      <c r="AO183" s="12"/>
      <c r="AP183" s="12"/>
      <c r="AQ183" s="12"/>
      <c r="AR183" s="12"/>
      <c r="AS183" s="12"/>
      <c r="AT183" s="12"/>
      <c r="AU183" s="12"/>
      <c r="AV183" s="12"/>
      <c r="AW183" s="12"/>
      <c r="AX183" s="12"/>
      <c r="AY183" s="12"/>
      <c r="AZ183" s="12"/>
      <c r="BA183" s="12"/>
      <c r="BB183" s="12"/>
      <c r="BC183" s="12"/>
      <c r="BD183" s="12"/>
      <c r="BE183" s="12"/>
      <c r="BF183" s="12"/>
      <c r="BG183" s="12"/>
      <c r="BH183" s="12"/>
      <c r="BI183" s="12"/>
      <c r="BJ183" s="12"/>
      <c r="BK183" s="12"/>
      <c r="BL183" s="12"/>
      <c r="BM183" s="12"/>
      <c r="BN183" s="12"/>
      <c r="BO183" s="12"/>
      <c r="BP183" s="12"/>
      <c r="BQ183" s="12"/>
      <c r="BR183" s="12"/>
      <c r="BS183" s="12"/>
      <c r="BT183" s="12"/>
      <c r="BU183" s="12"/>
      <c r="BV183" s="12"/>
      <c r="BW183" s="12"/>
      <c r="BX183" s="12"/>
      <c r="BY183" s="12"/>
      <c r="BZ183" s="12"/>
      <c r="CA183" s="12"/>
      <c r="CB183" s="12"/>
      <c r="CC183" s="12"/>
      <c r="CD183" s="12"/>
      <c r="CE183" s="12"/>
      <c r="CF183" s="12"/>
      <c r="CG183" s="12"/>
      <c r="CH183" s="12"/>
      <c r="CI183" s="12"/>
      <c r="CJ183" s="12"/>
      <c r="CK183" s="12"/>
      <c r="CL183" s="12"/>
      <c r="CM183" s="12"/>
      <c r="CN183" s="12"/>
      <c r="CO183" s="12"/>
      <c r="CP183" s="12"/>
      <c r="CQ183" s="12"/>
      <c r="CR183" s="12"/>
      <c r="CS183" s="12"/>
      <c r="CT183" s="12"/>
      <c r="CU183" s="12"/>
      <c r="CV183" s="12"/>
      <c r="CW183" s="12"/>
      <c r="CX183" s="12"/>
      <c r="CY183" s="12"/>
      <c r="CZ183" s="12"/>
      <c r="DA183" s="12"/>
      <c r="DB183" s="12"/>
      <c r="DC183" s="12"/>
      <c r="DD183" s="12"/>
      <c r="DE183" s="12"/>
      <c r="DF183" s="12"/>
      <c r="DG183" s="12"/>
      <c r="DH183" s="12"/>
      <c r="DI183" s="12"/>
      <c r="DJ183" s="12"/>
      <c r="DK183" s="12"/>
      <c r="DL183" s="12"/>
      <c r="DM183" s="12"/>
      <c r="DN183" s="12"/>
      <c r="DO183" s="12"/>
      <c r="DP183" s="12"/>
      <c r="DQ183" s="12"/>
      <c r="DR183" s="12"/>
      <c r="DS183" s="12"/>
      <c r="DT183" s="12"/>
      <c r="DU183" s="12"/>
      <c r="DV183" s="12"/>
      <c r="DW183" s="12"/>
      <c r="DX183" s="12"/>
      <c r="DY183" s="12"/>
      <c r="DZ183" s="12"/>
      <c r="EA183" s="12"/>
      <c r="EB183" s="12"/>
      <c r="EC183" s="12"/>
      <c r="ED183" s="12"/>
      <c r="EE183" s="12"/>
      <c r="EF183" s="12"/>
      <c r="EG183" s="12"/>
      <c r="EH183" s="12"/>
      <c r="EI183" s="12"/>
      <c r="EJ183" s="12"/>
      <c r="EK183" s="12"/>
      <c r="EL183" s="12"/>
      <c r="EM183" s="12"/>
      <c r="EN183" s="12"/>
      <c r="EO183" s="12"/>
      <c r="EP183" s="12"/>
      <c r="EQ183" s="12"/>
      <c r="ER183" s="12"/>
      <c r="ES183" s="12"/>
      <c r="ET183" s="12"/>
      <c r="EU183" s="12"/>
      <c r="EV183" s="12"/>
      <c r="EW183" s="12"/>
      <c r="EX183" s="12"/>
      <c r="EY183" s="12"/>
      <c r="EZ183" s="12"/>
      <c r="FA183" s="12"/>
      <c r="FB183" s="12"/>
      <c r="FC183" s="12"/>
      <c r="FD183" s="12"/>
      <c r="FE183" s="12"/>
      <c r="FF183" s="12"/>
      <c r="FG183" s="12"/>
      <c r="FH183" s="12"/>
      <c r="FI183" s="12"/>
      <c r="FJ183" s="12"/>
      <c r="FK183" s="12"/>
      <c r="FL183" s="12"/>
      <c r="FM183" s="12"/>
      <c r="FN183" s="12"/>
      <c r="FO183" s="12"/>
      <c r="FP183" s="12"/>
      <c r="FQ183" s="12"/>
      <c r="FR183" s="12"/>
      <c r="FS183" s="12"/>
      <c r="FT183" s="12"/>
      <c r="FU183" s="12"/>
      <c r="FV183" s="12"/>
      <c r="FW183" s="12"/>
      <c r="FX183" s="12"/>
      <c r="FY183" s="12"/>
      <c r="FZ183" s="12"/>
      <c r="GA183" s="12"/>
      <c r="GB183" s="12"/>
      <c r="GC183" s="12"/>
      <c r="GD183" s="12"/>
      <c r="GE183" s="12"/>
    </row>
    <row r="184" spans="1:187" ht="21" customHeight="1">
      <c r="A184" s="45"/>
      <c r="B184" s="86" t="s">
        <v>267</v>
      </c>
      <c r="C184" s="10" t="s">
        <v>215</v>
      </c>
      <c r="D184" s="10" t="s">
        <v>320</v>
      </c>
      <c r="E184" s="35">
        <v>433.72800000000001</v>
      </c>
      <c r="F184" s="35">
        <f>717.512-E184</f>
        <v>283.78399999999993</v>
      </c>
      <c r="G184" s="35">
        <v>98.373999999999995</v>
      </c>
      <c r="H184" s="35">
        <f>391.762-G184</f>
        <v>293.38800000000003</v>
      </c>
      <c r="I184" s="35">
        <f t="shared" si="22"/>
        <v>1109.2739999999999</v>
      </c>
      <c r="J184" s="56">
        <v>1207.6600000000001</v>
      </c>
      <c r="K184" s="49">
        <v>4701.32</v>
      </c>
      <c r="L184" s="49">
        <v>4889.37</v>
      </c>
      <c r="M184" s="49">
        <v>1390.82</v>
      </c>
      <c r="N184" s="49">
        <v>1442.28</v>
      </c>
      <c r="O184" s="56">
        <f t="shared" si="23"/>
        <v>3310.5</v>
      </c>
      <c r="P184" s="1">
        <f t="shared" si="24"/>
        <v>1435856.544</v>
      </c>
      <c r="Q184" s="1">
        <f t="shared" si="18"/>
        <v>939466.9319999998</v>
      </c>
      <c r="R184" s="1">
        <f t="shared" si="19"/>
        <v>339104.03165999998</v>
      </c>
      <c r="S184" s="1">
        <f t="shared" si="20"/>
        <v>1011334.8409200001</v>
      </c>
      <c r="T184" s="1">
        <f t="shared" si="25"/>
        <v>3725762.34858</v>
      </c>
      <c r="U184" s="11"/>
      <c r="V184" s="11"/>
      <c r="W184" s="11"/>
      <c r="X184" s="12"/>
      <c r="Y184" s="12"/>
      <c r="Z184" s="12"/>
      <c r="AA184" s="12"/>
      <c r="AB184" s="12"/>
      <c r="AC184" s="12"/>
      <c r="AD184" s="12"/>
      <c r="AE184" s="12"/>
      <c r="AF184" s="12"/>
      <c r="AG184" s="12"/>
      <c r="AH184" s="12"/>
      <c r="AI184" s="12"/>
      <c r="AJ184" s="12"/>
      <c r="AK184" s="12"/>
      <c r="AL184" s="12"/>
      <c r="AM184" s="12"/>
      <c r="AN184" s="12"/>
      <c r="AO184" s="12"/>
      <c r="AP184" s="12"/>
      <c r="AQ184" s="12"/>
      <c r="AR184" s="12"/>
      <c r="AS184" s="12"/>
      <c r="AT184" s="12"/>
      <c r="AU184" s="12"/>
      <c r="AV184" s="12"/>
      <c r="AW184" s="12"/>
      <c r="AX184" s="12"/>
      <c r="AY184" s="12"/>
      <c r="AZ184" s="12"/>
      <c r="BA184" s="12"/>
      <c r="BB184" s="12"/>
      <c r="BC184" s="12"/>
      <c r="BD184" s="12"/>
      <c r="BE184" s="12"/>
      <c r="BF184" s="12"/>
      <c r="BG184" s="12"/>
      <c r="BH184" s="12"/>
      <c r="BI184" s="12"/>
      <c r="BJ184" s="12"/>
      <c r="BK184" s="12"/>
      <c r="BL184" s="12"/>
      <c r="BM184" s="12"/>
      <c r="BN184" s="12"/>
      <c r="BO184" s="12"/>
      <c r="BP184" s="12"/>
      <c r="BQ184" s="12"/>
      <c r="BR184" s="12"/>
      <c r="BS184" s="12"/>
      <c r="BT184" s="12"/>
      <c r="BU184" s="12"/>
      <c r="BV184" s="12"/>
      <c r="BW184" s="12"/>
      <c r="BX184" s="12"/>
      <c r="BY184" s="12"/>
      <c r="BZ184" s="12"/>
      <c r="CA184" s="12"/>
      <c r="CB184" s="12"/>
      <c r="CC184" s="12"/>
      <c r="CD184" s="12"/>
      <c r="CE184" s="12"/>
      <c r="CF184" s="12"/>
      <c r="CG184" s="12"/>
      <c r="CH184" s="12"/>
      <c r="CI184" s="12"/>
      <c r="CJ184" s="12"/>
      <c r="CK184" s="12"/>
      <c r="CL184" s="12"/>
      <c r="CM184" s="12"/>
      <c r="CN184" s="12"/>
      <c r="CO184" s="12"/>
      <c r="CP184" s="12"/>
      <c r="CQ184" s="12"/>
      <c r="CR184" s="12"/>
      <c r="CS184" s="12"/>
      <c r="CT184" s="12"/>
      <c r="CU184" s="12"/>
      <c r="CV184" s="12"/>
      <c r="CW184" s="12"/>
      <c r="CX184" s="12"/>
      <c r="CY184" s="12"/>
      <c r="CZ184" s="12"/>
      <c r="DA184" s="12"/>
      <c r="DB184" s="12"/>
      <c r="DC184" s="12"/>
      <c r="DD184" s="12"/>
      <c r="DE184" s="12"/>
      <c r="DF184" s="12"/>
      <c r="DG184" s="12"/>
      <c r="DH184" s="12"/>
      <c r="DI184" s="12"/>
      <c r="DJ184" s="12"/>
      <c r="DK184" s="12"/>
      <c r="DL184" s="12"/>
      <c r="DM184" s="12"/>
      <c r="DN184" s="12"/>
      <c r="DO184" s="12"/>
      <c r="DP184" s="12"/>
      <c r="DQ184" s="12"/>
      <c r="DR184" s="12"/>
      <c r="DS184" s="12"/>
      <c r="DT184" s="12"/>
      <c r="DU184" s="12"/>
      <c r="DV184" s="12"/>
      <c r="DW184" s="12"/>
      <c r="DX184" s="12"/>
      <c r="DY184" s="12"/>
      <c r="DZ184" s="12"/>
      <c r="EA184" s="12"/>
      <c r="EB184" s="12"/>
      <c r="EC184" s="12"/>
      <c r="ED184" s="12"/>
      <c r="EE184" s="12"/>
      <c r="EF184" s="12"/>
      <c r="EG184" s="12"/>
      <c r="EH184" s="12"/>
      <c r="EI184" s="12"/>
      <c r="EJ184" s="12"/>
      <c r="EK184" s="12"/>
      <c r="EL184" s="12"/>
      <c r="EM184" s="12"/>
      <c r="EN184" s="12"/>
      <c r="EO184" s="12"/>
      <c r="EP184" s="12"/>
      <c r="EQ184" s="12"/>
      <c r="ER184" s="12"/>
      <c r="ES184" s="12"/>
      <c r="ET184" s="12"/>
      <c r="EU184" s="12"/>
      <c r="EV184" s="12"/>
      <c r="EW184" s="12"/>
      <c r="EX184" s="12"/>
      <c r="EY184" s="12"/>
      <c r="EZ184" s="12"/>
      <c r="FA184" s="12"/>
      <c r="FB184" s="12"/>
      <c r="FC184" s="12"/>
      <c r="FD184" s="12"/>
      <c r="FE184" s="12"/>
      <c r="FF184" s="12"/>
      <c r="FG184" s="12"/>
      <c r="FH184" s="12"/>
      <c r="FI184" s="12"/>
      <c r="FJ184" s="12"/>
      <c r="FK184" s="12"/>
      <c r="FL184" s="12"/>
      <c r="FM184" s="12"/>
      <c r="FN184" s="12"/>
      <c r="FO184" s="12"/>
      <c r="FP184" s="12"/>
      <c r="FQ184" s="12"/>
      <c r="FR184" s="12"/>
      <c r="FS184" s="12"/>
      <c r="FT184" s="12"/>
      <c r="FU184" s="12"/>
      <c r="FV184" s="12"/>
      <c r="FW184" s="12"/>
      <c r="FX184" s="12"/>
      <c r="FY184" s="12"/>
      <c r="FZ184" s="12"/>
      <c r="GA184" s="12"/>
      <c r="GB184" s="12"/>
      <c r="GC184" s="12"/>
      <c r="GD184" s="12"/>
      <c r="GE184" s="12"/>
    </row>
    <row r="185" spans="1:187" ht="21" customHeight="1">
      <c r="A185" s="45"/>
      <c r="B185" s="86" t="s">
        <v>271</v>
      </c>
      <c r="C185" s="10" t="s">
        <v>203</v>
      </c>
      <c r="D185" s="10" t="s">
        <v>204</v>
      </c>
      <c r="E185" s="35">
        <v>6542.7759999999998</v>
      </c>
      <c r="F185" s="35">
        <f>10062.24-E185</f>
        <v>3519.4639999999999</v>
      </c>
      <c r="G185" s="35">
        <v>1226.3050000000001</v>
      </c>
      <c r="H185" s="35">
        <f>7168.534</f>
        <v>7168.5339999999997</v>
      </c>
      <c r="I185" s="35">
        <f t="shared" si="22"/>
        <v>18457.078999999998</v>
      </c>
      <c r="J185" s="56">
        <v>21529.18</v>
      </c>
      <c r="K185" s="49">
        <v>5371.27</v>
      </c>
      <c r="L185" s="49">
        <v>5586.12</v>
      </c>
      <c r="M185" s="49">
        <v>1187.4000000000001</v>
      </c>
      <c r="N185" s="49">
        <v>1231.33</v>
      </c>
      <c r="O185" s="56">
        <f t="shared" si="23"/>
        <v>4183.8700000000008</v>
      </c>
      <c r="P185" s="1">
        <f t="shared" si="24"/>
        <v>27374124.223120004</v>
      </c>
      <c r="Q185" s="1">
        <f t="shared" si="18"/>
        <v>14724979.845680002</v>
      </c>
      <c r="R185" s="1">
        <f t="shared" si="19"/>
        <v>5340300.7509500002</v>
      </c>
      <c r="S185" s="1">
        <f t="shared" si="20"/>
        <v>31217460.177859999</v>
      </c>
      <c r="T185" s="1">
        <f t="shared" si="25"/>
        <v>78656864.997610003</v>
      </c>
      <c r="U185" s="11"/>
      <c r="V185" s="11"/>
      <c r="W185" s="11"/>
      <c r="X185" s="12"/>
      <c r="Y185" s="12"/>
      <c r="Z185" s="12"/>
      <c r="AA185" s="12"/>
      <c r="AB185" s="12"/>
      <c r="AC185" s="12"/>
      <c r="AD185" s="12"/>
      <c r="AE185" s="12"/>
      <c r="AF185" s="12"/>
      <c r="AG185" s="12"/>
      <c r="AH185" s="12"/>
      <c r="AI185" s="12"/>
      <c r="AJ185" s="12"/>
      <c r="AK185" s="12"/>
      <c r="AL185" s="12"/>
      <c r="AM185" s="12"/>
      <c r="AN185" s="12"/>
      <c r="AO185" s="12"/>
      <c r="AP185" s="12"/>
      <c r="AQ185" s="12"/>
      <c r="AR185" s="12"/>
      <c r="AS185" s="12"/>
      <c r="AT185" s="12"/>
      <c r="AU185" s="12"/>
      <c r="AV185" s="12"/>
      <c r="AW185" s="12"/>
      <c r="AX185" s="12"/>
      <c r="AY185" s="12"/>
      <c r="AZ185" s="12"/>
      <c r="BA185" s="12"/>
      <c r="BB185" s="12"/>
      <c r="BC185" s="12"/>
      <c r="BD185" s="12"/>
      <c r="BE185" s="12"/>
      <c r="BF185" s="12"/>
      <c r="BG185" s="12"/>
      <c r="BH185" s="12"/>
      <c r="BI185" s="12"/>
      <c r="BJ185" s="12"/>
      <c r="BK185" s="12"/>
      <c r="BL185" s="12"/>
      <c r="BM185" s="12"/>
      <c r="BN185" s="12"/>
      <c r="BO185" s="12"/>
      <c r="BP185" s="12"/>
      <c r="BQ185" s="12"/>
      <c r="BR185" s="12"/>
      <c r="BS185" s="12"/>
      <c r="BT185" s="12"/>
      <c r="BU185" s="12"/>
      <c r="BV185" s="12"/>
      <c r="BW185" s="12"/>
      <c r="BX185" s="12"/>
      <c r="BY185" s="12"/>
      <c r="BZ185" s="12"/>
      <c r="CA185" s="12"/>
      <c r="CB185" s="12"/>
      <c r="CC185" s="12"/>
      <c r="CD185" s="12"/>
      <c r="CE185" s="12"/>
      <c r="CF185" s="12"/>
      <c r="CG185" s="12"/>
      <c r="CH185" s="12"/>
      <c r="CI185" s="12"/>
      <c r="CJ185" s="12"/>
      <c r="CK185" s="12"/>
      <c r="CL185" s="12"/>
      <c r="CM185" s="12"/>
      <c r="CN185" s="12"/>
      <c r="CO185" s="12"/>
      <c r="CP185" s="12"/>
      <c r="CQ185" s="12"/>
      <c r="CR185" s="12"/>
      <c r="CS185" s="12"/>
      <c r="CT185" s="12"/>
      <c r="CU185" s="12"/>
      <c r="CV185" s="12"/>
      <c r="CW185" s="12"/>
      <c r="CX185" s="12"/>
      <c r="CY185" s="12"/>
      <c r="CZ185" s="12"/>
      <c r="DA185" s="12"/>
      <c r="DB185" s="12"/>
      <c r="DC185" s="12"/>
      <c r="DD185" s="12"/>
      <c r="DE185" s="12"/>
      <c r="DF185" s="12"/>
      <c r="DG185" s="12"/>
      <c r="DH185" s="12"/>
      <c r="DI185" s="12"/>
      <c r="DJ185" s="12"/>
      <c r="DK185" s="12"/>
      <c r="DL185" s="12"/>
      <c r="DM185" s="12"/>
      <c r="DN185" s="12"/>
      <c r="DO185" s="12"/>
      <c r="DP185" s="12"/>
      <c r="DQ185" s="12"/>
      <c r="DR185" s="12"/>
      <c r="DS185" s="12"/>
      <c r="DT185" s="12"/>
      <c r="DU185" s="12"/>
      <c r="DV185" s="12"/>
      <c r="DW185" s="12"/>
      <c r="DX185" s="12"/>
      <c r="DY185" s="12"/>
      <c r="DZ185" s="12"/>
      <c r="EA185" s="12"/>
      <c r="EB185" s="12"/>
      <c r="EC185" s="12"/>
      <c r="ED185" s="12"/>
      <c r="EE185" s="12"/>
      <c r="EF185" s="12"/>
      <c r="EG185" s="12"/>
      <c r="EH185" s="12"/>
      <c r="EI185" s="12"/>
      <c r="EJ185" s="12"/>
      <c r="EK185" s="12"/>
      <c r="EL185" s="12"/>
      <c r="EM185" s="12"/>
      <c r="EN185" s="12"/>
      <c r="EO185" s="12"/>
      <c r="EP185" s="12"/>
      <c r="EQ185" s="12"/>
      <c r="ER185" s="12"/>
      <c r="ES185" s="12"/>
      <c r="ET185" s="12"/>
      <c r="EU185" s="12"/>
      <c r="EV185" s="12"/>
      <c r="EW185" s="12"/>
      <c r="EX185" s="12"/>
      <c r="EY185" s="12"/>
      <c r="EZ185" s="12"/>
      <c r="FA185" s="12"/>
      <c r="FB185" s="12"/>
      <c r="FC185" s="12"/>
      <c r="FD185" s="12"/>
      <c r="FE185" s="12"/>
      <c r="FF185" s="12"/>
      <c r="FG185" s="12"/>
      <c r="FH185" s="12"/>
      <c r="FI185" s="12"/>
      <c r="FJ185" s="12"/>
      <c r="FK185" s="12"/>
      <c r="FL185" s="12"/>
      <c r="FM185" s="12"/>
      <c r="FN185" s="12"/>
      <c r="FO185" s="12"/>
      <c r="FP185" s="12"/>
      <c r="FQ185" s="12"/>
      <c r="FR185" s="12"/>
      <c r="FS185" s="12"/>
      <c r="FT185" s="12"/>
      <c r="FU185" s="12"/>
      <c r="FV185" s="12"/>
      <c r="FW185" s="12"/>
      <c r="FX185" s="12"/>
      <c r="FY185" s="12"/>
      <c r="FZ185" s="12"/>
      <c r="GA185" s="12"/>
      <c r="GB185" s="12"/>
      <c r="GC185" s="12"/>
      <c r="GD185" s="12"/>
      <c r="GE185" s="12"/>
    </row>
    <row r="186" spans="1:187" ht="21" customHeight="1">
      <c r="A186" s="45"/>
      <c r="B186" s="86" t="s">
        <v>265</v>
      </c>
      <c r="C186" s="10" t="s">
        <v>88</v>
      </c>
      <c r="D186" s="10" t="s">
        <v>217</v>
      </c>
      <c r="E186" s="35">
        <v>2899.933</v>
      </c>
      <c r="F186" s="35">
        <f>4422.924-E186</f>
        <v>1522.991</v>
      </c>
      <c r="G186" s="35">
        <v>512.84500000000003</v>
      </c>
      <c r="H186" s="35">
        <f>2958.13-G186</f>
        <v>2445.2849999999999</v>
      </c>
      <c r="I186" s="35">
        <f t="shared" si="22"/>
        <v>7381.0540000000001</v>
      </c>
      <c r="J186" s="56">
        <v>7637.76</v>
      </c>
      <c r="K186" s="49">
        <v>6038.75</v>
      </c>
      <c r="L186" s="49">
        <v>6038.75</v>
      </c>
      <c r="M186" s="49">
        <v>1369.73</v>
      </c>
      <c r="N186" s="49">
        <v>1420.4100099999998</v>
      </c>
      <c r="O186" s="56">
        <f t="shared" si="23"/>
        <v>4669.0200000000004</v>
      </c>
      <c r="P186" s="1">
        <f t="shared" si="24"/>
        <v>13539845.175660001</v>
      </c>
      <c r="Q186" s="1">
        <f t="shared" si="18"/>
        <v>7110875.4388200007</v>
      </c>
      <c r="R186" s="1">
        <f t="shared" si="19"/>
        <v>2368492.5721715502</v>
      </c>
      <c r="S186" s="1">
        <f t="shared" si="20"/>
        <v>11293157.502447151</v>
      </c>
      <c r="T186" s="1">
        <f t="shared" si="25"/>
        <v>34312370.689098701</v>
      </c>
      <c r="U186" s="11"/>
      <c r="V186" s="11"/>
      <c r="W186" s="11"/>
      <c r="X186" s="12"/>
      <c r="Y186" s="12"/>
      <c r="Z186" s="12"/>
      <c r="AA186" s="12"/>
      <c r="AB186" s="12"/>
      <c r="AC186" s="12"/>
      <c r="AD186" s="12"/>
      <c r="AE186" s="12"/>
      <c r="AF186" s="12"/>
      <c r="AG186" s="12"/>
      <c r="AH186" s="12"/>
      <c r="AI186" s="12"/>
      <c r="AJ186" s="12"/>
      <c r="AK186" s="12"/>
      <c r="AL186" s="12"/>
      <c r="AM186" s="12"/>
      <c r="AN186" s="12"/>
      <c r="AO186" s="12"/>
      <c r="AP186" s="12"/>
      <c r="AQ186" s="12"/>
      <c r="AR186" s="12"/>
      <c r="AS186" s="12"/>
      <c r="AT186" s="12"/>
      <c r="AU186" s="12"/>
      <c r="AV186" s="12"/>
      <c r="AW186" s="12"/>
      <c r="AX186" s="12"/>
      <c r="AY186" s="12"/>
      <c r="AZ186" s="12"/>
      <c r="BA186" s="12"/>
      <c r="BB186" s="12"/>
      <c r="BC186" s="12"/>
      <c r="BD186" s="12"/>
      <c r="BE186" s="12"/>
      <c r="BF186" s="12"/>
      <c r="BG186" s="12"/>
      <c r="BH186" s="12"/>
      <c r="BI186" s="12"/>
      <c r="BJ186" s="12"/>
      <c r="BK186" s="12"/>
      <c r="BL186" s="12"/>
      <c r="BM186" s="12"/>
      <c r="BN186" s="12"/>
      <c r="BO186" s="12"/>
      <c r="BP186" s="12"/>
      <c r="BQ186" s="12"/>
      <c r="BR186" s="12"/>
      <c r="BS186" s="12"/>
      <c r="BT186" s="12"/>
      <c r="BU186" s="12"/>
      <c r="BV186" s="12"/>
      <c r="BW186" s="12"/>
      <c r="BX186" s="12"/>
      <c r="BY186" s="12"/>
      <c r="BZ186" s="12"/>
      <c r="CA186" s="12"/>
      <c r="CB186" s="12"/>
      <c r="CC186" s="12"/>
      <c r="CD186" s="12"/>
      <c r="CE186" s="12"/>
      <c r="CF186" s="12"/>
      <c r="CG186" s="12"/>
      <c r="CH186" s="12"/>
      <c r="CI186" s="12"/>
      <c r="CJ186" s="12"/>
      <c r="CK186" s="12"/>
      <c r="CL186" s="12"/>
      <c r="CM186" s="12"/>
      <c r="CN186" s="12"/>
      <c r="CO186" s="12"/>
      <c r="CP186" s="12"/>
      <c r="CQ186" s="12"/>
      <c r="CR186" s="12"/>
      <c r="CS186" s="12"/>
      <c r="CT186" s="12"/>
      <c r="CU186" s="12"/>
      <c r="CV186" s="12"/>
      <c r="CW186" s="12"/>
      <c r="CX186" s="12"/>
      <c r="CY186" s="12"/>
      <c r="CZ186" s="12"/>
      <c r="DA186" s="12"/>
      <c r="DB186" s="12"/>
      <c r="DC186" s="12"/>
      <c r="DD186" s="12"/>
      <c r="DE186" s="12"/>
      <c r="DF186" s="12"/>
      <c r="DG186" s="12"/>
      <c r="DH186" s="12"/>
      <c r="DI186" s="12"/>
      <c r="DJ186" s="12"/>
      <c r="DK186" s="12"/>
      <c r="DL186" s="12"/>
      <c r="DM186" s="12"/>
      <c r="DN186" s="12"/>
      <c r="DO186" s="12"/>
      <c r="DP186" s="12"/>
      <c r="DQ186" s="12"/>
      <c r="DR186" s="12"/>
      <c r="DS186" s="12"/>
      <c r="DT186" s="12"/>
      <c r="DU186" s="12"/>
      <c r="DV186" s="12"/>
      <c r="DW186" s="12"/>
      <c r="DX186" s="12"/>
      <c r="DY186" s="12"/>
      <c r="DZ186" s="12"/>
      <c r="EA186" s="12"/>
      <c r="EB186" s="12"/>
      <c r="EC186" s="12"/>
      <c r="ED186" s="12"/>
      <c r="EE186" s="12"/>
      <c r="EF186" s="12"/>
      <c r="EG186" s="12"/>
      <c r="EH186" s="12"/>
      <c r="EI186" s="12"/>
      <c r="EJ186" s="12"/>
      <c r="EK186" s="12"/>
      <c r="EL186" s="12"/>
      <c r="EM186" s="12"/>
      <c r="EN186" s="12"/>
      <c r="EO186" s="12"/>
      <c r="EP186" s="12"/>
      <c r="EQ186" s="12"/>
      <c r="ER186" s="12"/>
      <c r="ES186" s="12"/>
      <c r="ET186" s="12"/>
      <c r="EU186" s="12"/>
      <c r="EV186" s="12"/>
      <c r="EW186" s="12"/>
      <c r="EX186" s="12"/>
      <c r="EY186" s="12"/>
      <c r="EZ186" s="12"/>
      <c r="FA186" s="12"/>
      <c r="FB186" s="12"/>
      <c r="FC186" s="12"/>
      <c r="FD186" s="12"/>
      <c r="FE186" s="12"/>
      <c r="FF186" s="12"/>
      <c r="FG186" s="12"/>
      <c r="FH186" s="12"/>
      <c r="FI186" s="12"/>
      <c r="FJ186" s="12"/>
      <c r="FK186" s="12"/>
      <c r="FL186" s="12"/>
      <c r="FM186" s="12"/>
      <c r="FN186" s="12"/>
      <c r="FO186" s="12"/>
      <c r="FP186" s="12"/>
      <c r="FQ186" s="12"/>
      <c r="FR186" s="12"/>
      <c r="FS186" s="12"/>
      <c r="FT186" s="12"/>
      <c r="FU186" s="12"/>
      <c r="FV186" s="12"/>
      <c r="FW186" s="12"/>
      <c r="FX186" s="12"/>
      <c r="FY186" s="12"/>
      <c r="FZ186" s="12"/>
      <c r="GA186" s="12"/>
      <c r="GB186" s="12"/>
      <c r="GC186" s="12"/>
      <c r="GD186" s="12"/>
      <c r="GE186" s="12"/>
    </row>
    <row r="187" spans="1:187" ht="21" customHeight="1">
      <c r="A187" s="45"/>
      <c r="B187" s="86" t="s">
        <v>8</v>
      </c>
      <c r="C187" s="10" t="s">
        <v>210</v>
      </c>
      <c r="D187" s="10" t="s">
        <v>209</v>
      </c>
      <c r="E187" s="35">
        <v>3360.806</v>
      </c>
      <c r="F187" s="35">
        <f>5131.218-E187</f>
        <v>1770.4119999999998</v>
      </c>
      <c r="G187" s="35">
        <v>491.93400000000003</v>
      </c>
      <c r="H187" s="35">
        <f>3117.096-G187</f>
        <v>2625.1619999999998</v>
      </c>
      <c r="I187" s="35">
        <f t="shared" si="22"/>
        <v>8248.3140000000003</v>
      </c>
      <c r="J187" s="56">
        <v>7941.24</v>
      </c>
      <c r="K187" s="49">
        <v>4540.74</v>
      </c>
      <c r="L187" s="49">
        <v>4938.95</v>
      </c>
      <c r="M187" s="49">
        <v>1432.83</v>
      </c>
      <c r="N187" s="49">
        <v>1485.84</v>
      </c>
      <c r="O187" s="56">
        <f t="shared" si="23"/>
        <v>3107.91</v>
      </c>
      <c r="P187" s="1">
        <f t="shared" si="24"/>
        <v>10445082.57546</v>
      </c>
      <c r="Q187" s="1">
        <f t="shared" si="18"/>
        <v>5502281.1589199994</v>
      </c>
      <c r="R187" s="1">
        <f t="shared" si="19"/>
        <v>1698702.21474</v>
      </c>
      <c r="S187" s="1">
        <f t="shared" si="20"/>
        <v>9064973.1538199987</v>
      </c>
      <c r="T187" s="1">
        <f t="shared" si="25"/>
        <v>26711039.102940001</v>
      </c>
      <c r="U187" s="11"/>
      <c r="V187" s="11"/>
      <c r="W187" s="11"/>
      <c r="X187" s="12"/>
      <c r="Y187" s="12"/>
      <c r="Z187" s="12"/>
      <c r="AA187" s="12"/>
      <c r="AB187" s="12"/>
      <c r="AC187" s="12"/>
      <c r="AD187" s="12"/>
      <c r="AE187" s="12"/>
      <c r="AF187" s="12"/>
      <c r="AG187" s="12"/>
      <c r="AH187" s="12"/>
      <c r="AI187" s="12"/>
      <c r="AJ187" s="12"/>
      <c r="AK187" s="12"/>
      <c r="AL187" s="12"/>
      <c r="AM187" s="12"/>
      <c r="AN187" s="12"/>
      <c r="AO187" s="12"/>
      <c r="AP187" s="12"/>
      <c r="AQ187" s="12"/>
      <c r="AR187" s="12"/>
      <c r="AS187" s="12"/>
      <c r="AT187" s="12"/>
      <c r="AU187" s="12"/>
      <c r="AV187" s="12"/>
      <c r="AW187" s="12"/>
      <c r="AX187" s="12"/>
      <c r="AY187" s="12"/>
      <c r="AZ187" s="12"/>
      <c r="BA187" s="12"/>
      <c r="BB187" s="12"/>
      <c r="BC187" s="12"/>
      <c r="BD187" s="12"/>
      <c r="BE187" s="12"/>
      <c r="BF187" s="12"/>
      <c r="BG187" s="12"/>
      <c r="BH187" s="12"/>
      <c r="BI187" s="12"/>
      <c r="BJ187" s="12"/>
      <c r="BK187" s="12"/>
      <c r="BL187" s="12"/>
      <c r="BM187" s="12"/>
      <c r="BN187" s="12"/>
      <c r="BO187" s="12"/>
      <c r="BP187" s="12"/>
      <c r="BQ187" s="12"/>
      <c r="BR187" s="12"/>
      <c r="BS187" s="12"/>
      <c r="BT187" s="12"/>
      <c r="BU187" s="12"/>
      <c r="BV187" s="12"/>
      <c r="BW187" s="12"/>
      <c r="BX187" s="12"/>
      <c r="BY187" s="12"/>
      <c r="BZ187" s="12"/>
      <c r="CA187" s="12"/>
      <c r="CB187" s="12"/>
      <c r="CC187" s="12"/>
      <c r="CD187" s="12"/>
      <c r="CE187" s="12"/>
      <c r="CF187" s="12"/>
      <c r="CG187" s="12"/>
      <c r="CH187" s="12"/>
      <c r="CI187" s="12"/>
      <c r="CJ187" s="12"/>
      <c r="CK187" s="12"/>
      <c r="CL187" s="12"/>
      <c r="CM187" s="12"/>
      <c r="CN187" s="12"/>
      <c r="CO187" s="12"/>
      <c r="CP187" s="12"/>
      <c r="CQ187" s="12"/>
      <c r="CR187" s="12"/>
      <c r="CS187" s="12"/>
      <c r="CT187" s="12"/>
      <c r="CU187" s="12"/>
      <c r="CV187" s="12"/>
      <c r="CW187" s="12"/>
      <c r="CX187" s="12"/>
      <c r="CY187" s="12"/>
      <c r="CZ187" s="12"/>
      <c r="DA187" s="12"/>
      <c r="DB187" s="12"/>
      <c r="DC187" s="12"/>
      <c r="DD187" s="12"/>
      <c r="DE187" s="12"/>
      <c r="DF187" s="12"/>
      <c r="DG187" s="12"/>
      <c r="DH187" s="12"/>
      <c r="DI187" s="12"/>
      <c r="DJ187" s="12"/>
      <c r="DK187" s="12"/>
      <c r="DL187" s="12"/>
      <c r="DM187" s="12"/>
      <c r="DN187" s="12"/>
      <c r="DO187" s="12"/>
      <c r="DP187" s="12"/>
      <c r="DQ187" s="12"/>
      <c r="DR187" s="12"/>
      <c r="DS187" s="12"/>
      <c r="DT187" s="12"/>
      <c r="DU187" s="12"/>
      <c r="DV187" s="12"/>
      <c r="DW187" s="12"/>
      <c r="DX187" s="12"/>
      <c r="DY187" s="12"/>
      <c r="DZ187" s="12"/>
      <c r="EA187" s="12"/>
      <c r="EB187" s="12"/>
      <c r="EC187" s="12"/>
      <c r="ED187" s="12"/>
      <c r="EE187" s="12"/>
      <c r="EF187" s="12"/>
      <c r="EG187" s="12"/>
      <c r="EH187" s="12"/>
      <c r="EI187" s="12"/>
      <c r="EJ187" s="12"/>
      <c r="EK187" s="12"/>
      <c r="EL187" s="12"/>
      <c r="EM187" s="12"/>
      <c r="EN187" s="12"/>
      <c r="EO187" s="12"/>
      <c r="EP187" s="12"/>
      <c r="EQ187" s="12"/>
      <c r="ER187" s="12"/>
      <c r="ES187" s="12"/>
      <c r="ET187" s="12"/>
      <c r="EU187" s="12"/>
      <c r="EV187" s="12"/>
      <c r="EW187" s="12"/>
      <c r="EX187" s="12"/>
      <c r="EY187" s="12"/>
      <c r="EZ187" s="12"/>
      <c r="FA187" s="12"/>
      <c r="FB187" s="12"/>
      <c r="FC187" s="12"/>
      <c r="FD187" s="12"/>
      <c r="FE187" s="12"/>
      <c r="FF187" s="12"/>
      <c r="FG187" s="12"/>
      <c r="FH187" s="12"/>
      <c r="FI187" s="12"/>
      <c r="FJ187" s="12"/>
      <c r="FK187" s="12"/>
      <c r="FL187" s="12"/>
      <c r="FM187" s="12"/>
      <c r="FN187" s="12"/>
      <c r="FO187" s="12"/>
      <c r="FP187" s="12"/>
      <c r="FQ187" s="12"/>
      <c r="FR187" s="12"/>
      <c r="FS187" s="12"/>
      <c r="FT187" s="12"/>
      <c r="FU187" s="12"/>
      <c r="FV187" s="12"/>
      <c r="FW187" s="12"/>
      <c r="FX187" s="12"/>
      <c r="FY187" s="12"/>
      <c r="FZ187" s="12"/>
      <c r="GA187" s="12"/>
      <c r="GB187" s="12"/>
      <c r="GC187" s="12"/>
      <c r="GD187" s="12"/>
      <c r="GE187" s="12"/>
    </row>
    <row r="188" spans="1:187" ht="21" customHeight="1">
      <c r="A188" s="45"/>
      <c r="B188" s="86" t="s">
        <v>8</v>
      </c>
      <c r="C188" s="10" t="s">
        <v>210</v>
      </c>
      <c r="D188" s="10" t="s">
        <v>211</v>
      </c>
      <c r="E188" s="35">
        <v>1391.444</v>
      </c>
      <c r="F188" s="35">
        <f>2185.296-E188</f>
        <v>793.85199999999986</v>
      </c>
      <c r="G188" s="35">
        <v>290.553</v>
      </c>
      <c r="H188" s="35">
        <f>1500.825-G188</f>
        <v>1210.2719999999999</v>
      </c>
      <c r="I188" s="35">
        <f t="shared" si="22"/>
        <v>3686.1209999999996</v>
      </c>
      <c r="J188" s="56">
        <v>3927.51</v>
      </c>
      <c r="K188" s="49">
        <v>6861.76</v>
      </c>
      <c r="L188" s="49">
        <v>7136.23</v>
      </c>
      <c r="M188" s="49">
        <v>1432.83</v>
      </c>
      <c r="N188" s="49">
        <v>1485.84</v>
      </c>
      <c r="O188" s="56">
        <f t="shared" si="23"/>
        <v>5428.93</v>
      </c>
      <c r="P188" s="1">
        <f t="shared" si="24"/>
        <v>7554052.0749200005</v>
      </c>
      <c r="Q188" s="1">
        <f t="shared" si="18"/>
        <v>4309766.9383599991</v>
      </c>
      <c r="R188" s="1">
        <f t="shared" si="19"/>
        <v>1641737.7656699999</v>
      </c>
      <c r="S188" s="1">
        <f t="shared" si="20"/>
        <v>6838508.8060799986</v>
      </c>
      <c r="T188" s="1">
        <f t="shared" si="25"/>
        <v>20344065.585029997</v>
      </c>
      <c r="U188" s="11"/>
      <c r="V188" s="11"/>
      <c r="W188" s="11"/>
      <c r="X188" s="12"/>
      <c r="Y188" s="12"/>
      <c r="Z188" s="12"/>
      <c r="AA188" s="12"/>
      <c r="AB188" s="12"/>
      <c r="AC188" s="12"/>
      <c r="AD188" s="12"/>
      <c r="AE188" s="12"/>
      <c r="AF188" s="12"/>
      <c r="AG188" s="12"/>
      <c r="AH188" s="12"/>
      <c r="AI188" s="12"/>
      <c r="AJ188" s="12"/>
      <c r="AK188" s="12"/>
      <c r="AL188" s="12"/>
      <c r="AM188" s="12"/>
      <c r="AN188" s="12"/>
      <c r="AO188" s="12"/>
      <c r="AP188" s="12"/>
      <c r="AQ188" s="12"/>
      <c r="AR188" s="12"/>
      <c r="AS188" s="12"/>
      <c r="AT188" s="12"/>
      <c r="AU188" s="12"/>
      <c r="AV188" s="12"/>
      <c r="AW188" s="12"/>
      <c r="AX188" s="12"/>
      <c r="AY188" s="12"/>
      <c r="AZ188" s="12"/>
      <c r="BA188" s="12"/>
      <c r="BB188" s="12"/>
      <c r="BC188" s="12"/>
      <c r="BD188" s="12"/>
      <c r="BE188" s="12"/>
      <c r="BF188" s="12"/>
      <c r="BG188" s="12"/>
      <c r="BH188" s="12"/>
      <c r="BI188" s="12"/>
      <c r="BJ188" s="12"/>
      <c r="BK188" s="12"/>
      <c r="BL188" s="12"/>
      <c r="BM188" s="12"/>
      <c r="BN188" s="12"/>
      <c r="BO188" s="12"/>
      <c r="BP188" s="12"/>
      <c r="BQ188" s="12"/>
      <c r="BR188" s="12"/>
      <c r="BS188" s="12"/>
      <c r="BT188" s="12"/>
      <c r="BU188" s="12"/>
      <c r="BV188" s="12"/>
      <c r="BW188" s="12"/>
      <c r="BX188" s="12"/>
      <c r="BY188" s="12"/>
      <c r="BZ188" s="12"/>
      <c r="CA188" s="12"/>
      <c r="CB188" s="12"/>
      <c r="CC188" s="12"/>
      <c r="CD188" s="12"/>
      <c r="CE188" s="12"/>
      <c r="CF188" s="12"/>
      <c r="CG188" s="12"/>
      <c r="CH188" s="12"/>
      <c r="CI188" s="12"/>
      <c r="CJ188" s="12"/>
      <c r="CK188" s="12"/>
      <c r="CL188" s="12"/>
      <c r="CM188" s="12"/>
      <c r="CN188" s="12"/>
      <c r="CO188" s="12"/>
      <c r="CP188" s="12"/>
      <c r="CQ188" s="12"/>
      <c r="CR188" s="12"/>
      <c r="CS188" s="12"/>
      <c r="CT188" s="12"/>
      <c r="CU188" s="12"/>
      <c r="CV188" s="12"/>
      <c r="CW188" s="12"/>
      <c r="CX188" s="12"/>
      <c r="CY188" s="12"/>
      <c r="CZ188" s="12"/>
      <c r="DA188" s="12"/>
      <c r="DB188" s="12"/>
      <c r="DC188" s="12"/>
      <c r="DD188" s="12"/>
      <c r="DE188" s="12"/>
      <c r="DF188" s="12"/>
      <c r="DG188" s="12"/>
      <c r="DH188" s="12"/>
      <c r="DI188" s="12"/>
      <c r="DJ188" s="12"/>
      <c r="DK188" s="12"/>
      <c r="DL188" s="12"/>
      <c r="DM188" s="12"/>
      <c r="DN188" s="12"/>
      <c r="DO188" s="12"/>
      <c r="DP188" s="12"/>
      <c r="DQ188" s="12"/>
      <c r="DR188" s="12"/>
      <c r="DS188" s="12"/>
      <c r="DT188" s="12"/>
      <c r="DU188" s="12"/>
      <c r="DV188" s="12"/>
      <c r="DW188" s="12"/>
      <c r="DX188" s="12"/>
      <c r="DY188" s="12"/>
      <c r="DZ188" s="12"/>
      <c r="EA188" s="12"/>
      <c r="EB188" s="12"/>
      <c r="EC188" s="12"/>
      <c r="ED188" s="12"/>
      <c r="EE188" s="12"/>
      <c r="EF188" s="12"/>
      <c r="EG188" s="12"/>
      <c r="EH188" s="12"/>
      <c r="EI188" s="12"/>
      <c r="EJ188" s="12"/>
      <c r="EK188" s="12"/>
      <c r="EL188" s="12"/>
      <c r="EM188" s="12"/>
      <c r="EN188" s="12"/>
      <c r="EO188" s="12"/>
      <c r="EP188" s="12"/>
      <c r="EQ188" s="12"/>
      <c r="ER188" s="12"/>
      <c r="ES188" s="12"/>
      <c r="ET188" s="12"/>
      <c r="EU188" s="12"/>
      <c r="EV188" s="12"/>
      <c r="EW188" s="12"/>
      <c r="EX188" s="12"/>
      <c r="EY188" s="12"/>
      <c r="EZ188" s="12"/>
      <c r="FA188" s="12"/>
      <c r="FB188" s="12"/>
      <c r="FC188" s="12"/>
      <c r="FD188" s="12"/>
      <c r="FE188" s="12"/>
      <c r="FF188" s="12"/>
      <c r="FG188" s="12"/>
      <c r="FH188" s="12"/>
      <c r="FI188" s="12"/>
      <c r="FJ188" s="12"/>
      <c r="FK188" s="12"/>
      <c r="FL188" s="12"/>
      <c r="FM188" s="12"/>
      <c r="FN188" s="12"/>
      <c r="FO188" s="12"/>
      <c r="FP188" s="12"/>
      <c r="FQ188" s="12"/>
      <c r="FR188" s="12"/>
      <c r="FS188" s="12"/>
      <c r="FT188" s="12"/>
      <c r="FU188" s="12"/>
      <c r="FV188" s="12"/>
      <c r="FW188" s="12"/>
      <c r="FX188" s="12"/>
      <c r="FY188" s="12"/>
      <c r="FZ188" s="12"/>
      <c r="GA188" s="12"/>
      <c r="GB188" s="12"/>
      <c r="GC188" s="12"/>
      <c r="GD188" s="12"/>
      <c r="GE188" s="12"/>
    </row>
    <row r="189" spans="1:187" ht="21" customHeight="1">
      <c r="A189" s="45"/>
      <c r="B189" s="86" t="s">
        <v>8</v>
      </c>
      <c r="C189" s="10" t="s">
        <v>210</v>
      </c>
      <c r="D189" s="10" t="s">
        <v>67</v>
      </c>
      <c r="E189" s="35">
        <v>605.82500000000005</v>
      </c>
      <c r="F189" s="35">
        <f>924.995-E189</f>
        <v>319.16999999999996</v>
      </c>
      <c r="G189" s="35">
        <v>90.274000000000001</v>
      </c>
      <c r="H189" s="35">
        <f>575.919</f>
        <v>575.91899999999998</v>
      </c>
      <c r="I189" s="35">
        <f t="shared" si="22"/>
        <v>1591.1880000000001</v>
      </c>
      <c r="J189" s="56">
        <v>2150.4</v>
      </c>
      <c r="K189" s="49">
        <v>6129.42</v>
      </c>
      <c r="L189" s="49">
        <v>6374.6</v>
      </c>
      <c r="M189" s="49">
        <v>1432.83</v>
      </c>
      <c r="N189" s="49">
        <v>1485.84</v>
      </c>
      <c r="O189" s="56">
        <f t="shared" si="23"/>
        <v>4696.59</v>
      </c>
      <c r="P189" s="1">
        <f t="shared" si="24"/>
        <v>2845311.6367500005</v>
      </c>
      <c r="Q189" s="1">
        <f t="shared" si="18"/>
        <v>1499010.6302999998</v>
      </c>
      <c r="R189" s="1">
        <f t="shared" si="19"/>
        <v>441327.92024000001</v>
      </c>
      <c r="S189" s="1">
        <f t="shared" si="20"/>
        <v>2815529.7704400001</v>
      </c>
      <c r="T189" s="1">
        <f t="shared" si="25"/>
        <v>7601179.9577299999</v>
      </c>
      <c r="U189" s="11"/>
      <c r="V189" s="11"/>
      <c r="W189" s="11"/>
      <c r="X189" s="12"/>
      <c r="Y189" s="12"/>
      <c r="Z189" s="12"/>
      <c r="AA189" s="12"/>
      <c r="AB189" s="12"/>
      <c r="AC189" s="12"/>
      <c r="AD189" s="12"/>
      <c r="AE189" s="12"/>
      <c r="AF189" s="12"/>
      <c r="AG189" s="12"/>
      <c r="AH189" s="12"/>
      <c r="AI189" s="12"/>
      <c r="AJ189" s="12"/>
      <c r="AK189" s="12"/>
      <c r="AL189" s="12"/>
      <c r="AM189" s="12"/>
      <c r="AN189" s="12"/>
      <c r="AO189" s="12"/>
      <c r="AP189" s="12"/>
      <c r="AQ189" s="12"/>
      <c r="AR189" s="12"/>
      <c r="AS189" s="12"/>
      <c r="AT189" s="12"/>
      <c r="AU189" s="12"/>
      <c r="AV189" s="12"/>
      <c r="AW189" s="12"/>
      <c r="AX189" s="12"/>
      <c r="AY189" s="12"/>
      <c r="AZ189" s="12"/>
      <c r="BA189" s="12"/>
      <c r="BB189" s="12"/>
      <c r="BC189" s="12"/>
      <c r="BD189" s="12"/>
      <c r="BE189" s="12"/>
      <c r="BF189" s="12"/>
      <c r="BG189" s="12"/>
      <c r="BH189" s="12"/>
      <c r="BI189" s="12"/>
      <c r="BJ189" s="12"/>
      <c r="BK189" s="12"/>
      <c r="BL189" s="12"/>
      <c r="BM189" s="12"/>
      <c r="BN189" s="12"/>
      <c r="BO189" s="12"/>
      <c r="BP189" s="12"/>
      <c r="BQ189" s="12"/>
      <c r="BR189" s="12"/>
      <c r="BS189" s="12"/>
      <c r="BT189" s="12"/>
      <c r="BU189" s="12"/>
      <c r="BV189" s="12"/>
      <c r="BW189" s="12"/>
      <c r="BX189" s="12"/>
      <c r="BY189" s="12"/>
      <c r="BZ189" s="12"/>
      <c r="CA189" s="12"/>
      <c r="CB189" s="12"/>
      <c r="CC189" s="12"/>
      <c r="CD189" s="12"/>
      <c r="CE189" s="12"/>
      <c r="CF189" s="12"/>
      <c r="CG189" s="12"/>
      <c r="CH189" s="12"/>
      <c r="CI189" s="12"/>
      <c r="CJ189" s="12"/>
      <c r="CK189" s="12"/>
      <c r="CL189" s="12"/>
      <c r="CM189" s="12"/>
      <c r="CN189" s="12"/>
      <c r="CO189" s="12"/>
      <c r="CP189" s="12"/>
      <c r="CQ189" s="12"/>
      <c r="CR189" s="12"/>
      <c r="CS189" s="12"/>
      <c r="CT189" s="12"/>
      <c r="CU189" s="12"/>
      <c r="CV189" s="12"/>
      <c r="CW189" s="12"/>
      <c r="CX189" s="12"/>
      <c r="CY189" s="12"/>
      <c r="CZ189" s="12"/>
      <c r="DA189" s="12"/>
      <c r="DB189" s="12"/>
      <c r="DC189" s="12"/>
      <c r="DD189" s="12"/>
      <c r="DE189" s="12"/>
      <c r="DF189" s="12"/>
      <c r="DG189" s="12"/>
      <c r="DH189" s="12"/>
      <c r="DI189" s="12"/>
      <c r="DJ189" s="12"/>
      <c r="DK189" s="12"/>
      <c r="DL189" s="12"/>
      <c r="DM189" s="12"/>
      <c r="DN189" s="12"/>
      <c r="DO189" s="12"/>
      <c r="DP189" s="12"/>
      <c r="DQ189" s="12"/>
      <c r="DR189" s="12"/>
      <c r="DS189" s="12"/>
      <c r="DT189" s="12"/>
      <c r="DU189" s="12"/>
      <c r="DV189" s="12"/>
      <c r="DW189" s="12"/>
      <c r="DX189" s="12"/>
      <c r="DY189" s="12"/>
      <c r="DZ189" s="12"/>
      <c r="EA189" s="12"/>
      <c r="EB189" s="12"/>
      <c r="EC189" s="12"/>
      <c r="ED189" s="12"/>
      <c r="EE189" s="12"/>
      <c r="EF189" s="12"/>
      <c r="EG189" s="12"/>
      <c r="EH189" s="12"/>
      <c r="EI189" s="12"/>
      <c r="EJ189" s="12"/>
      <c r="EK189" s="12"/>
      <c r="EL189" s="12"/>
      <c r="EM189" s="12"/>
      <c r="EN189" s="12"/>
      <c r="EO189" s="12"/>
      <c r="EP189" s="12"/>
      <c r="EQ189" s="12"/>
      <c r="ER189" s="12"/>
      <c r="ES189" s="12"/>
      <c r="ET189" s="12"/>
      <c r="EU189" s="12"/>
      <c r="EV189" s="12"/>
      <c r="EW189" s="12"/>
      <c r="EX189" s="12"/>
      <c r="EY189" s="12"/>
      <c r="EZ189" s="12"/>
      <c r="FA189" s="12"/>
      <c r="FB189" s="12"/>
      <c r="FC189" s="12"/>
      <c r="FD189" s="12"/>
      <c r="FE189" s="12"/>
      <c r="FF189" s="12"/>
      <c r="FG189" s="12"/>
      <c r="FH189" s="12"/>
      <c r="FI189" s="12"/>
      <c r="FJ189" s="12"/>
      <c r="FK189" s="12"/>
      <c r="FL189" s="12"/>
      <c r="FM189" s="12"/>
      <c r="FN189" s="12"/>
      <c r="FO189" s="12"/>
      <c r="FP189" s="12"/>
      <c r="FQ189" s="12"/>
      <c r="FR189" s="12"/>
      <c r="FS189" s="12"/>
      <c r="FT189" s="12"/>
      <c r="FU189" s="12"/>
      <c r="FV189" s="12"/>
      <c r="FW189" s="12"/>
      <c r="FX189" s="12"/>
      <c r="FY189" s="12"/>
      <c r="FZ189" s="12"/>
      <c r="GA189" s="12"/>
      <c r="GB189" s="12"/>
      <c r="GC189" s="12"/>
      <c r="GD189" s="12"/>
      <c r="GE189" s="12"/>
    </row>
    <row r="190" spans="1:187" ht="21" customHeight="1">
      <c r="A190" s="45"/>
      <c r="B190" s="86" t="s">
        <v>268</v>
      </c>
      <c r="C190" s="10" t="s">
        <v>212</v>
      </c>
      <c r="D190" s="10" t="s">
        <v>213</v>
      </c>
      <c r="E190" s="35">
        <v>2157.5250000000001</v>
      </c>
      <c r="F190" s="35">
        <f>3595.875-E190</f>
        <v>1438.35</v>
      </c>
      <c r="G190" s="35">
        <v>719.17499999999995</v>
      </c>
      <c r="H190" s="35">
        <f>2876.7-G190</f>
        <v>2157.5249999999996</v>
      </c>
      <c r="I190" s="35">
        <f t="shared" si="22"/>
        <v>6472.5749999999998</v>
      </c>
      <c r="J190" s="56">
        <v>6448.61</v>
      </c>
      <c r="K190" s="49">
        <v>3825.12</v>
      </c>
      <c r="L190" s="49">
        <v>4626.6400000000003</v>
      </c>
      <c r="M190" s="49">
        <v>1369.73</v>
      </c>
      <c r="N190" s="49">
        <v>1420.41</v>
      </c>
      <c r="O190" s="56">
        <f t="shared" si="23"/>
        <v>2455.39</v>
      </c>
      <c r="P190" s="1">
        <f t="shared" si="24"/>
        <v>5297565.30975</v>
      </c>
      <c r="Q190" s="1">
        <f t="shared" si="18"/>
        <v>3531710.2064999994</v>
      </c>
      <c r="R190" s="1">
        <f t="shared" si="19"/>
        <v>2305840.46025</v>
      </c>
      <c r="S190" s="1">
        <f t="shared" si="20"/>
        <v>6917521.3807499995</v>
      </c>
      <c r="T190" s="1">
        <f t="shared" si="25"/>
        <v>18052637.357249998</v>
      </c>
      <c r="U190" s="11"/>
      <c r="V190" s="11"/>
      <c r="W190" s="11"/>
      <c r="X190" s="12"/>
      <c r="Y190" s="12"/>
      <c r="Z190" s="12"/>
      <c r="AA190" s="12"/>
      <c r="AB190" s="12"/>
      <c r="AC190" s="12"/>
      <c r="AD190" s="12"/>
      <c r="AE190" s="12"/>
      <c r="AF190" s="12"/>
      <c r="AG190" s="12"/>
      <c r="AH190" s="12"/>
      <c r="AI190" s="12"/>
      <c r="AJ190" s="12"/>
      <c r="AK190" s="12"/>
      <c r="AL190" s="12"/>
      <c r="AM190" s="12"/>
      <c r="AN190" s="12"/>
      <c r="AO190" s="12"/>
      <c r="AP190" s="12"/>
      <c r="AQ190" s="12"/>
      <c r="AR190" s="12"/>
      <c r="AS190" s="12"/>
      <c r="AT190" s="12"/>
      <c r="AU190" s="12"/>
      <c r="AV190" s="12"/>
      <c r="AW190" s="12"/>
      <c r="AX190" s="12"/>
      <c r="AY190" s="12"/>
      <c r="AZ190" s="12"/>
      <c r="BA190" s="12"/>
      <c r="BB190" s="12"/>
      <c r="BC190" s="12"/>
      <c r="BD190" s="12"/>
      <c r="BE190" s="12"/>
      <c r="BF190" s="12"/>
      <c r="BG190" s="12"/>
      <c r="BH190" s="12"/>
      <c r="BI190" s="12"/>
      <c r="BJ190" s="12"/>
      <c r="BK190" s="12"/>
      <c r="BL190" s="12"/>
      <c r="BM190" s="12"/>
      <c r="BN190" s="12"/>
      <c r="BO190" s="12"/>
      <c r="BP190" s="12"/>
      <c r="BQ190" s="12"/>
      <c r="BR190" s="12"/>
      <c r="BS190" s="12"/>
      <c r="BT190" s="12"/>
      <c r="BU190" s="12"/>
      <c r="BV190" s="12"/>
      <c r="BW190" s="12"/>
      <c r="BX190" s="12"/>
      <c r="BY190" s="12"/>
      <c r="BZ190" s="12"/>
      <c r="CA190" s="12"/>
      <c r="CB190" s="12"/>
      <c r="CC190" s="12"/>
      <c r="CD190" s="12"/>
      <c r="CE190" s="12"/>
      <c r="CF190" s="12"/>
      <c r="CG190" s="12"/>
      <c r="CH190" s="12"/>
      <c r="CI190" s="12"/>
      <c r="CJ190" s="12"/>
      <c r="CK190" s="12"/>
      <c r="CL190" s="12"/>
      <c r="CM190" s="12"/>
      <c r="CN190" s="12"/>
      <c r="CO190" s="12"/>
      <c r="CP190" s="12"/>
      <c r="CQ190" s="12"/>
      <c r="CR190" s="12"/>
      <c r="CS190" s="12"/>
      <c r="CT190" s="12"/>
      <c r="CU190" s="12"/>
      <c r="CV190" s="12"/>
      <c r="CW190" s="12"/>
      <c r="CX190" s="12"/>
      <c r="CY190" s="12"/>
      <c r="CZ190" s="12"/>
      <c r="DA190" s="12"/>
      <c r="DB190" s="12"/>
      <c r="DC190" s="12"/>
      <c r="DD190" s="12"/>
      <c r="DE190" s="12"/>
      <c r="DF190" s="12"/>
      <c r="DG190" s="12"/>
      <c r="DH190" s="12"/>
      <c r="DI190" s="12"/>
      <c r="DJ190" s="12"/>
      <c r="DK190" s="12"/>
      <c r="DL190" s="12"/>
      <c r="DM190" s="12"/>
      <c r="DN190" s="12"/>
      <c r="DO190" s="12"/>
      <c r="DP190" s="12"/>
      <c r="DQ190" s="12"/>
      <c r="DR190" s="12"/>
      <c r="DS190" s="12"/>
      <c r="DT190" s="12"/>
      <c r="DU190" s="12"/>
      <c r="DV190" s="12"/>
      <c r="DW190" s="12"/>
      <c r="DX190" s="12"/>
      <c r="DY190" s="12"/>
      <c r="DZ190" s="12"/>
      <c r="EA190" s="12"/>
      <c r="EB190" s="12"/>
      <c r="EC190" s="12"/>
      <c r="ED190" s="12"/>
      <c r="EE190" s="12"/>
      <c r="EF190" s="12"/>
      <c r="EG190" s="12"/>
      <c r="EH190" s="12"/>
      <c r="EI190" s="12"/>
      <c r="EJ190" s="12"/>
      <c r="EK190" s="12"/>
      <c r="EL190" s="12"/>
      <c r="EM190" s="12"/>
      <c r="EN190" s="12"/>
      <c r="EO190" s="12"/>
      <c r="EP190" s="12"/>
      <c r="EQ190" s="12"/>
      <c r="ER190" s="12"/>
      <c r="ES190" s="12"/>
      <c r="ET190" s="12"/>
      <c r="EU190" s="12"/>
      <c r="EV190" s="12"/>
      <c r="EW190" s="12"/>
      <c r="EX190" s="12"/>
      <c r="EY190" s="12"/>
      <c r="EZ190" s="12"/>
      <c r="FA190" s="12"/>
      <c r="FB190" s="12"/>
      <c r="FC190" s="12"/>
      <c r="FD190" s="12"/>
      <c r="FE190" s="12"/>
      <c r="FF190" s="12"/>
      <c r="FG190" s="12"/>
      <c r="FH190" s="12"/>
      <c r="FI190" s="12"/>
      <c r="FJ190" s="12"/>
      <c r="FK190" s="12"/>
      <c r="FL190" s="12"/>
      <c r="FM190" s="12"/>
      <c r="FN190" s="12"/>
      <c r="FO190" s="12"/>
      <c r="FP190" s="12"/>
      <c r="FQ190" s="12"/>
      <c r="FR190" s="12"/>
      <c r="FS190" s="12"/>
      <c r="FT190" s="12"/>
      <c r="FU190" s="12"/>
      <c r="FV190" s="12"/>
      <c r="FW190" s="12"/>
      <c r="FX190" s="12"/>
      <c r="FY190" s="12"/>
      <c r="FZ190" s="12"/>
      <c r="GA190" s="12"/>
      <c r="GB190" s="12"/>
      <c r="GC190" s="12"/>
      <c r="GD190" s="12"/>
      <c r="GE190" s="12"/>
    </row>
    <row r="191" spans="1:187" ht="21" customHeight="1">
      <c r="A191" s="45" t="s">
        <v>337</v>
      </c>
      <c r="B191" s="86">
        <v>7729314745</v>
      </c>
      <c r="C191" s="10" t="s">
        <v>341</v>
      </c>
      <c r="D191" s="10" t="s">
        <v>346</v>
      </c>
      <c r="E191" s="35">
        <f>1342.0825*0.6</f>
        <v>805.24950000000001</v>
      </c>
      <c r="F191" s="35">
        <f>1342.0825*0.4</f>
        <v>536.83299999999997</v>
      </c>
      <c r="G191" s="35">
        <f>1098.0675*0.2</f>
        <v>219.61350000000004</v>
      </c>
      <c r="H191" s="35">
        <f>1098.0675*0.8</f>
        <v>878.45400000000018</v>
      </c>
      <c r="I191" s="35">
        <f t="shared" si="22"/>
        <v>2440.15</v>
      </c>
      <c r="J191" s="56">
        <v>2440.1</v>
      </c>
      <c r="K191" s="49">
        <v>3415.62</v>
      </c>
      <c r="L191" s="49">
        <v>3541.9979399999997</v>
      </c>
      <c r="M191" s="49">
        <v>1160.79</v>
      </c>
      <c r="N191" s="49">
        <v>1203.7392299999999</v>
      </c>
      <c r="O191" s="56">
        <f t="shared" si="23"/>
        <v>2254.83</v>
      </c>
      <c r="P191" s="1">
        <f t="shared" si="24"/>
        <v>1815700.7300849999</v>
      </c>
      <c r="Q191" s="1">
        <f t="shared" si="18"/>
        <v>1210467.1533899999</v>
      </c>
      <c r="R191" s="1">
        <f t="shared" si="19"/>
        <v>513513.17920858512</v>
      </c>
      <c r="S191" s="1">
        <f t="shared" si="20"/>
        <v>2054052.7168343405</v>
      </c>
      <c r="T191" s="1">
        <f t="shared" si="25"/>
        <v>5593733.7795179253</v>
      </c>
      <c r="U191" s="11"/>
      <c r="V191" s="11"/>
      <c r="W191" s="11"/>
      <c r="X191" s="12"/>
      <c r="Y191" s="12"/>
      <c r="Z191" s="12"/>
      <c r="AA191" s="12"/>
      <c r="AB191" s="12"/>
      <c r="AC191" s="12"/>
      <c r="AD191" s="12"/>
      <c r="AE191" s="12"/>
      <c r="AF191" s="12"/>
      <c r="AG191" s="12"/>
      <c r="AH191" s="12"/>
      <c r="AI191" s="12"/>
      <c r="AJ191" s="12"/>
      <c r="AK191" s="12"/>
      <c r="AL191" s="12"/>
      <c r="AM191" s="12"/>
      <c r="AN191" s="12"/>
      <c r="AO191" s="12"/>
      <c r="AP191" s="12"/>
      <c r="AQ191" s="12"/>
      <c r="AR191" s="12"/>
      <c r="AS191" s="12"/>
      <c r="AT191" s="12"/>
      <c r="AU191" s="12"/>
      <c r="AV191" s="12"/>
      <c r="AW191" s="12"/>
      <c r="AX191" s="12"/>
      <c r="AY191" s="12"/>
      <c r="AZ191" s="12"/>
      <c r="BA191" s="12"/>
      <c r="BB191" s="12"/>
      <c r="BC191" s="12"/>
      <c r="BD191" s="12"/>
      <c r="BE191" s="12"/>
      <c r="BF191" s="12"/>
      <c r="BG191" s="12"/>
      <c r="BH191" s="12"/>
      <c r="BI191" s="12"/>
      <c r="BJ191" s="12"/>
      <c r="BK191" s="12"/>
      <c r="BL191" s="12"/>
      <c r="BM191" s="12"/>
      <c r="BN191" s="12"/>
      <c r="BO191" s="12"/>
      <c r="BP191" s="12"/>
      <c r="BQ191" s="12"/>
      <c r="BR191" s="12"/>
      <c r="BS191" s="12"/>
      <c r="BT191" s="12"/>
      <c r="BU191" s="12"/>
      <c r="BV191" s="12"/>
      <c r="BW191" s="12"/>
      <c r="BX191" s="12"/>
      <c r="BY191" s="12"/>
      <c r="BZ191" s="12"/>
      <c r="CA191" s="12"/>
      <c r="CB191" s="12"/>
      <c r="CC191" s="12"/>
      <c r="CD191" s="12"/>
      <c r="CE191" s="12"/>
      <c r="CF191" s="12"/>
      <c r="CG191" s="12"/>
      <c r="CH191" s="12"/>
      <c r="CI191" s="12"/>
      <c r="CJ191" s="12"/>
      <c r="CK191" s="12"/>
      <c r="CL191" s="12"/>
      <c r="CM191" s="12"/>
      <c r="CN191" s="12"/>
      <c r="CO191" s="12"/>
      <c r="CP191" s="12"/>
      <c r="CQ191" s="12"/>
      <c r="CR191" s="12"/>
      <c r="CS191" s="12"/>
      <c r="CT191" s="12"/>
      <c r="CU191" s="12"/>
      <c r="CV191" s="12"/>
      <c r="CW191" s="12"/>
      <c r="CX191" s="12"/>
      <c r="CY191" s="12"/>
      <c r="CZ191" s="12"/>
      <c r="DA191" s="12"/>
      <c r="DB191" s="12"/>
      <c r="DC191" s="12"/>
      <c r="DD191" s="12"/>
      <c r="DE191" s="12"/>
      <c r="DF191" s="12"/>
      <c r="DG191" s="12"/>
      <c r="DH191" s="12"/>
      <c r="DI191" s="12"/>
      <c r="DJ191" s="12"/>
      <c r="DK191" s="12"/>
      <c r="DL191" s="12"/>
      <c r="DM191" s="12"/>
      <c r="DN191" s="12"/>
      <c r="DO191" s="12"/>
      <c r="DP191" s="12"/>
      <c r="DQ191" s="12"/>
      <c r="DR191" s="12"/>
      <c r="DS191" s="12"/>
      <c r="DT191" s="12"/>
      <c r="DU191" s="12"/>
      <c r="DV191" s="12"/>
      <c r="DW191" s="12"/>
      <c r="DX191" s="12"/>
      <c r="DY191" s="12"/>
      <c r="DZ191" s="12"/>
      <c r="EA191" s="12"/>
      <c r="EB191" s="12"/>
      <c r="EC191" s="12"/>
      <c r="ED191" s="12"/>
      <c r="EE191" s="12"/>
      <c r="EF191" s="12"/>
      <c r="EG191" s="12"/>
      <c r="EH191" s="12"/>
      <c r="EI191" s="12"/>
      <c r="EJ191" s="12"/>
      <c r="EK191" s="12"/>
      <c r="EL191" s="12"/>
      <c r="EM191" s="12"/>
      <c r="EN191" s="12"/>
      <c r="EO191" s="12"/>
      <c r="EP191" s="12"/>
      <c r="EQ191" s="12"/>
      <c r="ER191" s="12"/>
      <c r="ES191" s="12"/>
      <c r="ET191" s="12"/>
      <c r="EU191" s="12"/>
      <c r="EV191" s="12"/>
      <c r="EW191" s="12"/>
      <c r="EX191" s="12"/>
      <c r="EY191" s="12"/>
      <c r="EZ191" s="12"/>
      <c r="FA191" s="12"/>
      <c r="FB191" s="12"/>
      <c r="FC191" s="12"/>
      <c r="FD191" s="12"/>
      <c r="FE191" s="12"/>
      <c r="FF191" s="12"/>
      <c r="FG191" s="12"/>
      <c r="FH191" s="12"/>
      <c r="FI191" s="12"/>
      <c r="FJ191" s="12"/>
      <c r="FK191" s="12"/>
      <c r="FL191" s="12"/>
      <c r="FM191" s="12"/>
      <c r="FN191" s="12"/>
      <c r="FO191" s="12"/>
      <c r="FP191" s="12"/>
      <c r="FQ191" s="12"/>
      <c r="FR191" s="12"/>
      <c r="FS191" s="12"/>
      <c r="FT191" s="12"/>
      <c r="FU191" s="12"/>
      <c r="FV191" s="12"/>
      <c r="FW191" s="12"/>
      <c r="FX191" s="12"/>
      <c r="FY191" s="12"/>
      <c r="FZ191" s="12"/>
      <c r="GA191" s="12"/>
      <c r="GB191" s="12"/>
      <c r="GC191" s="12"/>
      <c r="GD191" s="12"/>
      <c r="GE191" s="12"/>
    </row>
    <row r="192" spans="1:187" ht="21" customHeight="1">
      <c r="A192" s="45"/>
      <c r="B192" s="86" t="s">
        <v>266</v>
      </c>
      <c r="C192" s="10" t="s">
        <v>216</v>
      </c>
      <c r="D192" s="10" t="s">
        <v>301</v>
      </c>
      <c r="E192" s="35">
        <v>2836.8249999999998</v>
      </c>
      <c r="F192" s="35">
        <f>4728.367-E192</f>
        <v>1891.5420000000004</v>
      </c>
      <c r="G192" s="35">
        <v>945.52499999999998</v>
      </c>
      <c r="H192" s="35">
        <f>3782.1-G192</f>
        <v>2836.5749999999998</v>
      </c>
      <c r="I192" s="35">
        <f t="shared" si="22"/>
        <v>8510.4670000000006</v>
      </c>
      <c r="J192" s="56">
        <v>7556.92</v>
      </c>
      <c r="K192" s="49">
        <v>4066.28</v>
      </c>
      <c r="L192" s="49">
        <v>5015.9399999999996</v>
      </c>
      <c r="M192" s="49">
        <v>1369.73</v>
      </c>
      <c r="N192" s="49">
        <v>1420.41</v>
      </c>
      <c r="O192" s="56">
        <f t="shared" si="23"/>
        <v>2696.55</v>
      </c>
      <c r="P192" s="1">
        <f t="shared" si="24"/>
        <v>7649640.4537500003</v>
      </c>
      <c r="Q192" s="1">
        <f t="shared" si="18"/>
        <v>5100637.5801000018</v>
      </c>
      <c r="R192" s="1">
        <f t="shared" si="19"/>
        <v>3399663.5032499996</v>
      </c>
      <c r="S192" s="1">
        <f t="shared" si="20"/>
        <v>10198990.509749999</v>
      </c>
      <c r="T192" s="1">
        <f t="shared" si="25"/>
        <v>26348932.046850003</v>
      </c>
      <c r="U192" s="11"/>
      <c r="V192" s="11"/>
      <c r="W192" s="11"/>
      <c r="X192" s="12"/>
      <c r="Y192" s="12"/>
      <c r="Z192" s="12"/>
      <c r="AA192" s="12"/>
      <c r="AB192" s="12"/>
      <c r="AC192" s="12"/>
      <c r="AD192" s="12"/>
      <c r="AE192" s="12"/>
      <c r="AF192" s="12"/>
      <c r="AG192" s="12"/>
      <c r="AH192" s="12"/>
      <c r="AI192" s="12"/>
      <c r="AJ192" s="12"/>
      <c r="AK192" s="12"/>
      <c r="AL192" s="12"/>
      <c r="AM192" s="12"/>
      <c r="AN192" s="12"/>
      <c r="AO192" s="12"/>
      <c r="AP192" s="12"/>
      <c r="AQ192" s="12"/>
      <c r="AR192" s="12"/>
      <c r="AS192" s="12"/>
      <c r="AT192" s="12"/>
      <c r="AU192" s="12"/>
      <c r="AV192" s="12"/>
      <c r="AW192" s="12"/>
      <c r="AX192" s="12"/>
      <c r="AY192" s="12"/>
      <c r="AZ192" s="12"/>
      <c r="BA192" s="12"/>
      <c r="BB192" s="12"/>
      <c r="BC192" s="12"/>
      <c r="BD192" s="12"/>
      <c r="BE192" s="12"/>
      <c r="BF192" s="12"/>
      <c r="BG192" s="12"/>
      <c r="BH192" s="12"/>
      <c r="BI192" s="12"/>
      <c r="BJ192" s="12"/>
      <c r="BK192" s="12"/>
      <c r="BL192" s="12"/>
      <c r="BM192" s="12"/>
      <c r="BN192" s="12"/>
      <c r="BO192" s="12"/>
      <c r="BP192" s="12"/>
      <c r="BQ192" s="12"/>
      <c r="BR192" s="12"/>
      <c r="BS192" s="12"/>
      <c r="BT192" s="12"/>
      <c r="BU192" s="12"/>
      <c r="BV192" s="12"/>
      <c r="BW192" s="12"/>
      <c r="BX192" s="12"/>
      <c r="BY192" s="12"/>
      <c r="BZ192" s="12"/>
      <c r="CA192" s="12"/>
      <c r="CB192" s="12"/>
      <c r="CC192" s="12"/>
      <c r="CD192" s="12"/>
      <c r="CE192" s="12"/>
      <c r="CF192" s="12"/>
      <c r="CG192" s="12"/>
      <c r="CH192" s="12"/>
      <c r="CI192" s="12"/>
      <c r="CJ192" s="12"/>
      <c r="CK192" s="12"/>
      <c r="CL192" s="12"/>
      <c r="CM192" s="12"/>
      <c r="CN192" s="12"/>
      <c r="CO192" s="12"/>
      <c r="CP192" s="12"/>
      <c r="CQ192" s="12"/>
      <c r="CR192" s="12"/>
      <c r="CS192" s="12"/>
      <c r="CT192" s="12"/>
      <c r="CU192" s="12"/>
      <c r="CV192" s="12"/>
      <c r="CW192" s="12"/>
      <c r="CX192" s="12"/>
      <c r="CY192" s="12"/>
      <c r="CZ192" s="12"/>
      <c r="DA192" s="12"/>
      <c r="DB192" s="12"/>
      <c r="DC192" s="12"/>
      <c r="DD192" s="12"/>
      <c r="DE192" s="12"/>
      <c r="DF192" s="12"/>
      <c r="DG192" s="12"/>
      <c r="DH192" s="12"/>
      <c r="DI192" s="12"/>
      <c r="DJ192" s="12"/>
      <c r="DK192" s="12"/>
      <c r="DL192" s="12"/>
      <c r="DM192" s="12"/>
      <c r="DN192" s="12"/>
      <c r="DO192" s="12"/>
      <c r="DP192" s="12"/>
      <c r="DQ192" s="12"/>
      <c r="DR192" s="12"/>
      <c r="DS192" s="12"/>
      <c r="DT192" s="12"/>
      <c r="DU192" s="12"/>
      <c r="DV192" s="12"/>
      <c r="DW192" s="12"/>
      <c r="DX192" s="12"/>
      <c r="DY192" s="12"/>
      <c r="DZ192" s="12"/>
      <c r="EA192" s="12"/>
      <c r="EB192" s="12"/>
      <c r="EC192" s="12"/>
      <c r="ED192" s="12"/>
      <c r="EE192" s="12"/>
      <c r="EF192" s="12"/>
      <c r="EG192" s="12"/>
      <c r="EH192" s="12"/>
      <c r="EI192" s="12"/>
      <c r="EJ192" s="12"/>
      <c r="EK192" s="12"/>
      <c r="EL192" s="12"/>
      <c r="EM192" s="12"/>
      <c r="EN192" s="12"/>
      <c r="EO192" s="12"/>
      <c r="EP192" s="12"/>
      <c r="EQ192" s="12"/>
      <c r="ER192" s="12"/>
      <c r="ES192" s="12"/>
      <c r="ET192" s="12"/>
      <c r="EU192" s="12"/>
      <c r="EV192" s="12"/>
      <c r="EW192" s="12"/>
      <c r="EX192" s="12"/>
      <c r="EY192" s="12"/>
      <c r="EZ192" s="12"/>
      <c r="FA192" s="12"/>
      <c r="FB192" s="12"/>
      <c r="FC192" s="12"/>
      <c r="FD192" s="12"/>
      <c r="FE192" s="12"/>
      <c r="FF192" s="12"/>
      <c r="FG192" s="12"/>
      <c r="FH192" s="12"/>
      <c r="FI192" s="12"/>
      <c r="FJ192" s="12"/>
      <c r="FK192" s="12"/>
      <c r="FL192" s="12"/>
      <c r="FM192" s="12"/>
      <c r="FN192" s="12"/>
      <c r="FO192" s="12"/>
      <c r="FP192" s="12"/>
      <c r="FQ192" s="12"/>
      <c r="FR192" s="12"/>
      <c r="FS192" s="12"/>
      <c r="FT192" s="12"/>
      <c r="FU192" s="12"/>
      <c r="FV192" s="12"/>
      <c r="FW192" s="12"/>
      <c r="FX192" s="12"/>
      <c r="FY192" s="12"/>
      <c r="FZ192" s="12"/>
      <c r="GA192" s="12"/>
      <c r="GB192" s="12"/>
      <c r="GC192" s="12"/>
      <c r="GD192" s="12"/>
      <c r="GE192" s="12"/>
    </row>
    <row r="193" spans="1:187" ht="21" customHeight="1">
      <c r="A193" s="45" t="s">
        <v>337</v>
      </c>
      <c r="B193" s="86" t="s">
        <v>348</v>
      </c>
      <c r="C193" s="10" t="s">
        <v>347</v>
      </c>
      <c r="D193" s="10" t="s">
        <v>217</v>
      </c>
      <c r="E193" s="35">
        <f>87.97428*0.4</f>
        <v>35.189712</v>
      </c>
      <c r="F193" s="35">
        <f>87.97428*0.6</f>
        <v>52.784567999999993</v>
      </c>
      <c r="G193" s="35">
        <f>69.68572*0.2</f>
        <v>13.937144000000002</v>
      </c>
      <c r="H193" s="35">
        <f>69.68572*0.8</f>
        <v>55.748576000000007</v>
      </c>
      <c r="I193" s="35">
        <f t="shared" si="22"/>
        <v>157.66</v>
      </c>
      <c r="J193" s="56">
        <v>157.66</v>
      </c>
      <c r="K193" s="49">
        <v>1905.14</v>
      </c>
      <c r="L193" s="49">
        <v>1975.6301799999999</v>
      </c>
      <c r="M193" s="49">
        <v>1114.1099999999999</v>
      </c>
      <c r="N193" s="49">
        <v>1155.3320699999997</v>
      </c>
      <c r="O193" s="56">
        <f t="shared" si="23"/>
        <v>791.0300000000002</v>
      </c>
      <c r="P193" s="1">
        <f t="shared" si="24"/>
        <v>27836.117883360006</v>
      </c>
      <c r="Q193" s="1">
        <f t="shared" si="18"/>
        <v>41754.176825040005</v>
      </c>
      <c r="R193" s="1">
        <f t="shared" si="19"/>
        <v>11432.612881997844</v>
      </c>
      <c r="S193" s="1">
        <f t="shared" si="20"/>
        <v>45730.451527991376</v>
      </c>
      <c r="T193" s="1">
        <f t="shared" si="25"/>
        <v>126753.35911838923</v>
      </c>
      <c r="U193" s="11"/>
      <c r="V193" s="11"/>
      <c r="W193" s="11"/>
      <c r="X193" s="12"/>
      <c r="Y193" s="12"/>
      <c r="Z193" s="12"/>
      <c r="AA193" s="12"/>
      <c r="AB193" s="12"/>
      <c r="AC193" s="12"/>
      <c r="AD193" s="12"/>
      <c r="AE193" s="12"/>
      <c r="AF193" s="12"/>
      <c r="AG193" s="12"/>
      <c r="AH193" s="12"/>
      <c r="AI193" s="12"/>
      <c r="AJ193" s="12"/>
      <c r="AK193" s="12"/>
      <c r="AL193" s="12"/>
      <c r="AM193" s="12"/>
      <c r="AN193" s="12"/>
      <c r="AO193" s="12"/>
      <c r="AP193" s="12"/>
      <c r="AQ193" s="12"/>
      <c r="AR193" s="12"/>
      <c r="AS193" s="12"/>
      <c r="AT193" s="12"/>
      <c r="AU193" s="12"/>
      <c r="AV193" s="12"/>
      <c r="AW193" s="12"/>
      <c r="AX193" s="12"/>
      <c r="AY193" s="12"/>
      <c r="AZ193" s="12"/>
      <c r="BA193" s="12"/>
      <c r="BB193" s="12"/>
      <c r="BC193" s="12"/>
      <c r="BD193" s="12"/>
      <c r="BE193" s="12"/>
      <c r="BF193" s="12"/>
      <c r="BG193" s="12"/>
      <c r="BH193" s="12"/>
      <c r="BI193" s="12"/>
      <c r="BJ193" s="12"/>
      <c r="BK193" s="12"/>
      <c r="BL193" s="12"/>
      <c r="BM193" s="12"/>
      <c r="BN193" s="12"/>
      <c r="BO193" s="12"/>
      <c r="BP193" s="12"/>
      <c r="BQ193" s="12"/>
      <c r="BR193" s="12"/>
      <c r="BS193" s="12"/>
      <c r="BT193" s="12"/>
      <c r="BU193" s="12"/>
      <c r="BV193" s="12"/>
      <c r="BW193" s="12"/>
      <c r="BX193" s="12"/>
      <c r="BY193" s="12"/>
      <c r="BZ193" s="12"/>
      <c r="CA193" s="12"/>
      <c r="CB193" s="12"/>
      <c r="CC193" s="12"/>
      <c r="CD193" s="12"/>
      <c r="CE193" s="12"/>
      <c r="CF193" s="12"/>
      <c r="CG193" s="12"/>
      <c r="CH193" s="12"/>
      <c r="CI193" s="12"/>
      <c r="CJ193" s="12"/>
      <c r="CK193" s="12"/>
      <c r="CL193" s="12"/>
      <c r="CM193" s="12"/>
      <c r="CN193" s="12"/>
      <c r="CO193" s="12"/>
      <c r="CP193" s="12"/>
      <c r="CQ193" s="12"/>
      <c r="CR193" s="12"/>
      <c r="CS193" s="12"/>
      <c r="CT193" s="12"/>
      <c r="CU193" s="12"/>
      <c r="CV193" s="12"/>
      <c r="CW193" s="12"/>
      <c r="CX193" s="12"/>
      <c r="CY193" s="12"/>
      <c r="CZ193" s="12"/>
      <c r="DA193" s="12"/>
      <c r="DB193" s="12"/>
      <c r="DC193" s="12"/>
      <c r="DD193" s="12"/>
      <c r="DE193" s="12"/>
      <c r="DF193" s="12"/>
      <c r="DG193" s="12"/>
      <c r="DH193" s="12"/>
      <c r="DI193" s="12"/>
      <c r="DJ193" s="12"/>
      <c r="DK193" s="12"/>
      <c r="DL193" s="12"/>
      <c r="DM193" s="12"/>
      <c r="DN193" s="12"/>
      <c r="DO193" s="12"/>
      <c r="DP193" s="12"/>
      <c r="DQ193" s="12"/>
      <c r="DR193" s="12"/>
      <c r="DS193" s="12"/>
      <c r="DT193" s="12"/>
      <c r="DU193" s="12"/>
      <c r="DV193" s="12"/>
      <c r="DW193" s="12"/>
      <c r="DX193" s="12"/>
      <c r="DY193" s="12"/>
      <c r="DZ193" s="12"/>
      <c r="EA193" s="12"/>
      <c r="EB193" s="12"/>
      <c r="EC193" s="12"/>
      <c r="ED193" s="12"/>
      <c r="EE193" s="12"/>
      <c r="EF193" s="12"/>
      <c r="EG193" s="12"/>
      <c r="EH193" s="12"/>
      <c r="EI193" s="12"/>
      <c r="EJ193" s="12"/>
      <c r="EK193" s="12"/>
      <c r="EL193" s="12"/>
      <c r="EM193" s="12"/>
      <c r="EN193" s="12"/>
      <c r="EO193" s="12"/>
      <c r="EP193" s="12"/>
      <c r="EQ193" s="12"/>
      <c r="ER193" s="12"/>
      <c r="ES193" s="12"/>
      <c r="ET193" s="12"/>
      <c r="EU193" s="12"/>
      <c r="EV193" s="12"/>
      <c r="EW193" s="12"/>
      <c r="EX193" s="12"/>
      <c r="EY193" s="12"/>
      <c r="EZ193" s="12"/>
      <c r="FA193" s="12"/>
      <c r="FB193" s="12"/>
      <c r="FC193" s="12"/>
      <c r="FD193" s="12"/>
      <c r="FE193" s="12"/>
      <c r="FF193" s="12"/>
      <c r="FG193" s="12"/>
      <c r="FH193" s="12"/>
      <c r="FI193" s="12"/>
      <c r="FJ193" s="12"/>
      <c r="FK193" s="12"/>
      <c r="FL193" s="12"/>
      <c r="FM193" s="12"/>
      <c r="FN193" s="12"/>
      <c r="FO193" s="12"/>
      <c r="FP193" s="12"/>
      <c r="FQ193" s="12"/>
      <c r="FR193" s="12"/>
      <c r="FS193" s="12"/>
      <c r="FT193" s="12"/>
      <c r="FU193" s="12"/>
      <c r="FV193" s="12"/>
      <c r="FW193" s="12"/>
      <c r="FX193" s="12"/>
      <c r="FY193" s="12"/>
      <c r="FZ193" s="12"/>
      <c r="GA193" s="12"/>
      <c r="GB193" s="12"/>
      <c r="GC193" s="12"/>
      <c r="GD193" s="12"/>
      <c r="GE193" s="12"/>
    </row>
    <row r="194" spans="1:187" ht="21" customHeight="1">
      <c r="A194" s="45"/>
      <c r="B194" s="101" t="s">
        <v>218</v>
      </c>
      <c r="C194" s="101"/>
      <c r="D194" s="101"/>
      <c r="E194" s="34"/>
      <c r="F194" s="34"/>
      <c r="G194" s="34"/>
      <c r="H194" s="34"/>
      <c r="I194" s="35">
        <f t="shared" si="22"/>
        <v>0</v>
      </c>
      <c r="J194" s="11"/>
      <c r="K194" s="64"/>
      <c r="L194" s="64"/>
      <c r="M194" s="64"/>
      <c r="N194" s="64"/>
      <c r="O194" s="56">
        <f t="shared" si="23"/>
        <v>0</v>
      </c>
      <c r="P194" s="1">
        <f t="shared" si="24"/>
        <v>0</v>
      </c>
      <c r="Q194" s="1">
        <f t="shared" si="18"/>
        <v>0</v>
      </c>
      <c r="R194" s="1">
        <f t="shared" si="19"/>
        <v>0</v>
      </c>
      <c r="S194" s="1">
        <f t="shared" si="20"/>
        <v>0</v>
      </c>
      <c r="T194" s="1">
        <f t="shared" si="25"/>
        <v>0</v>
      </c>
      <c r="U194" s="45"/>
      <c r="V194" s="45"/>
      <c r="W194" s="45"/>
    </row>
    <row r="195" spans="1:187" ht="21" customHeight="1">
      <c r="A195" s="45"/>
      <c r="B195" s="86" t="s">
        <v>264</v>
      </c>
      <c r="C195" s="10" t="s">
        <v>219</v>
      </c>
      <c r="D195" s="10" t="s">
        <v>220</v>
      </c>
      <c r="E195" s="35">
        <v>1839.6969999999999</v>
      </c>
      <c r="F195" s="35">
        <f>2683.725-E195</f>
        <v>844.02800000000002</v>
      </c>
      <c r="G195" s="35">
        <v>253.42599999999999</v>
      </c>
      <c r="H195" s="35">
        <f>2044.498-G195</f>
        <v>1791.0720000000001</v>
      </c>
      <c r="I195" s="35">
        <f t="shared" si="22"/>
        <v>4728.223</v>
      </c>
      <c r="J195" s="56">
        <v>5362.9382546374927</v>
      </c>
      <c r="K195" s="49">
        <v>2928.18</v>
      </c>
      <c r="L195" s="49">
        <v>3949.42</v>
      </c>
      <c r="M195" s="49">
        <v>1944.76</v>
      </c>
      <c r="N195" s="49">
        <v>2016.72</v>
      </c>
      <c r="O195" s="56">
        <f t="shared" si="23"/>
        <v>983.41999999999985</v>
      </c>
      <c r="P195" s="1">
        <f t="shared" si="24"/>
        <v>1809194.8237399997</v>
      </c>
      <c r="Q195" s="1">
        <f t="shared" si="18"/>
        <v>830034.01575999986</v>
      </c>
      <c r="R195" s="1">
        <f t="shared" si="19"/>
        <v>489796.4302</v>
      </c>
      <c r="S195" s="1">
        <f t="shared" si="20"/>
        <v>3461604.8544000005</v>
      </c>
      <c r="T195" s="1">
        <f t="shared" si="25"/>
        <v>6590630.1240999997</v>
      </c>
      <c r="U195" s="11"/>
      <c r="V195" s="11"/>
      <c r="W195" s="11"/>
      <c r="X195" s="12"/>
      <c r="Y195" s="12"/>
      <c r="Z195" s="12"/>
      <c r="AA195" s="12"/>
      <c r="AB195" s="12"/>
      <c r="AC195" s="12"/>
      <c r="AD195" s="12"/>
      <c r="AE195" s="12"/>
      <c r="AF195" s="12"/>
      <c r="AG195" s="12"/>
      <c r="AH195" s="12"/>
      <c r="AI195" s="12"/>
      <c r="AJ195" s="12"/>
      <c r="AK195" s="12"/>
      <c r="AL195" s="12"/>
      <c r="AM195" s="12"/>
      <c r="AN195" s="12"/>
      <c r="AO195" s="12"/>
      <c r="AP195" s="12"/>
      <c r="AQ195" s="12"/>
      <c r="AR195" s="12"/>
      <c r="AS195" s="12"/>
      <c r="AT195" s="12"/>
      <c r="AU195" s="12"/>
      <c r="AV195" s="12"/>
      <c r="AW195" s="12"/>
      <c r="AX195" s="12"/>
      <c r="AY195" s="12"/>
      <c r="AZ195" s="12"/>
      <c r="BA195" s="12"/>
      <c r="BB195" s="12"/>
      <c r="BC195" s="12"/>
      <c r="BD195" s="12"/>
      <c r="BE195" s="12"/>
      <c r="BF195" s="12"/>
      <c r="BG195" s="12"/>
      <c r="BH195" s="12"/>
      <c r="BI195" s="12"/>
      <c r="BJ195" s="12"/>
      <c r="BK195" s="12"/>
      <c r="BL195" s="12"/>
      <c r="BM195" s="12"/>
      <c r="BN195" s="12"/>
      <c r="BO195" s="12"/>
      <c r="BP195" s="12"/>
      <c r="BQ195" s="12"/>
      <c r="BR195" s="12"/>
      <c r="BS195" s="12"/>
      <c r="BT195" s="12"/>
      <c r="BU195" s="12"/>
      <c r="BV195" s="12"/>
      <c r="BW195" s="12"/>
      <c r="BX195" s="12"/>
      <c r="BY195" s="12"/>
      <c r="BZ195" s="12"/>
      <c r="CA195" s="12"/>
      <c r="CB195" s="12"/>
      <c r="CC195" s="12"/>
      <c r="CD195" s="12"/>
      <c r="CE195" s="12"/>
      <c r="CF195" s="12"/>
      <c r="CG195" s="12"/>
      <c r="CH195" s="12"/>
      <c r="CI195" s="12"/>
      <c r="CJ195" s="12"/>
      <c r="CK195" s="12"/>
      <c r="CL195" s="12"/>
      <c r="CM195" s="12"/>
      <c r="CN195" s="12"/>
      <c r="CO195" s="12"/>
      <c r="CP195" s="12"/>
      <c r="CQ195" s="12"/>
      <c r="CR195" s="12"/>
      <c r="CS195" s="12"/>
      <c r="CT195" s="12"/>
      <c r="CU195" s="12"/>
      <c r="CV195" s="12"/>
      <c r="CW195" s="12"/>
      <c r="CX195" s="12"/>
      <c r="CY195" s="12"/>
      <c r="CZ195" s="12"/>
      <c r="DA195" s="12"/>
      <c r="DB195" s="12"/>
      <c r="DC195" s="12"/>
      <c r="DD195" s="12"/>
      <c r="DE195" s="12"/>
      <c r="DF195" s="12"/>
      <c r="DG195" s="12"/>
      <c r="DH195" s="12"/>
      <c r="DI195" s="12"/>
      <c r="DJ195" s="12"/>
      <c r="DK195" s="12"/>
      <c r="DL195" s="12"/>
      <c r="DM195" s="12"/>
      <c r="DN195" s="12"/>
      <c r="DO195" s="12"/>
      <c r="DP195" s="12"/>
      <c r="DQ195" s="12"/>
      <c r="DR195" s="12"/>
      <c r="DS195" s="12"/>
      <c r="DT195" s="12"/>
      <c r="DU195" s="12"/>
      <c r="DV195" s="12"/>
      <c r="DW195" s="12"/>
      <c r="DX195" s="12"/>
      <c r="DY195" s="12"/>
      <c r="DZ195" s="12"/>
      <c r="EA195" s="12"/>
      <c r="EB195" s="12"/>
      <c r="EC195" s="12"/>
      <c r="ED195" s="12"/>
      <c r="EE195" s="12"/>
      <c r="EF195" s="12"/>
      <c r="EG195" s="12"/>
      <c r="EH195" s="12"/>
      <c r="EI195" s="12"/>
      <c r="EJ195" s="12"/>
      <c r="EK195" s="12"/>
      <c r="EL195" s="12"/>
      <c r="EM195" s="12"/>
      <c r="EN195" s="12"/>
      <c r="EO195" s="12"/>
      <c r="EP195" s="12"/>
      <c r="EQ195" s="12"/>
      <c r="ER195" s="12"/>
      <c r="ES195" s="12"/>
      <c r="ET195" s="12"/>
      <c r="EU195" s="12"/>
      <c r="EV195" s="12"/>
      <c r="EW195" s="12"/>
      <c r="EX195" s="12"/>
      <c r="EY195" s="12"/>
      <c r="EZ195" s="12"/>
      <c r="FA195" s="12"/>
      <c r="FB195" s="12"/>
      <c r="FC195" s="12"/>
      <c r="FD195" s="12"/>
      <c r="FE195" s="12"/>
      <c r="FF195" s="12"/>
      <c r="FG195" s="12"/>
      <c r="FH195" s="12"/>
      <c r="FI195" s="12"/>
      <c r="FJ195" s="12"/>
      <c r="FK195" s="12"/>
      <c r="FL195" s="12"/>
      <c r="FM195" s="12"/>
      <c r="FN195" s="12"/>
      <c r="FO195" s="12"/>
      <c r="FP195" s="12"/>
      <c r="FQ195" s="12"/>
      <c r="FR195" s="12"/>
      <c r="FS195" s="12"/>
      <c r="FT195" s="12"/>
      <c r="FU195" s="12"/>
      <c r="FV195" s="12"/>
      <c r="FW195" s="12"/>
      <c r="FX195" s="12"/>
      <c r="FY195" s="12"/>
      <c r="FZ195" s="12"/>
      <c r="GA195" s="12"/>
      <c r="GB195" s="12"/>
      <c r="GC195" s="12"/>
      <c r="GD195" s="12"/>
      <c r="GE195" s="12"/>
    </row>
    <row r="196" spans="1:187" ht="21" customHeight="1">
      <c r="A196" s="45"/>
      <c r="B196" s="86" t="s">
        <v>24</v>
      </c>
      <c r="C196" s="10" t="s">
        <v>221</v>
      </c>
      <c r="D196" s="10" t="s">
        <v>220</v>
      </c>
      <c r="E196" s="35">
        <v>2345.6950000000002</v>
      </c>
      <c r="F196" s="35">
        <f>3447.042-E196</f>
        <v>1101.3469999999998</v>
      </c>
      <c r="G196" s="35">
        <v>344.05799999999999</v>
      </c>
      <c r="H196" s="35">
        <f>2662.974-G196</f>
        <v>2318.9160000000002</v>
      </c>
      <c r="I196" s="35">
        <f t="shared" si="22"/>
        <v>6110.0159999999996</v>
      </c>
      <c r="J196" s="56">
        <v>7846.1403333333328</v>
      </c>
      <c r="K196" s="49">
        <v>3841.03</v>
      </c>
      <c r="L196" s="49">
        <v>3994.6712000000002</v>
      </c>
      <c r="M196" s="49">
        <v>1944.76</v>
      </c>
      <c r="N196" s="49">
        <v>2016.7161199999998</v>
      </c>
      <c r="O196" s="56">
        <f t="shared" si="23"/>
        <v>1896.2700000000002</v>
      </c>
      <c r="P196" s="1">
        <f t="shared" si="24"/>
        <v>4448071.0576500008</v>
      </c>
      <c r="Q196" s="1">
        <f t="shared" si="18"/>
        <v>2088451.2756899998</v>
      </c>
      <c r="R196" s="1">
        <f t="shared" si="19"/>
        <v>680531.26891464018</v>
      </c>
      <c r="S196" s="1">
        <f t="shared" si="20"/>
        <v>4586711.682293281</v>
      </c>
      <c r="T196" s="1">
        <f t="shared" si="25"/>
        <v>11803765.284547921</v>
      </c>
      <c r="U196" s="11"/>
      <c r="V196" s="11"/>
      <c r="W196" s="11"/>
      <c r="X196" s="12"/>
      <c r="Y196" s="12"/>
      <c r="Z196" s="12"/>
      <c r="AA196" s="12"/>
      <c r="AB196" s="12"/>
      <c r="AC196" s="12"/>
      <c r="AD196" s="12"/>
      <c r="AE196" s="12"/>
      <c r="AF196" s="12"/>
      <c r="AG196" s="12"/>
      <c r="AH196" s="12"/>
      <c r="AI196" s="12"/>
      <c r="AJ196" s="12"/>
      <c r="AK196" s="12"/>
      <c r="AL196" s="12"/>
      <c r="AM196" s="12"/>
      <c r="AN196" s="12"/>
      <c r="AO196" s="12"/>
      <c r="AP196" s="12"/>
      <c r="AQ196" s="12"/>
      <c r="AR196" s="12"/>
      <c r="AS196" s="12"/>
      <c r="AT196" s="12"/>
      <c r="AU196" s="12"/>
      <c r="AV196" s="12"/>
      <c r="AW196" s="12"/>
      <c r="AX196" s="12"/>
      <c r="AY196" s="12"/>
      <c r="AZ196" s="12"/>
      <c r="BA196" s="12"/>
      <c r="BB196" s="12"/>
      <c r="BC196" s="12"/>
      <c r="BD196" s="12"/>
      <c r="BE196" s="12"/>
      <c r="BF196" s="12"/>
      <c r="BG196" s="12"/>
      <c r="BH196" s="12"/>
      <c r="BI196" s="12"/>
      <c r="BJ196" s="12"/>
      <c r="BK196" s="12"/>
      <c r="BL196" s="12"/>
      <c r="BM196" s="12"/>
      <c r="BN196" s="12"/>
      <c r="BO196" s="12"/>
      <c r="BP196" s="12"/>
      <c r="BQ196" s="12"/>
      <c r="BR196" s="12"/>
      <c r="BS196" s="12"/>
      <c r="BT196" s="12"/>
      <c r="BU196" s="12"/>
      <c r="BV196" s="12"/>
      <c r="BW196" s="12"/>
      <c r="BX196" s="12"/>
      <c r="BY196" s="12"/>
      <c r="BZ196" s="12"/>
      <c r="CA196" s="12"/>
      <c r="CB196" s="12"/>
      <c r="CC196" s="12"/>
      <c r="CD196" s="12"/>
      <c r="CE196" s="12"/>
      <c r="CF196" s="12"/>
      <c r="CG196" s="12"/>
      <c r="CH196" s="12"/>
      <c r="CI196" s="12"/>
      <c r="CJ196" s="12"/>
      <c r="CK196" s="12"/>
      <c r="CL196" s="12"/>
      <c r="CM196" s="12"/>
      <c r="CN196" s="12"/>
      <c r="CO196" s="12"/>
      <c r="CP196" s="12"/>
      <c r="CQ196" s="12"/>
      <c r="CR196" s="12"/>
      <c r="CS196" s="12"/>
      <c r="CT196" s="12"/>
      <c r="CU196" s="12"/>
      <c r="CV196" s="12"/>
      <c r="CW196" s="12"/>
      <c r="CX196" s="12"/>
      <c r="CY196" s="12"/>
      <c r="CZ196" s="12"/>
      <c r="DA196" s="12"/>
      <c r="DB196" s="12"/>
      <c r="DC196" s="12"/>
      <c r="DD196" s="12"/>
      <c r="DE196" s="12"/>
      <c r="DF196" s="12"/>
      <c r="DG196" s="12"/>
      <c r="DH196" s="12"/>
      <c r="DI196" s="12"/>
      <c r="DJ196" s="12"/>
      <c r="DK196" s="12"/>
      <c r="DL196" s="12"/>
      <c r="DM196" s="12"/>
      <c r="DN196" s="12"/>
      <c r="DO196" s="12"/>
      <c r="DP196" s="12"/>
      <c r="DQ196" s="12"/>
      <c r="DR196" s="12"/>
      <c r="DS196" s="12"/>
      <c r="DT196" s="12"/>
      <c r="DU196" s="12"/>
      <c r="DV196" s="12"/>
      <c r="DW196" s="12"/>
      <c r="DX196" s="12"/>
      <c r="DY196" s="12"/>
      <c r="DZ196" s="12"/>
      <c r="EA196" s="12"/>
      <c r="EB196" s="12"/>
      <c r="EC196" s="12"/>
      <c r="ED196" s="12"/>
      <c r="EE196" s="12"/>
      <c r="EF196" s="12"/>
      <c r="EG196" s="12"/>
      <c r="EH196" s="12"/>
      <c r="EI196" s="12"/>
      <c r="EJ196" s="12"/>
      <c r="EK196" s="12"/>
      <c r="EL196" s="12"/>
      <c r="EM196" s="12"/>
      <c r="EN196" s="12"/>
      <c r="EO196" s="12"/>
      <c r="EP196" s="12"/>
      <c r="EQ196" s="12"/>
      <c r="ER196" s="12"/>
      <c r="ES196" s="12"/>
      <c r="ET196" s="12"/>
      <c r="EU196" s="12"/>
      <c r="EV196" s="12"/>
      <c r="EW196" s="12"/>
      <c r="EX196" s="12"/>
      <c r="EY196" s="12"/>
      <c r="EZ196" s="12"/>
      <c r="FA196" s="12"/>
      <c r="FB196" s="12"/>
      <c r="FC196" s="12"/>
      <c r="FD196" s="12"/>
      <c r="FE196" s="12"/>
      <c r="FF196" s="12"/>
      <c r="FG196" s="12"/>
      <c r="FH196" s="12"/>
      <c r="FI196" s="12"/>
      <c r="FJ196" s="12"/>
      <c r="FK196" s="12"/>
      <c r="FL196" s="12"/>
      <c r="FM196" s="12"/>
      <c r="FN196" s="12"/>
      <c r="FO196" s="12"/>
      <c r="FP196" s="12"/>
      <c r="FQ196" s="12"/>
      <c r="FR196" s="12"/>
      <c r="FS196" s="12"/>
      <c r="FT196" s="12"/>
      <c r="FU196" s="12"/>
      <c r="FV196" s="12"/>
      <c r="FW196" s="12"/>
      <c r="FX196" s="12"/>
      <c r="FY196" s="12"/>
      <c r="FZ196" s="12"/>
      <c r="GA196" s="12"/>
      <c r="GB196" s="12"/>
      <c r="GC196" s="12"/>
      <c r="GD196" s="12"/>
      <c r="GE196" s="12"/>
    </row>
    <row r="197" spans="1:187" ht="21" customHeight="1">
      <c r="A197" s="45"/>
      <c r="B197" s="86" t="s">
        <v>24</v>
      </c>
      <c r="C197" s="10" t="s">
        <v>221</v>
      </c>
      <c r="D197" s="10" t="s">
        <v>222</v>
      </c>
      <c r="E197" s="35">
        <v>575.31600000000003</v>
      </c>
      <c r="F197" s="35">
        <f>841.097-E197</f>
        <v>265.78099999999995</v>
      </c>
      <c r="G197" s="35">
        <v>107.435</v>
      </c>
      <c r="H197" s="35">
        <f>682.283-G197</f>
        <v>574.84799999999996</v>
      </c>
      <c r="I197" s="35">
        <f t="shared" si="22"/>
        <v>1523.3799999999999</v>
      </c>
      <c r="J197" s="11"/>
      <c r="K197" s="50">
        <v>0</v>
      </c>
      <c r="L197" s="50">
        <f t="shared" ref="L197" si="26">(F197-H197)*A197</f>
        <v>0</v>
      </c>
      <c r="M197" s="50">
        <v>0</v>
      </c>
      <c r="N197" s="50">
        <v>0</v>
      </c>
      <c r="O197" s="56">
        <f t="shared" si="23"/>
        <v>0</v>
      </c>
      <c r="P197" s="1">
        <f t="shared" si="24"/>
        <v>0</v>
      </c>
      <c r="Q197" s="1">
        <f t="shared" si="18"/>
        <v>0</v>
      </c>
      <c r="R197" s="1">
        <f t="shared" si="19"/>
        <v>0</v>
      </c>
      <c r="S197" s="1">
        <f t="shared" si="20"/>
        <v>0</v>
      </c>
      <c r="T197" s="1">
        <f t="shared" si="25"/>
        <v>0</v>
      </c>
      <c r="U197" s="11"/>
      <c r="V197" s="11"/>
      <c r="W197" s="11"/>
      <c r="X197" s="12"/>
      <c r="Y197" s="12"/>
      <c r="Z197" s="12"/>
      <c r="AA197" s="12"/>
      <c r="AB197" s="12"/>
      <c r="AC197" s="12"/>
      <c r="AD197" s="12"/>
      <c r="AE197" s="12"/>
      <c r="AF197" s="12"/>
      <c r="AG197" s="12"/>
      <c r="AH197" s="12"/>
      <c r="AI197" s="12"/>
      <c r="AJ197" s="12"/>
      <c r="AK197" s="12"/>
      <c r="AL197" s="12"/>
      <c r="AM197" s="12"/>
      <c r="AN197" s="12"/>
      <c r="AO197" s="12"/>
      <c r="AP197" s="12"/>
      <c r="AQ197" s="12"/>
      <c r="AR197" s="12"/>
      <c r="AS197" s="12"/>
      <c r="AT197" s="12"/>
      <c r="AU197" s="12"/>
      <c r="AV197" s="12"/>
      <c r="AW197" s="12"/>
      <c r="AX197" s="12"/>
      <c r="AY197" s="12"/>
      <c r="AZ197" s="12"/>
      <c r="BA197" s="12"/>
      <c r="BB197" s="12"/>
      <c r="BC197" s="12"/>
      <c r="BD197" s="12"/>
      <c r="BE197" s="12"/>
      <c r="BF197" s="12"/>
      <c r="BG197" s="12"/>
      <c r="BH197" s="12"/>
      <c r="BI197" s="12"/>
      <c r="BJ197" s="12"/>
      <c r="BK197" s="12"/>
      <c r="BL197" s="12"/>
      <c r="BM197" s="12"/>
      <c r="BN197" s="12"/>
      <c r="BO197" s="12"/>
      <c r="BP197" s="12"/>
      <c r="BQ197" s="12"/>
      <c r="BR197" s="12"/>
      <c r="BS197" s="12"/>
      <c r="BT197" s="12"/>
      <c r="BU197" s="12"/>
      <c r="BV197" s="12"/>
      <c r="BW197" s="12"/>
      <c r="BX197" s="12"/>
      <c r="BY197" s="12"/>
      <c r="BZ197" s="12"/>
      <c r="CA197" s="12"/>
      <c r="CB197" s="12"/>
      <c r="CC197" s="12"/>
      <c r="CD197" s="12"/>
      <c r="CE197" s="12"/>
      <c r="CF197" s="12"/>
      <c r="CG197" s="12"/>
      <c r="CH197" s="12"/>
      <c r="CI197" s="12"/>
      <c r="CJ197" s="12"/>
      <c r="CK197" s="12"/>
      <c r="CL197" s="12"/>
      <c r="CM197" s="12"/>
      <c r="CN197" s="12"/>
      <c r="CO197" s="12"/>
      <c r="CP197" s="12"/>
      <c r="CQ197" s="12"/>
      <c r="CR197" s="12"/>
      <c r="CS197" s="12"/>
      <c r="CT197" s="12"/>
      <c r="CU197" s="12"/>
      <c r="CV197" s="12"/>
      <c r="CW197" s="12"/>
      <c r="CX197" s="12"/>
      <c r="CY197" s="12"/>
      <c r="CZ197" s="12"/>
      <c r="DA197" s="12"/>
      <c r="DB197" s="12"/>
      <c r="DC197" s="12"/>
      <c r="DD197" s="12"/>
      <c r="DE197" s="12"/>
      <c r="DF197" s="12"/>
      <c r="DG197" s="12"/>
      <c r="DH197" s="12"/>
      <c r="DI197" s="12"/>
      <c r="DJ197" s="12"/>
      <c r="DK197" s="12"/>
      <c r="DL197" s="12"/>
      <c r="DM197" s="12"/>
      <c r="DN197" s="12"/>
      <c r="DO197" s="12"/>
      <c r="DP197" s="12"/>
      <c r="DQ197" s="12"/>
      <c r="DR197" s="12"/>
      <c r="DS197" s="12"/>
      <c r="DT197" s="12"/>
      <c r="DU197" s="12"/>
      <c r="DV197" s="12"/>
      <c r="DW197" s="12"/>
      <c r="DX197" s="12"/>
      <c r="DY197" s="12"/>
      <c r="DZ197" s="12"/>
      <c r="EA197" s="12"/>
      <c r="EB197" s="12"/>
      <c r="EC197" s="12"/>
      <c r="ED197" s="12"/>
      <c r="EE197" s="12"/>
      <c r="EF197" s="12"/>
      <c r="EG197" s="12"/>
      <c r="EH197" s="12"/>
      <c r="EI197" s="12"/>
      <c r="EJ197" s="12"/>
      <c r="EK197" s="12"/>
      <c r="EL197" s="12"/>
      <c r="EM197" s="12"/>
      <c r="EN197" s="12"/>
      <c r="EO197" s="12"/>
      <c r="EP197" s="12"/>
      <c r="EQ197" s="12"/>
      <c r="ER197" s="12"/>
      <c r="ES197" s="12"/>
      <c r="ET197" s="12"/>
      <c r="EU197" s="12"/>
      <c r="EV197" s="12"/>
      <c r="EW197" s="12"/>
      <c r="EX197" s="12"/>
      <c r="EY197" s="12"/>
      <c r="EZ197" s="12"/>
      <c r="FA197" s="12"/>
      <c r="FB197" s="12"/>
      <c r="FC197" s="12"/>
      <c r="FD197" s="12"/>
      <c r="FE197" s="12"/>
      <c r="FF197" s="12"/>
      <c r="FG197" s="12"/>
      <c r="FH197" s="12"/>
      <c r="FI197" s="12"/>
      <c r="FJ197" s="12"/>
      <c r="FK197" s="12"/>
      <c r="FL197" s="12"/>
      <c r="FM197" s="12"/>
      <c r="FN197" s="12"/>
      <c r="FO197" s="12"/>
      <c r="FP197" s="12"/>
      <c r="FQ197" s="12"/>
      <c r="FR197" s="12"/>
      <c r="FS197" s="12"/>
      <c r="FT197" s="12"/>
      <c r="FU197" s="12"/>
      <c r="FV197" s="12"/>
      <c r="FW197" s="12"/>
      <c r="FX197" s="12"/>
      <c r="FY197" s="12"/>
      <c r="FZ197" s="12"/>
      <c r="GA197" s="12"/>
      <c r="GB197" s="12"/>
      <c r="GC197" s="12"/>
      <c r="GD197" s="12"/>
      <c r="GE197" s="12"/>
    </row>
    <row r="198" spans="1:187" ht="21" customHeight="1">
      <c r="A198" s="45"/>
      <c r="B198" s="86" t="s">
        <v>27</v>
      </c>
      <c r="C198" s="10" t="s">
        <v>84</v>
      </c>
      <c r="D198" s="10" t="s">
        <v>223</v>
      </c>
      <c r="E198" s="35">
        <v>114.33</v>
      </c>
      <c r="F198" s="35">
        <f>184.403-E198</f>
        <v>70.072999999999993</v>
      </c>
      <c r="G198" s="35">
        <v>19.169</v>
      </c>
      <c r="H198" s="35">
        <f>133.499-G198</f>
        <v>114.33</v>
      </c>
      <c r="I198" s="35">
        <f t="shared" si="22"/>
        <v>317.90199999999999</v>
      </c>
      <c r="J198" s="11">
        <v>282.02999999999997</v>
      </c>
      <c r="K198" s="49">
        <v>4115.32</v>
      </c>
      <c r="L198" s="49">
        <v>4267.586839999999</v>
      </c>
      <c r="M198" s="49">
        <v>1607.91</v>
      </c>
      <c r="N198" s="49">
        <v>1667.4026699999999</v>
      </c>
      <c r="O198" s="56">
        <f t="shared" si="23"/>
        <v>2507.41</v>
      </c>
      <c r="P198" s="1">
        <f t="shared" si="24"/>
        <v>286672.18529999995</v>
      </c>
      <c r="Q198" s="1">
        <f t="shared" si="18"/>
        <v>175701.74092999997</v>
      </c>
      <c r="R198" s="1">
        <f t="shared" si="19"/>
        <v>49842.930354729986</v>
      </c>
      <c r="S198" s="1">
        <f t="shared" si="20"/>
        <v>297279.05615609989</v>
      </c>
      <c r="T198" s="1">
        <f t="shared" si="25"/>
        <v>809495.91274082987</v>
      </c>
      <c r="U198" s="11"/>
      <c r="V198" s="11"/>
      <c r="W198" s="11"/>
      <c r="X198" s="12"/>
      <c r="Y198" s="12"/>
      <c r="Z198" s="12"/>
      <c r="AA198" s="12"/>
      <c r="AB198" s="12"/>
      <c r="AC198" s="12"/>
      <c r="AD198" s="12"/>
      <c r="AE198" s="12"/>
      <c r="AF198" s="12"/>
      <c r="AG198" s="12"/>
      <c r="AH198" s="12"/>
      <c r="AI198" s="12"/>
      <c r="AJ198" s="12"/>
      <c r="AK198" s="12"/>
      <c r="AL198" s="12"/>
      <c r="AM198" s="12"/>
      <c r="AN198" s="12"/>
      <c r="AO198" s="12"/>
      <c r="AP198" s="12"/>
      <c r="AQ198" s="12"/>
      <c r="AR198" s="12"/>
      <c r="AS198" s="12"/>
      <c r="AT198" s="12"/>
      <c r="AU198" s="12"/>
      <c r="AV198" s="12"/>
      <c r="AW198" s="12"/>
      <c r="AX198" s="12"/>
      <c r="AY198" s="12"/>
      <c r="AZ198" s="12"/>
      <c r="BA198" s="12"/>
      <c r="BB198" s="12"/>
      <c r="BC198" s="12"/>
      <c r="BD198" s="12"/>
      <c r="BE198" s="12"/>
      <c r="BF198" s="12"/>
      <c r="BG198" s="12"/>
      <c r="BH198" s="12"/>
      <c r="BI198" s="12"/>
      <c r="BJ198" s="12"/>
      <c r="BK198" s="12"/>
      <c r="BL198" s="12"/>
      <c r="BM198" s="12"/>
      <c r="BN198" s="12"/>
      <c r="BO198" s="12"/>
      <c r="BP198" s="12"/>
      <c r="BQ198" s="12"/>
      <c r="BR198" s="12"/>
      <c r="BS198" s="12"/>
      <c r="BT198" s="12"/>
      <c r="BU198" s="12"/>
      <c r="BV198" s="12"/>
      <c r="BW198" s="12"/>
      <c r="BX198" s="12"/>
      <c r="BY198" s="12"/>
      <c r="BZ198" s="12"/>
      <c r="CA198" s="12"/>
      <c r="CB198" s="12"/>
      <c r="CC198" s="12"/>
      <c r="CD198" s="12"/>
      <c r="CE198" s="12"/>
      <c r="CF198" s="12"/>
      <c r="CG198" s="12"/>
      <c r="CH198" s="12"/>
      <c r="CI198" s="12"/>
      <c r="CJ198" s="12"/>
      <c r="CK198" s="12"/>
      <c r="CL198" s="12"/>
      <c r="CM198" s="12"/>
      <c r="CN198" s="12"/>
      <c r="CO198" s="12"/>
      <c r="CP198" s="12"/>
      <c r="CQ198" s="12"/>
      <c r="CR198" s="12"/>
      <c r="CS198" s="12"/>
      <c r="CT198" s="12"/>
      <c r="CU198" s="12"/>
      <c r="CV198" s="12"/>
      <c r="CW198" s="12"/>
      <c r="CX198" s="12"/>
      <c r="CY198" s="12"/>
      <c r="CZ198" s="12"/>
      <c r="DA198" s="12"/>
      <c r="DB198" s="12"/>
      <c r="DC198" s="12"/>
      <c r="DD198" s="12"/>
      <c r="DE198" s="12"/>
      <c r="DF198" s="12"/>
      <c r="DG198" s="12"/>
      <c r="DH198" s="12"/>
      <c r="DI198" s="12"/>
      <c r="DJ198" s="12"/>
      <c r="DK198" s="12"/>
      <c r="DL198" s="12"/>
      <c r="DM198" s="12"/>
      <c r="DN198" s="12"/>
      <c r="DO198" s="12"/>
      <c r="DP198" s="12"/>
      <c r="DQ198" s="12"/>
      <c r="DR198" s="12"/>
      <c r="DS198" s="12"/>
      <c r="DT198" s="12"/>
      <c r="DU198" s="12"/>
      <c r="DV198" s="12"/>
      <c r="DW198" s="12"/>
      <c r="DX198" s="12"/>
      <c r="DY198" s="12"/>
      <c r="DZ198" s="12"/>
      <c r="EA198" s="12"/>
      <c r="EB198" s="12"/>
      <c r="EC198" s="12"/>
      <c r="ED198" s="12"/>
      <c r="EE198" s="12"/>
      <c r="EF198" s="12"/>
      <c r="EG198" s="12"/>
      <c r="EH198" s="12"/>
      <c r="EI198" s="12"/>
      <c r="EJ198" s="12"/>
      <c r="EK198" s="12"/>
      <c r="EL198" s="12"/>
      <c r="EM198" s="12"/>
      <c r="EN198" s="12"/>
      <c r="EO198" s="12"/>
      <c r="EP198" s="12"/>
      <c r="EQ198" s="12"/>
      <c r="ER198" s="12"/>
      <c r="ES198" s="12"/>
      <c r="ET198" s="12"/>
      <c r="EU198" s="12"/>
      <c r="EV198" s="12"/>
      <c r="EW198" s="12"/>
      <c r="EX198" s="12"/>
      <c r="EY198" s="12"/>
      <c r="EZ198" s="12"/>
      <c r="FA198" s="12"/>
      <c r="FB198" s="12"/>
      <c r="FC198" s="12"/>
      <c r="FD198" s="12"/>
      <c r="FE198" s="12"/>
      <c r="FF198" s="12"/>
      <c r="FG198" s="12"/>
      <c r="FH198" s="12"/>
      <c r="FI198" s="12"/>
      <c r="FJ198" s="12"/>
      <c r="FK198" s="12"/>
      <c r="FL198" s="12"/>
      <c r="FM198" s="12"/>
      <c r="FN198" s="12"/>
      <c r="FO198" s="12"/>
      <c r="FP198" s="12"/>
      <c r="FQ198" s="12"/>
      <c r="FR198" s="12"/>
      <c r="FS198" s="12"/>
      <c r="FT198" s="12"/>
      <c r="FU198" s="12"/>
      <c r="FV198" s="12"/>
      <c r="FW198" s="12"/>
      <c r="FX198" s="12"/>
      <c r="FY198" s="12"/>
      <c r="FZ198" s="12"/>
      <c r="GA198" s="12"/>
      <c r="GB198" s="12"/>
      <c r="GC198" s="12"/>
      <c r="GD198" s="12"/>
      <c r="GE198" s="12"/>
    </row>
    <row r="199" spans="1:187" ht="21" customHeight="1">
      <c r="A199" s="45"/>
      <c r="B199" s="86" t="s">
        <v>27</v>
      </c>
      <c r="C199" s="10" t="s">
        <v>84</v>
      </c>
      <c r="D199" s="10" t="s">
        <v>312</v>
      </c>
      <c r="E199" s="35">
        <v>67.397999999999996</v>
      </c>
      <c r="F199" s="35">
        <f>112.33-E199</f>
        <v>44.932000000000002</v>
      </c>
      <c r="G199" s="35">
        <v>12.731</v>
      </c>
      <c r="H199" s="35">
        <f>80.129-G199</f>
        <v>67.39800000000001</v>
      </c>
      <c r="I199" s="35">
        <f t="shared" si="22"/>
        <v>192.459</v>
      </c>
      <c r="J199" s="56">
        <v>186.25166666666667</v>
      </c>
      <c r="K199" s="49">
        <v>5732.61</v>
      </c>
      <c r="L199" s="49">
        <v>5961.9143999999997</v>
      </c>
      <c r="M199" s="49">
        <v>1607.91</v>
      </c>
      <c r="N199" s="49">
        <v>1667.4026699999999</v>
      </c>
      <c r="O199" s="56">
        <f t="shared" si="23"/>
        <v>4124.7</v>
      </c>
      <c r="P199" s="1">
        <f t="shared" si="24"/>
        <v>277996.5306</v>
      </c>
      <c r="Q199" s="1">
        <f t="shared" si="18"/>
        <v>185331.02040000001</v>
      </c>
      <c r="R199" s="1">
        <f t="shared" si="19"/>
        <v>54673.428834630002</v>
      </c>
      <c r="S199" s="1">
        <f t="shared" si="20"/>
        <v>289441.50157854008</v>
      </c>
      <c r="T199" s="1">
        <f t="shared" si="25"/>
        <v>807442.48141317</v>
      </c>
      <c r="U199" s="11"/>
      <c r="V199" s="11"/>
      <c r="W199" s="11"/>
      <c r="X199" s="12"/>
      <c r="Y199" s="12"/>
      <c r="Z199" s="12"/>
      <c r="AA199" s="12"/>
      <c r="AB199" s="12"/>
      <c r="AC199" s="12"/>
      <c r="AD199" s="12"/>
      <c r="AE199" s="12"/>
      <c r="AF199" s="12"/>
      <c r="AG199" s="12"/>
      <c r="AH199" s="12"/>
      <c r="AI199" s="12"/>
      <c r="AJ199" s="12"/>
      <c r="AK199" s="12"/>
      <c r="AL199" s="12"/>
      <c r="AM199" s="12"/>
      <c r="AN199" s="12"/>
      <c r="AO199" s="12"/>
      <c r="AP199" s="12"/>
      <c r="AQ199" s="12"/>
      <c r="AR199" s="12"/>
      <c r="AS199" s="12"/>
      <c r="AT199" s="12"/>
      <c r="AU199" s="12"/>
      <c r="AV199" s="12"/>
      <c r="AW199" s="12"/>
      <c r="AX199" s="12"/>
      <c r="AY199" s="12"/>
      <c r="AZ199" s="12"/>
      <c r="BA199" s="12"/>
      <c r="BB199" s="12"/>
      <c r="BC199" s="12"/>
      <c r="BD199" s="12"/>
      <c r="BE199" s="12"/>
      <c r="BF199" s="12"/>
      <c r="BG199" s="12"/>
      <c r="BH199" s="12"/>
      <c r="BI199" s="12"/>
      <c r="BJ199" s="12"/>
      <c r="BK199" s="12"/>
      <c r="BL199" s="12"/>
      <c r="BM199" s="12"/>
      <c r="BN199" s="12"/>
      <c r="BO199" s="12"/>
      <c r="BP199" s="12"/>
      <c r="BQ199" s="12"/>
      <c r="BR199" s="12"/>
      <c r="BS199" s="12"/>
      <c r="BT199" s="12"/>
      <c r="BU199" s="12"/>
      <c r="BV199" s="12"/>
      <c r="BW199" s="12"/>
      <c r="BX199" s="12"/>
      <c r="BY199" s="12"/>
      <c r="BZ199" s="12"/>
      <c r="CA199" s="12"/>
      <c r="CB199" s="12"/>
      <c r="CC199" s="12"/>
      <c r="CD199" s="12"/>
      <c r="CE199" s="12"/>
      <c r="CF199" s="12"/>
      <c r="CG199" s="12"/>
      <c r="CH199" s="12"/>
      <c r="CI199" s="12"/>
      <c r="CJ199" s="12"/>
      <c r="CK199" s="12"/>
      <c r="CL199" s="12"/>
      <c r="CM199" s="12"/>
      <c r="CN199" s="12"/>
      <c r="CO199" s="12"/>
      <c r="CP199" s="12"/>
      <c r="CQ199" s="12"/>
      <c r="CR199" s="12"/>
      <c r="CS199" s="12"/>
      <c r="CT199" s="12"/>
      <c r="CU199" s="12"/>
      <c r="CV199" s="12"/>
      <c r="CW199" s="12"/>
      <c r="CX199" s="12"/>
      <c r="CY199" s="12"/>
      <c r="CZ199" s="12"/>
      <c r="DA199" s="12"/>
      <c r="DB199" s="12"/>
      <c r="DC199" s="12"/>
      <c r="DD199" s="12"/>
      <c r="DE199" s="12"/>
      <c r="DF199" s="12"/>
      <c r="DG199" s="12"/>
      <c r="DH199" s="12"/>
      <c r="DI199" s="12"/>
      <c r="DJ199" s="12"/>
      <c r="DK199" s="12"/>
      <c r="DL199" s="12"/>
      <c r="DM199" s="12"/>
      <c r="DN199" s="12"/>
      <c r="DO199" s="12"/>
      <c r="DP199" s="12"/>
      <c r="DQ199" s="12"/>
      <c r="DR199" s="12"/>
      <c r="DS199" s="12"/>
      <c r="DT199" s="12"/>
      <c r="DU199" s="12"/>
      <c r="DV199" s="12"/>
      <c r="DW199" s="12"/>
      <c r="DX199" s="12"/>
      <c r="DY199" s="12"/>
      <c r="DZ199" s="12"/>
      <c r="EA199" s="12"/>
      <c r="EB199" s="12"/>
      <c r="EC199" s="12"/>
      <c r="ED199" s="12"/>
      <c r="EE199" s="12"/>
      <c r="EF199" s="12"/>
      <c r="EG199" s="12"/>
      <c r="EH199" s="12"/>
      <c r="EI199" s="12"/>
      <c r="EJ199" s="12"/>
      <c r="EK199" s="12"/>
      <c r="EL199" s="12"/>
      <c r="EM199" s="12"/>
      <c r="EN199" s="12"/>
      <c r="EO199" s="12"/>
      <c r="EP199" s="12"/>
      <c r="EQ199" s="12"/>
      <c r="ER199" s="12"/>
      <c r="ES199" s="12"/>
      <c r="ET199" s="12"/>
      <c r="EU199" s="12"/>
      <c r="EV199" s="12"/>
      <c r="EW199" s="12"/>
      <c r="EX199" s="12"/>
      <c r="EY199" s="12"/>
      <c r="EZ199" s="12"/>
      <c r="FA199" s="12"/>
      <c r="FB199" s="12"/>
      <c r="FC199" s="12"/>
      <c r="FD199" s="12"/>
      <c r="FE199" s="12"/>
      <c r="FF199" s="12"/>
      <c r="FG199" s="12"/>
      <c r="FH199" s="12"/>
      <c r="FI199" s="12"/>
      <c r="FJ199" s="12"/>
      <c r="FK199" s="12"/>
      <c r="FL199" s="12"/>
      <c r="FM199" s="12"/>
      <c r="FN199" s="12"/>
      <c r="FO199" s="12"/>
      <c r="FP199" s="12"/>
      <c r="FQ199" s="12"/>
      <c r="FR199" s="12"/>
      <c r="FS199" s="12"/>
      <c r="FT199" s="12"/>
      <c r="FU199" s="12"/>
      <c r="FV199" s="12"/>
      <c r="FW199" s="12"/>
      <c r="FX199" s="12"/>
      <c r="FY199" s="12"/>
      <c r="FZ199" s="12"/>
      <c r="GA199" s="12"/>
      <c r="GB199" s="12"/>
      <c r="GC199" s="12"/>
      <c r="GD199" s="12"/>
      <c r="GE199" s="12"/>
    </row>
    <row r="200" spans="1:187" ht="21" customHeight="1">
      <c r="A200" s="45"/>
      <c r="B200" s="86" t="s">
        <v>27</v>
      </c>
      <c r="C200" s="10" t="s">
        <v>84</v>
      </c>
      <c r="D200" s="10" t="s">
        <v>313</v>
      </c>
      <c r="E200" s="35">
        <v>193.13399999999999</v>
      </c>
      <c r="F200" s="35">
        <f>266.47-E200</f>
        <v>73.336000000000041</v>
      </c>
      <c r="G200" s="35">
        <v>36.481000000000002</v>
      </c>
      <c r="H200" s="35">
        <f>229.614-G200</f>
        <v>193.13300000000001</v>
      </c>
      <c r="I200" s="35">
        <f t="shared" si="22"/>
        <v>496.08400000000006</v>
      </c>
      <c r="J200" s="56">
        <v>532.91700000000003</v>
      </c>
      <c r="K200" s="49">
        <v>5301.81</v>
      </c>
      <c r="L200" s="49">
        <v>5301.81</v>
      </c>
      <c r="M200" s="49">
        <v>1607.91</v>
      </c>
      <c r="N200" s="49">
        <v>1667.4026699999999</v>
      </c>
      <c r="O200" s="56">
        <f t="shared" si="23"/>
        <v>3693.9000000000005</v>
      </c>
      <c r="P200" s="1">
        <f t="shared" si="24"/>
        <v>713417.68260000006</v>
      </c>
      <c r="Q200" s="1">
        <f t="shared" si="18"/>
        <v>270895.85040000017</v>
      </c>
      <c r="R200" s="1">
        <f t="shared" si="19"/>
        <v>132586.81380573002</v>
      </c>
      <c r="S200" s="1">
        <f t="shared" si="20"/>
        <v>701923.99086489016</v>
      </c>
      <c r="T200" s="1">
        <f t="shared" si="25"/>
        <v>1818824.3376706205</v>
      </c>
      <c r="U200" s="11"/>
      <c r="V200" s="11"/>
      <c r="W200" s="11"/>
      <c r="X200" s="12"/>
      <c r="Y200" s="12"/>
      <c r="Z200" s="12"/>
      <c r="AA200" s="12"/>
      <c r="AB200" s="12"/>
      <c r="AC200" s="12"/>
      <c r="AD200" s="12"/>
      <c r="AE200" s="12"/>
      <c r="AF200" s="12"/>
      <c r="AG200" s="12"/>
      <c r="AH200" s="12"/>
      <c r="AI200" s="12"/>
      <c r="AJ200" s="12"/>
      <c r="AK200" s="12"/>
      <c r="AL200" s="12"/>
      <c r="AM200" s="12"/>
      <c r="AN200" s="12"/>
      <c r="AO200" s="12"/>
      <c r="AP200" s="12"/>
      <c r="AQ200" s="12"/>
      <c r="AR200" s="12"/>
      <c r="AS200" s="12"/>
      <c r="AT200" s="12"/>
      <c r="AU200" s="12"/>
      <c r="AV200" s="12"/>
      <c r="AW200" s="12"/>
      <c r="AX200" s="12"/>
      <c r="AY200" s="12"/>
      <c r="AZ200" s="12"/>
      <c r="BA200" s="12"/>
      <c r="BB200" s="12"/>
      <c r="BC200" s="12"/>
      <c r="BD200" s="12"/>
      <c r="BE200" s="12"/>
      <c r="BF200" s="12"/>
      <c r="BG200" s="12"/>
      <c r="BH200" s="12"/>
      <c r="BI200" s="12"/>
      <c r="BJ200" s="12"/>
      <c r="BK200" s="12"/>
      <c r="BL200" s="12"/>
      <c r="BM200" s="12"/>
      <c r="BN200" s="12"/>
      <c r="BO200" s="12"/>
      <c r="BP200" s="12"/>
      <c r="BQ200" s="12"/>
      <c r="BR200" s="12"/>
      <c r="BS200" s="12"/>
      <c r="BT200" s="12"/>
      <c r="BU200" s="12"/>
      <c r="BV200" s="12"/>
      <c r="BW200" s="12"/>
      <c r="BX200" s="12"/>
      <c r="BY200" s="12"/>
      <c r="BZ200" s="12"/>
      <c r="CA200" s="12"/>
      <c r="CB200" s="12"/>
      <c r="CC200" s="12"/>
      <c r="CD200" s="12"/>
      <c r="CE200" s="12"/>
      <c r="CF200" s="12"/>
      <c r="CG200" s="12"/>
      <c r="CH200" s="12"/>
      <c r="CI200" s="12"/>
      <c r="CJ200" s="12"/>
      <c r="CK200" s="12"/>
      <c r="CL200" s="12"/>
      <c r="CM200" s="12"/>
      <c r="CN200" s="12"/>
      <c r="CO200" s="12"/>
      <c r="CP200" s="12"/>
      <c r="CQ200" s="12"/>
      <c r="CR200" s="12"/>
      <c r="CS200" s="12"/>
      <c r="CT200" s="12"/>
      <c r="CU200" s="12"/>
      <c r="CV200" s="12"/>
      <c r="CW200" s="12"/>
      <c r="CX200" s="12"/>
      <c r="CY200" s="12"/>
      <c r="CZ200" s="12"/>
      <c r="DA200" s="12"/>
      <c r="DB200" s="12"/>
      <c r="DC200" s="12"/>
      <c r="DD200" s="12"/>
      <c r="DE200" s="12"/>
      <c r="DF200" s="12"/>
      <c r="DG200" s="12"/>
      <c r="DH200" s="12"/>
      <c r="DI200" s="12"/>
      <c r="DJ200" s="12"/>
      <c r="DK200" s="12"/>
      <c r="DL200" s="12"/>
      <c r="DM200" s="12"/>
      <c r="DN200" s="12"/>
      <c r="DO200" s="12"/>
      <c r="DP200" s="12"/>
      <c r="DQ200" s="12"/>
      <c r="DR200" s="12"/>
      <c r="DS200" s="12"/>
      <c r="DT200" s="12"/>
      <c r="DU200" s="12"/>
      <c r="DV200" s="12"/>
      <c r="DW200" s="12"/>
      <c r="DX200" s="12"/>
      <c r="DY200" s="12"/>
      <c r="DZ200" s="12"/>
      <c r="EA200" s="12"/>
      <c r="EB200" s="12"/>
      <c r="EC200" s="12"/>
      <c r="ED200" s="12"/>
      <c r="EE200" s="12"/>
      <c r="EF200" s="12"/>
      <c r="EG200" s="12"/>
      <c r="EH200" s="12"/>
      <c r="EI200" s="12"/>
      <c r="EJ200" s="12"/>
      <c r="EK200" s="12"/>
      <c r="EL200" s="12"/>
      <c r="EM200" s="12"/>
      <c r="EN200" s="12"/>
      <c r="EO200" s="12"/>
      <c r="EP200" s="12"/>
      <c r="EQ200" s="12"/>
      <c r="ER200" s="12"/>
      <c r="ES200" s="12"/>
      <c r="ET200" s="12"/>
      <c r="EU200" s="12"/>
      <c r="EV200" s="12"/>
      <c r="EW200" s="12"/>
      <c r="EX200" s="12"/>
      <c r="EY200" s="12"/>
      <c r="EZ200" s="12"/>
      <c r="FA200" s="12"/>
      <c r="FB200" s="12"/>
      <c r="FC200" s="12"/>
      <c r="FD200" s="12"/>
      <c r="FE200" s="12"/>
      <c r="FF200" s="12"/>
      <c r="FG200" s="12"/>
      <c r="FH200" s="12"/>
      <c r="FI200" s="12"/>
      <c r="FJ200" s="12"/>
      <c r="FK200" s="12"/>
      <c r="FL200" s="12"/>
      <c r="FM200" s="12"/>
      <c r="FN200" s="12"/>
      <c r="FO200" s="12"/>
      <c r="FP200" s="12"/>
      <c r="FQ200" s="12"/>
      <c r="FR200" s="12"/>
      <c r="FS200" s="12"/>
      <c r="FT200" s="12"/>
      <c r="FU200" s="12"/>
      <c r="FV200" s="12"/>
      <c r="FW200" s="12"/>
      <c r="FX200" s="12"/>
      <c r="FY200" s="12"/>
      <c r="FZ200" s="12"/>
      <c r="GA200" s="12"/>
      <c r="GB200" s="12"/>
      <c r="GC200" s="12"/>
      <c r="GD200" s="12"/>
      <c r="GE200" s="12"/>
    </row>
    <row r="201" spans="1:187" ht="21" customHeight="1">
      <c r="A201" s="45"/>
      <c r="B201" s="86" t="s">
        <v>27</v>
      </c>
      <c r="C201" s="10" t="s">
        <v>84</v>
      </c>
      <c r="D201" s="10" t="s">
        <v>73</v>
      </c>
      <c r="E201" s="35">
        <v>76.427999999999997</v>
      </c>
      <c r="F201" s="35">
        <f>110.184-E201</f>
        <v>33.756</v>
      </c>
      <c r="G201" s="35">
        <v>11.021000000000001</v>
      </c>
      <c r="H201" s="35">
        <f>85.698-G201</f>
        <v>74.676999999999992</v>
      </c>
      <c r="I201" s="35">
        <f t="shared" si="22"/>
        <v>195.88200000000001</v>
      </c>
      <c r="J201" s="11">
        <v>196.49</v>
      </c>
      <c r="K201" s="49">
        <v>3585.99</v>
      </c>
      <c r="L201" s="49">
        <v>3718.6716299999994</v>
      </c>
      <c r="M201" s="49">
        <v>1260.21</v>
      </c>
      <c r="N201" s="49">
        <v>1306.8377699999999</v>
      </c>
      <c r="O201" s="56">
        <f t="shared" si="23"/>
        <v>2325.7799999999997</v>
      </c>
      <c r="P201" s="1">
        <f t="shared" si="24"/>
        <v>177754.71383999998</v>
      </c>
      <c r="Q201" s="1">
        <f t="shared" si="18"/>
        <v>78509.029679999992</v>
      </c>
      <c r="R201" s="1">
        <f t="shared" si="19"/>
        <v>26580.820971059999</v>
      </c>
      <c r="S201" s="1">
        <f t="shared" si="20"/>
        <v>180108.51716321995</v>
      </c>
      <c r="T201" s="1">
        <f t="shared" si="25"/>
        <v>462953.08165427996</v>
      </c>
      <c r="U201" s="11"/>
      <c r="V201" s="11"/>
      <c r="W201" s="11"/>
      <c r="X201" s="12"/>
      <c r="Y201" s="12"/>
      <c r="Z201" s="12"/>
      <c r="AA201" s="12"/>
      <c r="AB201" s="12"/>
      <c r="AC201" s="12"/>
      <c r="AD201" s="12"/>
      <c r="AE201" s="12"/>
      <c r="AF201" s="12"/>
      <c r="AG201" s="12"/>
      <c r="AH201" s="12"/>
      <c r="AI201" s="12"/>
      <c r="AJ201" s="12"/>
      <c r="AK201" s="12"/>
      <c r="AL201" s="12"/>
      <c r="AM201" s="12"/>
      <c r="AN201" s="12"/>
      <c r="AO201" s="12"/>
      <c r="AP201" s="12"/>
      <c r="AQ201" s="12"/>
      <c r="AR201" s="12"/>
      <c r="AS201" s="12"/>
      <c r="AT201" s="12"/>
      <c r="AU201" s="12"/>
      <c r="AV201" s="12"/>
      <c r="AW201" s="12"/>
      <c r="AX201" s="12"/>
      <c r="AY201" s="12"/>
      <c r="AZ201" s="12"/>
      <c r="BA201" s="12"/>
      <c r="BB201" s="12"/>
      <c r="BC201" s="12"/>
      <c r="BD201" s="12"/>
      <c r="BE201" s="12"/>
      <c r="BF201" s="12"/>
      <c r="BG201" s="12"/>
      <c r="BH201" s="12"/>
      <c r="BI201" s="12"/>
      <c r="BJ201" s="12"/>
      <c r="BK201" s="12"/>
      <c r="BL201" s="12"/>
      <c r="BM201" s="12"/>
      <c r="BN201" s="12"/>
      <c r="BO201" s="12"/>
      <c r="BP201" s="12"/>
      <c r="BQ201" s="12"/>
      <c r="BR201" s="12"/>
      <c r="BS201" s="12"/>
      <c r="BT201" s="12"/>
      <c r="BU201" s="12"/>
      <c r="BV201" s="12"/>
      <c r="BW201" s="12"/>
      <c r="BX201" s="12"/>
      <c r="BY201" s="12"/>
      <c r="BZ201" s="12"/>
      <c r="CA201" s="12"/>
      <c r="CB201" s="12"/>
      <c r="CC201" s="12"/>
      <c r="CD201" s="12"/>
      <c r="CE201" s="12"/>
      <c r="CF201" s="12"/>
      <c r="CG201" s="12"/>
      <c r="CH201" s="12"/>
      <c r="CI201" s="12"/>
      <c r="CJ201" s="12"/>
      <c r="CK201" s="12"/>
      <c r="CL201" s="12"/>
      <c r="CM201" s="12"/>
      <c r="CN201" s="12"/>
      <c r="CO201" s="12"/>
      <c r="CP201" s="12"/>
      <c r="CQ201" s="12"/>
      <c r="CR201" s="12"/>
      <c r="CS201" s="12"/>
      <c r="CT201" s="12"/>
      <c r="CU201" s="12"/>
      <c r="CV201" s="12"/>
      <c r="CW201" s="12"/>
      <c r="CX201" s="12"/>
      <c r="CY201" s="12"/>
      <c r="CZ201" s="12"/>
      <c r="DA201" s="12"/>
      <c r="DB201" s="12"/>
      <c r="DC201" s="12"/>
      <c r="DD201" s="12"/>
      <c r="DE201" s="12"/>
      <c r="DF201" s="12"/>
      <c r="DG201" s="12"/>
      <c r="DH201" s="12"/>
      <c r="DI201" s="12"/>
      <c r="DJ201" s="12"/>
      <c r="DK201" s="12"/>
      <c r="DL201" s="12"/>
      <c r="DM201" s="12"/>
      <c r="DN201" s="12"/>
      <c r="DO201" s="12"/>
      <c r="DP201" s="12"/>
      <c r="DQ201" s="12"/>
      <c r="DR201" s="12"/>
      <c r="DS201" s="12"/>
      <c r="DT201" s="12"/>
      <c r="DU201" s="12"/>
      <c r="DV201" s="12"/>
      <c r="DW201" s="12"/>
      <c r="DX201" s="12"/>
      <c r="DY201" s="12"/>
      <c r="DZ201" s="12"/>
      <c r="EA201" s="12"/>
      <c r="EB201" s="12"/>
      <c r="EC201" s="12"/>
      <c r="ED201" s="12"/>
      <c r="EE201" s="12"/>
      <c r="EF201" s="12"/>
      <c r="EG201" s="12"/>
      <c r="EH201" s="12"/>
      <c r="EI201" s="12"/>
      <c r="EJ201" s="12"/>
      <c r="EK201" s="12"/>
      <c r="EL201" s="12"/>
      <c r="EM201" s="12"/>
      <c r="EN201" s="12"/>
      <c r="EO201" s="12"/>
      <c r="EP201" s="12"/>
      <c r="EQ201" s="12"/>
      <c r="ER201" s="12"/>
      <c r="ES201" s="12"/>
      <c r="ET201" s="12"/>
      <c r="EU201" s="12"/>
      <c r="EV201" s="12"/>
      <c r="EW201" s="12"/>
      <c r="EX201" s="12"/>
      <c r="EY201" s="12"/>
      <c r="EZ201" s="12"/>
      <c r="FA201" s="12"/>
      <c r="FB201" s="12"/>
      <c r="FC201" s="12"/>
      <c r="FD201" s="12"/>
      <c r="FE201" s="12"/>
      <c r="FF201" s="12"/>
      <c r="FG201" s="12"/>
      <c r="FH201" s="12"/>
      <c r="FI201" s="12"/>
      <c r="FJ201" s="12"/>
      <c r="FK201" s="12"/>
      <c r="FL201" s="12"/>
      <c r="FM201" s="12"/>
      <c r="FN201" s="12"/>
      <c r="FO201" s="12"/>
      <c r="FP201" s="12"/>
      <c r="FQ201" s="12"/>
      <c r="FR201" s="12"/>
      <c r="FS201" s="12"/>
      <c r="FT201" s="12"/>
      <c r="FU201" s="12"/>
      <c r="FV201" s="12"/>
      <c r="FW201" s="12"/>
      <c r="FX201" s="12"/>
      <c r="FY201" s="12"/>
      <c r="FZ201" s="12"/>
      <c r="GA201" s="12"/>
      <c r="GB201" s="12"/>
      <c r="GC201" s="12"/>
      <c r="GD201" s="12"/>
      <c r="GE201" s="12"/>
    </row>
    <row r="202" spans="1:187" ht="21" customHeight="1">
      <c r="A202" s="45"/>
      <c r="B202" s="101" t="s">
        <v>224</v>
      </c>
      <c r="C202" s="101"/>
      <c r="D202" s="101"/>
      <c r="E202" s="77"/>
      <c r="F202" s="2"/>
      <c r="G202" s="2"/>
      <c r="H202" s="2"/>
      <c r="I202" s="35">
        <f t="shared" si="22"/>
        <v>0</v>
      </c>
      <c r="J202" s="11"/>
      <c r="K202" s="67"/>
      <c r="L202" s="67"/>
      <c r="M202" s="67"/>
      <c r="N202" s="67"/>
      <c r="O202" s="56">
        <f t="shared" si="23"/>
        <v>0</v>
      </c>
      <c r="P202" s="1">
        <f t="shared" si="24"/>
        <v>0</v>
      </c>
      <c r="Q202" s="1">
        <f t="shared" ref="Q202:Q238" si="27">(K202-M202)*F202</f>
        <v>0</v>
      </c>
      <c r="R202" s="1">
        <f t="shared" ref="R202:R239" si="28">(L202-N202)*G202</f>
        <v>0</v>
      </c>
      <c r="S202" s="1">
        <f t="shared" ref="S202:S239" si="29">(H202*(L202-N202))</f>
        <v>0</v>
      </c>
      <c r="T202" s="1">
        <f t="shared" si="25"/>
        <v>0</v>
      </c>
      <c r="U202" s="1"/>
      <c r="V202" s="1"/>
      <c r="W202" s="1"/>
    </row>
    <row r="203" spans="1:187" ht="21" customHeight="1">
      <c r="A203" s="45"/>
      <c r="B203" s="90" t="s">
        <v>263</v>
      </c>
      <c r="C203" s="10" t="s">
        <v>68</v>
      </c>
      <c r="D203" s="14" t="s">
        <v>225</v>
      </c>
      <c r="E203" s="2">
        <v>23396.089</v>
      </c>
      <c r="F203" s="2">
        <f>35322.611-E203</f>
        <v>11926.521999999997</v>
      </c>
      <c r="G203" s="2">
        <v>1831.683</v>
      </c>
      <c r="H203" s="2">
        <f>22369.351-G203</f>
        <v>20537.667999999998</v>
      </c>
      <c r="I203" s="35">
        <f t="shared" si="22"/>
        <v>57691.961999999992</v>
      </c>
      <c r="J203" s="56">
        <v>64238.8</v>
      </c>
      <c r="K203" s="49">
        <v>4964.7299999999996</v>
      </c>
      <c r="L203" s="49">
        <v>4964.7299999999996</v>
      </c>
      <c r="M203" s="49">
        <v>1438.53</v>
      </c>
      <c r="N203" s="49">
        <v>1491.76</v>
      </c>
      <c r="O203" s="56">
        <f t="shared" si="23"/>
        <v>3526.2</v>
      </c>
      <c r="P203" s="1">
        <f t="shared" si="24"/>
        <v>82499289.031800002</v>
      </c>
      <c r="Q203" s="1">
        <f t="shared" si="27"/>
        <v>42055301.876399986</v>
      </c>
      <c r="R203" s="1">
        <f t="shared" si="28"/>
        <v>6361380.1085099988</v>
      </c>
      <c r="S203" s="1">
        <f t="shared" si="29"/>
        <v>71326704.833959982</v>
      </c>
      <c r="T203" s="1">
        <f t="shared" si="25"/>
        <v>202242675.85066998</v>
      </c>
      <c r="U203" s="1"/>
      <c r="V203" s="1"/>
      <c r="W203" s="45"/>
    </row>
    <row r="204" spans="1:187" ht="21" customHeight="1">
      <c r="A204" s="45"/>
      <c r="B204" s="90" t="s">
        <v>263</v>
      </c>
      <c r="C204" s="10" t="s">
        <v>68</v>
      </c>
      <c r="D204" s="14" t="s">
        <v>226</v>
      </c>
      <c r="E204" s="2">
        <v>1110.8130000000001</v>
      </c>
      <c r="F204" s="2">
        <f>1816.639-E204</f>
        <v>705.82599999999979</v>
      </c>
      <c r="G204" s="2">
        <v>356.37200000000001</v>
      </c>
      <c r="H204" s="2">
        <f>1478.407-G204</f>
        <v>1122.0349999999999</v>
      </c>
      <c r="I204" s="35">
        <f t="shared" si="22"/>
        <v>3295.0459999999998</v>
      </c>
      <c r="J204" s="11">
        <v>2853.19</v>
      </c>
      <c r="K204" s="49">
        <v>11283.96</v>
      </c>
      <c r="L204" s="49">
        <v>11283.96</v>
      </c>
      <c r="M204" s="49">
        <v>1438.53</v>
      </c>
      <c r="N204" s="49">
        <v>1491.76</v>
      </c>
      <c r="O204" s="56">
        <f t="shared" si="23"/>
        <v>9845.4299999999985</v>
      </c>
      <c r="P204" s="1">
        <f t="shared" si="24"/>
        <v>10936431.63459</v>
      </c>
      <c r="Q204" s="1">
        <f t="shared" si="27"/>
        <v>6949160.4751799973</v>
      </c>
      <c r="R204" s="1">
        <f t="shared" si="28"/>
        <v>3489665.8983999998</v>
      </c>
      <c r="S204" s="1">
        <f t="shared" si="29"/>
        <v>10987191.126999997</v>
      </c>
      <c r="T204" s="1">
        <f t="shared" si="25"/>
        <v>32362449.135169994</v>
      </c>
      <c r="U204" s="1"/>
      <c r="V204" s="1"/>
      <c r="W204" s="45"/>
    </row>
    <row r="205" spans="1:187" ht="21" customHeight="1">
      <c r="A205" s="45"/>
      <c r="B205" s="90" t="s">
        <v>28</v>
      </c>
      <c r="C205" s="83" t="s">
        <v>154</v>
      </c>
      <c r="D205" s="14" t="s">
        <v>227</v>
      </c>
      <c r="E205" s="2">
        <v>436.428</v>
      </c>
      <c r="F205" s="2">
        <f>638.217-E205</f>
        <v>201.78899999999999</v>
      </c>
      <c r="G205" s="2">
        <v>33.944000000000003</v>
      </c>
      <c r="H205" s="2">
        <f>470.372-G205</f>
        <v>436.428</v>
      </c>
      <c r="I205" s="35">
        <f t="shared" ref="I205:I239" si="30">SUM(E205:H205)</f>
        <v>1108.5889999999999</v>
      </c>
      <c r="J205" s="56">
        <v>1205.2666666666667</v>
      </c>
      <c r="K205" s="49">
        <v>4561.6584042252489</v>
      </c>
      <c r="L205" s="49">
        <v>5168.7870622144364</v>
      </c>
      <c r="M205" s="49">
        <v>1466.2</v>
      </c>
      <c r="N205" s="49">
        <v>1520.4494</v>
      </c>
      <c r="O205" s="56">
        <f t="shared" si="23"/>
        <v>3095.4584042252491</v>
      </c>
      <c r="P205" s="1">
        <f t="shared" si="24"/>
        <v>1350944.7204392171</v>
      </c>
      <c r="Q205" s="1">
        <f t="shared" si="27"/>
        <v>624629.45593020879</v>
      </c>
      <c r="R205" s="1">
        <f t="shared" si="28"/>
        <v>123839.17360620684</v>
      </c>
      <c r="S205" s="1">
        <f t="shared" si="29"/>
        <v>1592236.709244922</v>
      </c>
      <c r="T205" s="1">
        <f t="shared" si="25"/>
        <v>3691650.0592205543</v>
      </c>
      <c r="U205" s="1"/>
      <c r="V205" s="1"/>
      <c r="W205" s="45"/>
    </row>
    <row r="206" spans="1:187" ht="21" customHeight="1">
      <c r="A206" s="45"/>
      <c r="B206" s="90" t="s">
        <v>22</v>
      </c>
      <c r="C206" s="83" t="s">
        <v>228</v>
      </c>
      <c r="D206" s="14" t="s">
        <v>225</v>
      </c>
      <c r="E206" s="2">
        <v>17.07</v>
      </c>
      <c r="F206" s="2">
        <f>25.037-E206</f>
        <v>7.9669999999999987</v>
      </c>
      <c r="G206" s="2">
        <v>2.85</v>
      </c>
      <c r="H206" s="2">
        <f>19.92-G206</f>
        <v>17.07</v>
      </c>
      <c r="I206" s="35">
        <f t="shared" si="30"/>
        <v>44.957000000000001</v>
      </c>
      <c r="J206" s="11">
        <v>45.4</v>
      </c>
      <c r="K206" s="49">
        <v>6850.6</v>
      </c>
      <c r="L206" s="49">
        <v>7124.62</v>
      </c>
      <c r="M206" s="49">
        <v>1730.12</v>
      </c>
      <c r="N206" s="49">
        <v>1794.13</v>
      </c>
      <c r="O206" s="56">
        <f t="shared" si="23"/>
        <v>5120.4800000000005</v>
      </c>
      <c r="P206" s="1">
        <f t="shared" si="24"/>
        <v>87406.593600000007</v>
      </c>
      <c r="Q206" s="1">
        <f t="shared" si="27"/>
        <v>40794.864159999997</v>
      </c>
      <c r="R206" s="1">
        <f t="shared" si="28"/>
        <v>15191.896500000001</v>
      </c>
      <c r="S206" s="1">
        <f t="shared" si="29"/>
        <v>90991.464299999992</v>
      </c>
      <c r="T206" s="1">
        <f t="shared" si="25"/>
        <v>234384.81855999999</v>
      </c>
      <c r="U206" s="1"/>
      <c r="V206" s="1"/>
      <c r="W206" s="45"/>
    </row>
    <row r="207" spans="1:187" ht="21" customHeight="1">
      <c r="A207" s="45"/>
      <c r="B207" s="90" t="s">
        <v>262</v>
      </c>
      <c r="C207" s="83" t="s">
        <v>229</v>
      </c>
      <c r="D207" s="14" t="s">
        <v>226</v>
      </c>
      <c r="E207" s="2">
        <v>529.71299999999997</v>
      </c>
      <c r="F207" s="2">
        <f>776.354-E207</f>
        <v>246.64100000000008</v>
      </c>
      <c r="G207" s="2">
        <v>41.2</v>
      </c>
      <c r="H207" s="2">
        <v>570.91300000000001</v>
      </c>
      <c r="I207" s="35">
        <f t="shared" si="30"/>
        <v>1388.4670000000001</v>
      </c>
      <c r="J207" s="56">
        <v>1446.1</v>
      </c>
      <c r="K207" s="67">
        <v>6501.12</v>
      </c>
      <c r="L207" s="67">
        <v>6741.66</v>
      </c>
      <c r="M207" s="67">
        <v>1697.48</v>
      </c>
      <c r="N207" s="67">
        <v>1760.29</v>
      </c>
      <c r="O207" s="56">
        <f t="shared" si="23"/>
        <v>4803.6399999999994</v>
      </c>
      <c r="P207" s="1">
        <f t="shared" si="24"/>
        <v>2544550.5553199993</v>
      </c>
      <c r="Q207" s="1">
        <f t="shared" si="27"/>
        <v>1184774.5732400003</v>
      </c>
      <c r="R207" s="1">
        <f t="shared" si="28"/>
        <v>205232.44400000002</v>
      </c>
      <c r="S207" s="1">
        <f t="shared" si="29"/>
        <v>2843928.8908099998</v>
      </c>
      <c r="T207" s="1">
        <f t="shared" si="25"/>
        <v>6778486.4633699991</v>
      </c>
      <c r="U207" s="1"/>
      <c r="V207" s="1"/>
      <c r="W207" s="45"/>
    </row>
    <row r="208" spans="1:187" ht="21" customHeight="1">
      <c r="A208" s="45"/>
      <c r="B208" s="90" t="s">
        <v>19</v>
      </c>
      <c r="C208" s="83" t="s">
        <v>111</v>
      </c>
      <c r="D208" s="14" t="s">
        <v>225</v>
      </c>
      <c r="E208" s="40">
        <v>2778.4690000000001</v>
      </c>
      <c r="F208" s="40">
        <f>4280.479-E208</f>
        <v>1502.0100000000002</v>
      </c>
      <c r="G208" s="40">
        <v>359.56299999999999</v>
      </c>
      <c r="H208" s="40">
        <f>2786.562</f>
        <v>2786.5619999999999</v>
      </c>
      <c r="I208" s="35">
        <f t="shared" si="30"/>
        <v>7426.6040000000003</v>
      </c>
      <c r="J208" s="56">
        <v>7327.6459999999997</v>
      </c>
      <c r="K208" s="67">
        <v>3327.0551831814601</v>
      </c>
      <c r="L208" s="67">
        <v>3460.1373905087185</v>
      </c>
      <c r="M208" s="67">
        <v>1438.53</v>
      </c>
      <c r="N208" s="70">
        <v>1491.7556099999999</v>
      </c>
      <c r="O208" s="56">
        <f t="shared" si="23"/>
        <v>1888.5251831814601</v>
      </c>
      <c r="P208" s="1">
        <f t="shared" si="24"/>
        <v>5247208.6771890083</v>
      </c>
      <c r="Q208" s="1">
        <f t="shared" si="27"/>
        <v>2836583.7103903852</v>
      </c>
      <c r="R208" s="1">
        <f t="shared" si="28"/>
        <v>707757.25814505632</v>
      </c>
      <c r="S208" s="1">
        <f t="shared" si="29"/>
        <v>5485017.8710579351</v>
      </c>
      <c r="T208" s="1">
        <f t="shared" si="25"/>
        <v>14276567.516782384</v>
      </c>
      <c r="U208" s="1"/>
      <c r="V208" s="1"/>
      <c r="W208" s="45"/>
    </row>
    <row r="209" spans="1:23" ht="21" customHeight="1">
      <c r="A209" s="45"/>
      <c r="B209" s="101" t="s">
        <v>230</v>
      </c>
      <c r="C209" s="101"/>
      <c r="D209" s="55"/>
      <c r="E209" s="2"/>
      <c r="F209" s="2"/>
      <c r="G209" s="2"/>
      <c r="H209" s="2"/>
      <c r="I209" s="35">
        <f t="shared" si="30"/>
        <v>0</v>
      </c>
      <c r="J209" s="56"/>
      <c r="K209" s="67"/>
      <c r="L209" s="67"/>
      <c r="M209" s="67"/>
      <c r="N209" s="67"/>
      <c r="O209" s="56">
        <f t="shared" si="23"/>
        <v>0</v>
      </c>
      <c r="P209" s="1">
        <f t="shared" si="24"/>
        <v>0</v>
      </c>
      <c r="Q209" s="1">
        <f t="shared" si="27"/>
        <v>0</v>
      </c>
      <c r="R209" s="1">
        <f t="shared" si="28"/>
        <v>0</v>
      </c>
      <c r="S209" s="1">
        <f t="shared" si="29"/>
        <v>0</v>
      </c>
      <c r="T209" s="1">
        <f t="shared" si="25"/>
        <v>0</v>
      </c>
      <c r="U209" s="1"/>
      <c r="V209" s="1"/>
      <c r="W209" s="45"/>
    </row>
    <row r="210" spans="1:23" ht="21" customHeight="1">
      <c r="A210" s="45"/>
      <c r="B210" s="90">
        <v>2907016373</v>
      </c>
      <c r="C210" s="83" t="s">
        <v>231</v>
      </c>
      <c r="D210" s="14" t="s">
        <v>232</v>
      </c>
      <c r="E210" s="2">
        <v>386.90199999999999</v>
      </c>
      <c r="F210" s="2">
        <f>564.842-E210</f>
        <v>177.94</v>
      </c>
      <c r="G210" s="2">
        <v>23.946999999999999</v>
      </c>
      <c r="H210" s="2">
        <f>432.51-G210</f>
        <v>408.56299999999999</v>
      </c>
      <c r="I210" s="35">
        <f t="shared" si="30"/>
        <v>997.35199999999998</v>
      </c>
      <c r="J210" s="56">
        <v>1088.3</v>
      </c>
      <c r="K210" s="49">
        <v>3743.1603333895155</v>
      </c>
      <c r="L210" s="49">
        <v>3743.1603333895155</v>
      </c>
      <c r="M210" s="49">
        <v>1624.91</v>
      </c>
      <c r="N210" s="49">
        <v>1685.0316699999998</v>
      </c>
      <c r="O210" s="56">
        <f t="shared" ref="O210:O237" si="31">K210-M210</f>
        <v>2118.2503333895156</v>
      </c>
      <c r="P210" s="1">
        <f t="shared" si="24"/>
        <v>819555.29048907035</v>
      </c>
      <c r="Q210" s="1">
        <f t="shared" si="27"/>
        <v>376921.46432333038</v>
      </c>
      <c r="R210" s="1">
        <f t="shared" si="28"/>
        <v>49286.007102188727</v>
      </c>
      <c r="S210" s="1">
        <f t="shared" si="29"/>
        <v>840875.22110041068</v>
      </c>
      <c r="T210" s="1">
        <f t="shared" si="25"/>
        <v>2086637.9830150001</v>
      </c>
      <c r="U210" s="1"/>
      <c r="V210" s="1"/>
      <c r="W210" s="45"/>
    </row>
    <row r="211" spans="1:23" ht="21" customHeight="1">
      <c r="A211" s="45"/>
      <c r="B211" s="90">
        <v>2907016373</v>
      </c>
      <c r="C211" s="83" t="s">
        <v>231</v>
      </c>
      <c r="D211" s="14" t="s">
        <v>233</v>
      </c>
      <c r="E211" s="2">
        <v>1343.6489999999999</v>
      </c>
      <c r="F211" s="2">
        <f>1900.436-E211</f>
        <v>556.78700000000003</v>
      </c>
      <c r="G211" s="2">
        <v>170.78</v>
      </c>
      <c r="H211" s="2">
        <v>1475.18</v>
      </c>
      <c r="I211" s="35">
        <f t="shared" si="30"/>
        <v>3546.3959999999997</v>
      </c>
      <c r="J211" s="56">
        <v>3970.9</v>
      </c>
      <c r="K211" s="49">
        <v>3743.1603333895155</v>
      </c>
      <c r="L211" s="49">
        <v>3743.1603333895155</v>
      </c>
      <c r="M211" s="49">
        <v>1611.23</v>
      </c>
      <c r="N211" s="49">
        <v>1670.8455099999999</v>
      </c>
      <c r="O211" s="56">
        <f t="shared" si="31"/>
        <v>2131.9303333895155</v>
      </c>
      <c r="P211" s="1">
        <f t="shared" si="24"/>
        <v>2864566.0605284888</v>
      </c>
      <c r="Q211" s="1">
        <f t="shared" si="27"/>
        <v>1187031.0945369483</v>
      </c>
      <c r="R211" s="1">
        <f t="shared" si="28"/>
        <v>353909.92553846142</v>
      </c>
      <c r="S211" s="1">
        <f t="shared" si="29"/>
        <v>3057037.3811677452</v>
      </c>
      <c r="T211" s="1">
        <f t="shared" si="25"/>
        <v>7462544.4617716437</v>
      </c>
      <c r="U211" s="1"/>
      <c r="V211" s="1"/>
      <c r="W211" s="45"/>
    </row>
    <row r="212" spans="1:23" ht="21" customHeight="1">
      <c r="A212" s="45"/>
      <c r="B212" s="90" t="s">
        <v>45</v>
      </c>
      <c r="C212" s="83" t="s">
        <v>234</v>
      </c>
      <c r="D212" s="14" t="s">
        <v>235</v>
      </c>
      <c r="E212" s="2">
        <v>81.180000000000007</v>
      </c>
      <c r="F212" s="2">
        <f>117.26-E212</f>
        <v>36.08</v>
      </c>
      <c r="G212" s="2">
        <v>13.98</v>
      </c>
      <c r="H212" s="2">
        <f>97.86</f>
        <v>97.86</v>
      </c>
      <c r="I212" s="35">
        <f t="shared" si="30"/>
        <v>229.10000000000002</v>
      </c>
      <c r="J212" s="56">
        <v>244.16</v>
      </c>
      <c r="K212" s="49">
        <v>2078.56</v>
      </c>
      <c r="L212" s="49">
        <v>2161.7024000000001</v>
      </c>
      <c r="M212" s="49">
        <v>1669.95</v>
      </c>
      <c r="N212" s="49">
        <v>1731.7381499999999</v>
      </c>
      <c r="O212" s="56">
        <f t="shared" si="31"/>
        <v>408.6099999999999</v>
      </c>
      <c r="P212" s="1">
        <f t="shared" si="24"/>
        <v>33170.959799999997</v>
      </c>
      <c r="Q212" s="1">
        <f t="shared" si="27"/>
        <v>14742.648799999995</v>
      </c>
      <c r="R212" s="1">
        <f t="shared" si="28"/>
        <v>6010.9002150000033</v>
      </c>
      <c r="S212" s="1">
        <f t="shared" si="29"/>
        <v>42076.301505000025</v>
      </c>
      <c r="T212" s="1">
        <f t="shared" si="25"/>
        <v>96000.810320000019</v>
      </c>
      <c r="U212" s="1"/>
      <c r="V212" s="1"/>
      <c r="W212" s="45"/>
    </row>
    <row r="213" spans="1:23" ht="21" customHeight="1">
      <c r="A213" s="45"/>
      <c r="B213" s="90" t="s">
        <v>260</v>
      </c>
      <c r="C213" s="83" t="s">
        <v>236</v>
      </c>
      <c r="D213" s="14" t="s">
        <v>237</v>
      </c>
      <c r="E213" s="2">
        <v>68.394000000000005</v>
      </c>
      <c r="F213" s="2">
        <f>98.546-E213</f>
        <v>30.152000000000001</v>
      </c>
      <c r="G213" s="2">
        <v>4.5599999999999996</v>
      </c>
      <c r="H213" s="2">
        <f>72.954-G213</f>
        <v>68.393999999999991</v>
      </c>
      <c r="I213" s="35">
        <f t="shared" si="30"/>
        <v>171.5</v>
      </c>
      <c r="J213" s="56">
        <v>173.3</v>
      </c>
      <c r="K213" s="49">
        <v>5678.26</v>
      </c>
      <c r="L213" s="49">
        <v>5905.3904000000002</v>
      </c>
      <c r="M213" s="49">
        <v>1457.43</v>
      </c>
      <c r="N213" s="49">
        <v>1511.35491</v>
      </c>
      <c r="O213" s="56">
        <f t="shared" si="31"/>
        <v>4220.83</v>
      </c>
      <c r="P213" s="1">
        <f t="shared" si="24"/>
        <v>288679.44702000002</v>
      </c>
      <c r="Q213" s="1">
        <f t="shared" si="27"/>
        <v>127266.46616</v>
      </c>
      <c r="R213" s="1">
        <f t="shared" si="28"/>
        <v>20036.801834399997</v>
      </c>
      <c r="S213" s="1">
        <f t="shared" si="29"/>
        <v>300525.66330305999</v>
      </c>
      <c r="T213" s="1">
        <f t="shared" si="25"/>
        <v>736508.37831745995</v>
      </c>
      <c r="U213" s="1"/>
      <c r="V213" s="1"/>
      <c r="W213" s="45"/>
    </row>
    <row r="214" spans="1:23" ht="21" customHeight="1">
      <c r="A214" s="45"/>
      <c r="B214" s="90">
        <v>2907016373</v>
      </c>
      <c r="C214" s="83" t="s">
        <v>231</v>
      </c>
      <c r="D214" s="14" t="s">
        <v>238</v>
      </c>
      <c r="E214" s="2">
        <v>107.289</v>
      </c>
      <c r="F214" s="2">
        <f>154.588-E214</f>
        <v>47.298999999999992</v>
      </c>
      <c r="G214" s="2">
        <v>7.415</v>
      </c>
      <c r="H214" s="2">
        <f>118.645-G214</f>
        <v>111.22999999999999</v>
      </c>
      <c r="I214" s="35">
        <f t="shared" si="30"/>
        <v>273.23299999999995</v>
      </c>
      <c r="J214" s="56">
        <v>385.8</v>
      </c>
      <c r="K214" s="49">
        <v>3743.1603333895155</v>
      </c>
      <c r="L214" s="49">
        <v>3743.1603333895155</v>
      </c>
      <c r="M214" s="49">
        <v>1802.77</v>
      </c>
      <c r="N214" s="49">
        <v>1869.4724899999999</v>
      </c>
      <c r="O214" s="56">
        <f t="shared" si="31"/>
        <v>1940.3903333895155</v>
      </c>
      <c r="P214" s="1">
        <f t="shared" si="24"/>
        <v>208182.53847902772</v>
      </c>
      <c r="Q214" s="1">
        <f t="shared" si="27"/>
        <v>91778.522378990674</v>
      </c>
      <c r="R214" s="1">
        <f t="shared" si="28"/>
        <v>13893.395358733258</v>
      </c>
      <c r="S214" s="1">
        <f t="shared" si="29"/>
        <v>208410.2988202158</v>
      </c>
      <c r="T214" s="1">
        <f t="shared" si="25"/>
        <v>522264.75503696746</v>
      </c>
      <c r="U214" s="1"/>
      <c r="V214" s="1"/>
      <c r="W214" s="45"/>
    </row>
    <row r="215" spans="1:23" ht="21" customHeight="1">
      <c r="A215" s="45"/>
      <c r="B215" s="90">
        <v>2907016373</v>
      </c>
      <c r="C215" s="83" t="s">
        <v>231</v>
      </c>
      <c r="D215" s="14" t="s">
        <v>239</v>
      </c>
      <c r="E215" s="2">
        <v>182.262</v>
      </c>
      <c r="F215" s="2">
        <f>190.857-E215</f>
        <v>8.5949999999999989</v>
      </c>
      <c r="G215" s="2">
        <v>12.292</v>
      </c>
      <c r="H215" s="2">
        <f>190.516-G215</f>
        <v>178.22399999999999</v>
      </c>
      <c r="I215" s="35">
        <f t="shared" si="30"/>
        <v>381.37299999999999</v>
      </c>
      <c r="J215" s="56">
        <v>618.9</v>
      </c>
      <c r="K215" s="49">
        <v>3743.1603333895155</v>
      </c>
      <c r="L215" s="49">
        <v>3743.1603333895155</v>
      </c>
      <c r="M215" s="49">
        <v>1294.23</v>
      </c>
      <c r="N215" s="49">
        <v>1342.1165099999998</v>
      </c>
      <c r="O215" s="56">
        <f t="shared" si="31"/>
        <v>2448.9303333895155</v>
      </c>
      <c r="P215" s="1">
        <f t="shared" si="24"/>
        <v>446346.94042423985</v>
      </c>
      <c r="Q215" s="1">
        <f t="shared" si="27"/>
        <v>21048.556215482884</v>
      </c>
      <c r="R215" s="1">
        <f t="shared" si="28"/>
        <v>29513.630677103927</v>
      </c>
      <c r="S215" s="1">
        <f t="shared" si="29"/>
        <v>427923.63437977299</v>
      </c>
      <c r="T215" s="1">
        <f t="shared" si="25"/>
        <v>924832.76169659966</v>
      </c>
      <c r="U215" s="1"/>
      <c r="V215" s="1"/>
      <c r="W215" s="45"/>
    </row>
    <row r="216" spans="1:23" ht="21" customHeight="1">
      <c r="A216" s="45"/>
      <c r="B216" s="90" t="s">
        <v>260</v>
      </c>
      <c r="C216" s="83" t="s">
        <v>236</v>
      </c>
      <c r="D216" s="14" t="s">
        <v>240</v>
      </c>
      <c r="E216" s="2">
        <v>289.19400000000002</v>
      </c>
      <c r="F216" s="2">
        <f>416.688-E216</f>
        <v>127.49399999999997</v>
      </c>
      <c r="G216" s="2">
        <v>18.370999999999999</v>
      </c>
      <c r="H216" s="2">
        <f>308.456-G216</f>
        <v>290.08500000000004</v>
      </c>
      <c r="I216" s="35">
        <f t="shared" si="30"/>
        <v>725.14400000000001</v>
      </c>
      <c r="J216" s="56">
        <v>614.4</v>
      </c>
      <c r="K216" s="49">
        <v>3743.1603333895155</v>
      </c>
      <c r="L216" s="49">
        <v>3743.1603333895155</v>
      </c>
      <c r="M216" s="49">
        <v>1716.44</v>
      </c>
      <c r="N216" s="49">
        <v>1779.9482799999998</v>
      </c>
      <c r="O216" s="56">
        <f t="shared" si="31"/>
        <v>2026.7203333895154</v>
      </c>
      <c r="P216" s="1">
        <f t="shared" si="24"/>
        <v>586115.3600942475</v>
      </c>
      <c r="Q216" s="1">
        <f t="shared" si="27"/>
        <v>258394.68218516282</v>
      </c>
      <c r="R216" s="1">
        <f t="shared" si="28"/>
        <v>36066.168632818786</v>
      </c>
      <c r="S216" s="1">
        <f t="shared" si="29"/>
        <v>569498.36850749771</v>
      </c>
      <c r="T216" s="1">
        <f t="shared" si="25"/>
        <v>1450074.5794197267</v>
      </c>
      <c r="U216" s="1"/>
      <c r="V216" s="1"/>
      <c r="W216" s="45"/>
    </row>
    <row r="217" spans="1:23" ht="21" customHeight="1">
      <c r="A217" s="45"/>
      <c r="B217" s="90" t="s">
        <v>261</v>
      </c>
      <c r="C217" s="83" t="s">
        <v>241</v>
      </c>
      <c r="D217" s="14" t="s">
        <v>242</v>
      </c>
      <c r="E217" s="2">
        <v>462.46499999999997</v>
      </c>
      <c r="F217" s="2">
        <f>666.347-E217</f>
        <v>203.88200000000001</v>
      </c>
      <c r="G217" s="2">
        <v>43.509</v>
      </c>
      <c r="H217" s="2">
        <v>494.46699999999998</v>
      </c>
      <c r="I217" s="35">
        <f t="shared" si="30"/>
        <v>1204.3229999999999</v>
      </c>
      <c r="J217" s="56">
        <v>1113</v>
      </c>
      <c r="K217" s="49">
        <v>2619.2800000000002</v>
      </c>
      <c r="L217" s="49">
        <v>2724.0512000000003</v>
      </c>
      <c r="M217" s="49">
        <v>1233.6300000000001</v>
      </c>
      <c r="N217" s="49">
        <v>1279.27431</v>
      </c>
      <c r="O217" s="56">
        <f t="shared" si="31"/>
        <v>1385.65</v>
      </c>
      <c r="P217" s="1">
        <f t="shared" si="24"/>
        <v>640814.62725000002</v>
      </c>
      <c r="Q217" s="1">
        <f t="shared" si="27"/>
        <v>282509.09330000001</v>
      </c>
      <c r="R217" s="1">
        <f t="shared" si="28"/>
        <v>62860.797707010017</v>
      </c>
      <c r="S217" s="1">
        <f t="shared" si="29"/>
        <v>714394.49446763017</v>
      </c>
      <c r="T217" s="1">
        <f t="shared" si="25"/>
        <v>1700579.0127246403</v>
      </c>
      <c r="U217" s="1"/>
      <c r="V217" s="1"/>
      <c r="W217" s="45"/>
    </row>
    <row r="218" spans="1:23" ht="21" customHeight="1">
      <c r="A218" s="45"/>
      <c r="B218" s="90">
        <v>2907016373</v>
      </c>
      <c r="C218" s="83" t="s">
        <v>231</v>
      </c>
      <c r="D218" s="14" t="s">
        <v>243</v>
      </c>
      <c r="E218" s="2">
        <v>825.476</v>
      </c>
      <c r="F218" s="2">
        <f>1190.596-E218</f>
        <v>365.12</v>
      </c>
      <c r="G218" s="2">
        <v>54.725999999999999</v>
      </c>
      <c r="H218" s="2">
        <f>884.125-G218</f>
        <v>829.399</v>
      </c>
      <c r="I218" s="35">
        <f t="shared" si="30"/>
        <v>2074.721</v>
      </c>
      <c r="J218" s="56">
        <v>2207.5300000000002</v>
      </c>
      <c r="K218" s="49">
        <v>3743.1603333895155</v>
      </c>
      <c r="L218" s="49">
        <v>3743.1603333895155</v>
      </c>
      <c r="M218" s="49">
        <v>1783.81</v>
      </c>
      <c r="N218" s="49">
        <v>1849.8109699999998</v>
      </c>
      <c r="O218" s="56">
        <f t="shared" si="31"/>
        <v>1959.3503333895155</v>
      </c>
      <c r="P218" s="1">
        <f t="shared" si="24"/>
        <v>1617396.6758050437</v>
      </c>
      <c r="Q218" s="1">
        <f t="shared" si="27"/>
        <v>715397.99372717994</v>
      </c>
      <c r="R218" s="1">
        <f t="shared" si="28"/>
        <v>103615.43726085464</v>
      </c>
      <c r="S218" s="1">
        <f t="shared" si="29"/>
        <v>1570342.068645901</v>
      </c>
      <c r="T218" s="1">
        <f t="shared" si="25"/>
        <v>4006752.1754389792</v>
      </c>
      <c r="U218" s="1"/>
      <c r="V218" s="1"/>
      <c r="W218" s="45"/>
    </row>
    <row r="219" spans="1:23" ht="21" customHeight="1">
      <c r="A219" s="45"/>
      <c r="B219" s="90" t="s">
        <v>44</v>
      </c>
      <c r="C219" s="83" t="s">
        <v>244</v>
      </c>
      <c r="D219" s="14" t="s">
        <v>245</v>
      </c>
      <c r="E219" s="2">
        <v>250.64099999999999</v>
      </c>
      <c r="F219" s="2">
        <f>373.176-E219</f>
        <v>122.535</v>
      </c>
      <c r="G219" s="2">
        <v>44.558999999999997</v>
      </c>
      <c r="H219" s="2">
        <f>295.2-G219</f>
        <v>250.64099999999999</v>
      </c>
      <c r="I219" s="35">
        <f t="shared" si="30"/>
        <v>668.37599999999998</v>
      </c>
      <c r="J219" s="56">
        <v>682.4</v>
      </c>
      <c r="K219" s="49">
        <v>2110.84</v>
      </c>
      <c r="L219" s="49">
        <v>2195.2736000000004</v>
      </c>
      <c r="M219" s="49">
        <v>1274.8800000000001</v>
      </c>
      <c r="N219" s="49">
        <v>1322.0505599999999</v>
      </c>
      <c r="O219" s="56">
        <f t="shared" si="31"/>
        <v>835.96</v>
      </c>
      <c r="P219" s="1">
        <f t="shared" si="24"/>
        <v>209525.85036000001</v>
      </c>
      <c r="Q219" s="1">
        <f t="shared" si="27"/>
        <v>102434.35860000001</v>
      </c>
      <c r="R219" s="1">
        <f t="shared" si="28"/>
        <v>38909.945439360024</v>
      </c>
      <c r="S219" s="1">
        <f t="shared" si="29"/>
        <v>218865.49596864011</v>
      </c>
      <c r="T219" s="1">
        <f t="shared" si="25"/>
        <v>569735.65036800015</v>
      </c>
      <c r="U219" s="1"/>
      <c r="V219" s="1"/>
      <c r="W219" s="45"/>
    </row>
    <row r="220" spans="1:23" ht="21" customHeight="1">
      <c r="A220" s="45"/>
      <c r="B220" s="90">
        <v>2907016373</v>
      </c>
      <c r="C220" s="83" t="s">
        <v>231</v>
      </c>
      <c r="D220" s="14" t="s">
        <v>246</v>
      </c>
      <c r="E220" s="2">
        <v>562.71699999999998</v>
      </c>
      <c r="F220" s="2">
        <f>811.883-E220</f>
        <v>249.16600000000005</v>
      </c>
      <c r="G220" s="2">
        <v>37.667999999999999</v>
      </c>
      <c r="H220" s="2">
        <f>602.685-G220</f>
        <v>565.01699999999994</v>
      </c>
      <c r="I220" s="35">
        <f t="shared" si="30"/>
        <v>1414.568</v>
      </c>
      <c r="J220" s="56">
        <v>1370.6</v>
      </c>
      <c r="K220" s="49">
        <v>3743.1603333895155</v>
      </c>
      <c r="L220" s="49">
        <v>3743.1603333895155</v>
      </c>
      <c r="M220" s="49">
        <v>1661.58</v>
      </c>
      <c r="N220" s="49">
        <v>1723.0584599999997</v>
      </c>
      <c r="O220" s="56">
        <f t="shared" si="31"/>
        <v>2081.5803333895155</v>
      </c>
      <c r="P220" s="1">
        <f t="shared" si="24"/>
        <v>1171340.640463948</v>
      </c>
      <c r="Q220" s="1">
        <f t="shared" si="27"/>
        <v>518659.04534933215</v>
      </c>
      <c r="R220" s="1">
        <f t="shared" si="28"/>
        <v>76093.197366836277</v>
      </c>
      <c r="S220" s="1">
        <f t="shared" si="29"/>
        <v>1141391.9001969239</v>
      </c>
      <c r="T220" s="1">
        <f t="shared" si="25"/>
        <v>2907484.7833770402</v>
      </c>
      <c r="U220" s="1"/>
      <c r="V220" s="1"/>
      <c r="W220" s="45"/>
    </row>
    <row r="221" spans="1:23" ht="21" customHeight="1">
      <c r="A221" s="45"/>
      <c r="B221" s="90">
        <v>2907016373</v>
      </c>
      <c r="C221" s="83" t="s">
        <v>231</v>
      </c>
      <c r="D221" s="14" t="s">
        <v>247</v>
      </c>
      <c r="E221" s="2">
        <v>125.459</v>
      </c>
      <c r="F221" s="2">
        <f>181.974-E221</f>
        <v>56.514999999999986</v>
      </c>
      <c r="G221" s="2">
        <v>13.56</v>
      </c>
      <c r="H221" s="2">
        <v>133.63</v>
      </c>
      <c r="I221" s="35">
        <f t="shared" si="30"/>
        <v>329.16399999999999</v>
      </c>
      <c r="J221" s="56">
        <v>350.46</v>
      </c>
      <c r="K221" s="49">
        <v>3743.1603333895155</v>
      </c>
      <c r="L221" s="49">
        <v>3743.1603333895155</v>
      </c>
      <c r="M221" s="49">
        <v>1937.48</v>
      </c>
      <c r="N221" s="49">
        <v>2009.1667599999998</v>
      </c>
      <c r="O221" s="56">
        <f t="shared" si="31"/>
        <v>1805.6803333895155</v>
      </c>
      <c r="P221" s="1">
        <f t="shared" si="24"/>
        <v>226538.84894671524</v>
      </c>
      <c r="Q221" s="1">
        <f t="shared" si="27"/>
        <v>102048.02404150844</v>
      </c>
      <c r="R221" s="1">
        <f t="shared" si="28"/>
        <v>23512.952855161831</v>
      </c>
      <c r="S221" s="1">
        <f t="shared" si="29"/>
        <v>231713.56121204098</v>
      </c>
      <c r="T221" s="1">
        <f t="shared" si="25"/>
        <v>583813.38705542649</v>
      </c>
      <c r="U221" s="1"/>
      <c r="V221" s="1"/>
      <c r="W221" s="45"/>
    </row>
    <row r="222" spans="1:23" ht="21" customHeight="1">
      <c r="A222" s="45"/>
      <c r="B222" s="90" t="s">
        <v>260</v>
      </c>
      <c r="C222" s="83" t="s">
        <v>236</v>
      </c>
      <c r="D222" s="14" t="s">
        <v>248</v>
      </c>
      <c r="E222" s="2">
        <v>680.85299999999995</v>
      </c>
      <c r="F222" s="2">
        <f>981.132-E222</f>
        <v>300.279</v>
      </c>
      <c r="G222" s="2">
        <v>45.875</v>
      </c>
      <c r="H222" s="2">
        <f>737.929-G222</f>
        <v>692.05399999999997</v>
      </c>
      <c r="I222" s="35">
        <f t="shared" si="30"/>
        <v>1719.0610000000001</v>
      </c>
      <c r="J222" s="56">
        <v>1892.4</v>
      </c>
      <c r="K222" s="49">
        <v>3743.1603333895155</v>
      </c>
      <c r="L222" s="49">
        <v>3743.1603333895155</v>
      </c>
      <c r="M222" s="49">
        <v>1531.49</v>
      </c>
      <c r="N222" s="49">
        <v>1588.1551299999999</v>
      </c>
      <c r="O222" s="56">
        <f t="shared" si="31"/>
        <v>2211.6703333895157</v>
      </c>
      <c r="P222" s="1">
        <f t="shared" si="24"/>
        <v>1505822.3814992518</v>
      </c>
      <c r="Q222" s="1">
        <f t="shared" si="27"/>
        <v>664118.15603987034</v>
      </c>
      <c r="R222" s="1">
        <f t="shared" si="28"/>
        <v>98860.863705494019</v>
      </c>
      <c r="S222" s="1">
        <f t="shared" si="29"/>
        <v>1491379.9710265277</v>
      </c>
      <c r="T222" s="1">
        <f t="shared" si="25"/>
        <v>3760181.3722711438</v>
      </c>
      <c r="U222" s="1"/>
      <c r="V222" s="1"/>
      <c r="W222" s="45"/>
    </row>
    <row r="223" spans="1:23" ht="21" customHeight="1">
      <c r="A223" s="45"/>
      <c r="B223" s="90" t="s">
        <v>2</v>
      </c>
      <c r="C223" s="83" t="s">
        <v>68</v>
      </c>
      <c r="D223" s="14" t="s">
        <v>249</v>
      </c>
      <c r="E223" s="2">
        <v>2406.0349999999999</v>
      </c>
      <c r="F223" s="2">
        <f>3096.807-E223</f>
        <v>690.77199999999993</v>
      </c>
      <c r="G223" s="2">
        <v>138.09</v>
      </c>
      <c r="H223" s="2">
        <f>1843.6-G223</f>
        <v>1705.51</v>
      </c>
      <c r="I223" s="35">
        <f t="shared" si="30"/>
        <v>4940.4070000000002</v>
      </c>
      <c r="J223" s="56">
        <v>5018.8999999999996</v>
      </c>
      <c r="K223" s="49">
        <v>2860.51</v>
      </c>
      <c r="L223" s="49">
        <v>3828.0918701820133</v>
      </c>
      <c r="M223" s="49">
        <v>1433.51</v>
      </c>
      <c r="N223" s="49">
        <v>1486.5498699999998</v>
      </c>
      <c r="O223" s="56">
        <f t="shared" si="31"/>
        <v>1427.0000000000002</v>
      </c>
      <c r="P223" s="1">
        <f t="shared" si="24"/>
        <v>3433411.9450000003</v>
      </c>
      <c r="Q223" s="1">
        <f t="shared" si="27"/>
        <v>985731.64400000009</v>
      </c>
      <c r="R223" s="1">
        <f t="shared" si="28"/>
        <v>323343.53480513423</v>
      </c>
      <c r="S223" s="1">
        <f t="shared" si="29"/>
        <v>3993523.2967304257</v>
      </c>
      <c r="T223" s="1">
        <f t="shared" si="25"/>
        <v>8736010.4205355607</v>
      </c>
      <c r="U223" s="1"/>
      <c r="V223" s="1"/>
      <c r="W223" s="45"/>
    </row>
    <row r="224" spans="1:23" ht="21" customHeight="1">
      <c r="A224" s="45"/>
      <c r="B224" s="31" t="s">
        <v>332</v>
      </c>
      <c r="C224" s="83" t="s">
        <v>370</v>
      </c>
      <c r="D224" s="14" t="s">
        <v>250</v>
      </c>
      <c r="E224" s="2">
        <v>5787.1480000000001</v>
      </c>
      <c r="F224" s="2">
        <f>7761.256-E224</f>
        <v>1974.1080000000002</v>
      </c>
      <c r="G224" s="2">
        <v>778.02</v>
      </c>
      <c r="H224" s="2">
        <v>4985.1000000000004</v>
      </c>
      <c r="I224" s="35">
        <f t="shared" si="30"/>
        <v>13524.376</v>
      </c>
      <c r="J224" s="56">
        <v>13098</v>
      </c>
      <c r="K224" s="49">
        <v>3709.08</v>
      </c>
      <c r="L224" s="49">
        <v>3857.4432000000002</v>
      </c>
      <c r="M224" s="49">
        <v>2122.15</v>
      </c>
      <c r="N224" s="49">
        <v>2200.6695500000001</v>
      </c>
      <c r="O224" s="56">
        <f t="shared" si="31"/>
        <v>1586.9299999999998</v>
      </c>
      <c r="P224" s="1">
        <f t="shared" si="24"/>
        <v>9183798.7756399997</v>
      </c>
      <c r="Q224" s="1">
        <f t="shared" si="27"/>
        <v>3132771.2084399997</v>
      </c>
      <c r="R224" s="1">
        <f t="shared" si="28"/>
        <v>1289003.0351730001</v>
      </c>
      <c r="S224" s="1">
        <f t="shared" si="29"/>
        <v>8259182.3226150014</v>
      </c>
      <c r="T224" s="1">
        <f t="shared" si="25"/>
        <v>21864755.341868002</v>
      </c>
      <c r="U224" s="1"/>
      <c r="V224" s="1"/>
      <c r="W224" s="45"/>
    </row>
    <row r="225" spans="1:23" ht="21" customHeight="1">
      <c r="A225" s="45"/>
      <c r="B225" s="90" t="s">
        <v>5</v>
      </c>
      <c r="C225" s="83" t="s">
        <v>251</v>
      </c>
      <c r="D225" s="14" t="s">
        <v>252</v>
      </c>
      <c r="E225" s="2">
        <v>158.44999999999999</v>
      </c>
      <c r="F225" s="2">
        <f>224.51-E225</f>
        <v>66.06</v>
      </c>
      <c r="G225" s="2">
        <v>6.57</v>
      </c>
      <c r="H225" s="2">
        <f>144.23-G225</f>
        <v>137.66</v>
      </c>
      <c r="I225" s="35">
        <f t="shared" si="30"/>
        <v>368.74</v>
      </c>
      <c r="J225" s="56">
        <v>368</v>
      </c>
      <c r="K225" s="49">
        <v>2337.9299999999998</v>
      </c>
      <c r="L225" s="49">
        <v>2431.4499999999998</v>
      </c>
      <c r="M225" s="49">
        <v>1661.96</v>
      </c>
      <c r="N225" s="49">
        <v>1723.45</v>
      </c>
      <c r="O225" s="56">
        <f t="shared" si="31"/>
        <v>675.9699999999998</v>
      </c>
      <c r="P225" s="1">
        <f t="shared" si="24"/>
        <v>107107.44649999996</v>
      </c>
      <c r="Q225" s="1">
        <f t="shared" si="27"/>
        <v>44654.578199999989</v>
      </c>
      <c r="R225" s="1">
        <f t="shared" si="28"/>
        <v>4651.5599999999986</v>
      </c>
      <c r="S225" s="1">
        <f t="shared" si="29"/>
        <v>97463.27999999997</v>
      </c>
      <c r="T225" s="1">
        <f t="shared" si="25"/>
        <v>253876.86469999992</v>
      </c>
      <c r="U225" s="1"/>
      <c r="V225" s="1"/>
      <c r="W225" s="45"/>
    </row>
    <row r="226" spans="1:23" ht="21" customHeight="1">
      <c r="A226" s="45"/>
      <c r="B226" s="90" t="s">
        <v>259</v>
      </c>
      <c r="C226" s="83" t="s">
        <v>68</v>
      </c>
      <c r="D226" s="14" t="s">
        <v>252</v>
      </c>
      <c r="E226" s="2">
        <v>25629.039000000001</v>
      </c>
      <c r="F226" s="2">
        <f>34741.357-E226</f>
        <v>9112.3180000000029</v>
      </c>
      <c r="G226" s="2">
        <v>1947.2529999999999</v>
      </c>
      <c r="H226" s="2">
        <f>20301.345-G226</f>
        <v>18354.092000000001</v>
      </c>
      <c r="I226" s="35">
        <f t="shared" si="30"/>
        <v>55042.702000000005</v>
      </c>
      <c r="J226" s="56">
        <v>60234.7</v>
      </c>
      <c r="K226" s="49">
        <v>3210.9564311656063</v>
      </c>
      <c r="L226" s="49">
        <v>3405.8478847802612</v>
      </c>
      <c r="M226" s="49">
        <v>1409.81</v>
      </c>
      <c r="N226" s="49">
        <v>1461.9729699999998</v>
      </c>
      <c r="O226" s="56">
        <f t="shared" si="31"/>
        <v>1801.1464311656064</v>
      </c>
      <c r="P226" s="1">
        <f t="shared" si="24"/>
        <v>46161652.129054144</v>
      </c>
      <c r="Q226" s="1">
        <f t="shared" si="27"/>
        <v>16412619.04534612</v>
      </c>
      <c r="R226" s="1">
        <f t="shared" si="28"/>
        <v>3785216.2594306082</v>
      </c>
      <c r="S226" s="1">
        <f t="shared" si="29"/>
        <v>35678059.022369079</v>
      </c>
      <c r="T226" s="1">
        <f t="shared" si="25"/>
        <v>102037546.45619994</v>
      </c>
      <c r="U226" s="1"/>
      <c r="V226" s="1"/>
      <c r="W226" s="45"/>
    </row>
    <row r="227" spans="1:23" ht="21" customHeight="1">
      <c r="A227" s="45"/>
      <c r="B227" s="90">
        <v>2907016373</v>
      </c>
      <c r="C227" s="83" t="s">
        <v>231</v>
      </c>
      <c r="D227" s="14" t="s">
        <v>253</v>
      </c>
      <c r="E227" s="2">
        <v>232.71600000000001</v>
      </c>
      <c r="F227" s="2">
        <f>335.311-E227</f>
        <v>102.59499999999997</v>
      </c>
      <c r="G227" s="2">
        <v>15.513999999999999</v>
      </c>
      <c r="H227" s="2">
        <f>248.232-G227</f>
        <v>232.71799999999999</v>
      </c>
      <c r="I227" s="35">
        <f t="shared" si="30"/>
        <v>583.54300000000001</v>
      </c>
      <c r="J227" s="56">
        <v>461.4</v>
      </c>
      <c r="K227" s="49">
        <v>3743.1603333895155</v>
      </c>
      <c r="L227" s="49">
        <v>3743.1603333895155</v>
      </c>
      <c r="M227" s="49">
        <v>1661.42</v>
      </c>
      <c r="N227" s="49">
        <v>1722.8925400000001</v>
      </c>
      <c r="O227" s="56">
        <f t="shared" si="31"/>
        <v>2081.7403333895154</v>
      </c>
      <c r="P227" s="1">
        <f t="shared" si="24"/>
        <v>484454.28342507448</v>
      </c>
      <c r="Q227" s="1">
        <f t="shared" si="27"/>
        <v>213576.14950409727</v>
      </c>
      <c r="R227" s="1">
        <f t="shared" si="28"/>
        <v>31342.434546644941</v>
      </c>
      <c r="S227" s="1">
        <f t="shared" si="29"/>
        <v>470152.68034202122</v>
      </c>
      <c r="T227" s="1">
        <f t="shared" si="25"/>
        <v>1199525.5478178379</v>
      </c>
      <c r="U227" s="1"/>
      <c r="V227" s="1"/>
      <c r="W227" s="45"/>
    </row>
    <row r="228" spans="1:23" ht="21" customHeight="1">
      <c r="A228" s="45"/>
      <c r="B228" s="90">
        <v>2907016373</v>
      </c>
      <c r="C228" s="83" t="s">
        <v>231</v>
      </c>
      <c r="D228" s="14" t="s">
        <v>254</v>
      </c>
      <c r="E228" s="2">
        <v>176.477</v>
      </c>
      <c r="F228" s="2">
        <f>255.059-E228</f>
        <v>78.581999999999994</v>
      </c>
      <c r="G228" s="2">
        <v>11.765000000000001</v>
      </c>
      <c r="H228" s="2">
        <f>171.403-G228</f>
        <v>159.63799999999998</v>
      </c>
      <c r="I228" s="35">
        <f t="shared" si="30"/>
        <v>426.46199999999999</v>
      </c>
      <c r="J228" s="56">
        <v>377.6</v>
      </c>
      <c r="K228" s="49">
        <v>3743.1603333895155</v>
      </c>
      <c r="L228" s="49">
        <v>3743.1603333895155</v>
      </c>
      <c r="M228" s="49">
        <v>1356.92</v>
      </c>
      <c r="N228" s="49">
        <v>1407.1260399999999</v>
      </c>
      <c r="O228" s="56">
        <f t="shared" si="31"/>
        <v>2386.2403333895154</v>
      </c>
      <c r="P228" s="1">
        <f t="shared" si="24"/>
        <v>421116.53531558154</v>
      </c>
      <c r="Q228" s="1">
        <f t="shared" si="27"/>
        <v>187515.53787841488</v>
      </c>
      <c r="R228" s="1">
        <f t="shared" si="28"/>
        <v>27483.443461727649</v>
      </c>
      <c r="S228" s="1">
        <f t="shared" si="29"/>
        <v>372919.84252811538</v>
      </c>
      <c r="T228" s="1">
        <f t="shared" si="25"/>
        <v>1009035.3591838395</v>
      </c>
      <c r="U228" s="1"/>
      <c r="V228" s="1"/>
      <c r="W228" s="45"/>
    </row>
    <row r="229" spans="1:23" ht="21" customHeight="1">
      <c r="A229" s="45"/>
      <c r="B229" s="90" t="s">
        <v>258</v>
      </c>
      <c r="C229" s="83" t="s">
        <v>255</v>
      </c>
      <c r="D229" s="14" t="s">
        <v>252</v>
      </c>
      <c r="E229" s="2">
        <v>320.81</v>
      </c>
      <c r="F229" s="2">
        <f>433.188-E229</f>
        <v>112.37799999999999</v>
      </c>
      <c r="G229" s="2">
        <v>3.8319999999999999</v>
      </c>
      <c r="H229" s="2">
        <f>226.567-G229</f>
        <v>222.73500000000001</v>
      </c>
      <c r="I229" s="35">
        <f t="shared" si="30"/>
        <v>659.755</v>
      </c>
      <c r="J229" s="56">
        <v>670</v>
      </c>
      <c r="K229" s="49">
        <v>2734.96</v>
      </c>
      <c r="L229" s="49">
        <v>2844.3584000000001</v>
      </c>
      <c r="M229" s="49">
        <v>1661.96</v>
      </c>
      <c r="N229" s="49">
        <v>1723.4525199999998</v>
      </c>
      <c r="O229" s="56">
        <f t="shared" si="31"/>
        <v>1073</v>
      </c>
      <c r="P229" s="1">
        <f t="shared" si="24"/>
        <v>344229.13</v>
      </c>
      <c r="Q229" s="1">
        <f t="shared" si="27"/>
        <v>120581.59399999998</v>
      </c>
      <c r="R229" s="1">
        <f t="shared" si="28"/>
        <v>4295.3113321600003</v>
      </c>
      <c r="S229" s="1">
        <f t="shared" si="29"/>
        <v>249664.97118180007</v>
      </c>
      <c r="T229" s="1">
        <f t="shared" si="25"/>
        <v>718771.00651396008</v>
      </c>
      <c r="U229" s="1"/>
      <c r="V229" s="1"/>
      <c r="W229" s="45"/>
    </row>
    <row r="230" spans="1:23" ht="21" customHeight="1">
      <c r="A230" s="45"/>
      <c r="B230" s="90">
        <v>2907017610</v>
      </c>
      <c r="C230" s="83" t="s">
        <v>384</v>
      </c>
      <c r="D230" s="14" t="s">
        <v>252</v>
      </c>
      <c r="E230" s="2">
        <v>441.74</v>
      </c>
      <c r="F230" s="2">
        <f>649.76-E230</f>
        <v>208.01999999999998</v>
      </c>
      <c r="G230" s="2">
        <v>55</v>
      </c>
      <c r="H230" s="2">
        <v>390</v>
      </c>
      <c r="I230" s="35">
        <f t="shared" si="30"/>
        <v>1094.76</v>
      </c>
      <c r="J230" s="56">
        <v>1055</v>
      </c>
      <c r="K230" s="49">
        <v>2363.6</v>
      </c>
      <c r="L230" s="49">
        <v>2458.1439999999998</v>
      </c>
      <c r="M230" s="49">
        <v>1663.57</v>
      </c>
      <c r="N230" s="49">
        <v>1725.1220899999998</v>
      </c>
      <c r="O230" s="56"/>
      <c r="P230" s="1">
        <f t="shared" ref="P230:P239" si="32">(K230-M230)*E230</f>
        <v>309231.25219999999</v>
      </c>
      <c r="Q230" s="1">
        <f t="shared" si="27"/>
        <v>145620.24059999999</v>
      </c>
      <c r="R230" s="1">
        <f t="shared" si="28"/>
        <v>40316.205049999997</v>
      </c>
      <c r="S230" s="1">
        <f t="shared" si="29"/>
        <v>285878.54489999998</v>
      </c>
      <c r="T230" s="1">
        <f t="shared" si="25"/>
        <v>781046.24274999998</v>
      </c>
      <c r="U230" s="1"/>
      <c r="V230" s="1"/>
      <c r="W230" s="45"/>
    </row>
    <row r="231" spans="1:23" ht="21" customHeight="1">
      <c r="A231" s="45"/>
      <c r="B231" s="90" t="s">
        <v>257</v>
      </c>
      <c r="C231" s="83" t="s">
        <v>256</v>
      </c>
      <c r="D231" s="14" t="s">
        <v>250</v>
      </c>
      <c r="E231" s="2">
        <v>81.459000000000003</v>
      </c>
      <c r="F231" s="2">
        <f>1148.283-E231</f>
        <v>1066.8239999999998</v>
      </c>
      <c r="G231" s="2">
        <v>106.55</v>
      </c>
      <c r="H231" s="2">
        <f>818.48-G231</f>
        <v>711.93000000000006</v>
      </c>
      <c r="I231" s="35">
        <f t="shared" si="30"/>
        <v>1966.7629999999999</v>
      </c>
      <c r="J231" s="56">
        <v>2328.6</v>
      </c>
      <c r="K231" s="49">
        <v>5223.03</v>
      </c>
      <c r="L231" s="49">
        <v>5431.9511999999995</v>
      </c>
      <c r="M231" s="49">
        <v>2097.83</v>
      </c>
      <c r="N231" s="49">
        <v>2175.4497099999999</v>
      </c>
      <c r="O231" s="56">
        <f t="shared" si="31"/>
        <v>3125.2</v>
      </c>
      <c r="P231" s="1">
        <f t="shared" si="32"/>
        <v>254575.66680000001</v>
      </c>
      <c r="Q231" s="1">
        <f t="shared" si="27"/>
        <v>3334038.3647999992</v>
      </c>
      <c r="R231" s="1">
        <f t="shared" si="28"/>
        <v>346980.23375949997</v>
      </c>
      <c r="S231" s="1">
        <f t="shared" si="29"/>
        <v>2318401.1057757</v>
      </c>
      <c r="T231" s="1">
        <f t="shared" si="25"/>
        <v>6253995.3711351994</v>
      </c>
      <c r="U231" s="1"/>
      <c r="V231" s="1"/>
      <c r="W231" s="45"/>
    </row>
    <row r="232" spans="1:23" ht="26.25" customHeight="1">
      <c r="A232" s="45" t="s">
        <v>337</v>
      </c>
      <c r="B232" s="90" t="s">
        <v>350</v>
      </c>
      <c r="C232" s="83" t="s">
        <v>349</v>
      </c>
      <c r="D232" s="14" t="s">
        <v>249</v>
      </c>
      <c r="E232" s="2">
        <f>45.1773333333333*0.6</f>
        <v>27.106399999999979</v>
      </c>
      <c r="F232" s="2">
        <f>45.1773333333333*0.4</f>
        <v>18.070933333333322</v>
      </c>
      <c r="G232" s="2">
        <f>45.906*0.2</f>
        <v>9.1812000000000005</v>
      </c>
      <c r="H232" s="2">
        <f>45.906*0.8</f>
        <v>36.724800000000002</v>
      </c>
      <c r="I232" s="35">
        <f t="shared" si="30"/>
        <v>91.0833333333333</v>
      </c>
      <c r="J232" s="56">
        <v>91.1</v>
      </c>
      <c r="K232" s="49">
        <v>3030.58</v>
      </c>
      <c r="L232" s="49">
        <v>3151.8031999999998</v>
      </c>
      <c r="M232" s="49">
        <v>1678.09</v>
      </c>
      <c r="N232" s="49">
        <v>1740.1793299999997</v>
      </c>
      <c r="O232" s="56">
        <f t="shared" si="31"/>
        <v>1352.49</v>
      </c>
      <c r="P232" s="1">
        <f t="shared" si="32"/>
        <v>36661.134935999973</v>
      </c>
      <c r="Q232" s="1">
        <f t="shared" si="27"/>
        <v>24440.756623999983</v>
      </c>
      <c r="R232" s="1">
        <f t="shared" si="28"/>
        <v>12960.401075244003</v>
      </c>
      <c r="S232" s="1">
        <f t="shared" si="29"/>
        <v>51841.604300976011</v>
      </c>
      <c r="T232" s="1">
        <f t="shared" si="25"/>
        <v>125903.89693621997</v>
      </c>
      <c r="U232" s="1"/>
      <c r="V232" s="1"/>
      <c r="W232" s="45"/>
    </row>
    <row r="233" spans="1:23" ht="21" customHeight="1">
      <c r="A233" s="45"/>
      <c r="B233" s="101" t="s">
        <v>340</v>
      </c>
      <c r="C233" s="101"/>
      <c r="D233" s="14"/>
      <c r="E233" s="2"/>
      <c r="F233" s="2"/>
      <c r="G233" s="2"/>
      <c r="H233" s="2"/>
      <c r="I233" s="35">
        <f t="shared" si="30"/>
        <v>0</v>
      </c>
      <c r="J233" s="56"/>
      <c r="K233" s="49"/>
      <c r="L233" s="49"/>
      <c r="M233" s="49"/>
      <c r="N233" s="49"/>
      <c r="O233" s="56">
        <f t="shared" si="31"/>
        <v>0</v>
      </c>
      <c r="P233" s="1">
        <f t="shared" si="32"/>
        <v>0</v>
      </c>
      <c r="Q233" s="1">
        <f t="shared" si="27"/>
        <v>0</v>
      </c>
      <c r="R233" s="1">
        <f t="shared" si="28"/>
        <v>0</v>
      </c>
      <c r="S233" s="1">
        <f t="shared" si="29"/>
        <v>0</v>
      </c>
      <c r="T233" s="1">
        <f t="shared" si="25"/>
        <v>0</v>
      </c>
      <c r="U233" s="1"/>
      <c r="V233" s="1"/>
      <c r="W233" s="45"/>
    </row>
    <row r="234" spans="1:23" ht="21" customHeight="1">
      <c r="A234" s="45" t="s">
        <v>337</v>
      </c>
      <c r="B234" s="90">
        <v>7729314745</v>
      </c>
      <c r="C234" s="83" t="s">
        <v>341</v>
      </c>
      <c r="D234" s="14"/>
      <c r="E234" s="35">
        <f>523.721*0.6</f>
        <v>314.23259999999999</v>
      </c>
      <c r="F234" s="35">
        <f>523.721*0.4</f>
        <v>209.48840000000001</v>
      </c>
      <c r="G234" s="35">
        <f>428.499*0.2</f>
        <v>85.69980000000001</v>
      </c>
      <c r="H234" s="35">
        <f>428.499*0.8</f>
        <v>342.79920000000004</v>
      </c>
      <c r="I234" s="35">
        <f t="shared" si="30"/>
        <v>952.22</v>
      </c>
      <c r="J234" s="56">
        <v>952.22</v>
      </c>
      <c r="K234" s="49">
        <v>7276.05</v>
      </c>
      <c r="L234" s="49">
        <v>7567.0920000000006</v>
      </c>
      <c r="M234" s="49">
        <v>1533.62</v>
      </c>
      <c r="N234" s="49">
        <v>1590.3639399999997</v>
      </c>
      <c r="O234" s="56">
        <f t="shared" si="31"/>
        <v>5742.43</v>
      </c>
      <c r="P234" s="1">
        <f t="shared" si="32"/>
        <v>1804458.7092180001</v>
      </c>
      <c r="Q234" s="1">
        <f t="shared" si="27"/>
        <v>1202972.4728120002</v>
      </c>
      <c r="R234" s="1">
        <f t="shared" si="28"/>
        <v>512204.39939638815</v>
      </c>
      <c r="S234" s="1">
        <f t="shared" si="29"/>
        <v>2048817.5975855526</v>
      </c>
      <c r="T234" s="1">
        <f t="shared" si="25"/>
        <v>5568453.179011941</v>
      </c>
      <c r="U234" s="1"/>
      <c r="V234" s="1"/>
      <c r="W234" s="45"/>
    </row>
    <row r="235" spans="1:23" ht="21" customHeight="1">
      <c r="A235" s="45"/>
      <c r="B235" s="90">
        <v>7606053324</v>
      </c>
      <c r="C235" s="18" t="s">
        <v>411</v>
      </c>
      <c r="D235" s="14"/>
      <c r="E235" s="62">
        <v>682524.34057667619</v>
      </c>
      <c r="F235" s="62">
        <v>367673.97361413721</v>
      </c>
      <c r="G235" s="35">
        <v>153873.79866323207</v>
      </c>
      <c r="H235" s="35">
        <v>592188.67380904942</v>
      </c>
      <c r="I235" s="35">
        <f t="shared" si="30"/>
        <v>1796260.7866630948</v>
      </c>
      <c r="J235" s="56">
        <v>1796260.786663095</v>
      </c>
      <c r="K235" s="49">
        <v>1634.05</v>
      </c>
      <c r="L235" s="49">
        <v>1634.05</v>
      </c>
      <c r="M235" s="49">
        <v>1476.1</v>
      </c>
      <c r="N235" s="49">
        <v>1530.7156999999997</v>
      </c>
      <c r="O235" s="56"/>
      <c r="P235" s="1">
        <f t="shared" si="32"/>
        <v>107804719.59408604</v>
      </c>
      <c r="Q235" s="1">
        <f t="shared" si="27"/>
        <v>58074104.132352993</v>
      </c>
      <c r="R235" s="1">
        <f t="shared" si="28"/>
        <v>15900441.273206053</v>
      </c>
      <c r="S235" s="1">
        <f t="shared" si="29"/>
        <v>61193402.075986579</v>
      </c>
      <c r="T235" s="1">
        <f t="shared" si="25"/>
        <v>242972667.07563168</v>
      </c>
      <c r="U235" s="1"/>
      <c r="V235" s="1"/>
      <c r="W235" s="45"/>
    </row>
    <row r="236" spans="1:23" ht="21" customHeight="1">
      <c r="A236" s="45"/>
      <c r="B236" s="101" t="s">
        <v>343</v>
      </c>
      <c r="C236" s="101"/>
      <c r="D236" s="14"/>
      <c r="E236" s="2"/>
      <c r="F236" s="2"/>
      <c r="G236" s="2"/>
      <c r="H236" s="2"/>
      <c r="I236" s="35">
        <f t="shared" si="30"/>
        <v>0</v>
      </c>
      <c r="J236" s="56"/>
      <c r="K236" s="49"/>
      <c r="L236" s="49"/>
      <c r="M236" s="49"/>
      <c r="N236" s="49"/>
      <c r="O236" s="56">
        <f t="shared" si="31"/>
        <v>0</v>
      </c>
      <c r="P236" s="1">
        <f t="shared" si="32"/>
        <v>0</v>
      </c>
      <c r="Q236" s="1">
        <f t="shared" si="27"/>
        <v>0</v>
      </c>
      <c r="R236" s="1">
        <f t="shared" si="28"/>
        <v>0</v>
      </c>
      <c r="S236" s="1">
        <f t="shared" si="29"/>
        <v>0</v>
      </c>
      <c r="T236" s="1">
        <f t="shared" si="25"/>
        <v>0</v>
      </c>
      <c r="U236" s="1"/>
      <c r="V236" s="1"/>
      <c r="W236" s="45"/>
    </row>
    <row r="237" spans="1:23" ht="21" customHeight="1">
      <c r="A237" s="45" t="s">
        <v>337</v>
      </c>
      <c r="B237" s="90">
        <v>7729314745</v>
      </c>
      <c r="C237" s="83" t="s">
        <v>341</v>
      </c>
      <c r="D237" s="14"/>
      <c r="E237" s="35">
        <f>8464.885*0.6</f>
        <v>5078.9309999999996</v>
      </c>
      <c r="F237" s="35">
        <f>8464.885*0.4</f>
        <v>3385.9540000000002</v>
      </c>
      <c r="G237" s="35">
        <f>6925.815*0.2</f>
        <v>1385.163</v>
      </c>
      <c r="H237" s="35">
        <f>6925.815*0.8</f>
        <v>5540.652</v>
      </c>
      <c r="I237" s="35">
        <f t="shared" si="30"/>
        <v>15390.7</v>
      </c>
      <c r="J237" s="56">
        <v>15390.7</v>
      </c>
      <c r="K237" s="49">
        <v>6821.05</v>
      </c>
      <c r="L237" s="49">
        <v>7093.8920000000007</v>
      </c>
      <c r="M237" s="49">
        <v>1993.79</v>
      </c>
      <c r="N237" s="49">
        <v>2067.5602299999996</v>
      </c>
      <c r="O237" s="56">
        <f t="shared" si="31"/>
        <v>4827.26</v>
      </c>
      <c r="P237" s="1">
        <f t="shared" si="32"/>
        <v>24517320.459059998</v>
      </c>
      <c r="Q237" s="1">
        <f t="shared" si="27"/>
        <v>16344880.306040002</v>
      </c>
      <c r="R237" s="1">
        <f t="shared" si="28"/>
        <v>6962288.7935285112</v>
      </c>
      <c r="S237" s="1">
        <f t="shared" si="29"/>
        <v>27849155.174114045</v>
      </c>
      <c r="T237" s="1">
        <f t="shared" si="25"/>
        <v>75673644.732742563</v>
      </c>
      <c r="U237" s="1"/>
      <c r="V237" s="1"/>
      <c r="W237" s="45"/>
    </row>
    <row r="238" spans="1:23" ht="21" customHeight="1">
      <c r="A238" s="45"/>
      <c r="B238" s="101" t="s">
        <v>428</v>
      </c>
      <c r="C238" s="101"/>
      <c r="D238" s="14"/>
      <c r="E238" s="2"/>
      <c r="F238" s="2"/>
      <c r="G238" s="2"/>
      <c r="H238" s="2"/>
      <c r="I238" s="35">
        <f t="shared" si="30"/>
        <v>0</v>
      </c>
      <c r="J238" s="56"/>
      <c r="K238" s="49"/>
      <c r="L238" s="49"/>
      <c r="M238" s="49"/>
      <c r="N238" s="49"/>
      <c r="O238" s="56"/>
      <c r="P238" s="1">
        <f t="shared" si="32"/>
        <v>0</v>
      </c>
      <c r="Q238" s="1">
        <f t="shared" si="27"/>
        <v>0</v>
      </c>
      <c r="R238" s="1">
        <f t="shared" si="28"/>
        <v>0</v>
      </c>
      <c r="S238" s="1">
        <f t="shared" si="29"/>
        <v>0</v>
      </c>
      <c r="T238" s="1">
        <f t="shared" ref="T238:T239" si="33">SUM(P238:S238)</f>
        <v>0</v>
      </c>
      <c r="U238" s="1"/>
      <c r="V238" s="1"/>
      <c r="W238" s="45"/>
    </row>
    <row r="239" spans="1:23" ht="21" customHeight="1">
      <c r="A239" s="45"/>
      <c r="B239" s="90">
        <v>2903011092</v>
      </c>
      <c r="C239" s="18" t="s">
        <v>429</v>
      </c>
      <c r="D239" s="14"/>
      <c r="E239" s="35">
        <v>72437.160999999993</v>
      </c>
      <c r="F239" s="35">
        <v>45103.659</v>
      </c>
      <c r="G239" s="35">
        <v>21721.248</v>
      </c>
      <c r="H239" s="35">
        <v>75527.932000000001</v>
      </c>
      <c r="I239" s="35">
        <f t="shared" si="30"/>
        <v>214790</v>
      </c>
      <c r="J239" s="35">
        <v>214790</v>
      </c>
      <c r="K239" s="49">
        <v>1260.82</v>
      </c>
      <c r="L239" s="49">
        <v>1520.36</v>
      </c>
      <c r="M239" s="49">
        <v>1260.82</v>
      </c>
      <c r="N239" s="49">
        <v>1307.4703399999999</v>
      </c>
      <c r="O239" s="56"/>
      <c r="P239" s="1">
        <f t="shared" si="32"/>
        <v>0</v>
      </c>
      <c r="Q239" s="1">
        <f>(K239-M239)*F239</f>
        <v>0</v>
      </c>
      <c r="R239" s="1">
        <f t="shared" si="28"/>
        <v>4624229.1014956813</v>
      </c>
      <c r="S239" s="1">
        <f t="shared" si="29"/>
        <v>16079115.763983123</v>
      </c>
      <c r="T239" s="1">
        <f t="shared" si="33"/>
        <v>20703344.865478806</v>
      </c>
      <c r="U239" s="1"/>
      <c r="V239" s="1"/>
      <c r="W239" s="45"/>
    </row>
    <row r="240" spans="1:23" s="79" customFormat="1" ht="21" customHeight="1">
      <c r="A240" s="78"/>
      <c r="B240" s="102" t="s">
        <v>47</v>
      </c>
      <c r="C240" s="102"/>
      <c r="D240" s="22"/>
      <c r="E240" s="36">
        <f>SUM(E9:E239)</f>
        <v>1609099.4433004302</v>
      </c>
      <c r="F240" s="36">
        <f>SUM(F9:F239)</f>
        <v>840790.09339330671</v>
      </c>
      <c r="G240" s="36">
        <f>SUM(G9:G239)</f>
        <v>335589.16876477428</v>
      </c>
      <c r="H240" s="36">
        <f t="shared" ref="H240" si="34">SUM(H9:H239)</f>
        <v>1410075.8808759165</v>
      </c>
      <c r="I240" s="36">
        <f>SUM(I9:I239)</f>
        <v>4195554.5863344278</v>
      </c>
      <c r="J240" s="36">
        <f>SUM(J9:J239)</f>
        <v>4240152.4012110783</v>
      </c>
      <c r="K240" s="23"/>
      <c r="L240" s="23"/>
      <c r="M240" s="23"/>
      <c r="N240" s="23"/>
      <c r="O240" s="23"/>
      <c r="P240" s="23">
        <f>SUM(P9:P239)</f>
        <v>1062659571.2177002</v>
      </c>
      <c r="Q240" s="23">
        <f t="shared" ref="Q240:S240" si="35">SUM(Q9:Q239)</f>
        <v>548756972.68091285</v>
      </c>
      <c r="R240" s="23">
        <f t="shared" si="35"/>
        <v>203883454.82056043</v>
      </c>
      <c r="S240" s="23">
        <f t="shared" si="35"/>
        <v>1031600314.954533</v>
      </c>
      <c r="T240" s="23">
        <f>SUM(T9:T239)</f>
        <v>2846900313.673707</v>
      </c>
      <c r="U240" s="23">
        <v>318447225.10000002</v>
      </c>
      <c r="V240" s="23">
        <f>S240*0.36</f>
        <v>371376113.38363189</v>
      </c>
      <c r="W240" s="23">
        <f>T240+U240-V240</f>
        <v>2793971425.3900752</v>
      </c>
    </row>
    <row r="241" spans="1:23" s="79" customFormat="1" ht="21" customHeight="1">
      <c r="A241" s="80"/>
      <c r="B241" s="91"/>
      <c r="C241" s="26"/>
      <c r="D241" s="27"/>
      <c r="E241" s="28"/>
      <c r="F241" s="28"/>
      <c r="G241" s="28"/>
      <c r="H241" s="28"/>
      <c r="I241" s="28"/>
      <c r="J241" s="28"/>
      <c r="K241" s="28"/>
      <c r="L241" s="28"/>
      <c r="M241" s="28"/>
      <c r="N241" s="28"/>
      <c r="O241" s="28"/>
      <c r="P241" s="28"/>
      <c r="Q241" s="28"/>
      <c r="R241" s="28"/>
      <c r="S241" s="28"/>
      <c r="T241" s="28"/>
      <c r="U241" s="28"/>
      <c r="V241" s="28"/>
      <c r="W241" s="28"/>
    </row>
  </sheetData>
  <mergeCells count="40">
    <mergeCell ref="A5:A6"/>
    <mergeCell ref="B8:D8"/>
    <mergeCell ref="B15:D15"/>
    <mergeCell ref="B25:D25"/>
    <mergeCell ref="B155:D155"/>
    <mergeCell ref="B161:D161"/>
    <mergeCell ref="B175:D175"/>
    <mergeCell ref="B43:D43"/>
    <mergeCell ref="B108:D108"/>
    <mergeCell ref="B127:D127"/>
    <mergeCell ref="B71:D71"/>
    <mergeCell ref="B75:D75"/>
    <mergeCell ref="B82:D82"/>
    <mergeCell ref="B84:D84"/>
    <mergeCell ref="B87:D87"/>
    <mergeCell ref="E5:I5"/>
    <mergeCell ref="B90:D90"/>
    <mergeCell ref="B96:D96"/>
    <mergeCell ref="B33:D33"/>
    <mergeCell ref="B68:D68"/>
    <mergeCell ref="P5:T5"/>
    <mergeCell ref="U5:U6"/>
    <mergeCell ref="W5:W6"/>
    <mergeCell ref="V5:V6"/>
    <mergeCell ref="J51:J52"/>
    <mergeCell ref="E3:K3"/>
    <mergeCell ref="B194:D194"/>
    <mergeCell ref="B240:C240"/>
    <mergeCell ref="B202:D202"/>
    <mergeCell ref="B209:C209"/>
    <mergeCell ref="B233:C233"/>
    <mergeCell ref="B236:C236"/>
    <mergeCell ref="B238:C238"/>
    <mergeCell ref="K5:L5"/>
    <mergeCell ref="M5:N5"/>
    <mergeCell ref="J101:J103"/>
    <mergeCell ref="B55:D55"/>
    <mergeCell ref="B5:B6"/>
    <mergeCell ref="C5:C6"/>
    <mergeCell ref="D5:D6"/>
  </mergeCells>
  <pageMargins left="0.27559055118110237" right="0.19685039370078741" top="0.74803149606299213" bottom="0.47244094488188981" header="0.31496062992125984" footer="0.23622047244094491"/>
  <pageSetup paperSize="9" scale="63" fitToHeight="0" orientation="landscape" r:id="rId1"/>
  <headerFooter>
    <oddFooter>&amp;C&amp;P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GE242"/>
  <sheetViews>
    <sheetView topLeftCell="B1" zoomScale="90" zoomScaleNormal="90" workbookViewId="0">
      <pane xSplit="3" ySplit="7" topLeftCell="E8" activePane="bottomRight" state="frozen"/>
      <selection activeCell="B1" sqref="B1"/>
      <selection pane="topRight" activeCell="E1" sqref="E1"/>
      <selection pane="bottomLeft" activeCell="B6" sqref="B6"/>
      <selection pane="bottomRight" activeCell="E1" sqref="E1:N1"/>
    </sheetView>
  </sheetViews>
  <sheetFormatPr defaultRowHeight="15" outlineLevelRow="1" outlineLevelCol="1"/>
  <cols>
    <col min="1" max="1" width="19.28515625" style="25" hidden="1" customWidth="1" outlineLevel="1"/>
    <col min="2" max="2" width="13.7109375" style="81" customWidth="1" collapsed="1"/>
    <col min="3" max="3" width="35.7109375" style="85" customWidth="1"/>
    <col min="4" max="4" width="25.42578125" style="25" customWidth="1"/>
    <col min="5" max="9" width="15.7109375" style="25" customWidth="1"/>
    <col min="10" max="10" width="17.28515625" style="25" hidden="1" customWidth="1" outlineLevel="1"/>
    <col min="11" max="11" width="15.7109375" style="25" customWidth="1" collapsed="1"/>
    <col min="12" max="14" width="15.7109375" style="25" customWidth="1"/>
    <col min="15" max="15" width="15.140625" style="25" hidden="1" customWidth="1" outlineLevel="1"/>
    <col min="16" max="16" width="17.85546875" style="25" customWidth="1" collapsed="1"/>
    <col min="17" max="18" width="16.42578125" style="25" customWidth="1"/>
    <col min="19" max="23" width="18.7109375" style="25" customWidth="1"/>
    <col min="24" max="249" width="9.140625" style="25"/>
    <col min="250" max="250" width="13.28515625" style="25" customWidth="1"/>
    <col min="251" max="251" width="34.7109375" style="25" customWidth="1"/>
    <col min="252" max="252" width="26.85546875" style="25" customWidth="1"/>
    <col min="253" max="261" width="15.140625" style="25" customWidth="1"/>
    <col min="262" max="262" width="14" style="25" customWidth="1"/>
    <col min="263" max="263" width="13.42578125" style="25" customWidth="1"/>
    <col min="264" max="265" width="15" style="25" customWidth="1"/>
    <col min="266" max="266" width="16.5703125" style="25" customWidth="1"/>
    <col min="267" max="270" width="18.7109375" style="25" customWidth="1"/>
    <col min="271" max="505" width="9.140625" style="25"/>
    <col min="506" max="506" width="13.28515625" style="25" customWidth="1"/>
    <col min="507" max="507" width="34.7109375" style="25" customWidth="1"/>
    <col min="508" max="508" width="26.85546875" style="25" customWidth="1"/>
    <col min="509" max="517" width="15.140625" style="25" customWidth="1"/>
    <col min="518" max="518" width="14" style="25" customWidth="1"/>
    <col min="519" max="519" width="13.42578125" style="25" customWidth="1"/>
    <col min="520" max="521" width="15" style="25" customWidth="1"/>
    <col min="522" max="522" width="16.5703125" style="25" customWidth="1"/>
    <col min="523" max="526" width="18.7109375" style="25" customWidth="1"/>
    <col min="527" max="761" width="9.140625" style="25"/>
    <col min="762" max="762" width="13.28515625" style="25" customWidth="1"/>
    <col min="763" max="763" width="34.7109375" style="25" customWidth="1"/>
    <col min="764" max="764" width="26.85546875" style="25" customWidth="1"/>
    <col min="765" max="773" width="15.140625" style="25" customWidth="1"/>
    <col min="774" max="774" width="14" style="25" customWidth="1"/>
    <col min="775" max="775" width="13.42578125" style="25" customWidth="1"/>
    <col min="776" max="777" width="15" style="25" customWidth="1"/>
    <col min="778" max="778" width="16.5703125" style="25" customWidth="1"/>
    <col min="779" max="782" width="18.7109375" style="25" customWidth="1"/>
    <col min="783" max="1017" width="9.140625" style="25"/>
    <col min="1018" max="1018" width="13.28515625" style="25" customWidth="1"/>
    <col min="1019" max="1019" width="34.7109375" style="25" customWidth="1"/>
    <col min="1020" max="1020" width="26.85546875" style="25" customWidth="1"/>
    <col min="1021" max="1029" width="15.140625" style="25" customWidth="1"/>
    <col min="1030" max="1030" width="14" style="25" customWidth="1"/>
    <col min="1031" max="1031" width="13.42578125" style="25" customWidth="1"/>
    <col min="1032" max="1033" width="15" style="25" customWidth="1"/>
    <col min="1034" max="1034" width="16.5703125" style="25" customWidth="1"/>
    <col min="1035" max="1038" width="18.7109375" style="25" customWidth="1"/>
    <col min="1039" max="1273" width="9.140625" style="25"/>
    <col min="1274" max="1274" width="13.28515625" style="25" customWidth="1"/>
    <col min="1275" max="1275" width="34.7109375" style="25" customWidth="1"/>
    <col min="1276" max="1276" width="26.85546875" style="25" customWidth="1"/>
    <col min="1277" max="1285" width="15.140625" style="25" customWidth="1"/>
    <col min="1286" max="1286" width="14" style="25" customWidth="1"/>
    <col min="1287" max="1287" width="13.42578125" style="25" customWidth="1"/>
    <col min="1288" max="1289" width="15" style="25" customWidth="1"/>
    <col min="1290" max="1290" width="16.5703125" style="25" customWidth="1"/>
    <col min="1291" max="1294" width="18.7109375" style="25" customWidth="1"/>
    <col min="1295" max="1529" width="9.140625" style="25"/>
    <col min="1530" max="1530" width="13.28515625" style="25" customWidth="1"/>
    <col min="1531" max="1531" width="34.7109375" style="25" customWidth="1"/>
    <col min="1532" max="1532" width="26.85546875" style="25" customWidth="1"/>
    <col min="1533" max="1541" width="15.140625" style="25" customWidth="1"/>
    <col min="1542" max="1542" width="14" style="25" customWidth="1"/>
    <col min="1543" max="1543" width="13.42578125" style="25" customWidth="1"/>
    <col min="1544" max="1545" width="15" style="25" customWidth="1"/>
    <col min="1546" max="1546" width="16.5703125" style="25" customWidth="1"/>
    <col min="1547" max="1550" width="18.7109375" style="25" customWidth="1"/>
    <col min="1551" max="1785" width="9.140625" style="25"/>
    <col min="1786" max="1786" width="13.28515625" style="25" customWidth="1"/>
    <col min="1787" max="1787" width="34.7109375" style="25" customWidth="1"/>
    <col min="1788" max="1788" width="26.85546875" style="25" customWidth="1"/>
    <col min="1789" max="1797" width="15.140625" style="25" customWidth="1"/>
    <col min="1798" max="1798" width="14" style="25" customWidth="1"/>
    <col min="1799" max="1799" width="13.42578125" style="25" customWidth="1"/>
    <col min="1800" max="1801" width="15" style="25" customWidth="1"/>
    <col min="1802" max="1802" width="16.5703125" style="25" customWidth="1"/>
    <col min="1803" max="1806" width="18.7109375" style="25" customWidth="1"/>
    <col min="1807" max="2041" width="9.140625" style="25"/>
    <col min="2042" max="2042" width="13.28515625" style="25" customWidth="1"/>
    <col min="2043" max="2043" width="34.7109375" style="25" customWidth="1"/>
    <col min="2044" max="2044" width="26.85546875" style="25" customWidth="1"/>
    <col min="2045" max="2053" width="15.140625" style="25" customWidth="1"/>
    <col min="2054" max="2054" width="14" style="25" customWidth="1"/>
    <col min="2055" max="2055" width="13.42578125" style="25" customWidth="1"/>
    <col min="2056" max="2057" width="15" style="25" customWidth="1"/>
    <col min="2058" max="2058" width="16.5703125" style="25" customWidth="1"/>
    <col min="2059" max="2062" width="18.7109375" style="25" customWidth="1"/>
    <col min="2063" max="2297" width="9.140625" style="25"/>
    <col min="2298" max="2298" width="13.28515625" style="25" customWidth="1"/>
    <col min="2299" max="2299" width="34.7109375" style="25" customWidth="1"/>
    <col min="2300" max="2300" width="26.85546875" style="25" customWidth="1"/>
    <col min="2301" max="2309" width="15.140625" style="25" customWidth="1"/>
    <col min="2310" max="2310" width="14" style="25" customWidth="1"/>
    <col min="2311" max="2311" width="13.42578125" style="25" customWidth="1"/>
    <col min="2312" max="2313" width="15" style="25" customWidth="1"/>
    <col min="2314" max="2314" width="16.5703125" style="25" customWidth="1"/>
    <col min="2315" max="2318" width="18.7109375" style="25" customWidth="1"/>
    <col min="2319" max="2553" width="9.140625" style="25"/>
    <col min="2554" max="2554" width="13.28515625" style="25" customWidth="1"/>
    <col min="2555" max="2555" width="34.7109375" style="25" customWidth="1"/>
    <col min="2556" max="2556" width="26.85546875" style="25" customWidth="1"/>
    <col min="2557" max="2565" width="15.140625" style="25" customWidth="1"/>
    <col min="2566" max="2566" width="14" style="25" customWidth="1"/>
    <col min="2567" max="2567" width="13.42578125" style="25" customWidth="1"/>
    <col min="2568" max="2569" width="15" style="25" customWidth="1"/>
    <col min="2570" max="2570" width="16.5703125" style="25" customWidth="1"/>
    <col min="2571" max="2574" width="18.7109375" style="25" customWidth="1"/>
    <col min="2575" max="2809" width="9.140625" style="25"/>
    <col min="2810" max="2810" width="13.28515625" style="25" customWidth="1"/>
    <col min="2811" max="2811" width="34.7109375" style="25" customWidth="1"/>
    <col min="2812" max="2812" width="26.85546875" style="25" customWidth="1"/>
    <col min="2813" max="2821" width="15.140625" style="25" customWidth="1"/>
    <col min="2822" max="2822" width="14" style="25" customWidth="1"/>
    <col min="2823" max="2823" width="13.42578125" style="25" customWidth="1"/>
    <col min="2824" max="2825" width="15" style="25" customWidth="1"/>
    <col min="2826" max="2826" width="16.5703125" style="25" customWidth="1"/>
    <col min="2827" max="2830" width="18.7109375" style="25" customWidth="1"/>
    <col min="2831" max="3065" width="9.140625" style="25"/>
    <col min="3066" max="3066" width="13.28515625" style="25" customWidth="1"/>
    <col min="3067" max="3067" width="34.7109375" style="25" customWidth="1"/>
    <col min="3068" max="3068" width="26.85546875" style="25" customWidth="1"/>
    <col min="3069" max="3077" width="15.140625" style="25" customWidth="1"/>
    <col min="3078" max="3078" width="14" style="25" customWidth="1"/>
    <col min="3079" max="3079" width="13.42578125" style="25" customWidth="1"/>
    <col min="3080" max="3081" width="15" style="25" customWidth="1"/>
    <col min="3082" max="3082" width="16.5703125" style="25" customWidth="1"/>
    <col min="3083" max="3086" width="18.7109375" style="25" customWidth="1"/>
    <col min="3087" max="3321" width="9.140625" style="25"/>
    <col min="3322" max="3322" width="13.28515625" style="25" customWidth="1"/>
    <col min="3323" max="3323" width="34.7109375" style="25" customWidth="1"/>
    <col min="3324" max="3324" width="26.85546875" style="25" customWidth="1"/>
    <col min="3325" max="3333" width="15.140625" style="25" customWidth="1"/>
    <col min="3334" max="3334" width="14" style="25" customWidth="1"/>
    <col min="3335" max="3335" width="13.42578125" style="25" customWidth="1"/>
    <col min="3336" max="3337" width="15" style="25" customWidth="1"/>
    <col min="3338" max="3338" width="16.5703125" style="25" customWidth="1"/>
    <col min="3339" max="3342" width="18.7109375" style="25" customWidth="1"/>
    <col min="3343" max="3577" width="9.140625" style="25"/>
    <col min="3578" max="3578" width="13.28515625" style="25" customWidth="1"/>
    <col min="3579" max="3579" width="34.7109375" style="25" customWidth="1"/>
    <col min="3580" max="3580" width="26.85546875" style="25" customWidth="1"/>
    <col min="3581" max="3589" width="15.140625" style="25" customWidth="1"/>
    <col min="3590" max="3590" width="14" style="25" customWidth="1"/>
    <col min="3591" max="3591" width="13.42578125" style="25" customWidth="1"/>
    <col min="3592" max="3593" width="15" style="25" customWidth="1"/>
    <col min="3594" max="3594" width="16.5703125" style="25" customWidth="1"/>
    <col min="3595" max="3598" width="18.7109375" style="25" customWidth="1"/>
    <col min="3599" max="3833" width="9.140625" style="25"/>
    <col min="3834" max="3834" width="13.28515625" style="25" customWidth="1"/>
    <col min="3835" max="3835" width="34.7109375" style="25" customWidth="1"/>
    <col min="3836" max="3836" width="26.85546875" style="25" customWidth="1"/>
    <col min="3837" max="3845" width="15.140625" style="25" customWidth="1"/>
    <col min="3846" max="3846" width="14" style="25" customWidth="1"/>
    <col min="3847" max="3847" width="13.42578125" style="25" customWidth="1"/>
    <col min="3848" max="3849" width="15" style="25" customWidth="1"/>
    <col min="3850" max="3850" width="16.5703125" style="25" customWidth="1"/>
    <col min="3851" max="3854" width="18.7109375" style="25" customWidth="1"/>
    <col min="3855" max="4089" width="9.140625" style="25"/>
    <col min="4090" max="4090" width="13.28515625" style="25" customWidth="1"/>
    <col min="4091" max="4091" width="34.7109375" style="25" customWidth="1"/>
    <col min="4092" max="4092" width="26.85546875" style="25" customWidth="1"/>
    <col min="4093" max="4101" width="15.140625" style="25" customWidth="1"/>
    <col min="4102" max="4102" width="14" style="25" customWidth="1"/>
    <col min="4103" max="4103" width="13.42578125" style="25" customWidth="1"/>
    <col min="4104" max="4105" width="15" style="25" customWidth="1"/>
    <col min="4106" max="4106" width="16.5703125" style="25" customWidth="1"/>
    <col min="4107" max="4110" width="18.7109375" style="25" customWidth="1"/>
    <col min="4111" max="4345" width="9.140625" style="25"/>
    <col min="4346" max="4346" width="13.28515625" style="25" customWidth="1"/>
    <col min="4347" max="4347" width="34.7109375" style="25" customWidth="1"/>
    <col min="4348" max="4348" width="26.85546875" style="25" customWidth="1"/>
    <col min="4349" max="4357" width="15.140625" style="25" customWidth="1"/>
    <col min="4358" max="4358" width="14" style="25" customWidth="1"/>
    <col min="4359" max="4359" width="13.42578125" style="25" customWidth="1"/>
    <col min="4360" max="4361" width="15" style="25" customWidth="1"/>
    <col min="4362" max="4362" width="16.5703125" style="25" customWidth="1"/>
    <col min="4363" max="4366" width="18.7109375" style="25" customWidth="1"/>
    <col min="4367" max="4601" width="9.140625" style="25"/>
    <col min="4602" max="4602" width="13.28515625" style="25" customWidth="1"/>
    <col min="4603" max="4603" width="34.7109375" style="25" customWidth="1"/>
    <col min="4604" max="4604" width="26.85546875" style="25" customWidth="1"/>
    <col min="4605" max="4613" width="15.140625" style="25" customWidth="1"/>
    <col min="4614" max="4614" width="14" style="25" customWidth="1"/>
    <col min="4615" max="4615" width="13.42578125" style="25" customWidth="1"/>
    <col min="4616" max="4617" width="15" style="25" customWidth="1"/>
    <col min="4618" max="4618" width="16.5703125" style="25" customWidth="1"/>
    <col min="4619" max="4622" width="18.7109375" style="25" customWidth="1"/>
    <col min="4623" max="4857" width="9.140625" style="25"/>
    <col min="4858" max="4858" width="13.28515625" style="25" customWidth="1"/>
    <col min="4859" max="4859" width="34.7109375" style="25" customWidth="1"/>
    <col min="4860" max="4860" width="26.85546875" style="25" customWidth="1"/>
    <col min="4861" max="4869" width="15.140625" style="25" customWidth="1"/>
    <col min="4870" max="4870" width="14" style="25" customWidth="1"/>
    <col min="4871" max="4871" width="13.42578125" style="25" customWidth="1"/>
    <col min="4872" max="4873" width="15" style="25" customWidth="1"/>
    <col min="4874" max="4874" width="16.5703125" style="25" customWidth="1"/>
    <col min="4875" max="4878" width="18.7109375" style="25" customWidth="1"/>
    <col min="4879" max="5113" width="9.140625" style="25"/>
    <col min="5114" max="5114" width="13.28515625" style="25" customWidth="1"/>
    <col min="5115" max="5115" width="34.7109375" style="25" customWidth="1"/>
    <col min="5116" max="5116" width="26.85546875" style="25" customWidth="1"/>
    <col min="5117" max="5125" width="15.140625" style="25" customWidth="1"/>
    <col min="5126" max="5126" width="14" style="25" customWidth="1"/>
    <col min="5127" max="5127" width="13.42578125" style="25" customWidth="1"/>
    <col min="5128" max="5129" width="15" style="25" customWidth="1"/>
    <col min="5130" max="5130" width="16.5703125" style="25" customWidth="1"/>
    <col min="5131" max="5134" width="18.7109375" style="25" customWidth="1"/>
    <col min="5135" max="5369" width="9.140625" style="25"/>
    <col min="5370" max="5370" width="13.28515625" style="25" customWidth="1"/>
    <col min="5371" max="5371" width="34.7109375" style="25" customWidth="1"/>
    <col min="5372" max="5372" width="26.85546875" style="25" customWidth="1"/>
    <col min="5373" max="5381" width="15.140625" style="25" customWidth="1"/>
    <col min="5382" max="5382" width="14" style="25" customWidth="1"/>
    <col min="5383" max="5383" width="13.42578125" style="25" customWidth="1"/>
    <col min="5384" max="5385" width="15" style="25" customWidth="1"/>
    <col min="5386" max="5386" width="16.5703125" style="25" customWidth="1"/>
    <col min="5387" max="5390" width="18.7109375" style="25" customWidth="1"/>
    <col min="5391" max="5625" width="9.140625" style="25"/>
    <col min="5626" max="5626" width="13.28515625" style="25" customWidth="1"/>
    <col min="5627" max="5627" width="34.7109375" style="25" customWidth="1"/>
    <col min="5628" max="5628" width="26.85546875" style="25" customWidth="1"/>
    <col min="5629" max="5637" width="15.140625" style="25" customWidth="1"/>
    <col min="5638" max="5638" width="14" style="25" customWidth="1"/>
    <col min="5639" max="5639" width="13.42578125" style="25" customWidth="1"/>
    <col min="5640" max="5641" width="15" style="25" customWidth="1"/>
    <col min="5642" max="5642" width="16.5703125" style="25" customWidth="1"/>
    <col min="5643" max="5646" width="18.7109375" style="25" customWidth="1"/>
    <col min="5647" max="5881" width="9.140625" style="25"/>
    <col min="5882" max="5882" width="13.28515625" style="25" customWidth="1"/>
    <col min="5883" max="5883" width="34.7109375" style="25" customWidth="1"/>
    <col min="5884" max="5884" width="26.85546875" style="25" customWidth="1"/>
    <col min="5885" max="5893" width="15.140625" style="25" customWidth="1"/>
    <col min="5894" max="5894" width="14" style="25" customWidth="1"/>
    <col min="5895" max="5895" width="13.42578125" style="25" customWidth="1"/>
    <col min="5896" max="5897" width="15" style="25" customWidth="1"/>
    <col min="5898" max="5898" width="16.5703125" style="25" customWidth="1"/>
    <col min="5899" max="5902" width="18.7109375" style="25" customWidth="1"/>
    <col min="5903" max="6137" width="9.140625" style="25"/>
    <col min="6138" max="6138" width="13.28515625" style="25" customWidth="1"/>
    <col min="6139" max="6139" width="34.7109375" style="25" customWidth="1"/>
    <col min="6140" max="6140" width="26.85546875" style="25" customWidth="1"/>
    <col min="6141" max="6149" width="15.140625" style="25" customWidth="1"/>
    <col min="6150" max="6150" width="14" style="25" customWidth="1"/>
    <col min="6151" max="6151" width="13.42578125" style="25" customWidth="1"/>
    <col min="6152" max="6153" width="15" style="25" customWidth="1"/>
    <col min="6154" max="6154" width="16.5703125" style="25" customWidth="1"/>
    <col min="6155" max="6158" width="18.7109375" style="25" customWidth="1"/>
    <col min="6159" max="6393" width="9.140625" style="25"/>
    <col min="6394" max="6394" width="13.28515625" style="25" customWidth="1"/>
    <col min="6395" max="6395" width="34.7109375" style="25" customWidth="1"/>
    <col min="6396" max="6396" width="26.85546875" style="25" customWidth="1"/>
    <col min="6397" max="6405" width="15.140625" style="25" customWidth="1"/>
    <col min="6406" max="6406" width="14" style="25" customWidth="1"/>
    <col min="6407" max="6407" width="13.42578125" style="25" customWidth="1"/>
    <col min="6408" max="6409" width="15" style="25" customWidth="1"/>
    <col min="6410" max="6410" width="16.5703125" style="25" customWidth="1"/>
    <col min="6411" max="6414" width="18.7109375" style="25" customWidth="1"/>
    <col min="6415" max="6649" width="9.140625" style="25"/>
    <col min="6650" max="6650" width="13.28515625" style="25" customWidth="1"/>
    <col min="6651" max="6651" width="34.7109375" style="25" customWidth="1"/>
    <col min="6652" max="6652" width="26.85546875" style="25" customWidth="1"/>
    <col min="6653" max="6661" width="15.140625" style="25" customWidth="1"/>
    <col min="6662" max="6662" width="14" style="25" customWidth="1"/>
    <col min="6663" max="6663" width="13.42578125" style="25" customWidth="1"/>
    <col min="6664" max="6665" width="15" style="25" customWidth="1"/>
    <col min="6666" max="6666" width="16.5703125" style="25" customWidth="1"/>
    <col min="6667" max="6670" width="18.7109375" style="25" customWidth="1"/>
    <col min="6671" max="6905" width="9.140625" style="25"/>
    <col min="6906" max="6906" width="13.28515625" style="25" customWidth="1"/>
    <col min="6907" max="6907" width="34.7109375" style="25" customWidth="1"/>
    <col min="6908" max="6908" width="26.85546875" style="25" customWidth="1"/>
    <col min="6909" max="6917" width="15.140625" style="25" customWidth="1"/>
    <col min="6918" max="6918" width="14" style="25" customWidth="1"/>
    <col min="6919" max="6919" width="13.42578125" style="25" customWidth="1"/>
    <col min="6920" max="6921" width="15" style="25" customWidth="1"/>
    <col min="6922" max="6922" width="16.5703125" style="25" customWidth="1"/>
    <col min="6923" max="6926" width="18.7109375" style="25" customWidth="1"/>
    <col min="6927" max="7161" width="9.140625" style="25"/>
    <col min="7162" max="7162" width="13.28515625" style="25" customWidth="1"/>
    <col min="7163" max="7163" width="34.7109375" style="25" customWidth="1"/>
    <col min="7164" max="7164" width="26.85546875" style="25" customWidth="1"/>
    <col min="7165" max="7173" width="15.140625" style="25" customWidth="1"/>
    <col min="7174" max="7174" width="14" style="25" customWidth="1"/>
    <col min="7175" max="7175" width="13.42578125" style="25" customWidth="1"/>
    <col min="7176" max="7177" width="15" style="25" customWidth="1"/>
    <col min="7178" max="7178" width="16.5703125" style="25" customWidth="1"/>
    <col min="7179" max="7182" width="18.7109375" style="25" customWidth="1"/>
    <col min="7183" max="7417" width="9.140625" style="25"/>
    <col min="7418" max="7418" width="13.28515625" style="25" customWidth="1"/>
    <col min="7419" max="7419" width="34.7109375" style="25" customWidth="1"/>
    <col min="7420" max="7420" width="26.85546875" style="25" customWidth="1"/>
    <col min="7421" max="7429" width="15.140625" style="25" customWidth="1"/>
    <col min="7430" max="7430" width="14" style="25" customWidth="1"/>
    <col min="7431" max="7431" width="13.42578125" style="25" customWidth="1"/>
    <col min="7432" max="7433" width="15" style="25" customWidth="1"/>
    <col min="7434" max="7434" width="16.5703125" style="25" customWidth="1"/>
    <col min="7435" max="7438" width="18.7109375" style="25" customWidth="1"/>
    <col min="7439" max="7673" width="9.140625" style="25"/>
    <col min="7674" max="7674" width="13.28515625" style="25" customWidth="1"/>
    <col min="7675" max="7675" width="34.7109375" style="25" customWidth="1"/>
    <col min="7676" max="7676" width="26.85546875" style="25" customWidth="1"/>
    <col min="7677" max="7685" width="15.140625" style="25" customWidth="1"/>
    <col min="7686" max="7686" width="14" style="25" customWidth="1"/>
    <col min="7687" max="7687" width="13.42578125" style="25" customWidth="1"/>
    <col min="7688" max="7689" width="15" style="25" customWidth="1"/>
    <col min="7690" max="7690" width="16.5703125" style="25" customWidth="1"/>
    <col min="7691" max="7694" width="18.7109375" style="25" customWidth="1"/>
    <col min="7695" max="7929" width="9.140625" style="25"/>
    <col min="7930" max="7930" width="13.28515625" style="25" customWidth="1"/>
    <col min="7931" max="7931" width="34.7109375" style="25" customWidth="1"/>
    <col min="7932" max="7932" width="26.85546875" style="25" customWidth="1"/>
    <col min="7933" max="7941" width="15.140625" style="25" customWidth="1"/>
    <col min="7942" max="7942" width="14" style="25" customWidth="1"/>
    <col min="7943" max="7943" width="13.42578125" style="25" customWidth="1"/>
    <col min="7944" max="7945" width="15" style="25" customWidth="1"/>
    <col min="7946" max="7946" width="16.5703125" style="25" customWidth="1"/>
    <col min="7947" max="7950" width="18.7109375" style="25" customWidth="1"/>
    <col min="7951" max="8185" width="9.140625" style="25"/>
    <col min="8186" max="8186" width="13.28515625" style="25" customWidth="1"/>
    <col min="8187" max="8187" width="34.7109375" style="25" customWidth="1"/>
    <col min="8188" max="8188" width="26.85546875" style="25" customWidth="1"/>
    <col min="8189" max="8197" width="15.140625" style="25" customWidth="1"/>
    <col min="8198" max="8198" width="14" style="25" customWidth="1"/>
    <col min="8199" max="8199" width="13.42578125" style="25" customWidth="1"/>
    <col min="8200" max="8201" width="15" style="25" customWidth="1"/>
    <col min="8202" max="8202" width="16.5703125" style="25" customWidth="1"/>
    <col min="8203" max="8206" width="18.7109375" style="25" customWidth="1"/>
    <col min="8207" max="8441" width="9.140625" style="25"/>
    <col min="8442" max="8442" width="13.28515625" style="25" customWidth="1"/>
    <col min="8443" max="8443" width="34.7109375" style="25" customWidth="1"/>
    <col min="8444" max="8444" width="26.85546875" style="25" customWidth="1"/>
    <col min="8445" max="8453" width="15.140625" style="25" customWidth="1"/>
    <col min="8454" max="8454" width="14" style="25" customWidth="1"/>
    <col min="8455" max="8455" width="13.42578125" style="25" customWidth="1"/>
    <col min="8456" max="8457" width="15" style="25" customWidth="1"/>
    <col min="8458" max="8458" width="16.5703125" style="25" customWidth="1"/>
    <col min="8459" max="8462" width="18.7109375" style="25" customWidth="1"/>
    <col min="8463" max="8697" width="9.140625" style="25"/>
    <col min="8698" max="8698" width="13.28515625" style="25" customWidth="1"/>
    <col min="8699" max="8699" width="34.7109375" style="25" customWidth="1"/>
    <col min="8700" max="8700" width="26.85546875" style="25" customWidth="1"/>
    <col min="8701" max="8709" width="15.140625" style="25" customWidth="1"/>
    <col min="8710" max="8710" width="14" style="25" customWidth="1"/>
    <col min="8711" max="8711" width="13.42578125" style="25" customWidth="1"/>
    <col min="8712" max="8713" width="15" style="25" customWidth="1"/>
    <col min="8714" max="8714" width="16.5703125" style="25" customWidth="1"/>
    <col min="8715" max="8718" width="18.7109375" style="25" customWidth="1"/>
    <col min="8719" max="8953" width="9.140625" style="25"/>
    <col min="8954" max="8954" width="13.28515625" style="25" customWidth="1"/>
    <col min="8955" max="8955" width="34.7109375" style="25" customWidth="1"/>
    <col min="8956" max="8956" width="26.85546875" style="25" customWidth="1"/>
    <col min="8957" max="8965" width="15.140625" style="25" customWidth="1"/>
    <col min="8966" max="8966" width="14" style="25" customWidth="1"/>
    <col min="8967" max="8967" width="13.42578125" style="25" customWidth="1"/>
    <col min="8968" max="8969" width="15" style="25" customWidth="1"/>
    <col min="8970" max="8970" width="16.5703125" style="25" customWidth="1"/>
    <col min="8971" max="8974" width="18.7109375" style="25" customWidth="1"/>
    <col min="8975" max="9209" width="9.140625" style="25"/>
    <col min="9210" max="9210" width="13.28515625" style="25" customWidth="1"/>
    <col min="9211" max="9211" width="34.7109375" style="25" customWidth="1"/>
    <col min="9212" max="9212" width="26.85546875" style="25" customWidth="1"/>
    <col min="9213" max="9221" width="15.140625" style="25" customWidth="1"/>
    <col min="9222" max="9222" width="14" style="25" customWidth="1"/>
    <col min="9223" max="9223" width="13.42578125" style="25" customWidth="1"/>
    <col min="9224" max="9225" width="15" style="25" customWidth="1"/>
    <col min="9226" max="9226" width="16.5703125" style="25" customWidth="1"/>
    <col min="9227" max="9230" width="18.7109375" style="25" customWidth="1"/>
    <col min="9231" max="9465" width="9.140625" style="25"/>
    <col min="9466" max="9466" width="13.28515625" style="25" customWidth="1"/>
    <col min="9467" max="9467" width="34.7109375" style="25" customWidth="1"/>
    <col min="9468" max="9468" width="26.85546875" style="25" customWidth="1"/>
    <col min="9469" max="9477" width="15.140625" style="25" customWidth="1"/>
    <col min="9478" max="9478" width="14" style="25" customWidth="1"/>
    <col min="9479" max="9479" width="13.42578125" style="25" customWidth="1"/>
    <col min="9480" max="9481" width="15" style="25" customWidth="1"/>
    <col min="9482" max="9482" width="16.5703125" style="25" customWidth="1"/>
    <col min="9483" max="9486" width="18.7109375" style="25" customWidth="1"/>
    <col min="9487" max="9721" width="9.140625" style="25"/>
    <col min="9722" max="9722" width="13.28515625" style="25" customWidth="1"/>
    <col min="9723" max="9723" width="34.7109375" style="25" customWidth="1"/>
    <col min="9724" max="9724" width="26.85546875" style="25" customWidth="1"/>
    <col min="9725" max="9733" width="15.140625" style="25" customWidth="1"/>
    <col min="9734" max="9734" width="14" style="25" customWidth="1"/>
    <col min="9735" max="9735" width="13.42578125" style="25" customWidth="1"/>
    <col min="9736" max="9737" width="15" style="25" customWidth="1"/>
    <col min="9738" max="9738" width="16.5703125" style="25" customWidth="1"/>
    <col min="9739" max="9742" width="18.7109375" style="25" customWidth="1"/>
    <col min="9743" max="9977" width="9.140625" style="25"/>
    <col min="9978" max="9978" width="13.28515625" style="25" customWidth="1"/>
    <col min="9979" max="9979" width="34.7109375" style="25" customWidth="1"/>
    <col min="9980" max="9980" width="26.85546875" style="25" customWidth="1"/>
    <col min="9981" max="9989" width="15.140625" style="25" customWidth="1"/>
    <col min="9990" max="9990" width="14" style="25" customWidth="1"/>
    <col min="9991" max="9991" width="13.42578125" style="25" customWidth="1"/>
    <col min="9992" max="9993" width="15" style="25" customWidth="1"/>
    <col min="9994" max="9994" width="16.5703125" style="25" customWidth="1"/>
    <col min="9995" max="9998" width="18.7109375" style="25" customWidth="1"/>
    <col min="9999" max="10233" width="9.140625" style="25"/>
    <col min="10234" max="10234" width="13.28515625" style="25" customWidth="1"/>
    <col min="10235" max="10235" width="34.7109375" style="25" customWidth="1"/>
    <col min="10236" max="10236" width="26.85546875" style="25" customWidth="1"/>
    <col min="10237" max="10245" width="15.140625" style="25" customWidth="1"/>
    <col min="10246" max="10246" width="14" style="25" customWidth="1"/>
    <col min="10247" max="10247" width="13.42578125" style="25" customWidth="1"/>
    <col min="10248" max="10249" width="15" style="25" customWidth="1"/>
    <col min="10250" max="10250" width="16.5703125" style="25" customWidth="1"/>
    <col min="10251" max="10254" width="18.7109375" style="25" customWidth="1"/>
    <col min="10255" max="10489" width="9.140625" style="25"/>
    <col min="10490" max="10490" width="13.28515625" style="25" customWidth="1"/>
    <col min="10491" max="10491" width="34.7109375" style="25" customWidth="1"/>
    <col min="10492" max="10492" width="26.85546875" style="25" customWidth="1"/>
    <col min="10493" max="10501" width="15.140625" style="25" customWidth="1"/>
    <col min="10502" max="10502" width="14" style="25" customWidth="1"/>
    <col min="10503" max="10503" width="13.42578125" style="25" customWidth="1"/>
    <col min="10504" max="10505" width="15" style="25" customWidth="1"/>
    <col min="10506" max="10506" width="16.5703125" style="25" customWidth="1"/>
    <col min="10507" max="10510" width="18.7109375" style="25" customWidth="1"/>
    <col min="10511" max="10745" width="9.140625" style="25"/>
    <col min="10746" max="10746" width="13.28515625" style="25" customWidth="1"/>
    <col min="10747" max="10747" width="34.7109375" style="25" customWidth="1"/>
    <col min="10748" max="10748" width="26.85546875" style="25" customWidth="1"/>
    <col min="10749" max="10757" width="15.140625" style="25" customWidth="1"/>
    <col min="10758" max="10758" width="14" style="25" customWidth="1"/>
    <col min="10759" max="10759" width="13.42578125" style="25" customWidth="1"/>
    <col min="10760" max="10761" width="15" style="25" customWidth="1"/>
    <col min="10762" max="10762" width="16.5703125" style="25" customWidth="1"/>
    <col min="10763" max="10766" width="18.7109375" style="25" customWidth="1"/>
    <col min="10767" max="11001" width="9.140625" style="25"/>
    <col min="11002" max="11002" width="13.28515625" style="25" customWidth="1"/>
    <col min="11003" max="11003" width="34.7109375" style="25" customWidth="1"/>
    <col min="11004" max="11004" width="26.85546875" style="25" customWidth="1"/>
    <col min="11005" max="11013" width="15.140625" style="25" customWidth="1"/>
    <col min="11014" max="11014" width="14" style="25" customWidth="1"/>
    <col min="11015" max="11015" width="13.42578125" style="25" customWidth="1"/>
    <col min="11016" max="11017" width="15" style="25" customWidth="1"/>
    <col min="11018" max="11018" width="16.5703125" style="25" customWidth="1"/>
    <col min="11019" max="11022" width="18.7109375" style="25" customWidth="1"/>
    <col min="11023" max="11257" width="9.140625" style="25"/>
    <col min="11258" max="11258" width="13.28515625" style="25" customWidth="1"/>
    <col min="11259" max="11259" width="34.7109375" style="25" customWidth="1"/>
    <col min="11260" max="11260" width="26.85546875" style="25" customWidth="1"/>
    <col min="11261" max="11269" width="15.140625" style="25" customWidth="1"/>
    <col min="11270" max="11270" width="14" style="25" customWidth="1"/>
    <col min="11271" max="11271" width="13.42578125" style="25" customWidth="1"/>
    <col min="11272" max="11273" width="15" style="25" customWidth="1"/>
    <col min="11274" max="11274" width="16.5703125" style="25" customWidth="1"/>
    <col min="11275" max="11278" width="18.7109375" style="25" customWidth="1"/>
    <col min="11279" max="11513" width="9.140625" style="25"/>
    <col min="11514" max="11514" width="13.28515625" style="25" customWidth="1"/>
    <col min="11515" max="11515" width="34.7109375" style="25" customWidth="1"/>
    <col min="11516" max="11516" width="26.85546875" style="25" customWidth="1"/>
    <col min="11517" max="11525" width="15.140625" style="25" customWidth="1"/>
    <col min="11526" max="11526" width="14" style="25" customWidth="1"/>
    <col min="11527" max="11527" width="13.42578125" style="25" customWidth="1"/>
    <col min="11528" max="11529" width="15" style="25" customWidth="1"/>
    <col min="11530" max="11530" width="16.5703125" style="25" customWidth="1"/>
    <col min="11531" max="11534" width="18.7109375" style="25" customWidth="1"/>
    <col min="11535" max="11769" width="9.140625" style="25"/>
    <col min="11770" max="11770" width="13.28515625" style="25" customWidth="1"/>
    <col min="11771" max="11771" width="34.7109375" style="25" customWidth="1"/>
    <col min="11772" max="11772" width="26.85546875" style="25" customWidth="1"/>
    <col min="11773" max="11781" width="15.140625" style="25" customWidth="1"/>
    <col min="11782" max="11782" width="14" style="25" customWidth="1"/>
    <col min="11783" max="11783" width="13.42578125" style="25" customWidth="1"/>
    <col min="11784" max="11785" width="15" style="25" customWidth="1"/>
    <col min="11786" max="11786" width="16.5703125" style="25" customWidth="1"/>
    <col min="11787" max="11790" width="18.7109375" style="25" customWidth="1"/>
    <col min="11791" max="12025" width="9.140625" style="25"/>
    <col min="12026" max="12026" width="13.28515625" style="25" customWidth="1"/>
    <col min="12027" max="12027" width="34.7109375" style="25" customWidth="1"/>
    <col min="12028" max="12028" width="26.85546875" style="25" customWidth="1"/>
    <col min="12029" max="12037" width="15.140625" style="25" customWidth="1"/>
    <col min="12038" max="12038" width="14" style="25" customWidth="1"/>
    <col min="12039" max="12039" width="13.42578125" style="25" customWidth="1"/>
    <col min="12040" max="12041" width="15" style="25" customWidth="1"/>
    <col min="12042" max="12042" width="16.5703125" style="25" customWidth="1"/>
    <col min="12043" max="12046" width="18.7109375" style="25" customWidth="1"/>
    <col min="12047" max="12281" width="9.140625" style="25"/>
    <col min="12282" max="12282" width="13.28515625" style="25" customWidth="1"/>
    <col min="12283" max="12283" width="34.7109375" style="25" customWidth="1"/>
    <col min="12284" max="12284" width="26.85546875" style="25" customWidth="1"/>
    <col min="12285" max="12293" width="15.140625" style="25" customWidth="1"/>
    <col min="12294" max="12294" width="14" style="25" customWidth="1"/>
    <col min="12295" max="12295" width="13.42578125" style="25" customWidth="1"/>
    <col min="12296" max="12297" width="15" style="25" customWidth="1"/>
    <col min="12298" max="12298" width="16.5703125" style="25" customWidth="1"/>
    <col min="12299" max="12302" width="18.7109375" style="25" customWidth="1"/>
    <col min="12303" max="12537" width="9.140625" style="25"/>
    <col min="12538" max="12538" width="13.28515625" style="25" customWidth="1"/>
    <col min="12539" max="12539" width="34.7109375" style="25" customWidth="1"/>
    <col min="12540" max="12540" width="26.85546875" style="25" customWidth="1"/>
    <col min="12541" max="12549" width="15.140625" style="25" customWidth="1"/>
    <col min="12550" max="12550" width="14" style="25" customWidth="1"/>
    <col min="12551" max="12551" width="13.42578125" style="25" customWidth="1"/>
    <col min="12552" max="12553" width="15" style="25" customWidth="1"/>
    <col min="12554" max="12554" width="16.5703125" style="25" customWidth="1"/>
    <col min="12555" max="12558" width="18.7109375" style="25" customWidth="1"/>
    <col min="12559" max="12793" width="9.140625" style="25"/>
    <col min="12794" max="12794" width="13.28515625" style="25" customWidth="1"/>
    <col min="12795" max="12795" width="34.7109375" style="25" customWidth="1"/>
    <col min="12796" max="12796" width="26.85546875" style="25" customWidth="1"/>
    <col min="12797" max="12805" width="15.140625" style="25" customWidth="1"/>
    <col min="12806" max="12806" width="14" style="25" customWidth="1"/>
    <col min="12807" max="12807" width="13.42578125" style="25" customWidth="1"/>
    <col min="12808" max="12809" width="15" style="25" customWidth="1"/>
    <col min="12810" max="12810" width="16.5703125" style="25" customWidth="1"/>
    <col min="12811" max="12814" width="18.7109375" style="25" customWidth="1"/>
    <col min="12815" max="13049" width="9.140625" style="25"/>
    <col min="13050" max="13050" width="13.28515625" style="25" customWidth="1"/>
    <col min="13051" max="13051" width="34.7109375" style="25" customWidth="1"/>
    <col min="13052" max="13052" width="26.85546875" style="25" customWidth="1"/>
    <col min="13053" max="13061" width="15.140625" style="25" customWidth="1"/>
    <col min="13062" max="13062" width="14" style="25" customWidth="1"/>
    <col min="13063" max="13063" width="13.42578125" style="25" customWidth="1"/>
    <col min="13064" max="13065" width="15" style="25" customWidth="1"/>
    <col min="13066" max="13066" width="16.5703125" style="25" customWidth="1"/>
    <col min="13067" max="13070" width="18.7109375" style="25" customWidth="1"/>
    <col min="13071" max="13305" width="9.140625" style="25"/>
    <col min="13306" max="13306" width="13.28515625" style="25" customWidth="1"/>
    <col min="13307" max="13307" width="34.7109375" style="25" customWidth="1"/>
    <col min="13308" max="13308" width="26.85546875" style="25" customWidth="1"/>
    <col min="13309" max="13317" width="15.140625" style="25" customWidth="1"/>
    <col min="13318" max="13318" width="14" style="25" customWidth="1"/>
    <col min="13319" max="13319" width="13.42578125" style="25" customWidth="1"/>
    <col min="13320" max="13321" width="15" style="25" customWidth="1"/>
    <col min="13322" max="13322" width="16.5703125" style="25" customWidth="1"/>
    <col min="13323" max="13326" width="18.7109375" style="25" customWidth="1"/>
    <col min="13327" max="13561" width="9.140625" style="25"/>
    <col min="13562" max="13562" width="13.28515625" style="25" customWidth="1"/>
    <col min="13563" max="13563" width="34.7109375" style="25" customWidth="1"/>
    <col min="13564" max="13564" width="26.85546875" style="25" customWidth="1"/>
    <col min="13565" max="13573" width="15.140625" style="25" customWidth="1"/>
    <col min="13574" max="13574" width="14" style="25" customWidth="1"/>
    <col min="13575" max="13575" width="13.42578125" style="25" customWidth="1"/>
    <col min="13576" max="13577" width="15" style="25" customWidth="1"/>
    <col min="13578" max="13578" width="16.5703125" style="25" customWidth="1"/>
    <col min="13579" max="13582" width="18.7109375" style="25" customWidth="1"/>
    <col min="13583" max="13817" width="9.140625" style="25"/>
    <col min="13818" max="13818" width="13.28515625" style="25" customWidth="1"/>
    <col min="13819" max="13819" width="34.7109375" style="25" customWidth="1"/>
    <col min="13820" max="13820" width="26.85546875" style="25" customWidth="1"/>
    <col min="13821" max="13829" width="15.140625" style="25" customWidth="1"/>
    <col min="13830" max="13830" width="14" style="25" customWidth="1"/>
    <col min="13831" max="13831" width="13.42578125" style="25" customWidth="1"/>
    <col min="13832" max="13833" width="15" style="25" customWidth="1"/>
    <col min="13834" max="13834" width="16.5703125" style="25" customWidth="1"/>
    <col min="13835" max="13838" width="18.7109375" style="25" customWidth="1"/>
    <col min="13839" max="14073" width="9.140625" style="25"/>
    <col min="14074" max="14074" width="13.28515625" style="25" customWidth="1"/>
    <col min="14075" max="14075" width="34.7109375" style="25" customWidth="1"/>
    <col min="14076" max="14076" width="26.85546875" style="25" customWidth="1"/>
    <col min="14077" max="14085" width="15.140625" style="25" customWidth="1"/>
    <col min="14086" max="14086" width="14" style="25" customWidth="1"/>
    <col min="14087" max="14087" width="13.42578125" style="25" customWidth="1"/>
    <col min="14088" max="14089" width="15" style="25" customWidth="1"/>
    <col min="14090" max="14090" width="16.5703125" style="25" customWidth="1"/>
    <col min="14091" max="14094" width="18.7109375" style="25" customWidth="1"/>
    <col min="14095" max="14329" width="9.140625" style="25"/>
    <col min="14330" max="14330" width="13.28515625" style="25" customWidth="1"/>
    <col min="14331" max="14331" width="34.7109375" style="25" customWidth="1"/>
    <col min="14332" max="14332" width="26.85546875" style="25" customWidth="1"/>
    <col min="14333" max="14341" width="15.140625" style="25" customWidth="1"/>
    <col min="14342" max="14342" width="14" style="25" customWidth="1"/>
    <col min="14343" max="14343" width="13.42578125" style="25" customWidth="1"/>
    <col min="14344" max="14345" width="15" style="25" customWidth="1"/>
    <col min="14346" max="14346" width="16.5703125" style="25" customWidth="1"/>
    <col min="14347" max="14350" width="18.7109375" style="25" customWidth="1"/>
    <col min="14351" max="14585" width="9.140625" style="25"/>
    <col min="14586" max="14586" width="13.28515625" style="25" customWidth="1"/>
    <col min="14587" max="14587" width="34.7109375" style="25" customWidth="1"/>
    <col min="14588" max="14588" width="26.85546875" style="25" customWidth="1"/>
    <col min="14589" max="14597" width="15.140625" style="25" customWidth="1"/>
    <col min="14598" max="14598" width="14" style="25" customWidth="1"/>
    <col min="14599" max="14599" width="13.42578125" style="25" customWidth="1"/>
    <col min="14600" max="14601" width="15" style="25" customWidth="1"/>
    <col min="14602" max="14602" width="16.5703125" style="25" customWidth="1"/>
    <col min="14603" max="14606" width="18.7109375" style="25" customWidth="1"/>
    <col min="14607" max="14841" width="9.140625" style="25"/>
    <col min="14842" max="14842" width="13.28515625" style="25" customWidth="1"/>
    <col min="14843" max="14843" width="34.7109375" style="25" customWidth="1"/>
    <col min="14844" max="14844" width="26.85546875" style="25" customWidth="1"/>
    <col min="14845" max="14853" width="15.140625" style="25" customWidth="1"/>
    <col min="14854" max="14854" width="14" style="25" customWidth="1"/>
    <col min="14855" max="14855" width="13.42578125" style="25" customWidth="1"/>
    <col min="14856" max="14857" width="15" style="25" customWidth="1"/>
    <col min="14858" max="14858" width="16.5703125" style="25" customWidth="1"/>
    <col min="14859" max="14862" width="18.7109375" style="25" customWidth="1"/>
    <col min="14863" max="15097" width="9.140625" style="25"/>
    <col min="15098" max="15098" width="13.28515625" style="25" customWidth="1"/>
    <col min="15099" max="15099" width="34.7109375" style="25" customWidth="1"/>
    <col min="15100" max="15100" width="26.85546875" style="25" customWidth="1"/>
    <col min="15101" max="15109" width="15.140625" style="25" customWidth="1"/>
    <col min="15110" max="15110" width="14" style="25" customWidth="1"/>
    <col min="15111" max="15111" width="13.42578125" style="25" customWidth="1"/>
    <col min="15112" max="15113" width="15" style="25" customWidth="1"/>
    <col min="15114" max="15114" width="16.5703125" style="25" customWidth="1"/>
    <col min="15115" max="15118" width="18.7109375" style="25" customWidth="1"/>
    <col min="15119" max="15353" width="9.140625" style="25"/>
    <col min="15354" max="15354" width="13.28515625" style="25" customWidth="1"/>
    <col min="15355" max="15355" width="34.7109375" style="25" customWidth="1"/>
    <col min="15356" max="15356" width="26.85546875" style="25" customWidth="1"/>
    <col min="15357" max="15365" width="15.140625" style="25" customWidth="1"/>
    <col min="15366" max="15366" width="14" style="25" customWidth="1"/>
    <col min="15367" max="15367" width="13.42578125" style="25" customWidth="1"/>
    <col min="15368" max="15369" width="15" style="25" customWidth="1"/>
    <col min="15370" max="15370" width="16.5703125" style="25" customWidth="1"/>
    <col min="15371" max="15374" width="18.7109375" style="25" customWidth="1"/>
    <col min="15375" max="15609" width="9.140625" style="25"/>
    <col min="15610" max="15610" width="13.28515625" style="25" customWidth="1"/>
    <col min="15611" max="15611" width="34.7109375" style="25" customWidth="1"/>
    <col min="15612" max="15612" width="26.85546875" style="25" customWidth="1"/>
    <col min="15613" max="15621" width="15.140625" style="25" customWidth="1"/>
    <col min="15622" max="15622" width="14" style="25" customWidth="1"/>
    <col min="15623" max="15623" width="13.42578125" style="25" customWidth="1"/>
    <col min="15624" max="15625" width="15" style="25" customWidth="1"/>
    <col min="15626" max="15626" width="16.5703125" style="25" customWidth="1"/>
    <col min="15627" max="15630" width="18.7109375" style="25" customWidth="1"/>
    <col min="15631" max="15865" width="9.140625" style="25"/>
    <col min="15866" max="15866" width="13.28515625" style="25" customWidth="1"/>
    <col min="15867" max="15867" width="34.7109375" style="25" customWidth="1"/>
    <col min="15868" max="15868" width="26.85546875" style="25" customWidth="1"/>
    <col min="15869" max="15877" width="15.140625" style="25" customWidth="1"/>
    <col min="15878" max="15878" width="14" style="25" customWidth="1"/>
    <col min="15879" max="15879" width="13.42578125" style="25" customWidth="1"/>
    <col min="15880" max="15881" width="15" style="25" customWidth="1"/>
    <col min="15882" max="15882" width="16.5703125" style="25" customWidth="1"/>
    <col min="15883" max="15886" width="18.7109375" style="25" customWidth="1"/>
    <col min="15887" max="16121" width="9.140625" style="25"/>
    <col min="16122" max="16122" width="13.28515625" style="25" customWidth="1"/>
    <col min="16123" max="16123" width="34.7109375" style="25" customWidth="1"/>
    <col min="16124" max="16124" width="26.85546875" style="25" customWidth="1"/>
    <col min="16125" max="16133" width="15.140625" style="25" customWidth="1"/>
    <col min="16134" max="16134" width="14" style="25" customWidth="1"/>
    <col min="16135" max="16135" width="13.42578125" style="25" customWidth="1"/>
    <col min="16136" max="16137" width="15" style="25" customWidth="1"/>
    <col min="16138" max="16138" width="16.5703125" style="25" customWidth="1"/>
    <col min="16139" max="16142" width="18.7109375" style="25" customWidth="1"/>
    <col min="16143" max="16384" width="9.140625" style="25"/>
  </cols>
  <sheetData>
    <row r="1" spans="1:187">
      <c r="E1" s="100"/>
      <c r="F1" s="100"/>
      <c r="G1" s="100"/>
      <c r="H1" s="100"/>
      <c r="I1" s="100"/>
      <c r="J1" s="100"/>
      <c r="K1" s="100"/>
      <c r="L1" s="100"/>
      <c r="M1" s="100"/>
      <c r="N1" s="100"/>
    </row>
    <row r="2" spans="1:187" s="5" customFormat="1" ht="72" customHeight="1">
      <c r="B2" s="97"/>
      <c r="C2" s="97"/>
      <c r="D2" s="97"/>
      <c r="E2" s="99" t="s">
        <v>412</v>
      </c>
      <c r="F2" s="99"/>
      <c r="G2" s="99"/>
      <c r="H2" s="99"/>
      <c r="I2" s="99"/>
      <c r="J2" s="99"/>
      <c r="K2" s="99"/>
      <c r="L2" s="96"/>
      <c r="M2" s="96"/>
      <c r="N2" s="96"/>
      <c r="O2" s="95"/>
      <c r="P2" s="95"/>
      <c r="Q2" s="95"/>
      <c r="R2" s="95"/>
      <c r="S2" s="95"/>
      <c r="T2" s="95"/>
      <c r="U2" s="95"/>
      <c r="V2" s="95"/>
      <c r="W2" s="95"/>
    </row>
    <row r="3" spans="1:187" s="5" customFormat="1" ht="15.75" customHeight="1">
      <c r="B3" s="57"/>
      <c r="C3" s="57"/>
      <c r="D3" s="58"/>
      <c r="E3" s="58"/>
      <c r="F3" s="58"/>
      <c r="G3" s="58"/>
      <c r="H3" s="58"/>
      <c r="I3" s="58"/>
      <c r="J3" s="58"/>
      <c r="K3" s="58"/>
      <c r="L3" s="58"/>
      <c r="M3" s="58"/>
      <c r="N3" s="58"/>
      <c r="O3" s="58"/>
      <c r="P3" s="58"/>
      <c r="Q3" s="58"/>
      <c r="R3" s="58"/>
      <c r="S3" s="58"/>
      <c r="T3" s="58"/>
      <c r="U3" s="58"/>
      <c r="V3" s="58"/>
      <c r="W3" s="58"/>
    </row>
    <row r="4" spans="1:187" s="5" customFormat="1" ht="15" hidden="1" customHeight="1" outlineLevel="1">
      <c r="B4" s="6"/>
      <c r="C4" s="82"/>
      <c r="D4" s="10"/>
      <c r="L4" s="94">
        <v>1.04</v>
      </c>
      <c r="N4" s="94">
        <v>1.04</v>
      </c>
    </row>
    <row r="5" spans="1:187" s="7" customFormat="1" ht="99.75" customHeight="1" collapsed="1">
      <c r="A5" s="107" t="s">
        <v>333</v>
      </c>
      <c r="B5" s="105" t="s">
        <v>0</v>
      </c>
      <c r="C5" s="103" t="s">
        <v>48</v>
      </c>
      <c r="D5" s="103" t="s">
        <v>49</v>
      </c>
      <c r="E5" s="103" t="s">
        <v>413</v>
      </c>
      <c r="F5" s="103"/>
      <c r="G5" s="103"/>
      <c r="H5" s="103"/>
      <c r="I5" s="103"/>
      <c r="J5" s="59" t="s">
        <v>371</v>
      </c>
      <c r="K5" s="103" t="s">
        <v>366</v>
      </c>
      <c r="L5" s="103"/>
      <c r="M5" s="103" t="s">
        <v>367</v>
      </c>
      <c r="N5" s="103"/>
      <c r="O5" s="59"/>
      <c r="P5" s="103" t="s">
        <v>50</v>
      </c>
      <c r="Q5" s="103"/>
      <c r="R5" s="103"/>
      <c r="S5" s="103"/>
      <c r="T5" s="103"/>
      <c r="U5" s="103" t="s">
        <v>414</v>
      </c>
      <c r="V5" s="103" t="s">
        <v>416</v>
      </c>
      <c r="W5" s="103" t="s">
        <v>415</v>
      </c>
    </row>
    <row r="6" spans="1:187" s="7" customFormat="1" ht="27.75" customHeight="1">
      <c r="A6" s="107"/>
      <c r="B6" s="105"/>
      <c r="C6" s="103"/>
      <c r="D6" s="103"/>
      <c r="E6" s="59" t="s">
        <v>409</v>
      </c>
      <c r="F6" s="59" t="s">
        <v>56</v>
      </c>
      <c r="G6" s="59" t="s">
        <v>51</v>
      </c>
      <c r="H6" s="59" t="s">
        <v>57</v>
      </c>
      <c r="I6" s="59" t="s">
        <v>52</v>
      </c>
      <c r="J6" s="59"/>
      <c r="K6" s="59" t="s">
        <v>53</v>
      </c>
      <c r="L6" s="59" t="s">
        <v>54</v>
      </c>
      <c r="M6" s="59" t="s">
        <v>53</v>
      </c>
      <c r="N6" s="59" t="s">
        <v>54</v>
      </c>
      <c r="O6" s="59"/>
      <c r="P6" s="59" t="s">
        <v>55</v>
      </c>
      <c r="Q6" s="59" t="s">
        <v>56</v>
      </c>
      <c r="R6" s="59" t="s">
        <v>51</v>
      </c>
      <c r="S6" s="59" t="s">
        <v>57</v>
      </c>
      <c r="T6" s="59" t="s">
        <v>58</v>
      </c>
      <c r="U6" s="103"/>
      <c r="V6" s="103"/>
      <c r="W6" s="103"/>
    </row>
    <row r="7" spans="1:187" s="7" customFormat="1" ht="15" customHeight="1">
      <c r="A7" s="60"/>
      <c r="B7" s="16"/>
      <c r="C7" s="16"/>
      <c r="D7" s="8"/>
      <c r="E7" s="60"/>
      <c r="F7" s="60"/>
      <c r="G7" s="60"/>
      <c r="H7" s="60"/>
      <c r="I7" s="60"/>
      <c r="J7" s="60"/>
      <c r="K7" s="60"/>
      <c r="L7" s="60"/>
      <c r="M7" s="60"/>
      <c r="N7" s="60"/>
      <c r="O7" s="60"/>
      <c r="P7" s="60"/>
      <c r="Q7" s="60"/>
      <c r="R7" s="60"/>
      <c r="S7" s="60"/>
      <c r="T7" s="60"/>
      <c r="U7" s="60"/>
      <c r="V7" s="60"/>
      <c r="W7" s="60"/>
    </row>
    <row r="8" spans="1:187" s="7" customFormat="1" ht="21" customHeight="1">
      <c r="A8" s="60"/>
      <c r="B8" s="101" t="s">
        <v>59</v>
      </c>
      <c r="C8" s="101"/>
      <c r="D8" s="101"/>
      <c r="E8" s="34"/>
      <c r="F8" s="34"/>
      <c r="G8" s="34"/>
      <c r="H8" s="34"/>
      <c r="I8" s="34"/>
      <c r="J8" s="60"/>
      <c r="K8" s="60"/>
      <c r="L8" s="60"/>
      <c r="M8" s="60"/>
      <c r="N8" s="60"/>
      <c r="O8" s="60"/>
      <c r="P8" s="60"/>
      <c r="Q8" s="60"/>
      <c r="R8" s="60"/>
      <c r="S8" s="60"/>
      <c r="T8" s="60"/>
      <c r="U8" s="60"/>
      <c r="V8" s="60"/>
      <c r="W8" s="60"/>
    </row>
    <row r="9" spans="1:187" s="13" customFormat="1" ht="21" customHeight="1">
      <c r="A9" s="24"/>
      <c r="B9" s="9" t="s">
        <v>292</v>
      </c>
      <c r="C9" s="10" t="s">
        <v>64</v>
      </c>
      <c r="D9" s="10" t="s">
        <v>61</v>
      </c>
      <c r="E9" s="35">
        <v>157.869</v>
      </c>
      <c r="F9" s="35">
        <f>261.751-E9</f>
        <v>103.88199999999998</v>
      </c>
      <c r="G9" s="35">
        <v>38.049999999999997</v>
      </c>
      <c r="H9" s="35">
        <f>166.639-G9</f>
        <v>128.589</v>
      </c>
      <c r="I9" s="35">
        <f>SUM(E9:H9)</f>
        <v>428.39</v>
      </c>
      <c r="J9" s="56">
        <v>543.57000000000005</v>
      </c>
      <c r="K9" s="49">
        <v>6186.78</v>
      </c>
      <c r="L9" s="49">
        <v>6434.2511999999997</v>
      </c>
      <c r="M9" s="49">
        <v>1461.85</v>
      </c>
      <c r="N9" s="49">
        <v>1520.3240000000001</v>
      </c>
      <c r="O9" s="56">
        <f>K9-M9</f>
        <v>4724.93</v>
      </c>
      <c r="P9" s="1">
        <f>(K9-M9)*E9</f>
        <v>745919.97417000006</v>
      </c>
      <c r="Q9" s="1">
        <f>(K9-M9)*F9</f>
        <v>490835.1782599999</v>
      </c>
      <c r="R9" s="1">
        <f>(L9-N9)*G9</f>
        <v>186974.92995999998</v>
      </c>
      <c r="S9" s="1">
        <f>(H9*(L9-N9))</f>
        <v>631876.98472079996</v>
      </c>
      <c r="T9" s="1">
        <f>SUM(P9:S9)</f>
        <v>2055607.0671108002</v>
      </c>
      <c r="U9" s="11"/>
      <c r="V9" s="11"/>
      <c r="W9" s="11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12"/>
      <c r="BN9" s="12"/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2"/>
      <c r="BZ9" s="12"/>
      <c r="CA9" s="12"/>
      <c r="CB9" s="12"/>
      <c r="CC9" s="12"/>
      <c r="CD9" s="12"/>
      <c r="CE9" s="12"/>
      <c r="CF9" s="12"/>
      <c r="CG9" s="12"/>
      <c r="CH9" s="12"/>
      <c r="CI9" s="12"/>
      <c r="CJ9" s="12"/>
      <c r="CK9" s="12"/>
      <c r="CL9" s="12"/>
      <c r="CM9" s="12"/>
      <c r="CN9" s="12"/>
      <c r="CO9" s="12"/>
      <c r="CP9" s="12"/>
      <c r="CQ9" s="12"/>
      <c r="CR9" s="12"/>
      <c r="CS9" s="12"/>
      <c r="CT9" s="12"/>
      <c r="CU9" s="12"/>
      <c r="CV9" s="12"/>
      <c r="CW9" s="12"/>
      <c r="CX9" s="12"/>
      <c r="CY9" s="12"/>
      <c r="CZ9" s="12"/>
      <c r="DA9" s="12"/>
      <c r="DB9" s="12"/>
      <c r="DC9" s="12"/>
      <c r="DD9" s="12"/>
      <c r="DE9" s="12"/>
      <c r="DF9" s="12"/>
      <c r="DG9" s="12"/>
      <c r="DH9" s="12"/>
      <c r="DI9" s="12"/>
      <c r="DJ9" s="12"/>
      <c r="DK9" s="12"/>
      <c r="DL9" s="12"/>
      <c r="DM9" s="12"/>
      <c r="DN9" s="12"/>
      <c r="DO9" s="12"/>
      <c r="DP9" s="12"/>
      <c r="DQ9" s="12"/>
      <c r="DR9" s="12"/>
      <c r="DS9" s="12"/>
      <c r="DT9" s="12"/>
      <c r="DU9" s="12"/>
      <c r="DV9" s="12"/>
      <c r="DW9" s="12"/>
      <c r="DX9" s="12"/>
      <c r="DY9" s="12"/>
      <c r="DZ9" s="12"/>
      <c r="EA9" s="12"/>
      <c r="EB9" s="12"/>
      <c r="EC9" s="12"/>
      <c r="ED9" s="12"/>
      <c r="EE9" s="12"/>
      <c r="EF9" s="12"/>
      <c r="EG9" s="12"/>
      <c r="EH9" s="12"/>
      <c r="EI9" s="12"/>
      <c r="EJ9" s="12"/>
      <c r="EK9" s="12"/>
      <c r="EL9" s="12"/>
      <c r="EM9" s="12"/>
      <c r="EN9" s="12"/>
      <c r="EO9" s="12"/>
      <c r="EP9" s="12"/>
      <c r="EQ9" s="12"/>
      <c r="ER9" s="12"/>
      <c r="ES9" s="12"/>
      <c r="ET9" s="12"/>
      <c r="EU9" s="12"/>
      <c r="EV9" s="12"/>
      <c r="EW9" s="12"/>
      <c r="EX9" s="12"/>
      <c r="EY9" s="12"/>
      <c r="EZ9" s="12"/>
      <c r="FA9" s="12"/>
      <c r="FB9" s="12"/>
      <c r="FC9" s="12"/>
      <c r="FD9" s="12"/>
      <c r="FE9" s="12"/>
      <c r="FF9" s="12"/>
      <c r="FG9" s="12"/>
      <c r="FH9" s="12"/>
      <c r="FI9" s="12"/>
      <c r="FJ9" s="12"/>
      <c r="FK9" s="12"/>
      <c r="FL9" s="12"/>
      <c r="FM9" s="12"/>
      <c r="FN9" s="12"/>
      <c r="FO9" s="12"/>
      <c r="FP9" s="12"/>
      <c r="FQ9" s="12"/>
      <c r="FR9" s="12"/>
      <c r="FS9" s="12"/>
      <c r="FT9" s="12"/>
      <c r="FU9" s="12"/>
      <c r="FV9" s="12"/>
      <c r="FW9" s="12"/>
      <c r="FX9" s="12"/>
      <c r="FY9" s="12"/>
      <c r="FZ9" s="12"/>
      <c r="GA9" s="12"/>
      <c r="GB9" s="12"/>
      <c r="GC9" s="12"/>
      <c r="GD9" s="12"/>
      <c r="GE9" s="12"/>
    </row>
    <row r="10" spans="1:187" ht="21" customHeight="1">
      <c r="A10" s="45"/>
      <c r="B10" s="9" t="s">
        <v>291</v>
      </c>
      <c r="C10" s="10" t="s">
        <v>66</v>
      </c>
      <c r="D10" s="10" t="s">
        <v>67</v>
      </c>
      <c r="E10" s="35">
        <v>175.43</v>
      </c>
      <c r="F10" s="35">
        <f>267.392-E10</f>
        <v>91.961999999999989</v>
      </c>
      <c r="G10" s="35">
        <v>47.5</v>
      </c>
      <c r="H10" s="35">
        <f>213.019-G10</f>
        <v>165.51900000000001</v>
      </c>
      <c r="I10" s="35">
        <f t="shared" ref="I10:I72" si="0">SUM(E10:H10)</f>
        <v>480.411</v>
      </c>
      <c r="J10" s="56">
        <v>438</v>
      </c>
      <c r="K10" s="49">
        <v>4238.37</v>
      </c>
      <c r="L10" s="49">
        <v>4407.9048000000003</v>
      </c>
      <c r="M10" s="49">
        <v>1362.75</v>
      </c>
      <c r="N10" s="49">
        <v>1417.26</v>
      </c>
      <c r="O10" s="56">
        <f t="shared" ref="O10:O75" si="1">K10-M10</f>
        <v>2875.62</v>
      </c>
      <c r="P10" s="1">
        <f t="shared" ref="P10:P74" si="2">(K10-M10)*E10</f>
        <v>504470.01659999997</v>
      </c>
      <c r="Q10" s="1">
        <f t="shared" ref="Q10:Q73" si="3">(K10-M10)*F10</f>
        <v>264447.76643999998</v>
      </c>
      <c r="R10" s="1">
        <f t="shared" ref="R10:R73" si="4">(L10-N10)*G10</f>
        <v>142055.628</v>
      </c>
      <c r="S10" s="1">
        <f t="shared" ref="S10:S73" si="5">(H10*(L10-N10))</f>
        <v>495008.53665120003</v>
      </c>
      <c r="T10" s="1">
        <f t="shared" ref="T10:T73" si="6">SUM(P10:S10)</f>
        <v>1405981.9476911998</v>
      </c>
      <c r="U10" s="11"/>
      <c r="V10" s="11"/>
      <c r="W10" s="11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12"/>
      <c r="AV10" s="12"/>
      <c r="AW10" s="12"/>
      <c r="AX10" s="12"/>
      <c r="AY10" s="12"/>
      <c r="AZ10" s="12"/>
      <c r="BA10" s="12"/>
      <c r="BB10" s="12"/>
      <c r="BC10" s="12"/>
      <c r="BD10" s="12"/>
      <c r="BE10" s="12"/>
      <c r="BF10" s="12"/>
      <c r="BG10" s="12"/>
      <c r="BH10" s="12"/>
      <c r="BI10" s="12"/>
      <c r="BJ10" s="12"/>
      <c r="BK10" s="12"/>
      <c r="BL10" s="12"/>
      <c r="BM10" s="12"/>
      <c r="BN10" s="12"/>
      <c r="BO10" s="12"/>
      <c r="BP10" s="12"/>
      <c r="BQ10" s="12"/>
      <c r="BR10" s="12"/>
      <c r="BS10" s="12"/>
      <c r="BT10" s="12"/>
      <c r="BU10" s="12"/>
      <c r="BV10" s="12"/>
      <c r="BW10" s="12"/>
      <c r="BX10" s="12"/>
      <c r="BY10" s="12"/>
      <c r="BZ10" s="12"/>
      <c r="CA10" s="12"/>
      <c r="CB10" s="12"/>
      <c r="CC10" s="12"/>
      <c r="CD10" s="12"/>
      <c r="CE10" s="12"/>
      <c r="CF10" s="12"/>
      <c r="CG10" s="12"/>
      <c r="CH10" s="12"/>
      <c r="CI10" s="12"/>
      <c r="CJ10" s="12"/>
      <c r="CK10" s="12"/>
      <c r="CL10" s="12"/>
      <c r="CM10" s="12"/>
      <c r="CN10" s="12"/>
      <c r="CO10" s="12"/>
      <c r="CP10" s="12"/>
      <c r="CQ10" s="12"/>
      <c r="CR10" s="12"/>
      <c r="CS10" s="12"/>
      <c r="CT10" s="12"/>
      <c r="CU10" s="12"/>
      <c r="CV10" s="12"/>
      <c r="CW10" s="12"/>
      <c r="CX10" s="12"/>
      <c r="CY10" s="12"/>
      <c r="CZ10" s="12"/>
      <c r="DA10" s="12"/>
      <c r="DB10" s="12"/>
      <c r="DC10" s="12"/>
      <c r="DD10" s="12"/>
      <c r="DE10" s="12"/>
      <c r="DF10" s="12"/>
      <c r="DG10" s="12"/>
      <c r="DH10" s="12"/>
      <c r="DI10" s="12"/>
      <c r="DJ10" s="12"/>
      <c r="DK10" s="12"/>
      <c r="DL10" s="12"/>
      <c r="DM10" s="12"/>
      <c r="DN10" s="12"/>
      <c r="DO10" s="12"/>
      <c r="DP10" s="12"/>
      <c r="DQ10" s="12"/>
      <c r="DR10" s="12"/>
      <c r="DS10" s="12"/>
      <c r="DT10" s="12"/>
      <c r="DU10" s="12"/>
      <c r="DV10" s="12"/>
      <c r="DW10" s="12"/>
      <c r="DX10" s="12"/>
      <c r="DY10" s="12"/>
      <c r="DZ10" s="12"/>
      <c r="EA10" s="12"/>
      <c r="EB10" s="12"/>
      <c r="EC10" s="12"/>
      <c r="ED10" s="12"/>
      <c r="EE10" s="12"/>
      <c r="EF10" s="12"/>
      <c r="EG10" s="12"/>
      <c r="EH10" s="12"/>
      <c r="EI10" s="12"/>
      <c r="EJ10" s="12"/>
      <c r="EK10" s="12"/>
      <c r="EL10" s="12"/>
      <c r="EM10" s="12"/>
      <c r="EN10" s="12"/>
      <c r="EO10" s="12"/>
      <c r="EP10" s="12"/>
      <c r="EQ10" s="12"/>
      <c r="ER10" s="12"/>
      <c r="ES10" s="12"/>
      <c r="ET10" s="12"/>
      <c r="EU10" s="12"/>
      <c r="EV10" s="12"/>
      <c r="EW10" s="12"/>
      <c r="EX10" s="12"/>
      <c r="EY10" s="12"/>
      <c r="EZ10" s="12"/>
      <c r="FA10" s="12"/>
      <c r="FB10" s="12"/>
      <c r="FC10" s="12"/>
      <c r="FD10" s="12"/>
      <c r="FE10" s="12"/>
      <c r="FF10" s="12"/>
      <c r="FG10" s="12"/>
      <c r="FH10" s="12"/>
      <c r="FI10" s="12"/>
      <c r="FJ10" s="12"/>
      <c r="FK10" s="12"/>
      <c r="FL10" s="12"/>
      <c r="FM10" s="12"/>
      <c r="FN10" s="12"/>
      <c r="FO10" s="12"/>
      <c r="FP10" s="12"/>
      <c r="FQ10" s="12"/>
      <c r="FR10" s="12"/>
      <c r="FS10" s="12"/>
      <c r="FT10" s="12"/>
      <c r="FU10" s="12"/>
      <c r="FV10" s="12"/>
      <c r="FW10" s="12"/>
      <c r="FX10" s="12"/>
      <c r="FY10" s="12"/>
      <c r="FZ10" s="12"/>
      <c r="GA10" s="12"/>
      <c r="GB10" s="12"/>
      <c r="GC10" s="12"/>
      <c r="GD10" s="12"/>
      <c r="GE10" s="12"/>
    </row>
    <row r="11" spans="1:187" ht="21" customHeight="1">
      <c r="A11" s="45"/>
      <c r="B11" s="9" t="s">
        <v>294</v>
      </c>
      <c r="C11" s="10" t="s">
        <v>295</v>
      </c>
      <c r="D11" s="10" t="s">
        <v>65</v>
      </c>
      <c r="E11" s="35">
        <v>419.7</v>
      </c>
      <c r="F11" s="35">
        <f>695.303-E11</f>
        <v>275.60300000000001</v>
      </c>
      <c r="G11" s="35">
        <v>97.06</v>
      </c>
      <c r="H11" s="35">
        <f>443.017-G11</f>
        <v>345.95699999999999</v>
      </c>
      <c r="I11" s="35">
        <f t="shared" si="0"/>
        <v>1138.3200000000002</v>
      </c>
      <c r="J11" s="56">
        <v>1119.2</v>
      </c>
      <c r="K11" s="49">
        <v>3754.47</v>
      </c>
      <c r="L11" s="49">
        <v>3904.6487999999999</v>
      </c>
      <c r="M11" s="49">
        <v>1227.02</v>
      </c>
      <c r="N11" s="49">
        <v>1276.1007999999999</v>
      </c>
      <c r="O11" s="56">
        <f t="shared" si="1"/>
        <v>2527.4499999999998</v>
      </c>
      <c r="P11" s="1">
        <f t="shared" si="2"/>
        <v>1060770.7649999999</v>
      </c>
      <c r="Q11" s="1">
        <f t="shared" si="3"/>
        <v>696572.80235000001</v>
      </c>
      <c r="R11" s="1">
        <f t="shared" si="4"/>
        <v>255126.86887999999</v>
      </c>
      <c r="S11" s="1">
        <f t="shared" si="5"/>
        <v>909364.5804359999</v>
      </c>
      <c r="T11" s="1">
        <f t="shared" si="6"/>
        <v>2921835.0166659998</v>
      </c>
      <c r="U11" s="11"/>
      <c r="V11" s="11"/>
      <c r="W11" s="11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2"/>
      <c r="BI11" s="12"/>
      <c r="BJ11" s="12"/>
      <c r="BK11" s="12"/>
      <c r="BL11" s="12"/>
      <c r="BM11" s="12"/>
      <c r="BN11" s="12"/>
      <c r="BO11" s="12"/>
      <c r="BP11" s="12"/>
      <c r="BQ11" s="12"/>
      <c r="BR11" s="12"/>
      <c r="BS11" s="12"/>
      <c r="BT11" s="12"/>
      <c r="BU11" s="12"/>
      <c r="BV11" s="12"/>
      <c r="BW11" s="12"/>
      <c r="BX11" s="12"/>
      <c r="BY11" s="12"/>
      <c r="BZ11" s="12"/>
      <c r="CA11" s="12"/>
      <c r="CB11" s="12"/>
      <c r="CC11" s="12"/>
      <c r="CD11" s="12"/>
      <c r="CE11" s="12"/>
      <c r="CF11" s="12"/>
      <c r="CG11" s="12"/>
      <c r="CH11" s="12"/>
      <c r="CI11" s="12"/>
      <c r="CJ11" s="12"/>
      <c r="CK11" s="12"/>
      <c r="CL11" s="12"/>
      <c r="CM11" s="12"/>
      <c r="CN11" s="12"/>
      <c r="CO11" s="12"/>
      <c r="CP11" s="12"/>
      <c r="CQ11" s="12"/>
      <c r="CR11" s="12"/>
      <c r="CS11" s="12"/>
      <c r="CT11" s="12"/>
      <c r="CU11" s="12"/>
      <c r="CV11" s="12"/>
      <c r="CW11" s="12"/>
      <c r="CX11" s="12"/>
      <c r="CY11" s="12"/>
      <c r="CZ11" s="12"/>
      <c r="DA11" s="12"/>
      <c r="DB11" s="12"/>
      <c r="DC11" s="12"/>
      <c r="DD11" s="12"/>
      <c r="DE11" s="12"/>
      <c r="DF11" s="12"/>
      <c r="DG11" s="12"/>
      <c r="DH11" s="12"/>
      <c r="DI11" s="12"/>
      <c r="DJ11" s="12"/>
      <c r="DK11" s="12"/>
      <c r="DL11" s="12"/>
      <c r="DM11" s="12"/>
      <c r="DN11" s="12"/>
      <c r="DO11" s="12"/>
      <c r="DP11" s="12"/>
      <c r="DQ11" s="12"/>
      <c r="DR11" s="12"/>
      <c r="DS11" s="12"/>
      <c r="DT11" s="12"/>
      <c r="DU11" s="12"/>
      <c r="DV11" s="12"/>
      <c r="DW11" s="12"/>
      <c r="DX11" s="12"/>
      <c r="DY11" s="12"/>
      <c r="DZ11" s="12"/>
      <c r="EA11" s="12"/>
      <c r="EB11" s="12"/>
      <c r="EC11" s="12"/>
      <c r="ED11" s="12"/>
      <c r="EE11" s="12"/>
      <c r="EF11" s="12"/>
      <c r="EG11" s="12"/>
      <c r="EH11" s="12"/>
      <c r="EI11" s="12"/>
      <c r="EJ11" s="12"/>
      <c r="EK11" s="12"/>
      <c r="EL11" s="12"/>
      <c r="EM11" s="12"/>
      <c r="EN11" s="12"/>
      <c r="EO11" s="12"/>
      <c r="EP11" s="12"/>
      <c r="EQ11" s="12"/>
      <c r="ER11" s="12"/>
      <c r="ES11" s="12"/>
      <c r="ET11" s="12"/>
      <c r="EU11" s="12"/>
      <c r="EV11" s="12"/>
      <c r="EW11" s="12"/>
      <c r="EX11" s="12"/>
      <c r="EY11" s="12"/>
      <c r="EZ11" s="12"/>
      <c r="FA11" s="12"/>
      <c r="FB11" s="12"/>
      <c r="FC11" s="12"/>
      <c r="FD11" s="12"/>
      <c r="FE11" s="12"/>
      <c r="FF11" s="12"/>
      <c r="FG11" s="12"/>
      <c r="FH11" s="12"/>
      <c r="FI11" s="12"/>
      <c r="FJ11" s="12"/>
      <c r="FK11" s="12"/>
      <c r="FL11" s="12"/>
      <c r="FM11" s="12"/>
      <c r="FN11" s="12"/>
      <c r="FO11" s="12"/>
      <c r="FP11" s="12"/>
      <c r="FQ11" s="12"/>
      <c r="FR11" s="12"/>
      <c r="FS11" s="12"/>
      <c r="FT11" s="12"/>
      <c r="FU11" s="12"/>
      <c r="FV11" s="12"/>
      <c r="FW11" s="12"/>
      <c r="FX11" s="12"/>
      <c r="FY11" s="12"/>
      <c r="FZ11" s="12"/>
      <c r="GA11" s="12"/>
      <c r="GB11" s="12"/>
      <c r="GC11" s="12"/>
      <c r="GD11" s="12"/>
      <c r="GE11" s="12"/>
    </row>
    <row r="12" spans="1:187" ht="21" customHeight="1">
      <c r="A12" s="45"/>
      <c r="B12" s="9" t="s">
        <v>2</v>
      </c>
      <c r="C12" s="10" t="s">
        <v>68</v>
      </c>
      <c r="D12" s="10" t="s">
        <v>67</v>
      </c>
      <c r="E12" s="35">
        <v>3003.4209999999998</v>
      </c>
      <c r="F12" s="35">
        <f>4330.493-E12</f>
        <v>1327.0720000000006</v>
      </c>
      <c r="G12" s="35">
        <v>335.471</v>
      </c>
      <c r="H12" s="35">
        <f>2385.512-G12</f>
        <v>2050.0410000000002</v>
      </c>
      <c r="I12" s="35">
        <f t="shared" si="0"/>
        <v>6716.0050000000001</v>
      </c>
      <c r="J12" s="56">
        <v>7045.42</v>
      </c>
      <c r="K12" s="49">
        <v>5484.5648000000001</v>
      </c>
      <c r="L12" s="49">
        <v>5703.947392</v>
      </c>
      <c r="M12" s="49">
        <v>1646.3204599999999</v>
      </c>
      <c r="N12" s="49">
        <v>1712.1732784000001</v>
      </c>
      <c r="O12" s="56">
        <f t="shared" si="1"/>
        <v>3838.2443400000002</v>
      </c>
      <c r="P12" s="1">
        <f t="shared" si="2"/>
        <v>11527863.65388714</v>
      </c>
      <c r="Q12" s="1">
        <f t="shared" si="3"/>
        <v>5093626.5927724829</v>
      </c>
      <c r="R12" s="1">
        <f t="shared" si="4"/>
        <v>1339124.4536635056</v>
      </c>
      <c r="S12" s="1">
        <f t="shared" si="5"/>
        <v>8183300.5956186578</v>
      </c>
      <c r="T12" s="1">
        <f t="shared" si="6"/>
        <v>26143915.295941785</v>
      </c>
      <c r="U12" s="11"/>
      <c r="V12" s="11"/>
      <c r="W12" s="11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2"/>
      <c r="BH12" s="12"/>
      <c r="BI12" s="12"/>
      <c r="BJ12" s="12"/>
      <c r="BK12" s="12"/>
      <c r="BL12" s="12"/>
      <c r="BM12" s="12"/>
      <c r="BN12" s="12"/>
      <c r="BO12" s="12"/>
      <c r="BP12" s="12"/>
      <c r="BQ12" s="12"/>
      <c r="BR12" s="12"/>
      <c r="BS12" s="12"/>
      <c r="BT12" s="12"/>
      <c r="BU12" s="12"/>
      <c r="BV12" s="12"/>
      <c r="BW12" s="12"/>
      <c r="BX12" s="12"/>
      <c r="BY12" s="12"/>
      <c r="BZ12" s="12"/>
      <c r="CA12" s="12"/>
      <c r="CB12" s="12"/>
      <c r="CC12" s="12"/>
      <c r="CD12" s="12"/>
      <c r="CE12" s="12"/>
      <c r="CF12" s="12"/>
      <c r="CG12" s="12"/>
      <c r="CH12" s="12"/>
      <c r="CI12" s="12"/>
      <c r="CJ12" s="12"/>
      <c r="CK12" s="12"/>
      <c r="CL12" s="12"/>
      <c r="CM12" s="12"/>
      <c r="CN12" s="12"/>
      <c r="CO12" s="12"/>
      <c r="CP12" s="12"/>
      <c r="CQ12" s="12"/>
      <c r="CR12" s="12"/>
      <c r="CS12" s="12"/>
      <c r="CT12" s="12"/>
      <c r="CU12" s="12"/>
      <c r="CV12" s="12"/>
      <c r="CW12" s="12"/>
      <c r="CX12" s="12"/>
      <c r="CY12" s="12"/>
      <c r="CZ12" s="12"/>
      <c r="DA12" s="12"/>
      <c r="DB12" s="12"/>
      <c r="DC12" s="12"/>
      <c r="DD12" s="12"/>
      <c r="DE12" s="12"/>
      <c r="DF12" s="12"/>
      <c r="DG12" s="12"/>
      <c r="DH12" s="12"/>
      <c r="DI12" s="12"/>
      <c r="DJ12" s="12"/>
      <c r="DK12" s="12"/>
      <c r="DL12" s="12"/>
      <c r="DM12" s="12"/>
      <c r="DN12" s="12"/>
      <c r="DO12" s="12"/>
      <c r="DP12" s="12"/>
      <c r="DQ12" s="12"/>
      <c r="DR12" s="12"/>
      <c r="DS12" s="12"/>
      <c r="DT12" s="12"/>
      <c r="DU12" s="12"/>
      <c r="DV12" s="12"/>
      <c r="DW12" s="12"/>
      <c r="DX12" s="12"/>
      <c r="DY12" s="12"/>
      <c r="DZ12" s="12"/>
      <c r="EA12" s="12"/>
      <c r="EB12" s="12"/>
      <c r="EC12" s="12"/>
      <c r="ED12" s="12"/>
      <c r="EE12" s="12"/>
      <c r="EF12" s="12"/>
      <c r="EG12" s="12"/>
      <c r="EH12" s="12"/>
      <c r="EI12" s="12"/>
      <c r="EJ12" s="12"/>
      <c r="EK12" s="12"/>
      <c r="EL12" s="12"/>
      <c r="EM12" s="12"/>
      <c r="EN12" s="12"/>
      <c r="EO12" s="12"/>
      <c r="EP12" s="12"/>
      <c r="EQ12" s="12"/>
      <c r="ER12" s="12"/>
      <c r="ES12" s="12"/>
      <c r="ET12" s="12"/>
      <c r="EU12" s="12"/>
      <c r="EV12" s="12"/>
      <c r="EW12" s="12"/>
      <c r="EX12" s="12"/>
      <c r="EY12" s="12"/>
      <c r="EZ12" s="12"/>
      <c r="FA12" s="12"/>
      <c r="FB12" s="12"/>
      <c r="FC12" s="12"/>
      <c r="FD12" s="12"/>
      <c r="FE12" s="12"/>
      <c r="FF12" s="12"/>
      <c r="FG12" s="12"/>
      <c r="FH12" s="12"/>
      <c r="FI12" s="12"/>
      <c r="FJ12" s="12"/>
      <c r="FK12" s="12"/>
      <c r="FL12" s="12"/>
      <c r="FM12" s="12"/>
      <c r="FN12" s="12"/>
      <c r="FO12" s="12"/>
      <c r="FP12" s="12"/>
      <c r="FQ12" s="12"/>
      <c r="FR12" s="12"/>
      <c r="FS12" s="12"/>
      <c r="FT12" s="12"/>
      <c r="FU12" s="12"/>
      <c r="FV12" s="12"/>
      <c r="FW12" s="12"/>
      <c r="FX12" s="12"/>
      <c r="FY12" s="12"/>
      <c r="FZ12" s="12"/>
      <c r="GA12" s="12"/>
      <c r="GB12" s="12"/>
      <c r="GC12" s="12"/>
      <c r="GD12" s="12"/>
      <c r="GE12" s="12"/>
    </row>
    <row r="13" spans="1:187" ht="21" customHeight="1">
      <c r="A13" s="45"/>
      <c r="B13" s="9" t="s">
        <v>293</v>
      </c>
      <c r="C13" s="10" t="s">
        <v>62</v>
      </c>
      <c r="D13" s="10" t="s">
        <v>63</v>
      </c>
      <c r="E13" s="35">
        <v>1603.2270000000001</v>
      </c>
      <c r="F13" s="35">
        <f>2603.919-E13</f>
        <v>1000.6919999999998</v>
      </c>
      <c r="G13" s="35">
        <v>278.95</v>
      </c>
      <c r="H13" s="35">
        <f>1977.28-G13</f>
        <v>1698.33</v>
      </c>
      <c r="I13" s="35">
        <f t="shared" si="0"/>
        <v>4581.1989999999996</v>
      </c>
      <c r="J13" s="56">
        <v>4533</v>
      </c>
      <c r="K13" s="49">
        <v>5586.58</v>
      </c>
      <c r="L13" s="49">
        <v>5810.0432000000001</v>
      </c>
      <c r="M13" s="49">
        <v>1447.89</v>
      </c>
      <c r="N13" s="49">
        <v>1505.8056000000001</v>
      </c>
      <c r="O13" s="56">
        <f t="shared" si="1"/>
        <v>4138.6899999999996</v>
      </c>
      <c r="P13" s="1">
        <f t="shared" si="2"/>
        <v>6635259.5526299998</v>
      </c>
      <c r="Q13" s="1">
        <f t="shared" si="3"/>
        <v>4141553.9734799988</v>
      </c>
      <c r="R13" s="1">
        <f t="shared" si="4"/>
        <v>1200667.07852</v>
      </c>
      <c r="S13" s="1">
        <f t="shared" si="5"/>
        <v>7310015.8432080001</v>
      </c>
      <c r="T13" s="1">
        <f t="shared" si="6"/>
        <v>19287496.447838001</v>
      </c>
      <c r="U13" s="11"/>
      <c r="V13" s="11"/>
      <c r="W13" s="11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2"/>
      <c r="BJ13" s="12"/>
      <c r="BK13" s="12"/>
      <c r="BL13" s="12"/>
      <c r="BM13" s="12"/>
      <c r="BN13" s="12"/>
      <c r="BO13" s="12"/>
      <c r="BP13" s="12"/>
      <c r="BQ13" s="12"/>
      <c r="BR13" s="12"/>
      <c r="BS13" s="12"/>
      <c r="BT13" s="12"/>
      <c r="BU13" s="12"/>
      <c r="BV13" s="12"/>
      <c r="BW13" s="12"/>
      <c r="BX13" s="12"/>
      <c r="BY13" s="12"/>
      <c r="BZ13" s="12"/>
      <c r="CA13" s="12"/>
      <c r="CB13" s="12"/>
      <c r="CC13" s="12"/>
      <c r="CD13" s="12"/>
      <c r="CE13" s="12"/>
      <c r="CF13" s="12"/>
      <c r="CG13" s="12"/>
      <c r="CH13" s="12"/>
      <c r="CI13" s="12"/>
      <c r="CJ13" s="12"/>
      <c r="CK13" s="12"/>
      <c r="CL13" s="12"/>
      <c r="CM13" s="12"/>
      <c r="CN13" s="12"/>
      <c r="CO13" s="12"/>
      <c r="CP13" s="12"/>
      <c r="CQ13" s="12"/>
      <c r="CR13" s="12"/>
      <c r="CS13" s="12"/>
      <c r="CT13" s="12"/>
      <c r="CU13" s="12"/>
      <c r="CV13" s="12"/>
      <c r="CW13" s="12"/>
      <c r="CX13" s="12"/>
      <c r="CY13" s="12"/>
      <c r="CZ13" s="12"/>
      <c r="DA13" s="12"/>
      <c r="DB13" s="12"/>
      <c r="DC13" s="12"/>
      <c r="DD13" s="12"/>
      <c r="DE13" s="12"/>
      <c r="DF13" s="12"/>
      <c r="DG13" s="12"/>
      <c r="DH13" s="12"/>
      <c r="DI13" s="12"/>
      <c r="DJ13" s="12"/>
      <c r="DK13" s="12"/>
      <c r="DL13" s="12"/>
      <c r="DM13" s="12"/>
      <c r="DN13" s="12"/>
      <c r="DO13" s="12"/>
      <c r="DP13" s="12"/>
      <c r="DQ13" s="12"/>
      <c r="DR13" s="12"/>
      <c r="DS13" s="12"/>
      <c r="DT13" s="12"/>
      <c r="DU13" s="12"/>
      <c r="DV13" s="12"/>
      <c r="DW13" s="12"/>
      <c r="DX13" s="12"/>
      <c r="DY13" s="12"/>
      <c r="DZ13" s="12"/>
      <c r="EA13" s="12"/>
      <c r="EB13" s="12"/>
      <c r="EC13" s="12"/>
      <c r="ED13" s="12"/>
      <c r="EE13" s="12"/>
      <c r="EF13" s="12"/>
      <c r="EG13" s="12"/>
      <c r="EH13" s="12"/>
      <c r="EI13" s="12"/>
      <c r="EJ13" s="12"/>
      <c r="EK13" s="12"/>
      <c r="EL13" s="12"/>
      <c r="EM13" s="12"/>
      <c r="EN13" s="12"/>
      <c r="EO13" s="12"/>
      <c r="EP13" s="12"/>
      <c r="EQ13" s="12"/>
      <c r="ER13" s="12"/>
      <c r="ES13" s="12"/>
      <c r="ET13" s="12"/>
      <c r="EU13" s="12"/>
      <c r="EV13" s="12"/>
      <c r="EW13" s="12"/>
      <c r="EX13" s="12"/>
      <c r="EY13" s="12"/>
      <c r="EZ13" s="12"/>
      <c r="FA13" s="12"/>
      <c r="FB13" s="12"/>
      <c r="FC13" s="12"/>
      <c r="FD13" s="12"/>
      <c r="FE13" s="12"/>
      <c r="FF13" s="12"/>
      <c r="FG13" s="12"/>
      <c r="FH13" s="12"/>
      <c r="FI13" s="12"/>
      <c r="FJ13" s="12"/>
      <c r="FK13" s="12"/>
      <c r="FL13" s="12"/>
      <c r="FM13" s="12"/>
      <c r="FN13" s="12"/>
      <c r="FO13" s="12"/>
      <c r="FP13" s="12"/>
      <c r="FQ13" s="12"/>
      <c r="FR13" s="12"/>
      <c r="FS13" s="12"/>
      <c r="FT13" s="12"/>
      <c r="FU13" s="12"/>
      <c r="FV13" s="12"/>
      <c r="FW13" s="12"/>
      <c r="FX13" s="12"/>
      <c r="FY13" s="12"/>
      <c r="FZ13" s="12"/>
      <c r="GA13" s="12"/>
      <c r="GB13" s="12"/>
      <c r="GC13" s="12"/>
      <c r="GD13" s="12"/>
      <c r="GE13" s="12"/>
    </row>
    <row r="14" spans="1:187" ht="21" customHeight="1">
      <c r="A14" s="45" t="s">
        <v>337</v>
      </c>
      <c r="B14" s="9" t="s">
        <v>353</v>
      </c>
      <c r="C14" s="10" t="s">
        <v>351</v>
      </c>
      <c r="D14" s="10" t="s">
        <v>352</v>
      </c>
      <c r="E14" s="35">
        <f>13.2*0.6</f>
        <v>7.919999999999999</v>
      </c>
      <c r="F14" s="35">
        <f>13.2-E14</f>
        <v>5.28</v>
      </c>
      <c r="G14" s="35">
        <f>10.8*0.2</f>
        <v>2.16</v>
      </c>
      <c r="H14" s="35">
        <f>10.8-G14</f>
        <v>8.64</v>
      </c>
      <c r="I14" s="35">
        <f t="shared" si="0"/>
        <v>24</v>
      </c>
      <c r="J14" s="56">
        <v>24</v>
      </c>
      <c r="K14" s="49">
        <v>2862.69</v>
      </c>
      <c r="L14" s="49">
        <v>2977.1976</v>
      </c>
      <c r="M14" s="49">
        <v>1901.06</v>
      </c>
      <c r="N14" s="49">
        <v>1977.1024</v>
      </c>
      <c r="O14" s="56">
        <f t="shared" si="1"/>
        <v>961.63000000000011</v>
      </c>
      <c r="P14" s="1">
        <f t="shared" si="2"/>
        <v>7616.1095999999998</v>
      </c>
      <c r="Q14" s="1">
        <f t="shared" si="3"/>
        <v>5077.4064000000008</v>
      </c>
      <c r="R14" s="1">
        <f t="shared" si="4"/>
        <v>2160.2056320000002</v>
      </c>
      <c r="S14" s="1">
        <f t="shared" si="5"/>
        <v>8640.8225280000006</v>
      </c>
      <c r="T14" s="1">
        <f t="shared" si="6"/>
        <v>23494.544160000001</v>
      </c>
      <c r="U14" s="11"/>
      <c r="V14" s="11"/>
      <c r="W14" s="11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  <c r="AZ14" s="12"/>
      <c r="BA14" s="12"/>
      <c r="BB14" s="12"/>
      <c r="BC14" s="12"/>
      <c r="BD14" s="12"/>
      <c r="BE14" s="12"/>
      <c r="BF14" s="12"/>
      <c r="BG14" s="12"/>
      <c r="BH14" s="12"/>
      <c r="BI14" s="12"/>
      <c r="BJ14" s="12"/>
      <c r="BK14" s="12"/>
      <c r="BL14" s="12"/>
      <c r="BM14" s="12"/>
      <c r="BN14" s="12"/>
      <c r="BO14" s="12"/>
      <c r="BP14" s="12"/>
      <c r="BQ14" s="12"/>
      <c r="BR14" s="12"/>
      <c r="BS14" s="12"/>
      <c r="BT14" s="12"/>
      <c r="BU14" s="12"/>
      <c r="BV14" s="12"/>
      <c r="BW14" s="12"/>
      <c r="BX14" s="12"/>
      <c r="BY14" s="12"/>
      <c r="BZ14" s="12"/>
      <c r="CA14" s="12"/>
      <c r="CB14" s="12"/>
      <c r="CC14" s="12"/>
      <c r="CD14" s="12"/>
      <c r="CE14" s="12"/>
      <c r="CF14" s="12"/>
      <c r="CG14" s="12"/>
      <c r="CH14" s="12"/>
      <c r="CI14" s="12"/>
      <c r="CJ14" s="12"/>
      <c r="CK14" s="12"/>
      <c r="CL14" s="12"/>
      <c r="CM14" s="12"/>
      <c r="CN14" s="12"/>
      <c r="CO14" s="12"/>
      <c r="CP14" s="12"/>
      <c r="CQ14" s="12"/>
      <c r="CR14" s="12"/>
      <c r="CS14" s="12"/>
      <c r="CT14" s="12"/>
      <c r="CU14" s="12"/>
      <c r="CV14" s="12"/>
      <c r="CW14" s="12"/>
      <c r="CX14" s="12"/>
      <c r="CY14" s="12"/>
      <c r="CZ14" s="12"/>
      <c r="DA14" s="12"/>
      <c r="DB14" s="12"/>
      <c r="DC14" s="12"/>
      <c r="DD14" s="12"/>
      <c r="DE14" s="12"/>
      <c r="DF14" s="12"/>
      <c r="DG14" s="12"/>
      <c r="DH14" s="12"/>
      <c r="DI14" s="12"/>
      <c r="DJ14" s="12"/>
      <c r="DK14" s="12"/>
      <c r="DL14" s="12"/>
      <c r="DM14" s="12"/>
      <c r="DN14" s="12"/>
      <c r="DO14" s="12"/>
      <c r="DP14" s="12"/>
      <c r="DQ14" s="12"/>
      <c r="DR14" s="12"/>
      <c r="DS14" s="12"/>
      <c r="DT14" s="12"/>
      <c r="DU14" s="12"/>
      <c r="DV14" s="12"/>
      <c r="DW14" s="12"/>
      <c r="DX14" s="12"/>
      <c r="DY14" s="12"/>
      <c r="DZ14" s="12"/>
      <c r="EA14" s="12"/>
      <c r="EB14" s="12"/>
      <c r="EC14" s="12"/>
      <c r="ED14" s="12"/>
      <c r="EE14" s="12"/>
      <c r="EF14" s="12"/>
      <c r="EG14" s="12"/>
      <c r="EH14" s="12"/>
      <c r="EI14" s="12"/>
      <c r="EJ14" s="12"/>
      <c r="EK14" s="12"/>
      <c r="EL14" s="12"/>
      <c r="EM14" s="12"/>
      <c r="EN14" s="12"/>
      <c r="EO14" s="12"/>
      <c r="EP14" s="12"/>
      <c r="EQ14" s="12"/>
      <c r="ER14" s="12"/>
      <c r="ES14" s="12"/>
      <c r="ET14" s="12"/>
      <c r="EU14" s="12"/>
      <c r="EV14" s="12"/>
      <c r="EW14" s="12"/>
      <c r="EX14" s="12"/>
      <c r="EY14" s="12"/>
      <c r="EZ14" s="12"/>
      <c r="FA14" s="12"/>
      <c r="FB14" s="12"/>
      <c r="FC14" s="12"/>
      <c r="FD14" s="12"/>
      <c r="FE14" s="12"/>
      <c r="FF14" s="12"/>
      <c r="FG14" s="12"/>
      <c r="FH14" s="12"/>
      <c r="FI14" s="12"/>
      <c r="FJ14" s="12"/>
      <c r="FK14" s="12"/>
      <c r="FL14" s="12"/>
      <c r="FM14" s="12"/>
      <c r="FN14" s="12"/>
      <c r="FO14" s="12"/>
      <c r="FP14" s="12"/>
      <c r="FQ14" s="12"/>
      <c r="FR14" s="12"/>
      <c r="FS14" s="12"/>
      <c r="FT14" s="12"/>
      <c r="FU14" s="12"/>
      <c r="FV14" s="12"/>
      <c r="FW14" s="12"/>
      <c r="FX14" s="12"/>
      <c r="FY14" s="12"/>
      <c r="FZ14" s="12"/>
      <c r="GA14" s="12"/>
      <c r="GB14" s="12"/>
      <c r="GC14" s="12"/>
      <c r="GD14" s="12"/>
      <c r="GE14" s="12"/>
    </row>
    <row r="15" spans="1:187" ht="21" customHeight="1">
      <c r="A15" s="45"/>
      <c r="B15" s="101" t="s">
        <v>69</v>
      </c>
      <c r="C15" s="101"/>
      <c r="D15" s="101"/>
      <c r="E15" s="34"/>
      <c r="F15" s="34"/>
      <c r="G15" s="34"/>
      <c r="H15" s="34"/>
      <c r="I15" s="35">
        <f t="shared" si="0"/>
        <v>0</v>
      </c>
      <c r="J15" s="56"/>
      <c r="K15" s="49"/>
      <c r="L15" s="49"/>
      <c r="M15" s="49"/>
      <c r="N15" s="49"/>
      <c r="O15" s="56">
        <f t="shared" si="1"/>
        <v>0</v>
      </c>
      <c r="P15" s="1">
        <f t="shared" si="2"/>
        <v>0</v>
      </c>
      <c r="Q15" s="1">
        <f t="shared" si="3"/>
        <v>0</v>
      </c>
      <c r="R15" s="1">
        <f t="shared" si="4"/>
        <v>0</v>
      </c>
      <c r="S15" s="1">
        <f t="shared" si="5"/>
        <v>0</v>
      </c>
      <c r="T15" s="1">
        <f t="shared" si="6"/>
        <v>0</v>
      </c>
      <c r="U15" s="45"/>
      <c r="V15" s="45"/>
      <c r="W15" s="45"/>
    </row>
    <row r="16" spans="1:187" ht="21" customHeight="1">
      <c r="A16" s="45"/>
      <c r="B16" s="9" t="s">
        <v>10</v>
      </c>
      <c r="C16" s="10" t="s">
        <v>74</v>
      </c>
      <c r="D16" s="10" t="s">
        <v>75</v>
      </c>
      <c r="E16" s="35">
        <v>94.2</v>
      </c>
      <c r="F16" s="35">
        <f>150.72-E16</f>
        <v>56.519999999999996</v>
      </c>
      <c r="G16" s="35">
        <v>6.27</v>
      </c>
      <c r="H16" s="35">
        <f>100.47-G16</f>
        <v>94.2</v>
      </c>
      <c r="I16" s="35">
        <f t="shared" si="0"/>
        <v>251.19</v>
      </c>
      <c r="J16" s="56">
        <v>282.59100000000001</v>
      </c>
      <c r="K16" s="49">
        <v>6501.3936000000003</v>
      </c>
      <c r="L16" s="49">
        <v>6761.4493440000006</v>
      </c>
      <c r="M16" s="49">
        <v>2030.4563699999999</v>
      </c>
      <c r="N16" s="49">
        <v>2111.6746247999999</v>
      </c>
      <c r="O16" s="56">
        <f t="shared" si="1"/>
        <v>4470.9372300000005</v>
      </c>
      <c r="P16" s="1">
        <f t="shared" si="2"/>
        <v>421162.28706600005</v>
      </c>
      <c r="Q16" s="1">
        <f t="shared" si="3"/>
        <v>252697.37223959999</v>
      </c>
      <c r="R16" s="1">
        <f t="shared" si="4"/>
        <v>29154.087489384001</v>
      </c>
      <c r="S16" s="1">
        <f t="shared" si="5"/>
        <v>438008.77854864008</v>
      </c>
      <c r="T16" s="1">
        <f t="shared" si="6"/>
        <v>1141022.5253436239</v>
      </c>
      <c r="U16" s="11"/>
      <c r="V16" s="11"/>
      <c r="W16" s="11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  <c r="BM16" s="12"/>
      <c r="BN16" s="12"/>
      <c r="BO16" s="12"/>
      <c r="BP16" s="12"/>
      <c r="BQ16" s="12"/>
      <c r="BR16" s="12"/>
      <c r="BS16" s="12"/>
      <c r="BT16" s="12"/>
      <c r="BU16" s="12"/>
      <c r="BV16" s="12"/>
      <c r="BW16" s="12"/>
      <c r="BX16" s="12"/>
      <c r="BY16" s="12"/>
      <c r="BZ16" s="12"/>
      <c r="CA16" s="12"/>
      <c r="CB16" s="12"/>
      <c r="CC16" s="12"/>
      <c r="CD16" s="12"/>
      <c r="CE16" s="12"/>
      <c r="CF16" s="12"/>
      <c r="CG16" s="12"/>
      <c r="CH16" s="12"/>
      <c r="CI16" s="12"/>
      <c r="CJ16" s="12"/>
      <c r="CK16" s="12"/>
      <c r="CL16" s="12"/>
      <c r="CM16" s="12"/>
      <c r="CN16" s="12"/>
      <c r="CO16" s="12"/>
      <c r="CP16" s="12"/>
      <c r="CQ16" s="12"/>
      <c r="CR16" s="12"/>
      <c r="CS16" s="12"/>
      <c r="CT16" s="12"/>
      <c r="CU16" s="12"/>
      <c r="CV16" s="12"/>
      <c r="CW16" s="12"/>
      <c r="CX16" s="12"/>
      <c r="CY16" s="12"/>
      <c r="CZ16" s="12"/>
      <c r="DA16" s="12"/>
      <c r="DB16" s="12"/>
      <c r="DC16" s="12"/>
      <c r="DD16" s="12"/>
      <c r="DE16" s="12"/>
      <c r="DF16" s="12"/>
      <c r="DG16" s="12"/>
      <c r="DH16" s="12"/>
      <c r="DI16" s="12"/>
      <c r="DJ16" s="12"/>
      <c r="DK16" s="12"/>
      <c r="DL16" s="12"/>
      <c r="DM16" s="12"/>
      <c r="DN16" s="12"/>
      <c r="DO16" s="12"/>
      <c r="DP16" s="12"/>
      <c r="DQ16" s="12"/>
      <c r="DR16" s="12"/>
      <c r="DS16" s="12"/>
      <c r="DT16" s="12"/>
      <c r="DU16" s="12"/>
      <c r="DV16" s="12"/>
      <c r="DW16" s="12"/>
      <c r="DX16" s="12"/>
      <c r="DY16" s="12"/>
      <c r="DZ16" s="12"/>
      <c r="EA16" s="12"/>
      <c r="EB16" s="12"/>
      <c r="EC16" s="12"/>
      <c r="ED16" s="12"/>
      <c r="EE16" s="12"/>
      <c r="EF16" s="12"/>
      <c r="EG16" s="12"/>
      <c r="EH16" s="12"/>
      <c r="EI16" s="12"/>
      <c r="EJ16" s="12"/>
      <c r="EK16" s="12"/>
      <c r="EL16" s="12"/>
      <c r="EM16" s="12"/>
      <c r="EN16" s="12"/>
      <c r="EO16" s="12"/>
      <c r="EP16" s="12"/>
      <c r="EQ16" s="12"/>
      <c r="ER16" s="12"/>
      <c r="ES16" s="12"/>
      <c r="ET16" s="12"/>
      <c r="EU16" s="12"/>
      <c r="EV16" s="12"/>
      <c r="EW16" s="12"/>
      <c r="EX16" s="12"/>
      <c r="EY16" s="12"/>
      <c r="EZ16" s="12"/>
      <c r="FA16" s="12"/>
      <c r="FB16" s="12"/>
      <c r="FC16" s="12"/>
      <c r="FD16" s="12"/>
      <c r="FE16" s="12"/>
      <c r="FF16" s="12"/>
      <c r="FG16" s="12"/>
      <c r="FH16" s="12"/>
      <c r="FI16" s="12"/>
      <c r="FJ16" s="12"/>
      <c r="FK16" s="12"/>
      <c r="FL16" s="12"/>
      <c r="FM16" s="12"/>
      <c r="FN16" s="12"/>
      <c r="FO16" s="12"/>
      <c r="FP16" s="12"/>
      <c r="FQ16" s="12"/>
      <c r="FR16" s="12"/>
      <c r="FS16" s="12"/>
      <c r="FT16" s="12"/>
      <c r="FU16" s="12"/>
      <c r="FV16" s="12"/>
      <c r="FW16" s="12"/>
      <c r="FX16" s="12"/>
      <c r="FY16" s="12"/>
      <c r="FZ16" s="12"/>
      <c r="GA16" s="12"/>
      <c r="GB16" s="12"/>
      <c r="GC16" s="12"/>
      <c r="GD16" s="12"/>
      <c r="GE16" s="12"/>
    </row>
    <row r="17" spans="1:187" ht="21" customHeight="1">
      <c r="A17" s="45"/>
      <c r="B17" s="9" t="s">
        <v>290</v>
      </c>
      <c r="C17" s="10" t="s">
        <v>76</v>
      </c>
      <c r="D17" s="10" t="s">
        <v>323</v>
      </c>
      <c r="E17" s="35">
        <v>112.71299999999999</v>
      </c>
      <c r="F17" s="35">
        <f>165.904-E17</f>
        <v>53.191000000000003</v>
      </c>
      <c r="G17" s="35">
        <v>19.88</v>
      </c>
      <c r="H17" s="35">
        <f>132.643-G17</f>
        <v>112.76300000000001</v>
      </c>
      <c r="I17" s="35">
        <f t="shared" si="0"/>
        <v>298.54700000000003</v>
      </c>
      <c r="J17" s="56">
        <v>328.9</v>
      </c>
      <c r="K17" s="49">
        <v>3819.2128000000002</v>
      </c>
      <c r="L17" s="49">
        <v>3971.9813120000003</v>
      </c>
      <c r="M17" s="49">
        <v>1220.06161</v>
      </c>
      <c r="N17" s="49">
        <v>1268.8640743999999</v>
      </c>
      <c r="O17" s="56">
        <f t="shared" si="1"/>
        <v>2599.1511900000005</v>
      </c>
      <c r="P17" s="1">
        <f t="shared" si="2"/>
        <v>292958.12807847006</v>
      </c>
      <c r="Q17" s="1">
        <f t="shared" si="3"/>
        <v>138251.45094729002</v>
      </c>
      <c r="R17" s="1">
        <f t="shared" si="4"/>
        <v>53737.970683488005</v>
      </c>
      <c r="S17" s="1">
        <f t="shared" si="5"/>
        <v>304811.60906348884</v>
      </c>
      <c r="T17" s="1">
        <f t="shared" si="6"/>
        <v>789759.1587727369</v>
      </c>
      <c r="U17" s="11"/>
      <c r="V17" s="11"/>
      <c r="W17" s="11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  <c r="AZ17" s="12"/>
      <c r="BA17" s="12"/>
      <c r="BB17" s="12"/>
      <c r="BC17" s="12"/>
      <c r="BD17" s="12"/>
      <c r="BE17" s="12"/>
      <c r="BF17" s="12"/>
      <c r="BG17" s="12"/>
      <c r="BH17" s="12"/>
      <c r="BI17" s="12"/>
      <c r="BJ17" s="12"/>
      <c r="BK17" s="12"/>
      <c r="BL17" s="12"/>
      <c r="BM17" s="12"/>
      <c r="BN17" s="12"/>
      <c r="BO17" s="12"/>
      <c r="BP17" s="12"/>
      <c r="BQ17" s="12"/>
      <c r="BR17" s="12"/>
      <c r="BS17" s="12"/>
      <c r="BT17" s="12"/>
      <c r="BU17" s="12"/>
      <c r="BV17" s="12"/>
      <c r="BW17" s="12"/>
      <c r="BX17" s="12"/>
      <c r="BY17" s="12"/>
      <c r="BZ17" s="12"/>
      <c r="CA17" s="12"/>
      <c r="CB17" s="12"/>
      <c r="CC17" s="12"/>
      <c r="CD17" s="12"/>
      <c r="CE17" s="12"/>
      <c r="CF17" s="12"/>
      <c r="CG17" s="12"/>
      <c r="CH17" s="12"/>
      <c r="CI17" s="12"/>
      <c r="CJ17" s="12"/>
      <c r="CK17" s="12"/>
      <c r="CL17" s="12"/>
      <c r="CM17" s="12"/>
      <c r="CN17" s="12"/>
      <c r="CO17" s="12"/>
      <c r="CP17" s="12"/>
      <c r="CQ17" s="12"/>
      <c r="CR17" s="12"/>
      <c r="CS17" s="12"/>
      <c r="CT17" s="12"/>
      <c r="CU17" s="12"/>
      <c r="CV17" s="12"/>
      <c r="CW17" s="12"/>
      <c r="CX17" s="12"/>
      <c r="CY17" s="12"/>
      <c r="CZ17" s="12"/>
      <c r="DA17" s="12"/>
      <c r="DB17" s="12"/>
      <c r="DC17" s="12"/>
      <c r="DD17" s="12"/>
      <c r="DE17" s="12"/>
      <c r="DF17" s="12"/>
      <c r="DG17" s="12"/>
      <c r="DH17" s="12"/>
      <c r="DI17" s="12"/>
      <c r="DJ17" s="12"/>
      <c r="DK17" s="12"/>
      <c r="DL17" s="12"/>
      <c r="DM17" s="12"/>
      <c r="DN17" s="12"/>
      <c r="DO17" s="12"/>
      <c r="DP17" s="12"/>
      <c r="DQ17" s="12"/>
      <c r="DR17" s="12"/>
      <c r="DS17" s="12"/>
      <c r="DT17" s="12"/>
      <c r="DU17" s="12"/>
      <c r="DV17" s="12"/>
      <c r="DW17" s="12"/>
      <c r="DX17" s="12"/>
      <c r="DY17" s="12"/>
      <c r="DZ17" s="12"/>
      <c r="EA17" s="12"/>
      <c r="EB17" s="12"/>
      <c r="EC17" s="12"/>
      <c r="ED17" s="12"/>
      <c r="EE17" s="12"/>
      <c r="EF17" s="12"/>
      <c r="EG17" s="12"/>
      <c r="EH17" s="12"/>
      <c r="EI17" s="12"/>
      <c r="EJ17" s="12"/>
      <c r="EK17" s="12"/>
      <c r="EL17" s="12"/>
      <c r="EM17" s="12"/>
      <c r="EN17" s="12"/>
      <c r="EO17" s="12"/>
      <c r="EP17" s="12"/>
      <c r="EQ17" s="12"/>
      <c r="ER17" s="12"/>
      <c r="ES17" s="12"/>
      <c r="ET17" s="12"/>
      <c r="EU17" s="12"/>
      <c r="EV17" s="12"/>
      <c r="EW17" s="12"/>
      <c r="EX17" s="12"/>
      <c r="EY17" s="12"/>
      <c r="EZ17" s="12"/>
      <c r="FA17" s="12"/>
      <c r="FB17" s="12"/>
      <c r="FC17" s="12"/>
      <c r="FD17" s="12"/>
      <c r="FE17" s="12"/>
      <c r="FF17" s="12"/>
      <c r="FG17" s="12"/>
      <c r="FH17" s="12"/>
      <c r="FI17" s="12"/>
      <c r="FJ17" s="12"/>
      <c r="FK17" s="12"/>
      <c r="FL17" s="12"/>
      <c r="FM17" s="12"/>
      <c r="FN17" s="12"/>
      <c r="FO17" s="12"/>
      <c r="FP17" s="12"/>
      <c r="FQ17" s="12"/>
      <c r="FR17" s="12"/>
      <c r="FS17" s="12"/>
      <c r="FT17" s="12"/>
      <c r="FU17" s="12"/>
      <c r="FV17" s="12"/>
      <c r="FW17" s="12"/>
      <c r="FX17" s="12"/>
      <c r="FY17" s="12"/>
      <c r="FZ17" s="12"/>
      <c r="GA17" s="12"/>
      <c r="GB17" s="12"/>
      <c r="GC17" s="12"/>
      <c r="GD17" s="12"/>
      <c r="GE17" s="12"/>
    </row>
    <row r="18" spans="1:187" ht="21" customHeight="1">
      <c r="A18" s="45"/>
      <c r="B18" s="9" t="s">
        <v>290</v>
      </c>
      <c r="C18" s="10" t="s">
        <v>76</v>
      </c>
      <c r="D18" s="10" t="s">
        <v>324</v>
      </c>
      <c r="E18" s="35">
        <v>145.21</v>
      </c>
      <c r="F18" s="35">
        <f>214.31-E18</f>
        <v>69.099999999999994</v>
      </c>
      <c r="G18" s="35">
        <v>23.91</v>
      </c>
      <c r="H18" s="35">
        <f>176.12-G18</f>
        <v>152.21</v>
      </c>
      <c r="I18" s="35">
        <f t="shared" si="0"/>
        <v>390.43</v>
      </c>
      <c r="J18" s="56">
        <v>432.91</v>
      </c>
      <c r="K18" s="49">
        <v>5681.8424000000005</v>
      </c>
      <c r="L18" s="49">
        <v>5909.1160960000007</v>
      </c>
      <c r="M18" s="49">
        <v>1471.0778299999997</v>
      </c>
      <c r="N18" s="49">
        <v>1529.9209431999998</v>
      </c>
      <c r="O18" s="56">
        <f t="shared" si="1"/>
        <v>4210.7645700000012</v>
      </c>
      <c r="P18" s="1">
        <f t="shared" si="2"/>
        <v>611445.12320970022</v>
      </c>
      <c r="Q18" s="1">
        <f t="shared" si="3"/>
        <v>290963.83178700006</v>
      </c>
      <c r="R18" s="1">
        <f t="shared" si="4"/>
        <v>104706.55610344802</v>
      </c>
      <c r="S18" s="1">
        <f t="shared" si="5"/>
        <v>666557.29420768819</v>
      </c>
      <c r="T18" s="1">
        <f t="shared" si="6"/>
        <v>1673672.8053078365</v>
      </c>
      <c r="U18" s="11"/>
      <c r="V18" s="11"/>
      <c r="W18" s="11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  <c r="AZ18" s="12"/>
      <c r="BA18" s="12"/>
      <c r="BB18" s="12"/>
      <c r="BC18" s="12"/>
      <c r="BD18" s="12"/>
      <c r="BE18" s="12"/>
      <c r="BF18" s="12"/>
      <c r="BG18" s="12"/>
      <c r="BH18" s="12"/>
      <c r="BI18" s="12"/>
      <c r="BJ18" s="12"/>
      <c r="BK18" s="12"/>
      <c r="BL18" s="12"/>
      <c r="BM18" s="12"/>
      <c r="BN18" s="12"/>
      <c r="BO18" s="12"/>
      <c r="BP18" s="12"/>
      <c r="BQ18" s="12"/>
      <c r="BR18" s="12"/>
      <c r="BS18" s="12"/>
      <c r="BT18" s="12"/>
      <c r="BU18" s="12"/>
      <c r="BV18" s="12"/>
      <c r="BW18" s="12"/>
      <c r="BX18" s="12"/>
      <c r="BY18" s="12"/>
      <c r="BZ18" s="12"/>
      <c r="CA18" s="12"/>
      <c r="CB18" s="12"/>
      <c r="CC18" s="12"/>
      <c r="CD18" s="12"/>
      <c r="CE18" s="12"/>
      <c r="CF18" s="12"/>
      <c r="CG18" s="12"/>
      <c r="CH18" s="12"/>
      <c r="CI18" s="12"/>
      <c r="CJ18" s="12"/>
      <c r="CK18" s="12"/>
      <c r="CL18" s="12"/>
      <c r="CM18" s="12"/>
      <c r="CN18" s="12"/>
      <c r="CO18" s="12"/>
      <c r="CP18" s="12"/>
      <c r="CQ18" s="12"/>
      <c r="CR18" s="12"/>
      <c r="CS18" s="12"/>
      <c r="CT18" s="12"/>
      <c r="CU18" s="12"/>
      <c r="CV18" s="12"/>
      <c r="CW18" s="12"/>
      <c r="CX18" s="12"/>
      <c r="CY18" s="12"/>
      <c r="CZ18" s="12"/>
      <c r="DA18" s="12"/>
      <c r="DB18" s="12"/>
      <c r="DC18" s="12"/>
      <c r="DD18" s="12"/>
      <c r="DE18" s="12"/>
      <c r="DF18" s="12"/>
      <c r="DG18" s="12"/>
      <c r="DH18" s="12"/>
      <c r="DI18" s="12"/>
      <c r="DJ18" s="12"/>
      <c r="DK18" s="12"/>
      <c r="DL18" s="12"/>
      <c r="DM18" s="12"/>
      <c r="DN18" s="12"/>
      <c r="DO18" s="12"/>
      <c r="DP18" s="12"/>
      <c r="DQ18" s="12"/>
      <c r="DR18" s="12"/>
      <c r="DS18" s="12"/>
      <c r="DT18" s="12"/>
      <c r="DU18" s="12"/>
      <c r="DV18" s="12"/>
      <c r="DW18" s="12"/>
      <c r="DX18" s="12"/>
      <c r="DY18" s="12"/>
      <c r="DZ18" s="12"/>
      <c r="EA18" s="12"/>
      <c r="EB18" s="12"/>
      <c r="EC18" s="12"/>
      <c r="ED18" s="12"/>
      <c r="EE18" s="12"/>
      <c r="EF18" s="12"/>
      <c r="EG18" s="12"/>
      <c r="EH18" s="12"/>
      <c r="EI18" s="12"/>
      <c r="EJ18" s="12"/>
      <c r="EK18" s="12"/>
      <c r="EL18" s="12"/>
      <c r="EM18" s="12"/>
      <c r="EN18" s="12"/>
      <c r="EO18" s="12"/>
      <c r="EP18" s="12"/>
      <c r="EQ18" s="12"/>
      <c r="ER18" s="12"/>
      <c r="ES18" s="12"/>
      <c r="ET18" s="12"/>
      <c r="EU18" s="12"/>
      <c r="EV18" s="12"/>
      <c r="EW18" s="12"/>
      <c r="EX18" s="12"/>
      <c r="EY18" s="12"/>
      <c r="EZ18" s="12"/>
      <c r="FA18" s="12"/>
      <c r="FB18" s="12"/>
      <c r="FC18" s="12"/>
      <c r="FD18" s="12"/>
      <c r="FE18" s="12"/>
      <c r="FF18" s="12"/>
      <c r="FG18" s="12"/>
      <c r="FH18" s="12"/>
      <c r="FI18" s="12"/>
      <c r="FJ18" s="12"/>
      <c r="FK18" s="12"/>
      <c r="FL18" s="12"/>
      <c r="FM18" s="12"/>
      <c r="FN18" s="12"/>
      <c r="FO18" s="12"/>
      <c r="FP18" s="12"/>
      <c r="FQ18" s="12"/>
      <c r="FR18" s="12"/>
      <c r="FS18" s="12"/>
      <c r="FT18" s="12"/>
      <c r="FU18" s="12"/>
      <c r="FV18" s="12"/>
      <c r="FW18" s="12"/>
      <c r="FX18" s="12"/>
      <c r="FY18" s="12"/>
      <c r="FZ18" s="12"/>
      <c r="GA18" s="12"/>
      <c r="GB18" s="12"/>
      <c r="GC18" s="12"/>
      <c r="GD18" s="12"/>
      <c r="GE18" s="12"/>
    </row>
    <row r="19" spans="1:187" ht="21" customHeight="1">
      <c r="A19" s="45"/>
      <c r="B19" s="9" t="s">
        <v>15</v>
      </c>
      <c r="C19" s="10" t="s">
        <v>79</v>
      </c>
      <c r="D19" s="10" t="s">
        <v>80</v>
      </c>
      <c r="E19" s="35">
        <v>411.36</v>
      </c>
      <c r="F19" s="35">
        <f>617.04-E19</f>
        <v>205.67999999999995</v>
      </c>
      <c r="G19" s="35">
        <v>68.56</v>
      </c>
      <c r="H19" s="35">
        <f>479.92-G19</f>
        <v>411.36</v>
      </c>
      <c r="I19" s="35">
        <f t="shared" si="0"/>
        <v>1096.96</v>
      </c>
      <c r="J19" s="56">
        <v>1127.27</v>
      </c>
      <c r="K19" s="49">
        <v>2955.7320000000004</v>
      </c>
      <c r="L19" s="49">
        <v>3073.9612800000004</v>
      </c>
      <c r="M19" s="49">
        <v>1862.2653399999997</v>
      </c>
      <c r="N19" s="49">
        <v>1936.7559535999997</v>
      </c>
      <c r="O19" s="56">
        <f t="shared" si="1"/>
        <v>1093.4666600000007</v>
      </c>
      <c r="P19" s="1">
        <f t="shared" si="2"/>
        <v>449808.44525760034</v>
      </c>
      <c r="Q19" s="1">
        <f t="shared" si="3"/>
        <v>224904.22262880008</v>
      </c>
      <c r="R19" s="1">
        <f t="shared" si="4"/>
        <v>77966.797177984059</v>
      </c>
      <c r="S19" s="1">
        <f t="shared" si="5"/>
        <v>467800.78306790435</v>
      </c>
      <c r="T19" s="1">
        <f t="shared" si="6"/>
        <v>1220480.2481322887</v>
      </c>
      <c r="U19" s="11"/>
      <c r="V19" s="11"/>
      <c r="W19" s="11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  <c r="AZ19" s="12"/>
      <c r="BA19" s="12"/>
      <c r="BB19" s="12"/>
      <c r="BC19" s="12"/>
      <c r="BD19" s="12"/>
      <c r="BE19" s="12"/>
      <c r="BF19" s="12"/>
      <c r="BG19" s="12"/>
      <c r="BH19" s="12"/>
      <c r="BI19" s="12"/>
      <c r="BJ19" s="12"/>
      <c r="BK19" s="12"/>
      <c r="BL19" s="12"/>
      <c r="BM19" s="12"/>
      <c r="BN19" s="12"/>
      <c r="BO19" s="12"/>
      <c r="BP19" s="12"/>
      <c r="BQ19" s="12"/>
      <c r="BR19" s="12"/>
      <c r="BS19" s="12"/>
      <c r="BT19" s="12"/>
      <c r="BU19" s="12"/>
      <c r="BV19" s="12"/>
      <c r="BW19" s="12"/>
      <c r="BX19" s="12"/>
      <c r="BY19" s="12"/>
      <c r="BZ19" s="12"/>
      <c r="CA19" s="12"/>
      <c r="CB19" s="12"/>
      <c r="CC19" s="12"/>
      <c r="CD19" s="12"/>
      <c r="CE19" s="12"/>
      <c r="CF19" s="12"/>
      <c r="CG19" s="12"/>
      <c r="CH19" s="12"/>
      <c r="CI19" s="12"/>
      <c r="CJ19" s="12"/>
      <c r="CK19" s="12"/>
      <c r="CL19" s="12"/>
      <c r="CM19" s="12"/>
      <c r="CN19" s="12"/>
      <c r="CO19" s="12"/>
      <c r="CP19" s="12"/>
      <c r="CQ19" s="12"/>
      <c r="CR19" s="12"/>
      <c r="CS19" s="12"/>
      <c r="CT19" s="12"/>
      <c r="CU19" s="12"/>
      <c r="CV19" s="12"/>
      <c r="CW19" s="12"/>
      <c r="CX19" s="12"/>
      <c r="CY19" s="12"/>
      <c r="CZ19" s="12"/>
      <c r="DA19" s="12"/>
      <c r="DB19" s="12"/>
      <c r="DC19" s="12"/>
      <c r="DD19" s="12"/>
      <c r="DE19" s="12"/>
      <c r="DF19" s="12"/>
      <c r="DG19" s="12"/>
      <c r="DH19" s="12"/>
      <c r="DI19" s="12"/>
      <c r="DJ19" s="12"/>
      <c r="DK19" s="12"/>
      <c r="DL19" s="12"/>
      <c r="DM19" s="12"/>
      <c r="DN19" s="12"/>
      <c r="DO19" s="12"/>
      <c r="DP19" s="12"/>
      <c r="DQ19" s="12"/>
      <c r="DR19" s="12"/>
      <c r="DS19" s="12"/>
      <c r="DT19" s="12"/>
      <c r="DU19" s="12"/>
      <c r="DV19" s="12"/>
      <c r="DW19" s="12"/>
      <c r="DX19" s="12"/>
      <c r="DY19" s="12"/>
      <c r="DZ19" s="12"/>
      <c r="EA19" s="12"/>
      <c r="EB19" s="12"/>
      <c r="EC19" s="12"/>
      <c r="ED19" s="12"/>
      <c r="EE19" s="12"/>
      <c r="EF19" s="12"/>
      <c r="EG19" s="12"/>
      <c r="EH19" s="12"/>
      <c r="EI19" s="12"/>
      <c r="EJ19" s="12"/>
      <c r="EK19" s="12"/>
      <c r="EL19" s="12"/>
      <c r="EM19" s="12"/>
      <c r="EN19" s="12"/>
      <c r="EO19" s="12"/>
      <c r="EP19" s="12"/>
      <c r="EQ19" s="12"/>
      <c r="ER19" s="12"/>
      <c r="ES19" s="12"/>
      <c r="ET19" s="12"/>
      <c r="EU19" s="12"/>
      <c r="EV19" s="12"/>
      <c r="EW19" s="12"/>
      <c r="EX19" s="12"/>
      <c r="EY19" s="12"/>
      <c r="EZ19" s="12"/>
      <c r="FA19" s="12"/>
      <c r="FB19" s="12"/>
      <c r="FC19" s="12"/>
      <c r="FD19" s="12"/>
      <c r="FE19" s="12"/>
      <c r="FF19" s="12"/>
      <c r="FG19" s="12"/>
      <c r="FH19" s="12"/>
      <c r="FI19" s="12"/>
      <c r="FJ19" s="12"/>
      <c r="FK19" s="12"/>
      <c r="FL19" s="12"/>
      <c r="FM19" s="12"/>
      <c r="FN19" s="12"/>
      <c r="FO19" s="12"/>
      <c r="FP19" s="12"/>
      <c r="FQ19" s="12"/>
      <c r="FR19" s="12"/>
      <c r="FS19" s="12"/>
      <c r="FT19" s="12"/>
      <c r="FU19" s="12"/>
      <c r="FV19" s="12"/>
      <c r="FW19" s="12"/>
      <c r="FX19" s="12"/>
      <c r="FY19" s="12"/>
      <c r="FZ19" s="12"/>
      <c r="GA19" s="12"/>
      <c r="GB19" s="12"/>
      <c r="GC19" s="12"/>
      <c r="GD19" s="12"/>
      <c r="GE19" s="12"/>
    </row>
    <row r="20" spans="1:187" ht="21" customHeight="1">
      <c r="A20" s="45"/>
      <c r="B20" s="9" t="s">
        <v>11</v>
      </c>
      <c r="C20" s="10" t="s">
        <v>70</v>
      </c>
      <c r="D20" s="10" t="s">
        <v>322</v>
      </c>
      <c r="E20" s="35">
        <v>40.53</v>
      </c>
      <c r="F20" s="35">
        <f>60.14-E20</f>
        <v>19.61</v>
      </c>
      <c r="G20" s="35">
        <v>6.7549999999999999</v>
      </c>
      <c r="H20" s="35">
        <f>47.73-G20</f>
        <v>40.974999999999994</v>
      </c>
      <c r="I20" s="35">
        <f t="shared" si="0"/>
        <v>107.86999999999999</v>
      </c>
      <c r="J20" s="56">
        <v>108.08000000000001</v>
      </c>
      <c r="K20" s="49">
        <v>13471.567200000001</v>
      </c>
      <c r="L20" s="49">
        <v>14010.429888000002</v>
      </c>
      <c r="M20" s="49">
        <v>1682.5117599999999</v>
      </c>
      <c r="N20" s="49">
        <v>1749.8122303999999</v>
      </c>
      <c r="O20" s="56">
        <f t="shared" si="1"/>
        <v>11789.055440000002</v>
      </c>
      <c r="P20" s="1">
        <f t="shared" si="2"/>
        <v>477810.41698320006</v>
      </c>
      <c r="Q20" s="1">
        <f t="shared" si="3"/>
        <v>231183.37717840003</v>
      </c>
      <c r="R20" s="1">
        <f t="shared" si="4"/>
        <v>82820.472277088018</v>
      </c>
      <c r="S20" s="1">
        <f t="shared" si="5"/>
        <v>502378.80852016009</v>
      </c>
      <c r="T20" s="1">
        <f t="shared" si="6"/>
        <v>1294193.0749588481</v>
      </c>
      <c r="U20" s="11"/>
      <c r="V20" s="11"/>
      <c r="W20" s="11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12"/>
      <c r="AU20" s="12"/>
      <c r="AV20" s="12"/>
      <c r="AW20" s="12"/>
      <c r="AX20" s="12"/>
      <c r="AY20" s="12"/>
      <c r="AZ20" s="12"/>
      <c r="BA20" s="12"/>
      <c r="BB20" s="12"/>
      <c r="BC20" s="12"/>
      <c r="BD20" s="12"/>
      <c r="BE20" s="12"/>
      <c r="BF20" s="12"/>
      <c r="BG20" s="12"/>
      <c r="BH20" s="12"/>
      <c r="BI20" s="12"/>
      <c r="BJ20" s="12"/>
      <c r="BK20" s="12"/>
      <c r="BL20" s="12"/>
      <c r="BM20" s="12"/>
      <c r="BN20" s="12"/>
      <c r="BO20" s="12"/>
      <c r="BP20" s="12"/>
      <c r="BQ20" s="12"/>
      <c r="BR20" s="12"/>
      <c r="BS20" s="12"/>
      <c r="BT20" s="12"/>
      <c r="BU20" s="12"/>
      <c r="BV20" s="12"/>
      <c r="BW20" s="12"/>
      <c r="BX20" s="12"/>
      <c r="BY20" s="12"/>
      <c r="BZ20" s="12"/>
      <c r="CA20" s="12"/>
      <c r="CB20" s="12"/>
      <c r="CC20" s="12"/>
      <c r="CD20" s="12"/>
      <c r="CE20" s="12"/>
      <c r="CF20" s="12"/>
      <c r="CG20" s="12"/>
      <c r="CH20" s="12"/>
      <c r="CI20" s="12"/>
      <c r="CJ20" s="12"/>
      <c r="CK20" s="12"/>
      <c r="CL20" s="12"/>
      <c r="CM20" s="12"/>
      <c r="CN20" s="12"/>
      <c r="CO20" s="12"/>
      <c r="CP20" s="12"/>
      <c r="CQ20" s="12"/>
      <c r="CR20" s="12"/>
      <c r="CS20" s="12"/>
      <c r="CT20" s="12"/>
      <c r="CU20" s="12"/>
      <c r="CV20" s="12"/>
      <c r="CW20" s="12"/>
      <c r="CX20" s="12"/>
      <c r="CY20" s="12"/>
      <c r="CZ20" s="12"/>
      <c r="DA20" s="12"/>
      <c r="DB20" s="12"/>
      <c r="DC20" s="12"/>
      <c r="DD20" s="12"/>
      <c r="DE20" s="12"/>
      <c r="DF20" s="12"/>
      <c r="DG20" s="12"/>
      <c r="DH20" s="12"/>
      <c r="DI20" s="12"/>
      <c r="DJ20" s="12"/>
      <c r="DK20" s="12"/>
      <c r="DL20" s="12"/>
      <c r="DM20" s="12"/>
      <c r="DN20" s="12"/>
      <c r="DO20" s="12"/>
      <c r="DP20" s="12"/>
      <c r="DQ20" s="12"/>
      <c r="DR20" s="12"/>
      <c r="DS20" s="12"/>
      <c r="DT20" s="12"/>
      <c r="DU20" s="12"/>
      <c r="DV20" s="12"/>
      <c r="DW20" s="12"/>
      <c r="DX20" s="12"/>
      <c r="DY20" s="12"/>
      <c r="DZ20" s="12"/>
      <c r="EA20" s="12"/>
      <c r="EB20" s="12"/>
      <c r="EC20" s="12"/>
      <c r="ED20" s="12"/>
      <c r="EE20" s="12"/>
      <c r="EF20" s="12"/>
      <c r="EG20" s="12"/>
      <c r="EH20" s="12"/>
      <c r="EI20" s="12"/>
      <c r="EJ20" s="12"/>
      <c r="EK20" s="12"/>
      <c r="EL20" s="12"/>
      <c r="EM20" s="12"/>
      <c r="EN20" s="12"/>
      <c r="EO20" s="12"/>
      <c r="EP20" s="12"/>
      <c r="EQ20" s="12"/>
      <c r="ER20" s="12"/>
      <c r="ES20" s="12"/>
      <c r="ET20" s="12"/>
      <c r="EU20" s="12"/>
      <c r="EV20" s="12"/>
      <c r="EW20" s="12"/>
      <c r="EX20" s="12"/>
      <c r="EY20" s="12"/>
      <c r="EZ20" s="12"/>
      <c r="FA20" s="12"/>
      <c r="FB20" s="12"/>
      <c r="FC20" s="12"/>
      <c r="FD20" s="12"/>
      <c r="FE20" s="12"/>
      <c r="FF20" s="12"/>
      <c r="FG20" s="12"/>
      <c r="FH20" s="12"/>
      <c r="FI20" s="12"/>
      <c r="FJ20" s="12"/>
      <c r="FK20" s="12"/>
      <c r="FL20" s="12"/>
      <c r="FM20" s="12"/>
      <c r="FN20" s="12"/>
      <c r="FO20" s="12"/>
      <c r="FP20" s="12"/>
      <c r="FQ20" s="12"/>
      <c r="FR20" s="12"/>
      <c r="FS20" s="12"/>
      <c r="FT20" s="12"/>
      <c r="FU20" s="12"/>
      <c r="FV20" s="12"/>
      <c r="FW20" s="12"/>
      <c r="FX20" s="12"/>
      <c r="FY20" s="12"/>
      <c r="FZ20" s="12"/>
      <c r="GA20" s="12"/>
      <c r="GB20" s="12"/>
      <c r="GC20" s="12"/>
      <c r="GD20" s="12"/>
      <c r="GE20" s="12"/>
    </row>
    <row r="21" spans="1:187" ht="21" customHeight="1">
      <c r="A21" s="45"/>
      <c r="B21" s="9" t="s">
        <v>11</v>
      </c>
      <c r="C21" s="10" t="s">
        <v>70</v>
      </c>
      <c r="D21" s="10" t="s">
        <v>321</v>
      </c>
      <c r="E21" s="35">
        <v>498.798</v>
      </c>
      <c r="F21" s="35">
        <f>690.259-E21</f>
        <v>191.46100000000001</v>
      </c>
      <c r="G21" s="35">
        <v>38.567</v>
      </c>
      <c r="H21" s="35">
        <f>387-G21</f>
        <v>348.43299999999999</v>
      </c>
      <c r="I21" s="35">
        <f t="shared" si="0"/>
        <v>1077.259</v>
      </c>
      <c r="J21" s="56">
        <v>1058.6299999999999</v>
      </c>
      <c r="K21" s="49">
        <v>2349.2976000000003</v>
      </c>
      <c r="L21" s="49">
        <v>2443.2695040000003</v>
      </c>
      <c r="M21" s="49">
        <v>1938.3292899999999</v>
      </c>
      <c r="N21" s="49">
        <v>2015.8624616</v>
      </c>
      <c r="O21" s="56">
        <f t="shared" si="1"/>
        <v>410.96831000000043</v>
      </c>
      <c r="P21" s="1">
        <f t="shared" si="2"/>
        <v>204990.17109138021</v>
      </c>
      <c r="Q21" s="1">
        <f t="shared" si="3"/>
        <v>78684.403600910082</v>
      </c>
      <c r="R21" s="1">
        <f t="shared" si="4"/>
        <v>16483.807404240815</v>
      </c>
      <c r="S21" s="1">
        <f t="shared" si="5"/>
        <v>148922.71800455931</v>
      </c>
      <c r="T21" s="1">
        <f t="shared" si="6"/>
        <v>449081.10010109039</v>
      </c>
      <c r="U21" s="11"/>
      <c r="V21" s="11"/>
      <c r="W21" s="11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12"/>
      <c r="AR21" s="12"/>
      <c r="AS21" s="12"/>
      <c r="AT21" s="12"/>
      <c r="AU21" s="12"/>
      <c r="AV21" s="12"/>
      <c r="AW21" s="12"/>
      <c r="AX21" s="12"/>
      <c r="AY21" s="12"/>
      <c r="AZ21" s="12"/>
      <c r="BA21" s="12"/>
      <c r="BB21" s="12"/>
      <c r="BC21" s="12"/>
      <c r="BD21" s="12"/>
      <c r="BE21" s="12"/>
      <c r="BF21" s="12"/>
      <c r="BG21" s="12"/>
      <c r="BH21" s="12"/>
      <c r="BI21" s="12"/>
      <c r="BJ21" s="12"/>
      <c r="BK21" s="12"/>
      <c r="BL21" s="12"/>
      <c r="BM21" s="12"/>
      <c r="BN21" s="12"/>
      <c r="BO21" s="12"/>
      <c r="BP21" s="12"/>
      <c r="BQ21" s="12"/>
      <c r="BR21" s="12"/>
      <c r="BS21" s="12"/>
      <c r="BT21" s="12"/>
      <c r="BU21" s="12"/>
      <c r="BV21" s="12"/>
      <c r="BW21" s="12"/>
      <c r="BX21" s="12"/>
      <c r="BY21" s="12"/>
      <c r="BZ21" s="12"/>
      <c r="CA21" s="12"/>
      <c r="CB21" s="12"/>
      <c r="CC21" s="12"/>
      <c r="CD21" s="12"/>
      <c r="CE21" s="12"/>
      <c r="CF21" s="12"/>
      <c r="CG21" s="12"/>
      <c r="CH21" s="12"/>
      <c r="CI21" s="12"/>
      <c r="CJ21" s="12"/>
      <c r="CK21" s="12"/>
      <c r="CL21" s="12"/>
      <c r="CM21" s="12"/>
      <c r="CN21" s="12"/>
      <c r="CO21" s="12"/>
      <c r="CP21" s="12"/>
      <c r="CQ21" s="12"/>
      <c r="CR21" s="12"/>
      <c r="CS21" s="12"/>
      <c r="CT21" s="12"/>
      <c r="CU21" s="12"/>
      <c r="CV21" s="12"/>
      <c r="CW21" s="12"/>
      <c r="CX21" s="12"/>
      <c r="CY21" s="12"/>
      <c r="CZ21" s="12"/>
      <c r="DA21" s="12"/>
      <c r="DB21" s="12"/>
      <c r="DC21" s="12"/>
      <c r="DD21" s="12"/>
      <c r="DE21" s="12"/>
      <c r="DF21" s="12"/>
      <c r="DG21" s="12"/>
      <c r="DH21" s="12"/>
      <c r="DI21" s="12"/>
      <c r="DJ21" s="12"/>
      <c r="DK21" s="12"/>
      <c r="DL21" s="12"/>
      <c r="DM21" s="12"/>
      <c r="DN21" s="12"/>
      <c r="DO21" s="12"/>
      <c r="DP21" s="12"/>
      <c r="DQ21" s="12"/>
      <c r="DR21" s="12"/>
      <c r="DS21" s="12"/>
      <c r="DT21" s="12"/>
      <c r="DU21" s="12"/>
      <c r="DV21" s="12"/>
      <c r="DW21" s="12"/>
      <c r="DX21" s="12"/>
      <c r="DY21" s="12"/>
      <c r="DZ21" s="12"/>
      <c r="EA21" s="12"/>
      <c r="EB21" s="12"/>
      <c r="EC21" s="12"/>
      <c r="ED21" s="12"/>
      <c r="EE21" s="12"/>
      <c r="EF21" s="12"/>
      <c r="EG21" s="12"/>
      <c r="EH21" s="12"/>
      <c r="EI21" s="12"/>
      <c r="EJ21" s="12"/>
      <c r="EK21" s="12"/>
      <c r="EL21" s="12"/>
      <c r="EM21" s="12"/>
      <c r="EN21" s="12"/>
      <c r="EO21" s="12"/>
      <c r="EP21" s="12"/>
      <c r="EQ21" s="12"/>
      <c r="ER21" s="12"/>
      <c r="ES21" s="12"/>
      <c r="ET21" s="12"/>
      <c r="EU21" s="12"/>
      <c r="EV21" s="12"/>
      <c r="EW21" s="12"/>
      <c r="EX21" s="12"/>
      <c r="EY21" s="12"/>
      <c r="EZ21" s="12"/>
      <c r="FA21" s="12"/>
      <c r="FB21" s="12"/>
      <c r="FC21" s="12"/>
      <c r="FD21" s="12"/>
      <c r="FE21" s="12"/>
      <c r="FF21" s="12"/>
      <c r="FG21" s="12"/>
      <c r="FH21" s="12"/>
      <c r="FI21" s="12"/>
      <c r="FJ21" s="12"/>
      <c r="FK21" s="12"/>
      <c r="FL21" s="12"/>
      <c r="FM21" s="12"/>
      <c r="FN21" s="12"/>
      <c r="FO21" s="12"/>
      <c r="FP21" s="12"/>
      <c r="FQ21" s="12"/>
      <c r="FR21" s="12"/>
      <c r="FS21" s="12"/>
      <c r="FT21" s="12"/>
      <c r="FU21" s="12"/>
      <c r="FV21" s="12"/>
      <c r="FW21" s="12"/>
      <c r="FX21" s="12"/>
      <c r="FY21" s="12"/>
      <c r="FZ21" s="12"/>
      <c r="GA21" s="12"/>
      <c r="GB21" s="12"/>
      <c r="GC21" s="12"/>
      <c r="GD21" s="12"/>
      <c r="GE21" s="12"/>
    </row>
    <row r="22" spans="1:187" ht="21" customHeight="1">
      <c r="A22" s="45"/>
      <c r="B22" s="9" t="s">
        <v>2</v>
      </c>
      <c r="C22" s="10" t="s">
        <v>68</v>
      </c>
      <c r="D22" s="10" t="s">
        <v>71</v>
      </c>
      <c r="E22" s="35">
        <v>5288.2389999999996</v>
      </c>
      <c r="F22" s="35">
        <f>6956.221-E22</f>
        <v>1667.982</v>
      </c>
      <c r="G22" s="35">
        <v>642.14</v>
      </c>
      <c r="H22" s="35">
        <f>4467.264-G22</f>
        <v>3825.1240000000003</v>
      </c>
      <c r="I22" s="35">
        <f t="shared" si="0"/>
        <v>11423.485000000001</v>
      </c>
      <c r="J22" s="56">
        <v>11830.583000000001</v>
      </c>
      <c r="K22" s="49">
        <v>4616.09</v>
      </c>
      <c r="L22" s="49">
        <v>4800.7336000000005</v>
      </c>
      <c r="M22" s="49">
        <v>1674.2468699999999</v>
      </c>
      <c r="N22" s="49">
        <v>1741.2167448</v>
      </c>
      <c r="O22" s="56">
        <f t="shared" si="1"/>
        <v>2941.8431300000002</v>
      </c>
      <c r="P22" s="1">
        <f t="shared" si="2"/>
        <v>15557169.57194807</v>
      </c>
      <c r="Q22" s="1">
        <f t="shared" si="3"/>
        <v>4906941.3876636606</v>
      </c>
      <c r="R22" s="1">
        <f t="shared" si="4"/>
        <v>1964638.1533981282</v>
      </c>
      <c r="S22" s="1">
        <f t="shared" si="5"/>
        <v>11703031.351230048</v>
      </c>
      <c r="T22" s="1">
        <f t="shared" si="6"/>
        <v>34131780.464239903</v>
      </c>
      <c r="U22" s="11"/>
      <c r="V22" s="11"/>
      <c r="W22" s="11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12"/>
      <c r="AR22" s="12"/>
      <c r="AS22" s="12"/>
      <c r="AT22" s="12"/>
      <c r="AU22" s="12"/>
      <c r="AV22" s="12"/>
      <c r="AW22" s="12"/>
      <c r="AX22" s="12"/>
      <c r="AY22" s="12"/>
      <c r="AZ22" s="12"/>
      <c r="BA22" s="12"/>
      <c r="BB22" s="12"/>
      <c r="BC22" s="12"/>
      <c r="BD22" s="12"/>
      <c r="BE22" s="12"/>
      <c r="BF22" s="12"/>
      <c r="BG22" s="12"/>
      <c r="BH22" s="12"/>
      <c r="BI22" s="12"/>
      <c r="BJ22" s="12"/>
      <c r="BK22" s="12"/>
      <c r="BL22" s="12"/>
      <c r="BM22" s="12"/>
      <c r="BN22" s="12"/>
      <c r="BO22" s="12"/>
      <c r="BP22" s="12"/>
      <c r="BQ22" s="12"/>
      <c r="BR22" s="12"/>
      <c r="BS22" s="12"/>
      <c r="BT22" s="12"/>
      <c r="BU22" s="12"/>
      <c r="BV22" s="12"/>
      <c r="BW22" s="12"/>
      <c r="BX22" s="12"/>
      <c r="BY22" s="12"/>
      <c r="BZ22" s="12"/>
      <c r="CA22" s="12"/>
      <c r="CB22" s="12"/>
      <c r="CC22" s="12"/>
      <c r="CD22" s="12"/>
      <c r="CE22" s="12"/>
      <c r="CF22" s="12"/>
      <c r="CG22" s="12"/>
      <c r="CH22" s="12"/>
      <c r="CI22" s="12"/>
      <c r="CJ22" s="12"/>
      <c r="CK22" s="12"/>
      <c r="CL22" s="12"/>
      <c r="CM22" s="12"/>
      <c r="CN22" s="12"/>
      <c r="CO22" s="12"/>
      <c r="CP22" s="12"/>
      <c r="CQ22" s="12"/>
      <c r="CR22" s="12"/>
      <c r="CS22" s="12"/>
      <c r="CT22" s="12"/>
      <c r="CU22" s="12"/>
      <c r="CV22" s="12"/>
      <c r="CW22" s="12"/>
      <c r="CX22" s="12"/>
      <c r="CY22" s="12"/>
      <c r="CZ22" s="12"/>
      <c r="DA22" s="12"/>
      <c r="DB22" s="12"/>
      <c r="DC22" s="12"/>
      <c r="DD22" s="12"/>
      <c r="DE22" s="12"/>
      <c r="DF22" s="12"/>
      <c r="DG22" s="12"/>
      <c r="DH22" s="12"/>
      <c r="DI22" s="12"/>
      <c r="DJ22" s="12"/>
      <c r="DK22" s="12"/>
      <c r="DL22" s="12"/>
      <c r="DM22" s="12"/>
      <c r="DN22" s="12"/>
      <c r="DO22" s="12"/>
      <c r="DP22" s="12"/>
      <c r="DQ22" s="12"/>
      <c r="DR22" s="12"/>
      <c r="DS22" s="12"/>
      <c r="DT22" s="12"/>
      <c r="DU22" s="12"/>
      <c r="DV22" s="12"/>
      <c r="DW22" s="12"/>
      <c r="DX22" s="12"/>
      <c r="DY22" s="12"/>
      <c r="DZ22" s="12"/>
      <c r="EA22" s="12"/>
      <c r="EB22" s="12"/>
      <c r="EC22" s="12"/>
      <c r="ED22" s="12"/>
      <c r="EE22" s="12"/>
      <c r="EF22" s="12"/>
      <c r="EG22" s="12"/>
      <c r="EH22" s="12"/>
      <c r="EI22" s="12"/>
      <c r="EJ22" s="12"/>
      <c r="EK22" s="12"/>
      <c r="EL22" s="12"/>
      <c r="EM22" s="12"/>
      <c r="EN22" s="12"/>
      <c r="EO22" s="12"/>
      <c r="EP22" s="12"/>
      <c r="EQ22" s="12"/>
      <c r="ER22" s="12"/>
      <c r="ES22" s="12"/>
      <c r="ET22" s="12"/>
      <c r="EU22" s="12"/>
      <c r="EV22" s="12"/>
      <c r="EW22" s="12"/>
      <c r="EX22" s="12"/>
      <c r="EY22" s="12"/>
      <c r="EZ22" s="12"/>
      <c r="FA22" s="12"/>
      <c r="FB22" s="12"/>
      <c r="FC22" s="12"/>
      <c r="FD22" s="12"/>
      <c r="FE22" s="12"/>
      <c r="FF22" s="12"/>
      <c r="FG22" s="12"/>
      <c r="FH22" s="12"/>
      <c r="FI22" s="12"/>
      <c r="FJ22" s="12"/>
      <c r="FK22" s="12"/>
      <c r="FL22" s="12"/>
      <c r="FM22" s="12"/>
      <c r="FN22" s="12"/>
      <c r="FO22" s="12"/>
      <c r="FP22" s="12"/>
      <c r="FQ22" s="12"/>
      <c r="FR22" s="12"/>
      <c r="FS22" s="12"/>
      <c r="FT22" s="12"/>
      <c r="FU22" s="12"/>
      <c r="FV22" s="12"/>
      <c r="FW22" s="12"/>
      <c r="FX22" s="12"/>
      <c r="FY22" s="12"/>
      <c r="FZ22" s="12"/>
      <c r="GA22" s="12"/>
      <c r="GB22" s="12"/>
      <c r="GC22" s="12"/>
      <c r="GD22" s="12"/>
      <c r="GE22" s="12"/>
    </row>
    <row r="23" spans="1:187" ht="21" customHeight="1">
      <c r="A23" s="45"/>
      <c r="B23" s="9" t="s">
        <v>25</v>
      </c>
      <c r="C23" s="10" t="s">
        <v>72</v>
      </c>
      <c r="D23" s="10" t="s">
        <v>73</v>
      </c>
      <c r="E23" s="35">
        <v>574.46799999999996</v>
      </c>
      <c r="F23" s="35">
        <f>861.702-E23</f>
        <v>287.23400000000004</v>
      </c>
      <c r="G23" s="35">
        <v>101.232</v>
      </c>
      <c r="H23" s="35">
        <f>675.844-G23</f>
        <v>574.61200000000008</v>
      </c>
      <c r="I23" s="35">
        <f t="shared" si="0"/>
        <v>1537.546</v>
      </c>
      <c r="J23" s="56">
        <v>1525.2446666666667</v>
      </c>
      <c r="K23" s="49">
        <v>2894.9648000000002</v>
      </c>
      <c r="L23" s="49">
        <v>3010.7633920000003</v>
      </c>
      <c r="M23" s="49">
        <v>1644.8790299999998</v>
      </c>
      <c r="N23" s="49">
        <v>1710.6741911999998</v>
      </c>
      <c r="O23" s="56">
        <f t="shared" si="1"/>
        <v>1250.0857700000004</v>
      </c>
      <c r="P23" s="1">
        <f t="shared" si="2"/>
        <v>718134.27212036017</v>
      </c>
      <c r="Q23" s="1">
        <f t="shared" si="3"/>
        <v>359067.13606018014</v>
      </c>
      <c r="R23" s="1">
        <f t="shared" si="4"/>
        <v>131610.62997538564</v>
      </c>
      <c r="S23" s="1">
        <f t="shared" si="5"/>
        <v>747046.85585009004</v>
      </c>
      <c r="T23" s="1">
        <f t="shared" si="6"/>
        <v>1955858.8940060162</v>
      </c>
      <c r="U23" s="11"/>
      <c r="V23" s="11"/>
      <c r="W23" s="11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12"/>
      <c r="AR23" s="12"/>
      <c r="AS23" s="12"/>
      <c r="AT23" s="12"/>
      <c r="AU23" s="12"/>
      <c r="AV23" s="12"/>
      <c r="AW23" s="12"/>
      <c r="AX23" s="12"/>
      <c r="AY23" s="12"/>
      <c r="AZ23" s="12"/>
      <c r="BA23" s="12"/>
      <c r="BB23" s="12"/>
      <c r="BC23" s="12"/>
      <c r="BD23" s="12"/>
      <c r="BE23" s="12"/>
      <c r="BF23" s="12"/>
      <c r="BG23" s="12"/>
      <c r="BH23" s="12"/>
      <c r="BI23" s="12"/>
      <c r="BJ23" s="12"/>
      <c r="BK23" s="12"/>
      <c r="BL23" s="12"/>
      <c r="BM23" s="12"/>
      <c r="BN23" s="12"/>
      <c r="BO23" s="12"/>
      <c r="BP23" s="12"/>
      <c r="BQ23" s="12"/>
      <c r="BR23" s="12"/>
      <c r="BS23" s="12"/>
      <c r="BT23" s="12"/>
      <c r="BU23" s="12"/>
      <c r="BV23" s="12"/>
      <c r="BW23" s="12"/>
      <c r="BX23" s="12"/>
      <c r="BY23" s="12"/>
      <c r="BZ23" s="12"/>
      <c r="CA23" s="12"/>
      <c r="CB23" s="12"/>
      <c r="CC23" s="12"/>
      <c r="CD23" s="12"/>
      <c r="CE23" s="12"/>
      <c r="CF23" s="12"/>
      <c r="CG23" s="12"/>
      <c r="CH23" s="12"/>
      <c r="CI23" s="12"/>
      <c r="CJ23" s="12"/>
      <c r="CK23" s="12"/>
      <c r="CL23" s="12"/>
      <c r="CM23" s="12"/>
      <c r="CN23" s="12"/>
      <c r="CO23" s="12"/>
      <c r="CP23" s="12"/>
      <c r="CQ23" s="12"/>
      <c r="CR23" s="12"/>
      <c r="CS23" s="12"/>
      <c r="CT23" s="12"/>
      <c r="CU23" s="12"/>
      <c r="CV23" s="12"/>
      <c r="CW23" s="12"/>
      <c r="CX23" s="12"/>
      <c r="CY23" s="12"/>
      <c r="CZ23" s="12"/>
      <c r="DA23" s="12"/>
      <c r="DB23" s="12"/>
      <c r="DC23" s="12"/>
      <c r="DD23" s="12"/>
      <c r="DE23" s="12"/>
      <c r="DF23" s="12"/>
      <c r="DG23" s="12"/>
      <c r="DH23" s="12"/>
      <c r="DI23" s="12"/>
      <c r="DJ23" s="12"/>
      <c r="DK23" s="12"/>
      <c r="DL23" s="12"/>
      <c r="DM23" s="12"/>
      <c r="DN23" s="12"/>
      <c r="DO23" s="12"/>
      <c r="DP23" s="12"/>
      <c r="DQ23" s="12"/>
      <c r="DR23" s="12"/>
      <c r="DS23" s="12"/>
      <c r="DT23" s="12"/>
      <c r="DU23" s="12"/>
      <c r="DV23" s="12"/>
      <c r="DW23" s="12"/>
      <c r="DX23" s="12"/>
      <c r="DY23" s="12"/>
      <c r="DZ23" s="12"/>
      <c r="EA23" s="12"/>
      <c r="EB23" s="12"/>
      <c r="EC23" s="12"/>
      <c r="ED23" s="12"/>
      <c r="EE23" s="12"/>
      <c r="EF23" s="12"/>
      <c r="EG23" s="12"/>
      <c r="EH23" s="12"/>
      <c r="EI23" s="12"/>
      <c r="EJ23" s="12"/>
      <c r="EK23" s="12"/>
      <c r="EL23" s="12"/>
      <c r="EM23" s="12"/>
      <c r="EN23" s="12"/>
      <c r="EO23" s="12"/>
      <c r="EP23" s="12"/>
      <c r="EQ23" s="12"/>
      <c r="ER23" s="12"/>
      <c r="ES23" s="12"/>
      <c r="ET23" s="12"/>
      <c r="EU23" s="12"/>
      <c r="EV23" s="12"/>
      <c r="EW23" s="12"/>
      <c r="EX23" s="12"/>
      <c r="EY23" s="12"/>
      <c r="EZ23" s="12"/>
      <c r="FA23" s="12"/>
      <c r="FB23" s="12"/>
      <c r="FC23" s="12"/>
      <c r="FD23" s="12"/>
      <c r="FE23" s="12"/>
      <c r="FF23" s="12"/>
      <c r="FG23" s="12"/>
      <c r="FH23" s="12"/>
      <c r="FI23" s="12"/>
      <c r="FJ23" s="12"/>
      <c r="FK23" s="12"/>
      <c r="FL23" s="12"/>
      <c r="FM23" s="12"/>
      <c r="FN23" s="12"/>
      <c r="FO23" s="12"/>
      <c r="FP23" s="12"/>
      <c r="FQ23" s="12"/>
      <c r="FR23" s="12"/>
      <c r="FS23" s="12"/>
      <c r="FT23" s="12"/>
      <c r="FU23" s="12"/>
      <c r="FV23" s="12"/>
      <c r="FW23" s="12"/>
      <c r="FX23" s="12"/>
      <c r="FY23" s="12"/>
      <c r="FZ23" s="12"/>
      <c r="GA23" s="12"/>
      <c r="GB23" s="12"/>
      <c r="GC23" s="12"/>
      <c r="GD23" s="12"/>
      <c r="GE23" s="12"/>
    </row>
    <row r="24" spans="1:187" ht="21" customHeight="1">
      <c r="A24" s="45"/>
      <c r="B24" s="9" t="s">
        <v>6</v>
      </c>
      <c r="C24" s="10" t="s">
        <v>77</v>
      </c>
      <c r="D24" s="10" t="s">
        <v>78</v>
      </c>
      <c r="E24" s="35">
        <v>296.10000000000002</v>
      </c>
      <c r="F24" s="35">
        <f>444.15-E24</f>
        <v>148.04999999999995</v>
      </c>
      <c r="G24" s="35">
        <v>49.35</v>
      </c>
      <c r="H24" s="35">
        <f>345.45-G24</f>
        <v>296.09999999999997</v>
      </c>
      <c r="I24" s="35">
        <f t="shared" si="0"/>
        <v>789.59999999999991</v>
      </c>
      <c r="J24" s="56">
        <v>789.33</v>
      </c>
      <c r="K24" s="49">
        <v>2854.6544000000004</v>
      </c>
      <c r="L24" s="49">
        <v>2968.8405760000005</v>
      </c>
      <c r="M24" s="49">
        <v>1881.0557799999999</v>
      </c>
      <c r="N24" s="49">
        <v>1956.2980112</v>
      </c>
      <c r="O24" s="56">
        <f t="shared" si="1"/>
        <v>973.59862000000044</v>
      </c>
      <c r="P24" s="1">
        <f t="shared" si="2"/>
        <v>288282.55138200015</v>
      </c>
      <c r="Q24" s="1">
        <f t="shared" si="3"/>
        <v>144141.27569100002</v>
      </c>
      <c r="R24" s="1">
        <f t="shared" si="4"/>
        <v>49968.975572880023</v>
      </c>
      <c r="S24" s="1">
        <f t="shared" si="5"/>
        <v>299813.85343728011</v>
      </c>
      <c r="T24" s="1">
        <f t="shared" si="6"/>
        <v>782206.65608316031</v>
      </c>
      <c r="U24" s="11"/>
      <c r="V24" s="11"/>
      <c r="W24" s="11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12"/>
      <c r="AR24" s="12"/>
      <c r="AS24" s="12"/>
      <c r="AT24" s="12"/>
      <c r="AU24" s="12"/>
      <c r="AV24" s="12"/>
      <c r="AW24" s="12"/>
      <c r="AX24" s="12"/>
      <c r="AY24" s="12"/>
      <c r="AZ24" s="12"/>
      <c r="BA24" s="12"/>
      <c r="BB24" s="12"/>
      <c r="BC24" s="12"/>
      <c r="BD24" s="12"/>
      <c r="BE24" s="12"/>
      <c r="BF24" s="12"/>
      <c r="BG24" s="12"/>
      <c r="BH24" s="12"/>
      <c r="BI24" s="12"/>
      <c r="BJ24" s="12"/>
      <c r="BK24" s="12"/>
      <c r="BL24" s="12"/>
      <c r="BM24" s="12"/>
      <c r="BN24" s="12"/>
      <c r="BO24" s="12"/>
      <c r="BP24" s="12"/>
      <c r="BQ24" s="12"/>
      <c r="BR24" s="12"/>
      <c r="BS24" s="12"/>
      <c r="BT24" s="12"/>
      <c r="BU24" s="12"/>
      <c r="BV24" s="12"/>
      <c r="BW24" s="12"/>
      <c r="BX24" s="12"/>
      <c r="BY24" s="12"/>
      <c r="BZ24" s="12"/>
      <c r="CA24" s="12"/>
      <c r="CB24" s="12"/>
      <c r="CC24" s="12"/>
      <c r="CD24" s="12"/>
      <c r="CE24" s="12"/>
      <c r="CF24" s="12"/>
      <c r="CG24" s="12"/>
      <c r="CH24" s="12"/>
      <c r="CI24" s="12"/>
      <c r="CJ24" s="12"/>
      <c r="CK24" s="12"/>
      <c r="CL24" s="12"/>
      <c r="CM24" s="12"/>
      <c r="CN24" s="12"/>
      <c r="CO24" s="12"/>
      <c r="CP24" s="12"/>
      <c r="CQ24" s="12"/>
      <c r="CR24" s="12"/>
      <c r="CS24" s="12"/>
      <c r="CT24" s="12"/>
      <c r="CU24" s="12"/>
      <c r="CV24" s="12"/>
      <c r="CW24" s="12"/>
      <c r="CX24" s="12"/>
      <c r="CY24" s="12"/>
      <c r="CZ24" s="12"/>
      <c r="DA24" s="12"/>
      <c r="DB24" s="12"/>
      <c r="DC24" s="12"/>
      <c r="DD24" s="12"/>
      <c r="DE24" s="12"/>
      <c r="DF24" s="12"/>
      <c r="DG24" s="12"/>
      <c r="DH24" s="12"/>
      <c r="DI24" s="12"/>
      <c r="DJ24" s="12"/>
      <c r="DK24" s="12"/>
      <c r="DL24" s="12"/>
      <c r="DM24" s="12"/>
      <c r="DN24" s="12"/>
      <c r="DO24" s="12"/>
      <c r="DP24" s="12"/>
      <c r="DQ24" s="12"/>
      <c r="DR24" s="12"/>
      <c r="DS24" s="12"/>
      <c r="DT24" s="12"/>
      <c r="DU24" s="12"/>
      <c r="DV24" s="12"/>
      <c r="DW24" s="12"/>
      <c r="DX24" s="12"/>
      <c r="DY24" s="12"/>
      <c r="DZ24" s="12"/>
      <c r="EA24" s="12"/>
      <c r="EB24" s="12"/>
      <c r="EC24" s="12"/>
      <c r="ED24" s="12"/>
      <c r="EE24" s="12"/>
      <c r="EF24" s="12"/>
      <c r="EG24" s="12"/>
      <c r="EH24" s="12"/>
      <c r="EI24" s="12"/>
      <c r="EJ24" s="12"/>
      <c r="EK24" s="12"/>
      <c r="EL24" s="12"/>
      <c r="EM24" s="12"/>
      <c r="EN24" s="12"/>
      <c r="EO24" s="12"/>
      <c r="EP24" s="12"/>
      <c r="EQ24" s="12"/>
      <c r="ER24" s="12"/>
      <c r="ES24" s="12"/>
      <c r="ET24" s="12"/>
      <c r="EU24" s="12"/>
      <c r="EV24" s="12"/>
      <c r="EW24" s="12"/>
      <c r="EX24" s="12"/>
      <c r="EY24" s="12"/>
      <c r="EZ24" s="12"/>
      <c r="FA24" s="12"/>
      <c r="FB24" s="12"/>
      <c r="FC24" s="12"/>
      <c r="FD24" s="12"/>
      <c r="FE24" s="12"/>
      <c r="FF24" s="12"/>
      <c r="FG24" s="12"/>
      <c r="FH24" s="12"/>
      <c r="FI24" s="12"/>
      <c r="FJ24" s="12"/>
      <c r="FK24" s="12"/>
      <c r="FL24" s="12"/>
      <c r="FM24" s="12"/>
      <c r="FN24" s="12"/>
      <c r="FO24" s="12"/>
      <c r="FP24" s="12"/>
      <c r="FQ24" s="12"/>
      <c r="FR24" s="12"/>
      <c r="FS24" s="12"/>
      <c r="FT24" s="12"/>
      <c r="FU24" s="12"/>
      <c r="FV24" s="12"/>
      <c r="FW24" s="12"/>
      <c r="FX24" s="12"/>
      <c r="FY24" s="12"/>
      <c r="FZ24" s="12"/>
      <c r="GA24" s="12"/>
      <c r="GB24" s="12"/>
      <c r="GC24" s="12"/>
      <c r="GD24" s="12"/>
      <c r="GE24" s="12"/>
    </row>
    <row r="25" spans="1:187" ht="21" customHeight="1">
      <c r="A25" s="45"/>
      <c r="B25" s="101" t="s">
        <v>81</v>
      </c>
      <c r="C25" s="101"/>
      <c r="D25" s="101"/>
      <c r="E25" s="34"/>
      <c r="F25" s="34"/>
      <c r="G25" s="34"/>
      <c r="H25" s="34"/>
      <c r="I25" s="35">
        <f t="shared" si="0"/>
        <v>0</v>
      </c>
      <c r="J25" s="56"/>
      <c r="K25" s="49"/>
      <c r="L25" s="49"/>
      <c r="M25" s="49"/>
      <c r="N25" s="49"/>
      <c r="O25" s="56">
        <f t="shared" si="1"/>
        <v>0</v>
      </c>
      <c r="P25" s="1">
        <f t="shared" si="2"/>
        <v>0</v>
      </c>
      <c r="Q25" s="1">
        <f t="shared" si="3"/>
        <v>0</v>
      </c>
      <c r="R25" s="1">
        <f t="shared" si="4"/>
        <v>0</v>
      </c>
      <c r="S25" s="1">
        <f t="shared" si="5"/>
        <v>0</v>
      </c>
      <c r="T25" s="1">
        <f t="shared" si="6"/>
        <v>0</v>
      </c>
      <c r="U25" s="45"/>
      <c r="V25" s="45"/>
      <c r="W25" s="45"/>
    </row>
    <row r="26" spans="1:187" ht="21" customHeight="1">
      <c r="A26" s="45"/>
      <c r="B26" s="9" t="s">
        <v>433</v>
      </c>
      <c r="C26" s="10" t="s">
        <v>434</v>
      </c>
      <c r="D26" s="10" t="s">
        <v>83</v>
      </c>
      <c r="E26" s="35">
        <v>48.66</v>
      </c>
      <c r="F26" s="35">
        <f>79.47-E26</f>
        <v>30.810000000000002</v>
      </c>
      <c r="G26" s="35">
        <v>8.0299999999999994</v>
      </c>
      <c r="H26" s="35">
        <f>56.69-G26</f>
        <v>48.66</v>
      </c>
      <c r="I26" s="35">
        <f t="shared" si="0"/>
        <v>136.16</v>
      </c>
      <c r="J26" s="56">
        <v>139.4</v>
      </c>
      <c r="K26" s="49">
        <v>4228.66</v>
      </c>
      <c r="L26" s="49">
        <v>4397.8064000000004</v>
      </c>
      <c r="M26" s="49">
        <v>1575.96</v>
      </c>
      <c r="N26" s="49">
        <v>1639</v>
      </c>
      <c r="O26" s="56">
        <f t="shared" si="1"/>
        <v>2652.7</v>
      </c>
      <c r="P26" s="1">
        <f t="shared" si="2"/>
        <v>129080.38199999998</v>
      </c>
      <c r="Q26" s="1">
        <f t="shared" si="3"/>
        <v>81729.687000000005</v>
      </c>
      <c r="R26" s="1">
        <f t="shared" si="4"/>
        <v>22153.215392000002</v>
      </c>
      <c r="S26" s="1">
        <f t="shared" si="5"/>
        <v>134243.519424</v>
      </c>
      <c r="T26" s="1">
        <f t="shared" si="6"/>
        <v>367206.803816</v>
      </c>
      <c r="U26" s="11"/>
      <c r="V26" s="11"/>
      <c r="W26" s="11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  <c r="AZ26" s="12"/>
      <c r="BA26" s="12"/>
      <c r="BB26" s="12"/>
      <c r="BC26" s="12"/>
      <c r="BD26" s="12"/>
      <c r="BE26" s="12"/>
      <c r="BF26" s="12"/>
      <c r="BG26" s="12"/>
      <c r="BH26" s="12"/>
      <c r="BI26" s="12"/>
      <c r="BJ26" s="12"/>
      <c r="BK26" s="12"/>
      <c r="BL26" s="12"/>
      <c r="BM26" s="12"/>
      <c r="BN26" s="12"/>
      <c r="BO26" s="12"/>
      <c r="BP26" s="12"/>
      <c r="BQ26" s="12"/>
      <c r="BR26" s="12"/>
      <c r="BS26" s="12"/>
      <c r="BT26" s="12"/>
      <c r="BU26" s="12"/>
      <c r="BV26" s="12"/>
      <c r="BW26" s="12"/>
      <c r="BX26" s="12"/>
      <c r="BY26" s="12"/>
      <c r="BZ26" s="12"/>
      <c r="CA26" s="12"/>
      <c r="CB26" s="12"/>
      <c r="CC26" s="12"/>
      <c r="CD26" s="12"/>
      <c r="CE26" s="12"/>
      <c r="CF26" s="12"/>
      <c r="CG26" s="12"/>
      <c r="CH26" s="12"/>
      <c r="CI26" s="12"/>
      <c r="CJ26" s="12"/>
      <c r="CK26" s="12"/>
      <c r="CL26" s="12"/>
      <c r="CM26" s="12"/>
      <c r="CN26" s="12"/>
      <c r="CO26" s="12"/>
      <c r="CP26" s="12"/>
      <c r="CQ26" s="12"/>
      <c r="CR26" s="12"/>
      <c r="CS26" s="12"/>
      <c r="CT26" s="12"/>
      <c r="CU26" s="12"/>
      <c r="CV26" s="12"/>
      <c r="CW26" s="12"/>
      <c r="CX26" s="12"/>
      <c r="CY26" s="12"/>
      <c r="CZ26" s="12"/>
      <c r="DA26" s="12"/>
      <c r="DB26" s="12"/>
      <c r="DC26" s="12"/>
      <c r="DD26" s="12"/>
      <c r="DE26" s="12"/>
      <c r="DF26" s="12"/>
      <c r="DG26" s="12"/>
      <c r="DH26" s="12"/>
      <c r="DI26" s="12"/>
      <c r="DJ26" s="12"/>
      <c r="DK26" s="12"/>
      <c r="DL26" s="12"/>
      <c r="DM26" s="12"/>
      <c r="DN26" s="12"/>
      <c r="DO26" s="12"/>
      <c r="DP26" s="12"/>
      <c r="DQ26" s="12"/>
      <c r="DR26" s="12"/>
      <c r="DS26" s="12"/>
      <c r="DT26" s="12"/>
      <c r="DU26" s="12"/>
      <c r="DV26" s="12"/>
      <c r="DW26" s="12"/>
      <c r="DX26" s="12"/>
      <c r="DY26" s="12"/>
      <c r="DZ26" s="12"/>
      <c r="EA26" s="12"/>
      <c r="EB26" s="12"/>
      <c r="EC26" s="12"/>
      <c r="ED26" s="12"/>
      <c r="EE26" s="12"/>
      <c r="EF26" s="12"/>
      <c r="EG26" s="12"/>
      <c r="EH26" s="12"/>
      <c r="EI26" s="12"/>
      <c r="EJ26" s="12"/>
      <c r="EK26" s="12"/>
      <c r="EL26" s="12"/>
      <c r="EM26" s="12"/>
      <c r="EN26" s="12"/>
      <c r="EO26" s="12"/>
      <c r="EP26" s="12"/>
      <c r="EQ26" s="12"/>
      <c r="ER26" s="12"/>
      <c r="ES26" s="12"/>
      <c r="ET26" s="12"/>
      <c r="EU26" s="12"/>
      <c r="EV26" s="12"/>
      <c r="EW26" s="12"/>
      <c r="EX26" s="12"/>
      <c r="EY26" s="12"/>
      <c r="EZ26" s="12"/>
      <c r="FA26" s="12"/>
      <c r="FB26" s="12"/>
      <c r="FC26" s="12"/>
      <c r="FD26" s="12"/>
      <c r="FE26" s="12"/>
      <c r="FF26" s="12"/>
      <c r="FG26" s="12"/>
      <c r="FH26" s="12"/>
      <c r="FI26" s="12"/>
      <c r="FJ26" s="12"/>
      <c r="FK26" s="12"/>
      <c r="FL26" s="12"/>
      <c r="FM26" s="12"/>
      <c r="FN26" s="12"/>
      <c r="FO26" s="12"/>
      <c r="FP26" s="12"/>
      <c r="FQ26" s="12"/>
      <c r="FR26" s="12"/>
      <c r="FS26" s="12"/>
      <c r="FT26" s="12"/>
      <c r="FU26" s="12"/>
      <c r="FV26" s="12"/>
      <c r="FW26" s="12"/>
      <c r="FX26" s="12"/>
      <c r="FY26" s="12"/>
      <c r="FZ26" s="12"/>
      <c r="GA26" s="12"/>
      <c r="GB26" s="12"/>
      <c r="GC26" s="12"/>
      <c r="GD26" s="12"/>
      <c r="GE26" s="12"/>
    </row>
    <row r="27" spans="1:187">
      <c r="A27" s="45"/>
      <c r="B27" s="9" t="s">
        <v>289</v>
      </c>
      <c r="C27" s="10" t="s">
        <v>60</v>
      </c>
      <c r="D27" s="10" t="s">
        <v>82</v>
      </c>
      <c r="E27" s="35">
        <v>107.28</v>
      </c>
      <c r="F27" s="35">
        <f>178.8-E27</f>
        <v>71.52000000000001</v>
      </c>
      <c r="G27" s="35">
        <v>35.76</v>
      </c>
      <c r="H27" s="35">
        <f>143.04-G27</f>
        <v>107.28</v>
      </c>
      <c r="I27" s="35">
        <f t="shared" si="0"/>
        <v>321.84000000000003</v>
      </c>
      <c r="J27" s="56">
        <v>288.51</v>
      </c>
      <c r="K27" s="49">
        <v>4409.84</v>
      </c>
      <c r="L27" s="49">
        <v>4586.2336000000005</v>
      </c>
      <c r="M27" s="49">
        <v>1606.26</v>
      </c>
      <c r="N27" s="49">
        <v>1670.5104000000001</v>
      </c>
      <c r="O27" s="56">
        <f t="shared" si="1"/>
        <v>2803.58</v>
      </c>
      <c r="P27" s="1">
        <f t="shared" si="2"/>
        <v>300768.0624</v>
      </c>
      <c r="Q27" s="1">
        <f t="shared" si="3"/>
        <v>200512.04160000003</v>
      </c>
      <c r="R27" s="1">
        <f t="shared" si="4"/>
        <v>104266.26163200001</v>
      </c>
      <c r="S27" s="1">
        <f t="shared" si="5"/>
        <v>312798.78489600006</v>
      </c>
      <c r="T27" s="1">
        <f t="shared" si="6"/>
        <v>918345.15052800009</v>
      </c>
      <c r="U27" s="11"/>
      <c r="V27" s="11"/>
      <c r="W27" s="11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2"/>
      <c r="BF27" s="12"/>
      <c r="BG27" s="12"/>
      <c r="BH27" s="12"/>
      <c r="BI27" s="12"/>
      <c r="BJ27" s="12"/>
      <c r="BK27" s="12"/>
      <c r="BL27" s="12"/>
      <c r="BM27" s="12"/>
      <c r="BN27" s="12"/>
      <c r="BO27" s="12"/>
      <c r="BP27" s="12"/>
      <c r="BQ27" s="12"/>
      <c r="BR27" s="12"/>
      <c r="BS27" s="12"/>
      <c r="BT27" s="12"/>
      <c r="BU27" s="12"/>
      <c r="BV27" s="12"/>
      <c r="BW27" s="12"/>
      <c r="BX27" s="12"/>
      <c r="BY27" s="12"/>
      <c r="BZ27" s="12"/>
      <c r="CA27" s="12"/>
      <c r="CB27" s="12"/>
      <c r="CC27" s="12"/>
      <c r="CD27" s="12"/>
      <c r="CE27" s="12"/>
      <c r="CF27" s="12"/>
      <c r="CG27" s="12"/>
      <c r="CH27" s="12"/>
      <c r="CI27" s="12"/>
      <c r="CJ27" s="12"/>
      <c r="CK27" s="12"/>
      <c r="CL27" s="12"/>
      <c r="CM27" s="12"/>
      <c r="CN27" s="12"/>
      <c r="CO27" s="12"/>
      <c r="CP27" s="12"/>
      <c r="CQ27" s="12"/>
      <c r="CR27" s="12"/>
      <c r="CS27" s="12"/>
      <c r="CT27" s="12"/>
      <c r="CU27" s="12"/>
      <c r="CV27" s="12"/>
      <c r="CW27" s="12"/>
      <c r="CX27" s="12"/>
      <c r="CY27" s="12"/>
      <c r="CZ27" s="12"/>
      <c r="DA27" s="12"/>
      <c r="DB27" s="12"/>
      <c r="DC27" s="12"/>
      <c r="DD27" s="12"/>
      <c r="DE27" s="12"/>
      <c r="DF27" s="12"/>
      <c r="DG27" s="12"/>
      <c r="DH27" s="12"/>
      <c r="DI27" s="12"/>
      <c r="DJ27" s="12"/>
      <c r="DK27" s="12"/>
      <c r="DL27" s="12"/>
      <c r="DM27" s="12"/>
      <c r="DN27" s="12"/>
      <c r="DO27" s="12"/>
      <c r="DP27" s="12"/>
      <c r="DQ27" s="12"/>
      <c r="DR27" s="12"/>
      <c r="DS27" s="12"/>
      <c r="DT27" s="12"/>
      <c r="DU27" s="12"/>
      <c r="DV27" s="12"/>
      <c r="DW27" s="12"/>
      <c r="DX27" s="12"/>
      <c r="DY27" s="12"/>
      <c r="DZ27" s="12"/>
      <c r="EA27" s="12"/>
      <c r="EB27" s="12"/>
      <c r="EC27" s="12"/>
      <c r="ED27" s="12"/>
      <c r="EE27" s="12"/>
      <c r="EF27" s="12"/>
      <c r="EG27" s="12"/>
      <c r="EH27" s="12"/>
      <c r="EI27" s="12"/>
      <c r="EJ27" s="12"/>
      <c r="EK27" s="12"/>
      <c r="EL27" s="12"/>
      <c r="EM27" s="12"/>
      <c r="EN27" s="12"/>
      <c r="EO27" s="12"/>
      <c r="EP27" s="12"/>
      <c r="EQ27" s="12"/>
      <c r="ER27" s="12"/>
      <c r="ES27" s="12"/>
      <c r="ET27" s="12"/>
      <c r="EU27" s="12"/>
      <c r="EV27" s="12"/>
      <c r="EW27" s="12"/>
      <c r="EX27" s="12"/>
      <c r="EY27" s="12"/>
      <c r="EZ27" s="12"/>
      <c r="FA27" s="12"/>
      <c r="FB27" s="12"/>
      <c r="FC27" s="12"/>
      <c r="FD27" s="12"/>
      <c r="FE27" s="12"/>
      <c r="FF27" s="12"/>
      <c r="FG27" s="12"/>
      <c r="FH27" s="12"/>
      <c r="FI27" s="12"/>
      <c r="FJ27" s="12"/>
      <c r="FK27" s="12"/>
      <c r="FL27" s="12"/>
      <c r="FM27" s="12"/>
      <c r="FN27" s="12"/>
      <c r="FO27" s="12"/>
      <c r="FP27" s="12"/>
      <c r="FQ27" s="12"/>
      <c r="FR27" s="12"/>
      <c r="FS27" s="12"/>
      <c r="FT27" s="12"/>
      <c r="FU27" s="12"/>
      <c r="FV27" s="12"/>
      <c r="FW27" s="12"/>
      <c r="FX27" s="12"/>
      <c r="FY27" s="12"/>
      <c r="FZ27" s="12"/>
      <c r="GA27" s="12"/>
      <c r="GB27" s="12"/>
      <c r="GC27" s="12"/>
      <c r="GD27" s="12"/>
      <c r="GE27" s="12"/>
    </row>
    <row r="28" spans="1:187" ht="21" customHeight="1">
      <c r="A28" s="45"/>
      <c r="B28" s="9" t="s">
        <v>289</v>
      </c>
      <c r="C28" s="10" t="s">
        <v>60</v>
      </c>
      <c r="D28" s="10" t="s">
        <v>83</v>
      </c>
      <c r="E28" s="35">
        <v>423.51900000000001</v>
      </c>
      <c r="F28" s="35">
        <f>705.865-E28</f>
        <v>282.346</v>
      </c>
      <c r="G28" s="35">
        <v>141.173</v>
      </c>
      <c r="H28" s="35">
        <f>564.692-G28</f>
        <v>423.51900000000001</v>
      </c>
      <c r="I28" s="35">
        <f t="shared" si="0"/>
        <v>1270.557</v>
      </c>
      <c r="J28" s="56">
        <v>1258.2</v>
      </c>
      <c r="K28" s="49">
        <v>4144.25</v>
      </c>
      <c r="L28" s="49">
        <v>4310.0200000000004</v>
      </c>
      <c r="M28" s="49">
        <v>1606.26</v>
      </c>
      <c r="N28" s="49">
        <v>1670.5104000000001</v>
      </c>
      <c r="O28" s="56">
        <f t="shared" si="1"/>
        <v>2537.9899999999998</v>
      </c>
      <c r="P28" s="1">
        <f t="shared" si="2"/>
        <v>1074886.9868099999</v>
      </c>
      <c r="Q28" s="1">
        <f t="shared" si="3"/>
        <v>716591.32453999994</v>
      </c>
      <c r="R28" s="1">
        <f t="shared" si="4"/>
        <v>372627.48876080004</v>
      </c>
      <c r="S28" s="1">
        <f t="shared" si="5"/>
        <v>1117882.4662824001</v>
      </c>
      <c r="T28" s="1">
        <f t="shared" si="6"/>
        <v>3281988.2663931996</v>
      </c>
      <c r="U28" s="11"/>
      <c r="V28" s="11"/>
      <c r="W28" s="11"/>
      <c r="X28" s="12"/>
      <c r="Y28" s="12"/>
      <c r="Z28" s="12"/>
      <c r="AA28" s="12"/>
      <c r="AB28" s="12"/>
      <c r="AC28" s="12"/>
      <c r="AD28" s="12"/>
      <c r="AE28" s="12"/>
      <c r="AF28" s="12"/>
      <c r="AG28" s="12"/>
      <c r="AH28" s="12"/>
      <c r="AI28" s="12"/>
      <c r="AJ28" s="12"/>
      <c r="AK28" s="12"/>
      <c r="AL28" s="12"/>
      <c r="AM28" s="12"/>
      <c r="AN28" s="12"/>
      <c r="AO28" s="12"/>
      <c r="AP28" s="12"/>
      <c r="AQ28" s="12"/>
      <c r="AR28" s="12"/>
      <c r="AS28" s="12"/>
      <c r="AT28" s="12"/>
      <c r="AU28" s="12"/>
      <c r="AV28" s="12"/>
      <c r="AW28" s="12"/>
      <c r="AX28" s="12"/>
      <c r="AY28" s="12"/>
      <c r="AZ28" s="12"/>
      <c r="BA28" s="12"/>
      <c r="BB28" s="12"/>
      <c r="BC28" s="12"/>
      <c r="BD28" s="12"/>
      <c r="BE28" s="12"/>
      <c r="BF28" s="12"/>
      <c r="BG28" s="12"/>
      <c r="BH28" s="12"/>
      <c r="BI28" s="12"/>
      <c r="BJ28" s="12"/>
      <c r="BK28" s="12"/>
      <c r="BL28" s="12"/>
      <c r="BM28" s="12"/>
      <c r="BN28" s="12"/>
      <c r="BO28" s="12"/>
      <c r="BP28" s="12"/>
      <c r="BQ28" s="12"/>
      <c r="BR28" s="12"/>
      <c r="BS28" s="12"/>
      <c r="BT28" s="12"/>
      <c r="BU28" s="12"/>
      <c r="BV28" s="12"/>
      <c r="BW28" s="12"/>
      <c r="BX28" s="12"/>
      <c r="BY28" s="12"/>
      <c r="BZ28" s="12"/>
      <c r="CA28" s="12"/>
      <c r="CB28" s="12"/>
      <c r="CC28" s="12"/>
      <c r="CD28" s="12"/>
      <c r="CE28" s="12"/>
      <c r="CF28" s="12"/>
      <c r="CG28" s="12"/>
      <c r="CH28" s="12"/>
      <c r="CI28" s="12"/>
      <c r="CJ28" s="12"/>
      <c r="CK28" s="12"/>
      <c r="CL28" s="12"/>
      <c r="CM28" s="12"/>
      <c r="CN28" s="12"/>
      <c r="CO28" s="12"/>
      <c r="CP28" s="12"/>
      <c r="CQ28" s="12"/>
      <c r="CR28" s="12"/>
      <c r="CS28" s="12"/>
      <c r="CT28" s="12"/>
      <c r="CU28" s="12"/>
      <c r="CV28" s="12"/>
      <c r="CW28" s="12"/>
      <c r="CX28" s="12"/>
      <c r="CY28" s="12"/>
      <c r="CZ28" s="12"/>
      <c r="DA28" s="12"/>
      <c r="DB28" s="12"/>
      <c r="DC28" s="12"/>
      <c r="DD28" s="12"/>
      <c r="DE28" s="12"/>
      <c r="DF28" s="12"/>
      <c r="DG28" s="12"/>
      <c r="DH28" s="12"/>
      <c r="DI28" s="12"/>
      <c r="DJ28" s="12"/>
      <c r="DK28" s="12"/>
      <c r="DL28" s="12"/>
      <c r="DM28" s="12"/>
      <c r="DN28" s="12"/>
      <c r="DO28" s="12"/>
      <c r="DP28" s="12"/>
      <c r="DQ28" s="12"/>
      <c r="DR28" s="12"/>
      <c r="DS28" s="12"/>
      <c r="DT28" s="12"/>
      <c r="DU28" s="12"/>
      <c r="DV28" s="12"/>
      <c r="DW28" s="12"/>
      <c r="DX28" s="12"/>
      <c r="DY28" s="12"/>
      <c r="DZ28" s="12"/>
      <c r="EA28" s="12"/>
      <c r="EB28" s="12"/>
      <c r="EC28" s="12"/>
      <c r="ED28" s="12"/>
      <c r="EE28" s="12"/>
      <c r="EF28" s="12"/>
      <c r="EG28" s="12"/>
      <c r="EH28" s="12"/>
      <c r="EI28" s="12"/>
      <c r="EJ28" s="12"/>
      <c r="EK28" s="12"/>
      <c r="EL28" s="12"/>
      <c r="EM28" s="12"/>
      <c r="EN28" s="12"/>
      <c r="EO28" s="12"/>
      <c r="EP28" s="12"/>
      <c r="EQ28" s="12"/>
      <c r="ER28" s="12"/>
      <c r="ES28" s="12"/>
      <c r="ET28" s="12"/>
      <c r="EU28" s="12"/>
      <c r="EV28" s="12"/>
      <c r="EW28" s="12"/>
      <c r="EX28" s="12"/>
      <c r="EY28" s="12"/>
      <c r="EZ28" s="12"/>
      <c r="FA28" s="12"/>
      <c r="FB28" s="12"/>
      <c r="FC28" s="12"/>
      <c r="FD28" s="12"/>
      <c r="FE28" s="12"/>
      <c r="FF28" s="12"/>
      <c r="FG28" s="12"/>
      <c r="FH28" s="12"/>
      <c r="FI28" s="12"/>
      <c r="FJ28" s="12"/>
      <c r="FK28" s="12"/>
      <c r="FL28" s="12"/>
      <c r="FM28" s="12"/>
      <c r="FN28" s="12"/>
      <c r="FO28" s="12"/>
      <c r="FP28" s="12"/>
      <c r="FQ28" s="12"/>
      <c r="FR28" s="12"/>
      <c r="FS28" s="12"/>
      <c r="FT28" s="12"/>
      <c r="FU28" s="12"/>
      <c r="FV28" s="12"/>
      <c r="FW28" s="12"/>
      <c r="FX28" s="12"/>
      <c r="FY28" s="12"/>
      <c r="FZ28" s="12"/>
      <c r="GA28" s="12"/>
      <c r="GB28" s="12"/>
      <c r="GC28" s="12"/>
      <c r="GD28" s="12"/>
      <c r="GE28" s="12"/>
    </row>
    <row r="29" spans="1:187" ht="21" customHeight="1">
      <c r="A29" s="45"/>
      <c r="B29" s="9" t="s">
        <v>289</v>
      </c>
      <c r="C29" s="10" t="s">
        <v>60</v>
      </c>
      <c r="D29" s="10" t="s">
        <v>89</v>
      </c>
      <c r="E29" s="35">
        <v>525.59699999999998</v>
      </c>
      <c r="F29" s="35">
        <f>875.995-E29</f>
        <v>350.39800000000002</v>
      </c>
      <c r="G29" s="35">
        <v>175.19900000000001</v>
      </c>
      <c r="H29" s="35">
        <f>700.796-G29</f>
        <v>525.59699999999998</v>
      </c>
      <c r="I29" s="35">
        <f t="shared" si="0"/>
        <v>1576.7909999999999</v>
      </c>
      <c r="J29" s="56">
        <v>1613</v>
      </c>
      <c r="K29" s="49">
        <v>4409.84</v>
      </c>
      <c r="L29" s="49">
        <v>4586.2336000000005</v>
      </c>
      <c r="M29" s="49">
        <v>1780.92</v>
      </c>
      <c r="N29" s="49">
        <v>1852.1568000000002</v>
      </c>
      <c r="O29" s="56">
        <f t="shared" si="1"/>
        <v>2628.92</v>
      </c>
      <c r="P29" s="1">
        <f t="shared" si="2"/>
        <v>1381752.46524</v>
      </c>
      <c r="Q29" s="1">
        <f t="shared" si="3"/>
        <v>921168.31016000011</v>
      </c>
      <c r="R29" s="1">
        <f t="shared" si="4"/>
        <v>479007.52128320007</v>
      </c>
      <c r="S29" s="1">
        <f t="shared" si="5"/>
        <v>1437022.5638496</v>
      </c>
      <c r="T29" s="1">
        <f t="shared" si="6"/>
        <v>4218950.8605327997</v>
      </c>
      <c r="U29" s="11"/>
      <c r="V29" s="11"/>
      <c r="W29" s="11"/>
      <c r="X29" s="12"/>
      <c r="Y29" s="12"/>
      <c r="Z29" s="12"/>
      <c r="AA29" s="12"/>
      <c r="AB29" s="12"/>
      <c r="AC29" s="12"/>
      <c r="AD29" s="12"/>
      <c r="AE29" s="12"/>
      <c r="AF29" s="12"/>
      <c r="AG29" s="12"/>
      <c r="AH29" s="12"/>
      <c r="AI29" s="12"/>
      <c r="AJ29" s="12"/>
      <c r="AK29" s="12"/>
      <c r="AL29" s="12"/>
      <c r="AM29" s="12"/>
      <c r="AN29" s="12"/>
      <c r="AO29" s="12"/>
      <c r="AP29" s="12"/>
      <c r="AQ29" s="12"/>
      <c r="AR29" s="12"/>
      <c r="AS29" s="12"/>
      <c r="AT29" s="12"/>
      <c r="AU29" s="12"/>
      <c r="AV29" s="12"/>
      <c r="AW29" s="12"/>
      <c r="AX29" s="12"/>
      <c r="AY29" s="12"/>
      <c r="AZ29" s="12"/>
      <c r="BA29" s="12"/>
      <c r="BB29" s="12"/>
      <c r="BC29" s="12"/>
      <c r="BD29" s="12"/>
      <c r="BE29" s="12"/>
      <c r="BF29" s="12"/>
      <c r="BG29" s="12"/>
      <c r="BH29" s="12"/>
      <c r="BI29" s="12"/>
      <c r="BJ29" s="12"/>
      <c r="BK29" s="12"/>
      <c r="BL29" s="12"/>
      <c r="BM29" s="12"/>
      <c r="BN29" s="12"/>
      <c r="BO29" s="12"/>
      <c r="BP29" s="12"/>
      <c r="BQ29" s="12"/>
      <c r="BR29" s="12"/>
      <c r="BS29" s="12"/>
      <c r="BT29" s="12"/>
      <c r="BU29" s="12"/>
      <c r="BV29" s="12"/>
      <c r="BW29" s="12"/>
      <c r="BX29" s="12"/>
      <c r="BY29" s="12"/>
      <c r="BZ29" s="12"/>
      <c r="CA29" s="12"/>
      <c r="CB29" s="12"/>
      <c r="CC29" s="12"/>
      <c r="CD29" s="12"/>
      <c r="CE29" s="12"/>
      <c r="CF29" s="12"/>
      <c r="CG29" s="12"/>
      <c r="CH29" s="12"/>
      <c r="CI29" s="12"/>
      <c r="CJ29" s="12"/>
      <c r="CK29" s="12"/>
      <c r="CL29" s="12"/>
      <c r="CM29" s="12"/>
      <c r="CN29" s="12"/>
      <c r="CO29" s="12"/>
      <c r="CP29" s="12"/>
      <c r="CQ29" s="12"/>
      <c r="CR29" s="12"/>
      <c r="CS29" s="12"/>
      <c r="CT29" s="12"/>
      <c r="CU29" s="12"/>
      <c r="CV29" s="12"/>
      <c r="CW29" s="12"/>
      <c r="CX29" s="12"/>
      <c r="CY29" s="12"/>
      <c r="CZ29" s="12"/>
      <c r="DA29" s="12"/>
      <c r="DB29" s="12"/>
      <c r="DC29" s="12"/>
      <c r="DD29" s="12"/>
      <c r="DE29" s="12"/>
      <c r="DF29" s="12"/>
      <c r="DG29" s="12"/>
      <c r="DH29" s="12"/>
      <c r="DI29" s="12"/>
      <c r="DJ29" s="12"/>
      <c r="DK29" s="12"/>
      <c r="DL29" s="12"/>
      <c r="DM29" s="12"/>
      <c r="DN29" s="12"/>
      <c r="DO29" s="12"/>
      <c r="DP29" s="12"/>
      <c r="DQ29" s="12"/>
      <c r="DR29" s="12"/>
      <c r="DS29" s="12"/>
      <c r="DT29" s="12"/>
      <c r="DU29" s="12"/>
      <c r="DV29" s="12"/>
      <c r="DW29" s="12"/>
      <c r="DX29" s="12"/>
      <c r="DY29" s="12"/>
      <c r="DZ29" s="12"/>
      <c r="EA29" s="12"/>
      <c r="EB29" s="12"/>
      <c r="EC29" s="12"/>
      <c r="ED29" s="12"/>
      <c r="EE29" s="12"/>
      <c r="EF29" s="12"/>
      <c r="EG29" s="12"/>
      <c r="EH29" s="12"/>
      <c r="EI29" s="12"/>
      <c r="EJ29" s="12"/>
      <c r="EK29" s="12"/>
      <c r="EL29" s="12"/>
      <c r="EM29" s="12"/>
      <c r="EN29" s="12"/>
      <c r="EO29" s="12"/>
      <c r="EP29" s="12"/>
      <c r="EQ29" s="12"/>
      <c r="ER29" s="12"/>
      <c r="ES29" s="12"/>
      <c r="ET29" s="12"/>
      <c r="EU29" s="12"/>
      <c r="EV29" s="12"/>
      <c r="EW29" s="12"/>
      <c r="EX29" s="12"/>
      <c r="EY29" s="12"/>
      <c r="EZ29" s="12"/>
      <c r="FA29" s="12"/>
      <c r="FB29" s="12"/>
      <c r="FC29" s="12"/>
      <c r="FD29" s="12"/>
      <c r="FE29" s="12"/>
      <c r="FF29" s="12"/>
      <c r="FG29" s="12"/>
      <c r="FH29" s="12"/>
      <c r="FI29" s="12"/>
      <c r="FJ29" s="12"/>
      <c r="FK29" s="12"/>
      <c r="FL29" s="12"/>
      <c r="FM29" s="12"/>
      <c r="FN29" s="12"/>
      <c r="FO29" s="12"/>
      <c r="FP29" s="12"/>
      <c r="FQ29" s="12"/>
      <c r="FR29" s="12"/>
      <c r="FS29" s="12"/>
      <c r="FT29" s="12"/>
      <c r="FU29" s="12"/>
      <c r="FV29" s="12"/>
      <c r="FW29" s="12"/>
      <c r="FX29" s="12"/>
      <c r="FY29" s="12"/>
      <c r="FZ29" s="12"/>
      <c r="GA29" s="12"/>
      <c r="GB29" s="12"/>
      <c r="GC29" s="12"/>
      <c r="GD29" s="12"/>
      <c r="GE29" s="12"/>
    </row>
    <row r="30" spans="1:187" ht="21" customHeight="1">
      <c r="A30" s="45"/>
      <c r="B30" s="9" t="s">
        <v>4</v>
      </c>
      <c r="C30" s="10" t="s">
        <v>87</v>
      </c>
      <c r="D30" s="10" t="s">
        <v>83</v>
      </c>
      <c r="E30" s="35">
        <v>6888.8509999999997</v>
      </c>
      <c r="F30" s="35">
        <f>11451.705-E30</f>
        <v>4562.8540000000003</v>
      </c>
      <c r="G30" s="35">
        <v>2275.94</v>
      </c>
      <c r="H30" s="35">
        <f>9161.333-G30</f>
        <v>6885.393</v>
      </c>
      <c r="I30" s="35">
        <f t="shared" si="0"/>
        <v>20613.038</v>
      </c>
      <c r="J30" s="56">
        <v>20894</v>
      </c>
      <c r="K30" s="49">
        <v>4578.74</v>
      </c>
      <c r="L30" s="49">
        <v>4761.8895999999995</v>
      </c>
      <c r="M30" s="49">
        <v>1575.96</v>
      </c>
      <c r="N30" s="49">
        <v>1638.9984000000002</v>
      </c>
      <c r="O30" s="56">
        <f t="shared" si="1"/>
        <v>3002.7799999999997</v>
      </c>
      <c r="P30" s="1">
        <f t="shared" si="2"/>
        <v>20685704.005779997</v>
      </c>
      <c r="Q30" s="1">
        <f t="shared" si="3"/>
        <v>13701246.73412</v>
      </c>
      <c r="R30" s="1">
        <f t="shared" si="4"/>
        <v>7107512.9977279985</v>
      </c>
      <c r="S30" s="1">
        <f t="shared" si="5"/>
        <v>21502333.208241593</v>
      </c>
      <c r="T30" s="1">
        <f t="shared" si="6"/>
        <v>62996796.94586958</v>
      </c>
      <c r="U30" s="11"/>
      <c r="V30" s="11"/>
      <c r="W30" s="11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2"/>
      <c r="AJ30" s="12"/>
      <c r="AK30" s="12"/>
      <c r="AL30" s="12"/>
      <c r="AM30" s="12"/>
      <c r="AN30" s="12"/>
      <c r="AO30" s="12"/>
      <c r="AP30" s="12"/>
      <c r="AQ30" s="12"/>
      <c r="AR30" s="12"/>
      <c r="AS30" s="12"/>
      <c r="AT30" s="12"/>
      <c r="AU30" s="12"/>
      <c r="AV30" s="12"/>
      <c r="AW30" s="12"/>
      <c r="AX30" s="12"/>
      <c r="AY30" s="12"/>
      <c r="AZ30" s="12"/>
      <c r="BA30" s="12"/>
      <c r="BB30" s="12"/>
      <c r="BC30" s="12"/>
      <c r="BD30" s="12"/>
      <c r="BE30" s="12"/>
      <c r="BF30" s="12"/>
      <c r="BG30" s="12"/>
      <c r="BH30" s="12"/>
      <c r="BI30" s="12"/>
      <c r="BJ30" s="12"/>
      <c r="BK30" s="12"/>
      <c r="BL30" s="12"/>
      <c r="BM30" s="12"/>
      <c r="BN30" s="12"/>
      <c r="BO30" s="12"/>
      <c r="BP30" s="12"/>
      <c r="BQ30" s="12"/>
      <c r="BR30" s="12"/>
      <c r="BS30" s="12"/>
      <c r="BT30" s="12"/>
      <c r="BU30" s="12"/>
      <c r="BV30" s="12"/>
      <c r="BW30" s="12"/>
      <c r="BX30" s="12"/>
      <c r="BY30" s="12"/>
      <c r="BZ30" s="12"/>
      <c r="CA30" s="12"/>
      <c r="CB30" s="12"/>
      <c r="CC30" s="12"/>
      <c r="CD30" s="12"/>
      <c r="CE30" s="12"/>
      <c r="CF30" s="12"/>
      <c r="CG30" s="12"/>
      <c r="CH30" s="12"/>
      <c r="CI30" s="12"/>
      <c r="CJ30" s="12"/>
      <c r="CK30" s="12"/>
      <c r="CL30" s="12"/>
      <c r="CM30" s="12"/>
      <c r="CN30" s="12"/>
      <c r="CO30" s="12"/>
      <c r="CP30" s="12"/>
      <c r="CQ30" s="12"/>
      <c r="CR30" s="12"/>
      <c r="CS30" s="12"/>
      <c r="CT30" s="12"/>
      <c r="CU30" s="12"/>
      <c r="CV30" s="12"/>
      <c r="CW30" s="12"/>
      <c r="CX30" s="12"/>
      <c r="CY30" s="12"/>
      <c r="CZ30" s="12"/>
      <c r="DA30" s="12"/>
      <c r="DB30" s="12"/>
      <c r="DC30" s="12"/>
      <c r="DD30" s="12"/>
      <c r="DE30" s="12"/>
      <c r="DF30" s="12"/>
      <c r="DG30" s="12"/>
      <c r="DH30" s="12"/>
      <c r="DI30" s="12"/>
      <c r="DJ30" s="12"/>
      <c r="DK30" s="12"/>
      <c r="DL30" s="12"/>
      <c r="DM30" s="12"/>
      <c r="DN30" s="12"/>
      <c r="DO30" s="12"/>
      <c r="DP30" s="12"/>
      <c r="DQ30" s="12"/>
      <c r="DR30" s="12"/>
      <c r="DS30" s="12"/>
      <c r="DT30" s="12"/>
      <c r="DU30" s="12"/>
      <c r="DV30" s="12"/>
      <c r="DW30" s="12"/>
      <c r="DX30" s="12"/>
      <c r="DY30" s="12"/>
      <c r="DZ30" s="12"/>
      <c r="EA30" s="12"/>
      <c r="EB30" s="12"/>
      <c r="EC30" s="12"/>
      <c r="ED30" s="12"/>
      <c r="EE30" s="12"/>
      <c r="EF30" s="12"/>
      <c r="EG30" s="12"/>
      <c r="EH30" s="12"/>
      <c r="EI30" s="12"/>
      <c r="EJ30" s="12"/>
      <c r="EK30" s="12"/>
      <c r="EL30" s="12"/>
      <c r="EM30" s="12"/>
      <c r="EN30" s="12"/>
      <c r="EO30" s="12"/>
      <c r="EP30" s="12"/>
      <c r="EQ30" s="12"/>
      <c r="ER30" s="12"/>
      <c r="ES30" s="12"/>
      <c r="ET30" s="12"/>
      <c r="EU30" s="12"/>
      <c r="EV30" s="12"/>
      <c r="EW30" s="12"/>
      <c r="EX30" s="12"/>
      <c r="EY30" s="12"/>
      <c r="EZ30" s="12"/>
      <c r="FA30" s="12"/>
      <c r="FB30" s="12"/>
      <c r="FC30" s="12"/>
      <c r="FD30" s="12"/>
      <c r="FE30" s="12"/>
      <c r="FF30" s="12"/>
      <c r="FG30" s="12"/>
      <c r="FH30" s="12"/>
      <c r="FI30" s="12"/>
      <c r="FJ30" s="12"/>
      <c r="FK30" s="12"/>
      <c r="FL30" s="12"/>
      <c r="FM30" s="12"/>
      <c r="FN30" s="12"/>
      <c r="FO30" s="12"/>
      <c r="FP30" s="12"/>
      <c r="FQ30" s="12"/>
      <c r="FR30" s="12"/>
      <c r="FS30" s="12"/>
      <c r="FT30" s="12"/>
      <c r="FU30" s="12"/>
      <c r="FV30" s="12"/>
      <c r="FW30" s="12"/>
      <c r="FX30" s="12"/>
      <c r="FY30" s="12"/>
      <c r="FZ30" s="12"/>
      <c r="GA30" s="12"/>
      <c r="GB30" s="12"/>
      <c r="GC30" s="12"/>
      <c r="GD30" s="12"/>
      <c r="GE30" s="12"/>
    </row>
    <row r="31" spans="1:187" ht="21" customHeight="1">
      <c r="A31" s="45"/>
      <c r="B31" s="9" t="s">
        <v>27</v>
      </c>
      <c r="C31" s="10" t="s">
        <v>84</v>
      </c>
      <c r="D31" s="10" t="s">
        <v>85</v>
      </c>
      <c r="E31" s="35">
        <v>2033.8820000000001</v>
      </c>
      <c r="F31" s="35">
        <f>3118.18941-E31</f>
        <v>1084.3074099999999</v>
      </c>
      <c r="G31" s="35">
        <v>549.54</v>
      </c>
      <c r="H31" s="35">
        <f>2580.537-G31</f>
        <v>2030.9969999999998</v>
      </c>
      <c r="I31" s="35">
        <f t="shared" si="0"/>
        <v>5698.7264099999993</v>
      </c>
      <c r="J31" s="56">
        <v>5916.95</v>
      </c>
      <c r="K31" s="49">
        <v>5116.9143999999997</v>
      </c>
      <c r="L31" s="49">
        <v>5321.5909759999995</v>
      </c>
      <c r="M31" s="49">
        <v>1780.9126899999997</v>
      </c>
      <c r="N31" s="49">
        <v>1852.1491975999998</v>
      </c>
      <c r="O31" s="56">
        <f t="shared" si="1"/>
        <v>3336.00171</v>
      </c>
      <c r="P31" s="1">
        <f t="shared" si="2"/>
        <v>6785033.8299382199</v>
      </c>
      <c r="Q31" s="1">
        <f t="shared" si="3"/>
        <v>3617251.3739256705</v>
      </c>
      <c r="R31" s="1">
        <f t="shared" si="4"/>
        <v>1906597.0349019358</v>
      </c>
      <c r="S31" s="1">
        <f t="shared" si="5"/>
        <v>7046425.8436050639</v>
      </c>
      <c r="T31" s="1">
        <f t="shared" si="6"/>
        <v>19355308.082370892</v>
      </c>
      <c r="U31" s="11"/>
      <c r="V31" s="11"/>
      <c r="W31" s="11"/>
      <c r="X31" s="12"/>
      <c r="Y31" s="12"/>
      <c r="Z31" s="12"/>
      <c r="AA31" s="12"/>
      <c r="AB31" s="12"/>
      <c r="AC31" s="12"/>
      <c r="AD31" s="12"/>
      <c r="AE31" s="12"/>
      <c r="AF31" s="12"/>
      <c r="AG31" s="12"/>
      <c r="AH31" s="12"/>
      <c r="AI31" s="12"/>
      <c r="AJ31" s="12"/>
      <c r="AK31" s="12"/>
      <c r="AL31" s="12"/>
      <c r="AM31" s="12"/>
      <c r="AN31" s="12"/>
      <c r="AO31" s="12"/>
      <c r="AP31" s="12"/>
      <c r="AQ31" s="12"/>
      <c r="AR31" s="12"/>
      <c r="AS31" s="12"/>
      <c r="AT31" s="12"/>
      <c r="AU31" s="12"/>
      <c r="AV31" s="12"/>
      <c r="AW31" s="12"/>
      <c r="AX31" s="12"/>
      <c r="AY31" s="12"/>
      <c r="AZ31" s="12"/>
      <c r="BA31" s="12"/>
      <c r="BB31" s="12"/>
      <c r="BC31" s="12"/>
      <c r="BD31" s="12"/>
      <c r="BE31" s="12"/>
      <c r="BF31" s="12"/>
      <c r="BG31" s="12"/>
      <c r="BH31" s="12"/>
      <c r="BI31" s="12"/>
      <c r="BJ31" s="12"/>
      <c r="BK31" s="12"/>
      <c r="BL31" s="12"/>
      <c r="BM31" s="12"/>
      <c r="BN31" s="12"/>
      <c r="BO31" s="12"/>
      <c r="BP31" s="12"/>
      <c r="BQ31" s="12"/>
      <c r="BR31" s="12"/>
      <c r="BS31" s="12"/>
      <c r="BT31" s="12"/>
      <c r="BU31" s="12"/>
      <c r="BV31" s="12"/>
      <c r="BW31" s="12"/>
      <c r="BX31" s="12"/>
      <c r="BY31" s="12"/>
      <c r="BZ31" s="12"/>
      <c r="CA31" s="12"/>
      <c r="CB31" s="12"/>
      <c r="CC31" s="12"/>
      <c r="CD31" s="12"/>
      <c r="CE31" s="12"/>
      <c r="CF31" s="12"/>
      <c r="CG31" s="12"/>
      <c r="CH31" s="12"/>
      <c r="CI31" s="12"/>
      <c r="CJ31" s="12"/>
      <c r="CK31" s="12"/>
      <c r="CL31" s="12"/>
      <c r="CM31" s="12"/>
      <c r="CN31" s="12"/>
      <c r="CO31" s="12"/>
      <c r="CP31" s="12"/>
      <c r="CQ31" s="12"/>
      <c r="CR31" s="12"/>
      <c r="CS31" s="12"/>
      <c r="CT31" s="12"/>
      <c r="CU31" s="12"/>
      <c r="CV31" s="12"/>
      <c r="CW31" s="12"/>
      <c r="CX31" s="12"/>
      <c r="CY31" s="12"/>
      <c r="CZ31" s="12"/>
      <c r="DA31" s="12"/>
      <c r="DB31" s="12"/>
      <c r="DC31" s="12"/>
      <c r="DD31" s="12"/>
      <c r="DE31" s="12"/>
      <c r="DF31" s="12"/>
      <c r="DG31" s="12"/>
      <c r="DH31" s="12"/>
      <c r="DI31" s="12"/>
      <c r="DJ31" s="12"/>
      <c r="DK31" s="12"/>
      <c r="DL31" s="12"/>
      <c r="DM31" s="12"/>
      <c r="DN31" s="12"/>
      <c r="DO31" s="12"/>
      <c r="DP31" s="12"/>
      <c r="DQ31" s="12"/>
      <c r="DR31" s="12"/>
      <c r="DS31" s="12"/>
      <c r="DT31" s="12"/>
      <c r="DU31" s="12"/>
      <c r="DV31" s="12"/>
      <c r="DW31" s="12"/>
      <c r="DX31" s="12"/>
      <c r="DY31" s="12"/>
      <c r="DZ31" s="12"/>
      <c r="EA31" s="12"/>
      <c r="EB31" s="12"/>
      <c r="EC31" s="12"/>
      <c r="ED31" s="12"/>
      <c r="EE31" s="12"/>
      <c r="EF31" s="12"/>
      <c r="EG31" s="12"/>
      <c r="EH31" s="12"/>
      <c r="EI31" s="12"/>
      <c r="EJ31" s="12"/>
      <c r="EK31" s="12"/>
      <c r="EL31" s="12"/>
      <c r="EM31" s="12"/>
      <c r="EN31" s="12"/>
      <c r="EO31" s="12"/>
      <c r="EP31" s="12"/>
      <c r="EQ31" s="12"/>
      <c r="ER31" s="12"/>
      <c r="ES31" s="12"/>
      <c r="ET31" s="12"/>
      <c r="EU31" s="12"/>
      <c r="EV31" s="12"/>
      <c r="EW31" s="12"/>
      <c r="EX31" s="12"/>
      <c r="EY31" s="12"/>
      <c r="EZ31" s="12"/>
      <c r="FA31" s="12"/>
      <c r="FB31" s="12"/>
      <c r="FC31" s="12"/>
      <c r="FD31" s="12"/>
      <c r="FE31" s="12"/>
      <c r="FF31" s="12"/>
      <c r="FG31" s="12"/>
      <c r="FH31" s="12"/>
      <c r="FI31" s="12"/>
      <c r="FJ31" s="12"/>
      <c r="FK31" s="12"/>
      <c r="FL31" s="12"/>
      <c r="FM31" s="12"/>
      <c r="FN31" s="12"/>
      <c r="FO31" s="12"/>
      <c r="FP31" s="12"/>
      <c r="FQ31" s="12"/>
      <c r="FR31" s="12"/>
      <c r="FS31" s="12"/>
      <c r="FT31" s="12"/>
      <c r="FU31" s="12"/>
      <c r="FV31" s="12"/>
      <c r="FW31" s="12"/>
      <c r="FX31" s="12"/>
      <c r="FY31" s="12"/>
      <c r="FZ31" s="12"/>
      <c r="GA31" s="12"/>
      <c r="GB31" s="12"/>
      <c r="GC31" s="12"/>
      <c r="GD31" s="12"/>
      <c r="GE31" s="12"/>
    </row>
    <row r="32" spans="1:187" ht="21" customHeight="1">
      <c r="A32" s="45"/>
      <c r="B32" s="9" t="s">
        <v>385</v>
      </c>
      <c r="C32" s="10" t="s">
        <v>386</v>
      </c>
      <c r="D32" s="10" t="s">
        <v>86</v>
      </c>
      <c r="E32" s="35">
        <v>3104.0459999999998</v>
      </c>
      <c r="F32" s="35">
        <f>5124.507-E32</f>
        <v>2020.4609999999998</v>
      </c>
      <c r="G32" s="35">
        <v>1121.43</v>
      </c>
      <c r="H32" s="35">
        <v>3439.04</v>
      </c>
      <c r="I32" s="35">
        <f t="shared" si="0"/>
        <v>9684.976999999999</v>
      </c>
      <c r="J32" s="56">
        <v>10364.700000000001</v>
      </c>
      <c r="K32" s="49">
        <v>3956.25</v>
      </c>
      <c r="L32" s="49">
        <v>4114.5</v>
      </c>
      <c r="M32" s="49">
        <v>1331.94</v>
      </c>
      <c r="N32" s="49">
        <v>1385.2176000000002</v>
      </c>
      <c r="O32" s="56">
        <f t="shared" si="1"/>
        <v>2624.31</v>
      </c>
      <c r="P32" s="1">
        <f t="shared" si="2"/>
        <v>8145978.9582599998</v>
      </c>
      <c r="Q32" s="1">
        <f t="shared" si="3"/>
        <v>5302316.0069099991</v>
      </c>
      <c r="R32" s="1">
        <f t="shared" si="4"/>
        <v>3060699.1618320001</v>
      </c>
      <c r="S32" s="1">
        <f t="shared" si="5"/>
        <v>9386111.3448959999</v>
      </c>
      <c r="T32" s="1">
        <f t="shared" si="6"/>
        <v>25895105.471898001</v>
      </c>
      <c r="U32" s="11"/>
      <c r="V32" s="11"/>
      <c r="W32" s="11"/>
      <c r="X32" s="12"/>
      <c r="Y32" s="12"/>
      <c r="Z32" s="12"/>
      <c r="AA32" s="12"/>
      <c r="AB32" s="12"/>
      <c r="AC32" s="12"/>
      <c r="AD32" s="12"/>
      <c r="AE32" s="12"/>
      <c r="AF32" s="12"/>
      <c r="AG32" s="12"/>
      <c r="AH32" s="12"/>
      <c r="AI32" s="12"/>
      <c r="AJ32" s="12"/>
      <c r="AK32" s="12"/>
      <c r="AL32" s="12"/>
      <c r="AM32" s="12"/>
      <c r="AN32" s="12"/>
      <c r="AO32" s="12"/>
      <c r="AP32" s="12"/>
      <c r="AQ32" s="12"/>
      <c r="AR32" s="12"/>
      <c r="AS32" s="12"/>
      <c r="AT32" s="12"/>
      <c r="AU32" s="12"/>
      <c r="AV32" s="12"/>
      <c r="AW32" s="12"/>
      <c r="AX32" s="12"/>
      <c r="AY32" s="12"/>
      <c r="AZ32" s="12"/>
      <c r="BA32" s="12"/>
      <c r="BB32" s="12"/>
      <c r="BC32" s="12"/>
      <c r="BD32" s="12"/>
      <c r="BE32" s="12"/>
      <c r="BF32" s="12"/>
      <c r="BG32" s="12"/>
      <c r="BH32" s="12"/>
      <c r="BI32" s="12"/>
      <c r="BJ32" s="12"/>
      <c r="BK32" s="12"/>
      <c r="BL32" s="12"/>
      <c r="BM32" s="12"/>
      <c r="BN32" s="12"/>
      <c r="BO32" s="12"/>
      <c r="BP32" s="12"/>
      <c r="BQ32" s="12"/>
      <c r="BR32" s="12"/>
      <c r="BS32" s="12"/>
      <c r="BT32" s="12"/>
      <c r="BU32" s="12"/>
      <c r="BV32" s="12"/>
      <c r="BW32" s="12"/>
      <c r="BX32" s="12"/>
      <c r="BY32" s="12"/>
      <c r="BZ32" s="12"/>
      <c r="CA32" s="12"/>
      <c r="CB32" s="12"/>
      <c r="CC32" s="12"/>
      <c r="CD32" s="12"/>
      <c r="CE32" s="12"/>
      <c r="CF32" s="12"/>
      <c r="CG32" s="12"/>
      <c r="CH32" s="12"/>
      <c r="CI32" s="12"/>
      <c r="CJ32" s="12"/>
      <c r="CK32" s="12"/>
      <c r="CL32" s="12"/>
      <c r="CM32" s="12"/>
      <c r="CN32" s="12"/>
      <c r="CO32" s="12"/>
      <c r="CP32" s="12"/>
      <c r="CQ32" s="12"/>
      <c r="CR32" s="12"/>
      <c r="CS32" s="12"/>
      <c r="CT32" s="12"/>
      <c r="CU32" s="12"/>
      <c r="CV32" s="12"/>
      <c r="CW32" s="12"/>
      <c r="CX32" s="12"/>
      <c r="CY32" s="12"/>
      <c r="CZ32" s="12"/>
      <c r="DA32" s="12"/>
      <c r="DB32" s="12"/>
      <c r="DC32" s="12"/>
      <c r="DD32" s="12"/>
      <c r="DE32" s="12"/>
      <c r="DF32" s="12"/>
      <c r="DG32" s="12"/>
      <c r="DH32" s="12"/>
      <c r="DI32" s="12"/>
      <c r="DJ32" s="12"/>
      <c r="DK32" s="12"/>
      <c r="DL32" s="12"/>
      <c r="DM32" s="12"/>
      <c r="DN32" s="12"/>
      <c r="DO32" s="12"/>
      <c r="DP32" s="12"/>
      <c r="DQ32" s="12"/>
      <c r="DR32" s="12"/>
      <c r="DS32" s="12"/>
      <c r="DT32" s="12"/>
      <c r="DU32" s="12"/>
      <c r="DV32" s="12"/>
      <c r="DW32" s="12"/>
      <c r="DX32" s="12"/>
      <c r="DY32" s="12"/>
      <c r="DZ32" s="12"/>
      <c r="EA32" s="12"/>
      <c r="EB32" s="12"/>
      <c r="EC32" s="12"/>
      <c r="ED32" s="12"/>
      <c r="EE32" s="12"/>
      <c r="EF32" s="12"/>
      <c r="EG32" s="12"/>
      <c r="EH32" s="12"/>
      <c r="EI32" s="12"/>
      <c r="EJ32" s="12"/>
      <c r="EK32" s="12"/>
      <c r="EL32" s="12"/>
      <c r="EM32" s="12"/>
      <c r="EN32" s="12"/>
      <c r="EO32" s="12"/>
      <c r="EP32" s="12"/>
      <c r="EQ32" s="12"/>
      <c r="ER32" s="12"/>
      <c r="ES32" s="12"/>
      <c r="ET32" s="12"/>
      <c r="EU32" s="12"/>
      <c r="EV32" s="12"/>
      <c r="EW32" s="12"/>
      <c r="EX32" s="12"/>
      <c r="EY32" s="12"/>
      <c r="EZ32" s="12"/>
      <c r="FA32" s="12"/>
      <c r="FB32" s="12"/>
      <c r="FC32" s="12"/>
      <c r="FD32" s="12"/>
      <c r="FE32" s="12"/>
      <c r="FF32" s="12"/>
      <c r="FG32" s="12"/>
      <c r="FH32" s="12"/>
      <c r="FI32" s="12"/>
      <c r="FJ32" s="12"/>
      <c r="FK32" s="12"/>
      <c r="FL32" s="12"/>
      <c r="FM32" s="12"/>
      <c r="FN32" s="12"/>
      <c r="FO32" s="12"/>
      <c r="FP32" s="12"/>
      <c r="FQ32" s="12"/>
      <c r="FR32" s="12"/>
      <c r="FS32" s="12"/>
      <c r="FT32" s="12"/>
      <c r="FU32" s="12"/>
      <c r="FV32" s="12"/>
      <c r="FW32" s="12"/>
      <c r="FX32" s="12"/>
      <c r="FY32" s="12"/>
      <c r="FZ32" s="12"/>
      <c r="GA32" s="12"/>
      <c r="GB32" s="12"/>
      <c r="GC32" s="12"/>
      <c r="GD32" s="12"/>
      <c r="GE32" s="12"/>
    </row>
    <row r="33" spans="1:187" ht="21" customHeight="1">
      <c r="A33" s="45"/>
      <c r="B33" s="101" t="s">
        <v>90</v>
      </c>
      <c r="C33" s="101"/>
      <c r="D33" s="101"/>
      <c r="E33" s="34"/>
      <c r="F33" s="34"/>
      <c r="G33" s="34"/>
      <c r="H33" s="34"/>
      <c r="I33" s="35">
        <f t="shared" si="0"/>
        <v>0</v>
      </c>
      <c r="J33" s="56"/>
      <c r="K33" s="49"/>
      <c r="L33" s="49"/>
      <c r="M33" s="49"/>
      <c r="N33" s="49"/>
      <c r="O33" s="56">
        <f t="shared" si="1"/>
        <v>0</v>
      </c>
      <c r="P33" s="1">
        <f t="shared" si="2"/>
        <v>0</v>
      </c>
      <c r="Q33" s="1">
        <f t="shared" si="3"/>
        <v>0</v>
      </c>
      <c r="R33" s="1">
        <f t="shared" si="4"/>
        <v>0</v>
      </c>
      <c r="S33" s="1">
        <f t="shared" si="5"/>
        <v>0</v>
      </c>
      <c r="T33" s="1">
        <f t="shared" si="6"/>
        <v>0</v>
      </c>
      <c r="U33" s="45"/>
      <c r="V33" s="45"/>
      <c r="W33" s="45"/>
    </row>
    <row r="34" spans="1:187" ht="21" customHeight="1">
      <c r="A34" s="45"/>
      <c r="B34" s="9" t="s">
        <v>12</v>
      </c>
      <c r="C34" s="10" t="s">
        <v>296</v>
      </c>
      <c r="D34" s="10" t="s">
        <v>95</v>
      </c>
      <c r="E34" s="35">
        <v>4943.6170000000002</v>
      </c>
      <c r="F34" s="35">
        <f>6988.967-E34</f>
        <v>2045.3499999999995</v>
      </c>
      <c r="G34" s="35">
        <v>676.85400000000004</v>
      </c>
      <c r="H34" s="35">
        <f>4738.53-G34</f>
        <v>4061.6759999999995</v>
      </c>
      <c r="I34" s="35">
        <f t="shared" si="0"/>
        <v>11727.496999999999</v>
      </c>
      <c r="J34" s="56">
        <v>12183.3</v>
      </c>
      <c r="K34" s="49">
        <v>3043.32</v>
      </c>
      <c r="L34" s="49">
        <v>3165.0528000000004</v>
      </c>
      <c r="M34" s="49">
        <v>1540.99</v>
      </c>
      <c r="N34" s="49">
        <v>1602.6296</v>
      </c>
      <c r="O34" s="56">
        <f t="shared" si="1"/>
        <v>1502.3300000000002</v>
      </c>
      <c r="P34" s="1">
        <f t="shared" si="2"/>
        <v>7426944.1276100008</v>
      </c>
      <c r="Q34" s="1">
        <f t="shared" si="3"/>
        <v>3072790.6654999997</v>
      </c>
      <c r="R34" s="1">
        <f t="shared" si="4"/>
        <v>1057532.3926128002</v>
      </c>
      <c r="S34" s="1">
        <f t="shared" si="5"/>
        <v>6346056.8132832004</v>
      </c>
      <c r="T34" s="1">
        <f t="shared" si="6"/>
        <v>17903323.999005999</v>
      </c>
      <c r="U34" s="11"/>
      <c r="V34" s="11"/>
      <c r="W34" s="11"/>
      <c r="X34" s="12"/>
      <c r="Y34" s="12"/>
      <c r="Z34" s="12"/>
      <c r="AA34" s="12"/>
      <c r="AB34" s="12"/>
      <c r="AC34" s="12"/>
      <c r="AD34" s="12"/>
      <c r="AE34" s="12"/>
      <c r="AF34" s="12"/>
      <c r="AG34" s="12"/>
      <c r="AH34" s="12"/>
      <c r="AI34" s="12"/>
      <c r="AJ34" s="12"/>
      <c r="AK34" s="12"/>
      <c r="AL34" s="12"/>
      <c r="AM34" s="12"/>
      <c r="AN34" s="12"/>
      <c r="AO34" s="12"/>
      <c r="AP34" s="12"/>
      <c r="AQ34" s="12"/>
      <c r="AR34" s="12"/>
      <c r="AS34" s="12"/>
      <c r="AT34" s="12"/>
      <c r="AU34" s="12"/>
      <c r="AV34" s="12"/>
      <c r="AW34" s="12"/>
      <c r="AX34" s="12"/>
      <c r="AY34" s="12"/>
      <c r="AZ34" s="12"/>
      <c r="BA34" s="12"/>
      <c r="BB34" s="12"/>
      <c r="BC34" s="12"/>
      <c r="BD34" s="12"/>
      <c r="BE34" s="12"/>
      <c r="BF34" s="12"/>
      <c r="BG34" s="12"/>
      <c r="BH34" s="12"/>
      <c r="BI34" s="12"/>
      <c r="BJ34" s="12"/>
      <c r="BK34" s="12"/>
      <c r="BL34" s="12"/>
      <c r="BM34" s="12"/>
      <c r="BN34" s="12"/>
      <c r="BO34" s="12"/>
      <c r="BP34" s="12"/>
      <c r="BQ34" s="12"/>
      <c r="BR34" s="12"/>
      <c r="BS34" s="12"/>
      <c r="BT34" s="12"/>
      <c r="BU34" s="12"/>
      <c r="BV34" s="12"/>
      <c r="BW34" s="12"/>
      <c r="BX34" s="12"/>
      <c r="BY34" s="12"/>
      <c r="BZ34" s="12"/>
      <c r="CA34" s="12"/>
      <c r="CB34" s="12"/>
      <c r="CC34" s="12"/>
      <c r="CD34" s="12"/>
      <c r="CE34" s="12"/>
      <c r="CF34" s="12"/>
      <c r="CG34" s="12"/>
      <c r="CH34" s="12"/>
      <c r="CI34" s="12"/>
      <c r="CJ34" s="12"/>
      <c r="CK34" s="12"/>
      <c r="CL34" s="12"/>
      <c r="CM34" s="12"/>
      <c r="CN34" s="12"/>
      <c r="CO34" s="12"/>
      <c r="CP34" s="12"/>
      <c r="CQ34" s="12"/>
      <c r="CR34" s="12"/>
      <c r="CS34" s="12"/>
      <c r="CT34" s="12"/>
      <c r="CU34" s="12"/>
      <c r="CV34" s="12"/>
      <c r="CW34" s="12"/>
      <c r="CX34" s="12"/>
      <c r="CY34" s="12"/>
      <c r="CZ34" s="12"/>
      <c r="DA34" s="12"/>
      <c r="DB34" s="12"/>
      <c r="DC34" s="12"/>
      <c r="DD34" s="12"/>
      <c r="DE34" s="12"/>
      <c r="DF34" s="12"/>
      <c r="DG34" s="12"/>
      <c r="DH34" s="12"/>
      <c r="DI34" s="12"/>
      <c r="DJ34" s="12"/>
      <c r="DK34" s="12"/>
      <c r="DL34" s="12"/>
      <c r="DM34" s="12"/>
      <c r="DN34" s="12"/>
      <c r="DO34" s="12"/>
      <c r="DP34" s="12"/>
      <c r="DQ34" s="12"/>
      <c r="DR34" s="12"/>
      <c r="DS34" s="12"/>
      <c r="DT34" s="12"/>
      <c r="DU34" s="12"/>
      <c r="DV34" s="12"/>
      <c r="DW34" s="12"/>
      <c r="DX34" s="12"/>
      <c r="DY34" s="12"/>
      <c r="DZ34" s="12"/>
      <c r="EA34" s="12"/>
      <c r="EB34" s="12"/>
      <c r="EC34" s="12"/>
      <c r="ED34" s="12"/>
      <c r="EE34" s="12"/>
      <c r="EF34" s="12"/>
      <c r="EG34" s="12"/>
      <c r="EH34" s="12"/>
      <c r="EI34" s="12"/>
      <c r="EJ34" s="12"/>
      <c r="EK34" s="12"/>
      <c r="EL34" s="12"/>
      <c r="EM34" s="12"/>
      <c r="EN34" s="12"/>
      <c r="EO34" s="12"/>
      <c r="EP34" s="12"/>
      <c r="EQ34" s="12"/>
      <c r="ER34" s="12"/>
      <c r="ES34" s="12"/>
      <c r="ET34" s="12"/>
      <c r="EU34" s="12"/>
      <c r="EV34" s="12"/>
      <c r="EW34" s="12"/>
      <c r="EX34" s="12"/>
      <c r="EY34" s="12"/>
      <c r="EZ34" s="12"/>
      <c r="FA34" s="12"/>
      <c r="FB34" s="12"/>
      <c r="FC34" s="12"/>
      <c r="FD34" s="12"/>
      <c r="FE34" s="12"/>
      <c r="FF34" s="12"/>
      <c r="FG34" s="12"/>
      <c r="FH34" s="12"/>
      <c r="FI34" s="12"/>
      <c r="FJ34" s="12"/>
      <c r="FK34" s="12"/>
      <c r="FL34" s="12"/>
      <c r="FM34" s="12"/>
      <c r="FN34" s="12"/>
      <c r="FO34" s="12"/>
      <c r="FP34" s="12"/>
      <c r="FQ34" s="12"/>
      <c r="FR34" s="12"/>
      <c r="FS34" s="12"/>
      <c r="FT34" s="12"/>
      <c r="FU34" s="12"/>
      <c r="FV34" s="12"/>
      <c r="FW34" s="12"/>
      <c r="FX34" s="12"/>
      <c r="FY34" s="12"/>
      <c r="FZ34" s="12"/>
      <c r="GA34" s="12"/>
      <c r="GB34" s="12"/>
      <c r="GC34" s="12"/>
      <c r="GD34" s="12"/>
      <c r="GE34" s="12"/>
    </row>
    <row r="35" spans="1:187" ht="21" customHeight="1">
      <c r="A35" s="45" t="s">
        <v>337</v>
      </c>
      <c r="B35" s="9" t="s">
        <v>368</v>
      </c>
      <c r="C35" s="10" t="s">
        <v>369</v>
      </c>
      <c r="D35" s="10" t="s">
        <v>95</v>
      </c>
      <c r="E35" s="35">
        <f>328.2832*0.4</f>
        <v>131.31328000000002</v>
      </c>
      <c r="F35" s="35">
        <f>328.2832*0.6</f>
        <v>196.96992</v>
      </c>
      <c r="G35" s="35">
        <f>257.9368*0.2</f>
        <v>51.587360000000004</v>
      </c>
      <c r="H35" s="35">
        <f>257.9368*0.8</f>
        <v>206.34944000000002</v>
      </c>
      <c r="I35" s="35">
        <f t="shared" si="0"/>
        <v>586.22</v>
      </c>
      <c r="J35" s="56">
        <v>586.22</v>
      </c>
      <c r="K35" s="49">
        <v>2302.3832000000002</v>
      </c>
      <c r="L35" s="49">
        <v>2394.4785280000001</v>
      </c>
      <c r="M35" s="49">
        <v>1540.9923699999999</v>
      </c>
      <c r="N35" s="49">
        <v>1602.6320648000001</v>
      </c>
      <c r="O35" s="56">
        <f t="shared" si="1"/>
        <v>761.39083000000028</v>
      </c>
      <c r="P35" s="1">
        <f t="shared" si="2"/>
        <v>99980.727249222458</v>
      </c>
      <c r="Q35" s="1">
        <f t="shared" si="3"/>
        <v>149971.09087383366</v>
      </c>
      <c r="R35" s="1">
        <f t="shared" si="4"/>
        <v>40849.268561825156</v>
      </c>
      <c r="S35" s="1">
        <f t="shared" si="5"/>
        <v>163397.07424730062</v>
      </c>
      <c r="T35" s="1">
        <f t="shared" si="6"/>
        <v>454198.16093218187</v>
      </c>
      <c r="U35" s="11"/>
      <c r="V35" s="11"/>
      <c r="W35" s="11"/>
      <c r="X35" s="12"/>
      <c r="Y35" s="12"/>
      <c r="Z35" s="12"/>
      <c r="AA35" s="12"/>
      <c r="AB35" s="12"/>
      <c r="AC35" s="12"/>
      <c r="AD35" s="12"/>
      <c r="AE35" s="12"/>
      <c r="AF35" s="12"/>
      <c r="AG35" s="12"/>
      <c r="AH35" s="12"/>
      <c r="AI35" s="12"/>
      <c r="AJ35" s="12"/>
      <c r="AK35" s="12"/>
      <c r="AL35" s="12"/>
      <c r="AM35" s="12"/>
      <c r="AN35" s="12"/>
      <c r="AO35" s="12"/>
      <c r="AP35" s="12"/>
      <c r="AQ35" s="12"/>
      <c r="AR35" s="12"/>
      <c r="AS35" s="12"/>
      <c r="AT35" s="12"/>
      <c r="AU35" s="12"/>
      <c r="AV35" s="12"/>
      <c r="AW35" s="12"/>
      <c r="AX35" s="12"/>
      <c r="AY35" s="12"/>
      <c r="AZ35" s="12"/>
      <c r="BA35" s="12"/>
      <c r="BB35" s="12"/>
      <c r="BC35" s="12"/>
      <c r="BD35" s="12"/>
      <c r="BE35" s="12"/>
      <c r="BF35" s="12"/>
      <c r="BG35" s="12"/>
      <c r="BH35" s="12"/>
      <c r="BI35" s="12"/>
      <c r="BJ35" s="12"/>
      <c r="BK35" s="12"/>
      <c r="BL35" s="12"/>
      <c r="BM35" s="12"/>
      <c r="BN35" s="12"/>
      <c r="BO35" s="12"/>
      <c r="BP35" s="12"/>
      <c r="BQ35" s="12"/>
      <c r="BR35" s="12"/>
      <c r="BS35" s="12"/>
      <c r="BT35" s="12"/>
      <c r="BU35" s="12"/>
      <c r="BV35" s="12"/>
      <c r="BW35" s="12"/>
      <c r="BX35" s="12"/>
      <c r="BY35" s="12"/>
      <c r="BZ35" s="12"/>
      <c r="CA35" s="12"/>
      <c r="CB35" s="12"/>
      <c r="CC35" s="12"/>
      <c r="CD35" s="12"/>
      <c r="CE35" s="12"/>
      <c r="CF35" s="12"/>
      <c r="CG35" s="12"/>
      <c r="CH35" s="12"/>
      <c r="CI35" s="12"/>
      <c r="CJ35" s="12"/>
      <c r="CK35" s="12"/>
      <c r="CL35" s="12"/>
      <c r="CM35" s="12"/>
      <c r="CN35" s="12"/>
      <c r="CO35" s="12"/>
      <c r="CP35" s="12"/>
      <c r="CQ35" s="12"/>
      <c r="CR35" s="12"/>
      <c r="CS35" s="12"/>
      <c r="CT35" s="12"/>
      <c r="CU35" s="12"/>
      <c r="CV35" s="12"/>
      <c r="CW35" s="12"/>
      <c r="CX35" s="12"/>
      <c r="CY35" s="12"/>
      <c r="CZ35" s="12"/>
      <c r="DA35" s="12"/>
      <c r="DB35" s="12"/>
      <c r="DC35" s="12"/>
      <c r="DD35" s="12"/>
      <c r="DE35" s="12"/>
      <c r="DF35" s="12"/>
      <c r="DG35" s="12"/>
      <c r="DH35" s="12"/>
      <c r="DI35" s="12"/>
      <c r="DJ35" s="12"/>
      <c r="DK35" s="12"/>
      <c r="DL35" s="12"/>
      <c r="DM35" s="12"/>
      <c r="DN35" s="12"/>
      <c r="DO35" s="12"/>
      <c r="DP35" s="12"/>
      <c r="DQ35" s="12"/>
      <c r="DR35" s="12"/>
      <c r="DS35" s="12"/>
      <c r="DT35" s="12"/>
      <c r="DU35" s="12"/>
      <c r="DV35" s="12"/>
      <c r="DW35" s="12"/>
      <c r="DX35" s="12"/>
      <c r="DY35" s="12"/>
      <c r="DZ35" s="12"/>
      <c r="EA35" s="12"/>
      <c r="EB35" s="12"/>
      <c r="EC35" s="12"/>
      <c r="ED35" s="12"/>
      <c r="EE35" s="12"/>
      <c r="EF35" s="12"/>
      <c r="EG35" s="12"/>
      <c r="EH35" s="12"/>
      <c r="EI35" s="12"/>
      <c r="EJ35" s="12"/>
      <c r="EK35" s="12"/>
      <c r="EL35" s="12"/>
      <c r="EM35" s="12"/>
      <c r="EN35" s="12"/>
      <c r="EO35" s="12"/>
      <c r="EP35" s="12"/>
      <c r="EQ35" s="12"/>
      <c r="ER35" s="12"/>
      <c r="ES35" s="12"/>
      <c r="ET35" s="12"/>
      <c r="EU35" s="12"/>
      <c r="EV35" s="12"/>
      <c r="EW35" s="12"/>
      <c r="EX35" s="12"/>
      <c r="EY35" s="12"/>
      <c r="EZ35" s="12"/>
      <c r="FA35" s="12"/>
      <c r="FB35" s="12"/>
      <c r="FC35" s="12"/>
      <c r="FD35" s="12"/>
      <c r="FE35" s="12"/>
      <c r="FF35" s="12"/>
      <c r="FG35" s="12"/>
      <c r="FH35" s="12"/>
      <c r="FI35" s="12"/>
      <c r="FJ35" s="12"/>
      <c r="FK35" s="12"/>
      <c r="FL35" s="12"/>
      <c r="FM35" s="12"/>
      <c r="FN35" s="12"/>
      <c r="FO35" s="12"/>
      <c r="FP35" s="12"/>
      <c r="FQ35" s="12"/>
      <c r="FR35" s="12"/>
      <c r="FS35" s="12"/>
      <c r="FT35" s="12"/>
      <c r="FU35" s="12"/>
      <c r="FV35" s="12"/>
      <c r="FW35" s="12"/>
      <c r="FX35" s="12"/>
      <c r="FY35" s="12"/>
      <c r="FZ35" s="12"/>
      <c r="GA35" s="12"/>
      <c r="GB35" s="12"/>
      <c r="GC35" s="12"/>
      <c r="GD35" s="12"/>
      <c r="GE35" s="12"/>
    </row>
    <row r="36" spans="1:187" ht="21" customHeight="1">
      <c r="A36" s="45"/>
      <c r="B36" s="9" t="s">
        <v>37</v>
      </c>
      <c r="C36" s="10" t="s">
        <v>99</v>
      </c>
      <c r="D36" s="10" t="s">
        <v>373</v>
      </c>
      <c r="E36" s="35">
        <v>249.64500000000001</v>
      </c>
      <c r="F36" s="35">
        <f>416.075-E36</f>
        <v>166.42999999999998</v>
      </c>
      <c r="G36" s="35">
        <v>81.010000000000005</v>
      </c>
      <c r="H36" s="35">
        <v>243.03</v>
      </c>
      <c r="I36" s="35">
        <f t="shared" si="0"/>
        <v>740.11500000000001</v>
      </c>
      <c r="J36" s="56">
        <v>762.24527999999975</v>
      </c>
      <c r="K36" s="49">
        <v>3590.1840000000002</v>
      </c>
      <c r="L36" s="49">
        <v>3733.7913600000002</v>
      </c>
      <c r="M36" s="49">
        <v>1496.62951</v>
      </c>
      <c r="N36" s="49">
        <v>1556.4946904000001</v>
      </c>
      <c r="O36" s="56">
        <f t="shared" si="1"/>
        <v>2093.5544900000004</v>
      </c>
      <c r="P36" s="1">
        <f t="shared" si="2"/>
        <v>522645.41065605014</v>
      </c>
      <c r="Q36" s="1">
        <f t="shared" si="3"/>
        <v>348430.27377070003</v>
      </c>
      <c r="R36" s="1">
        <f t="shared" si="4"/>
        <v>176382.80320429604</v>
      </c>
      <c r="S36" s="1">
        <f t="shared" si="5"/>
        <v>529148.40961288812</v>
      </c>
      <c r="T36" s="1">
        <f t="shared" si="6"/>
        <v>1576606.8972439342</v>
      </c>
      <c r="U36" s="11"/>
      <c r="V36" s="11"/>
      <c r="W36" s="11"/>
      <c r="X36" s="12"/>
      <c r="Y36" s="12"/>
      <c r="Z36" s="12"/>
      <c r="AA36" s="12"/>
      <c r="AB36" s="12"/>
      <c r="AC36" s="12"/>
      <c r="AD36" s="12"/>
      <c r="AE36" s="12"/>
      <c r="AF36" s="12"/>
      <c r="AG36" s="12"/>
      <c r="AH36" s="12"/>
      <c r="AI36" s="12"/>
      <c r="AJ36" s="12"/>
      <c r="AK36" s="12"/>
      <c r="AL36" s="12"/>
      <c r="AM36" s="12"/>
      <c r="AN36" s="12"/>
      <c r="AO36" s="12"/>
      <c r="AP36" s="12"/>
      <c r="AQ36" s="12"/>
      <c r="AR36" s="12"/>
      <c r="AS36" s="12"/>
      <c r="AT36" s="12"/>
      <c r="AU36" s="12"/>
      <c r="AV36" s="12"/>
      <c r="AW36" s="12"/>
      <c r="AX36" s="12"/>
      <c r="AY36" s="12"/>
      <c r="AZ36" s="12"/>
      <c r="BA36" s="12"/>
      <c r="BB36" s="12"/>
      <c r="BC36" s="12"/>
      <c r="BD36" s="12"/>
      <c r="BE36" s="12"/>
      <c r="BF36" s="12"/>
      <c r="BG36" s="12"/>
      <c r="BH36" s="12"/>
      <c r="BI36" s="12"/>
      <c r="BJ36" s="12"/>
      <c r="BK36" s="12"/>
      <c r="BL36" s="12"/>
      <c r="BM36" s="12"/>
      <c r="BN36" s="12"/>
      <c r="BO36" s="12"/>
      <c r="BP36" s="12"/>
      <c r="BQ36" s="12"/>
      <c r="BR36" s="12"/>
      <c r="BS36" s="12"/>
      <c r="BT36" s="12"/>
      <c r="BU36" s="12"/>
      <c r="BV36" s="12"/>
      <c r="BW36" s="12"/>
      <c r="BX36" s="12"/>
      <c r="BY36" s="12"/>
      <c r="BZ36" s="12"/>
      <c r="CA36" s="12"/>
      <c r="CB36" s="12"/>
      <c r="CC36" s="12"/>
      <c r="CD36" s="12"/>
      <c r="CE36" s="12"/>
      <c r="CF36" s="12"/>
      <c r="CG36" s="12"/>
      <c r="CH36" s="12"/>
      <c r="CI36" s="12"/>
      <c r="CJ36" s="12"/>
      <c r="CK36" s="12"/>
      <c r="CL36" s="12"/>
      <c r="CM36" s="12"/>
      <c r="CN36" s="12"/>
      <c r="CO36" s="12"/>
      <c r="CP36" s="12"/>
      <c r="CQ36" s="12"/>
      <c r="CR36" s="12"/>
      <c r="CS36" s="12"/>
      <c r="CT36" s="12"/>
      <c r="CU36" s="12"/>
      <c r="CV36" s="12"/>
      <c r="CW36" s="12"/>
      <c r="CX36" s="12"/>
      <c r="CY36" s="12"/>
      <c r="CZ36" s="12"/>
      <c r="DA36" s="12"/>
      <c r="DB36" s="12"/>
      <c r="DC36" s="12"/>
      <c r="DD36" s="12"/>
      <c r="DE36" s="12"/>
      <c r="DF36" s="12"/>
      <c r="DG36" s="12"/>
      <c r="DH36" s="12"/>
      <c r="DI36" s="12"/>
      <c r="DJ36" s="12"/>
      <c r="DK36" s="12"/>
      <c r="DL36" s="12"/>
      <c r="DM36" s="12"/>
      <c r="DN36" s="12"/>
      <c r="DO36" s="12"/>
      <c r="DP36" s="12"/>
      <c r="DQ36" s="12"/>
      <c r="DR36" s="12"/>
      <c r="DS36" s="12"/>
      <c r="DT36" s="12"/>
      <c r="DU36" s="12"/>
      <c r="DV36" s="12"/>
      <c r="DW36" s="12"/>
      <c r="DX36" s="12"/>
      <c r="DY36" s="12"/>
      <c r="DZ36" s="12"/>
      <c r="EA36" s="12"/>
      <c r="EB36" s="12"/>
      <c r="EC36" s="12"/>
      <c r="ED36" s="12"/>
      <c r="EE36" s="12"/>
      <c r="EF36" s="12"/>
      <c r="EG36" s="12"/>
      <c r="EH36" s="12"/>
      <c r="EI36" s="12"/>
      <c r="EJ36" s="12"/>
      <c r="EK36" s="12"/>
      <c r="EL36" s="12"/>
      <c r="EM36" s="12"/>
      <c r="EN36" s="12"/>
      <c r="EO36" s="12"/>
      <c r="EP36" s="12"/>
      <c r="EQ36" s="12"/>
      <c r="ER36" s="12"/>
      <c r="ES36" s="12"/>
      <c r="ET36" s="12"/>
      <c r="EU36" s="12"/>
      <c r="EV36" s="12"/>
      <c r="EW36" s="12"/>
      <c r="EX36" s="12"/>
      <c r="EY36" s="12"/>
      <c r="EZ36" s="12"/>
      <c r="FA36" s="12"/>
      <c r="FB36" s="12"/>
      <c r="FC36" s="12"/>
      <c r="FD36" s="12"/>
      <c r="FE36" s="12"/>
      <c r="FF36" s="12"/>
      <c r="FG36" s="12"/>
      <c r="FH36" s="12"/>
      <c r="FI36" s="12"/>
      <c r="FJ36" s="12"/>
      <c r="FK36" s="12"/>
      <c r="FL36" s="12"/>
      <c r="FM36" s="12"/>
      <c r="FN36" s="12"/>
      <c r="FO36" s="12"/>
      <c r="FP36" s="12"/>
      <c r="FQ36" s="12"/>
      <c r="FR36" s="12"/>
      <c r="FS36" s="12"/>
      <c r="FT36" s="12"/>
      <c r="FU36" s="12"/>
      <c r="FV36" s="12"/>
      <c r="FW36" s="12"/>
      <c r="FX36" s="12"/>
      <c r="FY36" s="12"/>
      <c r="FZ36" s="12"/>
      <c r="GA36" s="12"/>
      <c r="GB36" s="12"/>
      <c r="GC36" s="12"/>
      <c r="GD36" s="12"/>
      <c r="GE36" s="12"/>
    </row>
    <row r="37" spans="1:187" ht="21" customHeight="1">
      <c r="A37" s="45"/>
      <c r="B37" s="9" t="s">
        <v>372</v>
      </c>
      <c r="C37" s="10" t="s">
        <v>99</v>
      </c>
      <c r="D37" s="10" t="s">
        <v>374</v>
      </c>
      <c r="E37" s="35">
        <v>181.44499999999999</v>
      </c>
      <c r="F37" s="35">
        <f>280.895-E37</f>
        <v>99.449999999999989</v>
      </c>
      <c r="G37" s="35">
        <v>56.17</v>
      </c>
      <c r="H37" s="35">
        <v>157.97</v>
      </c>
      <c r="I37" s="35">
        <f t="shared" si="0"/>
        <v>495.03499999999997</v>
      </c>
      <c r="J37" s="56">
        <v>505.57</v>
      </c>
      <c r="K37" s="49">
        <v>3107.7175999999999</v>
      </c>
      <c r="L37" s="49">
        <v>3232.026304</v>
      </c>
      <c r="M37" s="49">
        <v>1540.9923699999999</v>
      </c>
      <c r="N37" s="49">
        <v>1602.6320648000001</v>
      </c>
      <c r="O37" s="56"/>
      <c r="P37" s="1"/>
      <c r="Q37" s="1">
        <f t="shared" si="3"/>
        <v>155810.82412349997</v>
      </c>
      <c r="R37" s="1">
        <f t="shared" si="4"/>
        <v>91523.074415864001</v>
      </c>
      <c r="S37" s="1">
        <f t="shared" si="5"/>
        <v>257395.40796642398</v>
      </c>
      <c r="T37" s="1">
        <f t="shared" si="6"/>
        <v>504729.306505788</v>
      </c>
      <c r="U37" s="11"/>
      <c r="V37" s="11"/>
      <c r="W37" s="11"/>
      <c r="X37" s="12"/>
      <c r="Y37" s="12"/>
      <c r="Z37" s="12"/>
      <c r="AA37" s="12"/>
      <c r="AB37" s="12"/>
      <c r="AC37" s="12"/>
      <c r="AD37" s="12"/>
      <c r="AE37" s="12"/>
      <c r="AF37" s="12"/>
      <c r="AG37" s="12"/>
      <c r="AH37" s="12"/>
      <c r="AI37" s="12"/>
      <c r="AJ37" s="12"/>
      <c r="AK37" s="12"/>
      <c r="AL37" s="12"/>
      <c r="AM37" s="12"/>
      <c r="AN37" s="12"/>
      <c r="AO37" s="12"/>
      <c r="AP37" s="12"/>
      <c r="AQ37" s="12"/>
      <c r="AR37" s="12"/>
      <c r="AS37" s="12"/>
      <c r="AT37" s="12"/>
      <c r="AU37" s="12"/>
      <c r="AV37" s="12"/>
      <c r="AW37" s="12"/>
      <c r="AX37" s="12"/>
      <c r="AY37" s="12"/>
      <c r="AZ37" s="12"/>
      <c r="BA37" s="12"/>
      <c r="BB37" s="12"/>
      <c r="BC37" s="12"/>
      <c r="BD37" s="12"/>
      <c r="BE37" s="12"/>
      <c r="BF37" s="12"/>
      <c r="BG37" s="12"/>
      <c r="BH37" s="12"/>
      <c r="BI37" s="12"/>
      <c r="BJ37" s="12"/>
      <c r="BK37" s="12"/>
      <c r="BL37" s="12"/>
      <c r="BM37" s="12"/>
      <c r="BN37" s="12"/>
      <c r="BO37" s="12"/>
      <c r="BP37" s="12"/>
      <c r="BQ37" s="12"/>
      <c r="BR37" s="12"/>
      <c r="BS37" s="12"/>
      <c r="BT37" s="12"/>
      <c r="BU37" s="12"/>
      <c r="BV37" s="12"/>
      <c r="BW37" s="12"/>
      <c r="BX37" s="12"/>
      <c r="BY37" s="12"/>
      <c r="BZ37" s="12"/>
      <c r="CA37" s="12"/>
      <c r="CB37" s="12"/>
      <c r="CC37" s="12"/>
      <c r="CD37" s="12"/>
      <c r="CE37" s="12"/>
      <c r="CF37" s="12"/>
      <c r="CG37" s="12"/>
      <c r="CH37" s="12"/>
      <c r="CI37" s="12"/>
      <c r="CJ37" s="12"/>
      <c r="CK37" s="12"/>
      <c r="CL37" s="12"/>
      <c r="CM37" s="12"/>
      <c r="CN37" s="12"/>
      <c r="CO37" s="12"/>
      <c r="CP37" s="12"/>
      <c r="CQ37" s="12"/>
      <c r="CR37" s="12"/>
      <c r="CS37" s="12"/>
      <c r="CT37" s="12"/>
      <c r="CU37" s="12"/>
      <c r="CV37" s="12"/>
      <c r="CW37" s="12"/>
      <c r="CX37" s="12"/>
      <c r="CY37" s="12"/>
      <c r="CZ37" s="12"/>
      <c r="DA37" s="12"/>
      <c r="DB37" s="12"/>
      <c r="DC37" s="12"/>
      <c r="DD37" s="12"/>
      <c r="DE37" s="12"/>
      <c r="DF37" s="12"/>
      <c r="DG37" s="12"/>
      <c r="DH37" s="12"/>
      <c r="DI37" s="12"/>
      <c r="DJ37" s="12"/>
      <c r="DK37" s="12"/>
      <c r="DL37" s="12"/>
      <c r="DM37" s="12"/>
      <c r="DN37" s="12"/>
      <c r="DO37" s="12"/>
      <c r="DP37" s="12"/>
      <c r="DQ37" s="12"/>
      <c r="DR37" s="12"/>
      <c r="DS37" s="12"/>
      <c r="DT37" s="12"/>
      <c r="DU37" s="12"/>
      <c r="DV37" s="12"/>
      <c r="DW37" s="12"/>
      <c r="DX37" s="12"/>
      <c r="DY37" s="12"/>
      <c r="DZ37" s="12"/>
      <c r="EA37" s="12"/>
      <c r="EB37" s="12"/>
      <c r="EC37" s="12"/>
      <c r="ED37" s="12"/>
      <c r="EE37" s="12"/>
      <c r="EF37" s="12"/>
      <c r="EG37" s="12"/>
      <c r="EH37" s="12"/>
      <c r="EI37" s="12"/>
      <c r="EJ37" s="12"/>
      <c r="EK37" s="12"/>
      <c r="EL37" s="12"/>
      <c r="EM37" s="12"/>
      <c r="EN37" s="12"/>
      <c r="EO37" s="12"/>
      <c r="EP37" s="12"/>
      <c r="EQ37" s="12"/>
      <c r="ER37" s="12"/>
      <c r="ES37" s="12"/>
      <c r="ET37" s="12"/>
      <c r="EU37" s="12"/>
      <c r="EV37" s="12"/>
      <c r="EW37" s="12"/>
      <c r="EX37" s="12"/>
      <c r="EY37" s="12"/>
      <c r="EZ37" s="12"/>
      <c r="FA37" s="12"/>
      <c r="FB37" s="12"/>
      <c r="FC37" s="12"/>
      <c r="FD37" s="12"/>
      <c r="FE37" s="12"/>
      <c r="FF37" s="12"/>
      <c r="FG37" s="12"/>
      <c r="FH37" s="12"/>
      <c r="FI37" s="12"/>
      <c r="FJ37" s="12"/>
      <c r="FK37" s="12"/>
      <c r="FL37" s="12"/>
      <c r="FM37" s="12"/>
      <c r="FN37" s="12"/>
      <c r="FO37" s="12"/>
      <c r="FP37" s="12"/>
      <c r="FQ37" s="12"/>
      <c r="FR37" s="12"/>
      <c r="FS37" s="12"/>
      <c r="FT37" s="12"/>
      <c r="FU37" s="12"/>
      <c r="FV37" s="12"/>
      <c r="FW37" s="12"/>
      <c r="FX37" s="12"/>
      <c r="FY37" s="12"/>
      <c r="FZ37" s="12"/>
      <c r="GA37" s="12"/>
      <c r="GB37" s="12"/>
      <c r="GC37" s="12"/>
      <c r="GD37" s="12"/>
      <c r="GE37" s="12"/>
    </row>
    <row r="38" spans="1:187" ht="21" customHeight="1">
      <c r="A38" s="45"/>
      <c r="B38" s="9" t="s">
        <v>39</v>
      </c>
      <c r="C38" s="10" t="s">
        <v>100</v>
      </c>
      <c r="D38" s="10" t="s">
        <v>101</v>
      </c>
      <c r="E38" s="35">
        <v>115.476</v>
      </c>
      <c r="F38" s="35">
        <f>193.742-E38</f>
        <v>78.265999999999991</v>
      </c>
      <c r="G38" s="35">
        <v>35.96</v>
      </c>
      <c r="H38" s="35">
        <f>147.418-G38</f>
        <v>111.458</v>
      </c>
      <c r="I38" s="35">
        <f t="shared" si="0"/>
        <v>341.15999999999997</v>
      </c>
      <c r="J38" s="56">
        <v>461.75490179999997</v>
      </c>
      <c r="K38" s="49">
        <v>4229.3368</v>
      </c>
      <c r="L38" s="49">
        <v>4398.5102720000004</v>
      </c>
      <c r="M38" s="49">
        <v>1467.79054</v>
      </c>
      <c r="N38" s="49">
        <v>1526.5021615999999</v>
      </c>
      <c r="O38" s="56">
        <f t="shared" si="1"/>
        <v>2761.5462600000001</v>
      </c>
      <c r="P38" s="1">
        <f t="shared" si="2"/>
        <v>318892.31591976003</v>
      </c>
      <c r="Q38" s="1">
        <f t="shared" si="3"/>
        <v>216135.17958515999</v>
      </c>
      <c r="R38" s="1">
        <f t="shared" si="4"/>
        <v>103277.41164998402</v>
      </c>
      <c r="S38" s="1">
        <f t="shared" si="5"/>
        <v>320108.27996896324</v>
      </c>
      <c r="T38" s="1">
        <f t="shared" si="6"/>
        <v>958413.18712386722</v>
      </c>
      <c r="U38" s="11"/>
      <c r="V38" s="11"/>
      <c r="W38" s="11"/>
      <c r="X38" s="12"/>
      <c r="Y38" s="12"/>
      <c r="Z38" s="12"/>
      <c r="AA38" s="12"/>
      <c r="AB38" s="12"/>
      <c r="AC38" s="12"/>
      <c r="AD38" s="12"/>
      <c r="AE38" s="12"/>
      <c r="AF38" s="12"/>
      <c r="AG38" s="12"/>
      <c r="AH38" s="12"/>
      <c r="AI38" s="12"/>
      <c r="AJ38" s="12"/>
      <c r="AK38" s="12"/>
      <c r="AL38" s="12"/>
      <c r="AM38" s="12"/>
      <c r="AN38" s="12"/>
      <c r="AO38" s="12"/>
      <c r="AP38" s="12"/>
      <c r="AQ38" s="12"/>
      <c r="AR38" s="12"/>
      <c r="AS38" s="12"/>
      <c r="AT38" s="12"/>
      <c r="AU38" s="12"/>
      <c r="AV38" s="12"/>
      <c r="AW38" s="12"/>
      <c r="AX38" s="12"/>
      <c r="AY38" s="12"/>
      <c r="AZ38" s="12"/>
      <c r="BA38" s="12"/>
      <c r="BB38" s="12"/>
      <c r="BC38" s="12"/>
      <c r="BD38" s="12"/>
      <c r="BE38" s="12"/>
      <c r="BF38" s="12"/>
      <c r="BG38" s="12"/>
      <c r="BH38" s="12"/>
      <c r="BI38" s="12"/>
      <c r="BJ38" s="12"/>
      <c r="BK38" s="12"/>
      <c r="BL38" s="12"/>
      <c r="BM38" s="12"/>
      <c r="BN38" s="12"/>
      <c r="BO38" s="12"/>
      <c r="BP38" s="12"/>
      <c r="BQ38" s="12"/>
      <c r="BR38" s="12"/>
      <c r="BS38" s="12"/>
      <c r="BT38" s="12"/>
      <c r="BU38" s="12"/>
      <c r="BV38" s="12"/>
      <c r="BW38" s="12"/>
      <c r="BX38" s="12"/>
      <c r="BY38" s="12"/>
      <c r="BZ38" s="12"/>
      <c r="CA38" s="12"/>
      <c r="CB38" s="12"/>
      <c r="CC38" s="12"/>
      <c r="CD38" s="12"/>
      <c r="CE38" s="12"/>
      <c r="CF38" s="12"/>
      <c r="CG38" s="12"/>
      <c r="CH38" s="12"/>
      <c r="CI38" s="12"/>
      <c r="CJ38" s="12"/>
      <c r="CK38" s="12"/>
      <c r="CL38" s="12"/>
      <c r="CM38" s="12"/>
      <c r="CN38" s="12"/>
      <c r="CO38" s="12"/>
      <c r="CP38" s="12"/>
      <c r="CQ38" s="12"/>
      <c r="CR38" s="12"/>
      <c r="CS38" s="12"/>
      <c r="CT38" s="12"/>
      <c r="CU38" s="12"/>
      <c r="CV38" s="12"/>
      <c r="CW38" s="12"/>
      <c r="CX38" s="12"/>
      <c r="CY38" s="12"/>
      <c r="CZ38" s="12"/>
      <c r="DA38" s="12"/>
      <c r="DB38" s="12"/>
      <c r="DC38" s="12"/>
      <c r="DD38" s="12"/>
      <c r="DE38" s="12"/>
      <c r="DF38" s="12"/>
      <c r="DG38" s="12"/>
      <c r="DH38" s="12"/>
      <c r="DI38" s="12"/>
      <c r="DJ38" s="12"/>
      <c r="DK38" s="12"/>
      <c r="DL38" s="12"/>
      <c r="DM38" s="12"/>
      <c r="DN38" s="12"/>
      <c r="DO38" s="12"/>
      <c r="DP38" s="12"/>
      <c r="DQ38" s="12"/>
      <c r="DR38" s="12"/>
      <c r="DS38" s="12"/>
      <c r="DT38" s="12"/>
      <c r="DU38" s="12"/>
      <c r="DV38" s="12"/>
      <c r="DW38" s="12"/>
      <c r="DX38" s="12"/>
      <c r="DY38" s="12"/>
      <c r="DZ38" s="12"/>
      <c r="EA38" s="12"/>
      <c r="EB38" s="12"/>
      <c r="EC38" s="12"/>
      <c r="ED38" s="12"/>
      <c r="EE38" s="12"/>
      <c r="EF38" s="12"/>
      <c r="EG38" s="12"/>
      <c r="EH38" s="12"/>
      <c r="EI38" s="12"/>
      <c r="EJ38" s="12"/>
      <c r="EK38" s="12"/>
      <c r="EL38" s="12"/>
      <c r="EM38" s="12"/>
      <c r="EN38" s="12"/>
      <c r="EO38" s="12"/>
      <c r="EP38" s="12"/>
      <c r="EQ38" s="12"/>
      <c r="ER38" s="12"/>
      <c r="ES38" s="12"/>
      <c r="ET38" s="12"/>
      <c r="EU38" s="12"/>
      <c r="EV38" s="12"/>
      <c r="EW38" s="12"/>
      <c r="EX38" s="12"/>
      <c r="EY38" s="12"/>
      <c r="EZ38" s="12"/>
      <c r="FA38" s="12"/>
      <c r="FB38" s="12"/>
      <c r="FC38" s="12"/>
      <c r="FD38" s="12"/>
      <c r="FE38" s="12"/>
      <c r="FF38" s="12"/>
      <c r="FG38" s="12"/>
      <c r="FH38" s="12"/>
      <c r="FI38" s="12"/>
      <c r="FJ38" s="12"/>
      <c r="FK38" s="12"/>
      <c r="FL38" s="12"/>
      <c r="FM38" s="12"/>
      <c r="FN38" s="12"/>
      <c r="FO38" s="12"/>
      <c r="FP38" s="12"/>
      <c r="FQ38" s="12"/>
      <c r="FR38" s="12"/>
      <c r="FS38" s="12"/>
      <c r="FT38" s="12"/>
      <c r="FU38" s="12"/>
      <c r="FV38" s="12"/>
      <c r="FW38" s="12"/>
      <c r="FX38" s="12"/>
      <c r="FY38" s="12"/>
      <c r="FZ38" s="12"/>
      <c r="GA38" s="12"/>
      <c r="GB38" s="12"/>
      <c r="GC38" s="12"/>
      <c r="GD38" s="12"/>
      <c r="GE38" s="12"/>
    </row>
    <row r="39" spans="1:187" ht="21" customHeight="1">
      <c r="A39" s="45"/>
      <c r="B39" s="9" t="s">
        <v>38</v>
      </c>
      <c r="C39" s="10" t="s">
        <v>93</v>
      </c>
      <c r="D39" s="10" t="s">
        <v>94</v>
      </c>
      <c r="E39" s="35">
        <v>141.56100000000001</v>
      </c>
      <c r="F39" s="35">
        <f>219.191-E39</f>
        <v>77.63</v>
      </c>
      <c r="G39" s="35">
        <v>21.262</v>
      </c>
      <c r="H39" s="35">
        <f>157.95-G39</f>
        <v>136.68799999999999</v>
      </c>
      <c r="I39" s="35">
        <f t="shared" si="0"/>
        <v>377.14099999999996</v>
      </c>
      <c r="J39" s="56">
        <v>380</v>
      </c>
      <c r="K39" s="49">
        <v>3051.2248</v>
      </c>
      <c r="L39" s="49">
        <v>3173.273792</v>
      </c>
      <c r="M39" s="49">
        <v>1654.5023899999999</v>
      </c>
      <c r="N39" s="49">
        <v>1720.6824855999998</v>
      </c>
      <c r="O39" s="56">
        <f t="shared" si="1"/>
        <v>1396.7224100000001</v>
      </c>
      <c r="P39" s="1">
        <f t="shared" si="2"/>
        <v>197721.42108201003</v>
      </c>
      <c r="Q39" s="1">
        <f t="shared" si="3"/>
        <v>108427.5606883</v>
      </c>
      <c r="R39" s="1">
        <f t="shared" si="4"/>
        <v>30884.996356676802</v>
      </c>
      <c r="S39" s="1">
        <f t="shared" si="5"/>
        <v>198551.80048920319</v>
      </c>
      <c r="T39" s="1">
        <f t="shared" si="6"/>
        <v>535585.77861618996</v>
      </c>
      <c r="U39" s="11"/>
      <c r="V39" s="11"/>
      <c r="W39" s="11"/>
      <c r="X39" s="12"/>
      <c r="Y39" s="12"/>
      <c r="Z39" s="12"/>
      <c r="AA39" s="12"/>
      <c r="AB39" s="12"/>
      <c r="AC39" s="12"/>
      <c r="AD39" s="12"/>
      <c r="AE39" s="12"/>
      <c r="AF39" s="12"/>
      <c r="AG39" s="12"/>
      <c r="AH39" s="12"/>
      <c r="AI39" s="12"/>
      <c r="AJ39" s="12"/>
      <c r="AK39" s="12"/>
      <c r="AL39" s="12"/>
      <c r="AM39" s="12"/>
      <c r="AN39" s="12"/>
      <c r="AO39" s="12"/>
      <c r="AP39" s="12"/>
      <c r="AQ39" s="12"/>
      <c r="AR39" s="12"/>
      <c r="AS39" s="12"/>
      <c r="AT39" s="12"/>
      <c r="AU39" s="12"/>
      <c r="AV39" s="12"/>
      <c r="AW39" s="12"/>
      <c r="AX39" s="12"/>
      <c r="AY39" s="12"/>
      <c r="AZ39" s="12"/>
      <c r="BA39" s="12"/>
      <c r="BB39" s="12"/>
      <c r="BC39" s="12"/>
      <c r="BD39" s="12"/>
      <c r="BE39" s="12"/>
      <c r="BF39" s="12"/>
      <c r="BG39" s="12"/>
      <c r="BH39" s="12"/>
      <c r="BI39" s="12"/>
      <c r="BJ39" s="12"/>
      <c r="BK39" s="12"/>
      <c r="BL39" s="12"/>
      <c r="BM39" s="12"/>
      <c r="BN39" s="12"/>
      <c r="BO39" s="12"/>
      <c r="BP39" s="12"/>
      <c r="BQ39" s="12"/>
      <c r="BR39" s="12"/>
      <c r="BS39" s="12"/>
      <c r="BT39" s="12"/>
      <c r="BU39" s="12"/>
      <c r="BV39" s="12"/>
      <c r="BW39" s="12"/>
      <c r="BX39" s="12"/>
      <c r="BY39" s="12"/>
      <c r="BZ39" s="12"/>
      <c r="CA39" s="12"/>
      <c r="CB39" s="12"/>
      <c r="CC39" s="12"/>
      <c r="CD39" s="12"/>
      <c r="CE39" s="12"/>
      <c r="CF39" s="12"/>
      <c r="CG39" s="12"/>
      <c r="CH39" s="12"/>
      <c r="CI39" s="12"/>
      <c r="CJ39" s="12"/>
      <c r="CK39" s="12"/>
      <c r="CL39" s="12"/>
      <c r="CM39" s="12"/>
      <c r="CN39" s="12"/>
      <c r="CO39" s="12"/>
      <c r="CP39" s="12"/>
      <c r="CQ39" s="12"/>
      <c r="CR39" s="12"/>
      <c r="CS39" s="12"/>
      <c r="CT39" s="12"/>
      <c r="CU39" s="12"/>
      <c r="CV39" s="12"/>
      <c r="CW39" s="12"/>
      <c r="CX39" s="12"/>
      <c r="CY39" s="12"/>
      <c r="CZ39" s="12"/>
      <c r="DA39" s="12"/>
      <c r="DB39" s="12"/>
      <c r="DC39" s="12"/>
      <c r="DD39" s="12"/>
      <c r="DE39" s="12"/>
      <c r="DF39" s="12"/>
      <c r="DG39" s="12"/>
      <c r="DH39" s="12"/>
      <c r="DI39" s="12"/>
      <c r="DJ39" s="12"/>
      <c r="DK39" s="12"/>
      <c r="DL39" s="12"/>
      <c r="DM39" s="12"/>
      <c r="DN39" s="12"/>
      <c r="DO39" s="12"/>
      <c r="DP39" s="12"/>
      <c r="DQ39" s="12"/>
      <c r="DR39" s="12"/>
      <c r="DS39" s="12"/>
      <c r="DT39" s="12"/>
      <c r="DU39" s="12"/>
      <c r="DV39" s="12"/>
      <c r="DW39" s="12"/>
      <c r="DX39" s="12"/>
      <c r="DY39" s="12"/>
      <c r="DZ39" s="12"/>
      <c r="EA39" s="12"/>
      <c r="EB39" s="12"/>
      <c r="EC39" s="12"/>
      <c r="ED39" s="12"/>
      <c r="EE39" s="12"/>
      <c r="EF39" s="12"/>
      <c r="EG39" s="12"/>
      <c r="EH39" s="12"/>
      <c r="EI39" s="12"/>
      <c r="EJ39" s="12"/>
      <c r="EK39" s="12"/>
      <c r="EL39" s="12"/>
      <c r="EM39" s="12"/>
      <c r="EN39" s="12"/>
      <c r="EO39" s="12"/>
      <c r="EP39" s="12"/>
      <c r="EQ39" s="12"/>
      <c r="ER39" s="12"/>
      <c r="ES39" s="12"/>
      <c r="ET39" s="12"/>
      <c r="EU39" s="12"/>
      <c r="EV39" s="12"/>
      <c r="EW39" s="12"/>
      <c r="EX39" s="12"/>
      <c r="EY39" s="12"/>
      <c r="EZ39" s="12"/>
      <c r="FA39" s="12"/>
      <c r="FB39" s="12"/>
      <c r="FC39" s="12"/>
      <c r="FD39" s="12"/>
      <c r="FE39" s="12"/>
      <c r="FF39" s="12"/>
      <c r="FG39" s="12"/>
      <c r="FH39" s="12"/>
      <c r="FI39" s="12"/>
      <c r="FJ39" s="12"/>
      <c r="FK39" s="12"/>
      <c r="FL39" s="12"/>
      <c r="FM39" s="12"/>
      <c r="FN39" s="12"/>
      <c r="FO39" s="12"/>
      <c r="FP39" s="12"/>
      <c r="FQ39" s="12"/>
      <c r="FR39" s="12"/>
      <c r="FS39" s="12"/>
      <c r="FT39" s="12"/>
      <c r="FU39" s="12"/>
      <c r="FV39" s="12"/>
      <c r="FW39" s="12"/>
      <c r="FX39" s="12"/>
      <c r="FY39" s="12"/>
      <c r="FZ39" s="12"/>
      <c r="GA39" s="12"/>
      <c r="GB39" s="12"/>
      <c r="GC39" s="12"/>
      <c r="GD39" s="12"/>
      <c r="GE39" s="12"/>
    </row>
    <row r="40" spans="1:187" ht="21" customHeight="1">
      <c r="A40" s="45"/>
      <c r="B40" s="9" t="s">
        <v>288</v>
      </c>
      <c r="C40" s="10" t="s">
        <v>91</v>
      </c>
      <c r="D40" s="10" t="s">
        <v>92</v>
      </c>
      <c r="E40" s="35">
        <v>182.91</v>
      </c>
      <c r="F40" s="35">
        <f>275.79-E40</f>
        <v>92.880000000000024</v>
      </c>
      <c r="G40" s="35">
        <v>23.78</v>
      </c>
      <c r="H40" s="35">
        <f>196.59-G40</f>
        <v>172.81</v>
      </c>
      <c r="I40" s="35">
        <f t="shared" si="0"/>
        <v>472.38000000000005</v>
      </c>
      <c r="J40" s="56">
        <v>619.14540599999998</v>
      </c>
      <c r="K40" s="49">
        <v>3529.0839999999998</v>
      </c>
      <c r="L40" s="49">
        <v>3670.2473599999998</v>
      </c>
      <c r="M40" s="49">
        <v>1437.9871599999999</v>
      </c>
      <c r="N40" s="49">
        <v>1495.5066463999999</v>
      </c>
      <c r="O40" s="56">
        <f t="shared" si="1"/>
        <v>2091.0968400000002</v>
      </c>
      <c r="P40" s="1">
        <f t="shared" si="2"/>
        <v>382482.52300440002</v>
      </c>
      <c r="Q40" s="1">
        <f t="shared" si="3"/>
        <v>194221.07449920007</v>
      </c>
      <c r="R40" s="1">
        <f t="shared" si="4"/>
        <v>51715.334169408008</v>
      </c>
      <c r="S40" s="1">
        <f t="shared" si="5"/>
        <v>375816.94271721604</v>
      </c>
      <c r="T40" s="1">
        <f t="shared" si="6"/>
        <v>1004235.874390224</v>
      </c>
      <c r="U40" s="11"/>
      <c r="V40" s="11"/>
      <c r="W40" s="11"/>
      <c r="X40" s="12"/>
      <c r="Y40" s="12"/>
      <c r="Z40" s="12"/>
      <c r="AA40" s="12"/>
      <c r="AB40" s="12"/>
      <c r="AC40" s="12"/>
      <c r="AD40" s="12"/>
      <c r="AE40" s="12"/>
      <c r="AF40" s="12"/>
      <c r="AG40" s="12"/>
      <c r="AH40" s="12"/>
      <c r="AI40" s="12"/>
      <c r="AJ40" s="12"/>
      <c r="AK40" s="12"/>
      <c r="AL40" s="12"/>
      <c r="AM40" s="12"/>
      <c r="AN40" s="12"/>
      <c r="AO40" s="12"/>
      <c r="AP40" s="12"/>
      <c r="AQ40" s="12"/>
      <c r="AR40" s="12"/>
      <c r="AS40" s="12"/>
      <c r="AT40" s="12"/>
      <c r="AU40" s="12"/>
      <c r="AV40" s="12"/>
      <c r="AW40" s="12"/>
      <c r="AX40" s="12"/>
      <c r="AY40" s="12"/>
      <c r="AZ40" s="12"/>
      <c r="BA40" s="12"/>
      <c r="BB40" s="12"/>
      <c r="BC40" s="12"/>
      <c r="BD40" s="12"/>
      <c r="BE40" s="12"/>
      <c r="BF40" s="12"/>
      <c r="BG40" s="12"/>
      <c r="BH40" s="12"/>
      <c r="BI40" s="12"/>
      <c r="BJ40" s="12"/>
      <c r="BK40" s="12"/>
      <c r="BL40" s="12"/>
      <c r="BM40" s="12"/>
      <c r="BN40" s="12"/>
      <c r="BO40" s="12"/>
      <c r="BP40" s="12"/>
      <c r="BQ40" s="12"/>
      <c r="BR40" s="12"/>
      <c r="BS40" s="12"/>
      <c r="BT40" s="12"/>
      <c r="BU40" s="12"/>
      <c r="BV40" s="12"/>
      <c r="BW40" s="12"/>
      <c r="BX40" s="12"/>
      <c r="BY40" s="12"/>
      <c r="BZ40" s="12"/>
      <c r="CA40" s="12"/>
      <c r="CB40" s="12"/>
      <c r="CC40" s="12"/>
      <c r="CD40" s="12"/>
      <c r="CE40" s="12"/>
      <c r="CF40" s="12"/>
      <c r="CG40" s="12"/>
      <c r="CH40" s="12"/>
      <c r="CI40" s="12"/>
      <c r="CJ40" s="12"/>
      <c r="CK40" s="12"/>
      <c r="CL40" s="12"/>
      <c r="CM40" s="12"/>
      <c r="CN40" s="12"/>
      <c r="CO40" s="12"/>
      <c r="CP40" s="12"/>
      <c r="CQ40" s="12"/>
      <c r="CR40" s="12"/>
      <c r="CS40" s="12"/>
      <c r="CT40" s="12"/>
      <c r="CU40" s="12"/>
      <c r="CV40" s="12"/>
      <c r="CW40" s="12"/>
      <c r="CX40" s="12"/>
      <c r="CY40" s="12"/>
      <c r="CZ40" s="12"/>
      <c r="DA40" s="12"/>
      <c r="DB40" s="12"/>
      <c r="DC40" s="12"/>
      <c r="DD40" s="12"/>
      <c r="DE40" s="12"/>
      <c r="DF40" s="12"/>
      <c r="DG40" s="12"/>
      <c r="DH40" s="12"/>
      <c r="DI40" s="12"/>
      <c r="DJ40" s="12"/>
      <c r="DK40" s="12"/>
      <c r="DL40" s="12"/>
      <c r="DM40" s="12"/>
      <c r="DN40" s="12"/>
      <c r="DO40" s="12"/>
      <c r="DP40" s="12"/>
      <c r="DQ40" s="12"/>
      <c r="DR40" s="12"/>
      <c r="DS40" s="12"/>
      <c r="DT40" s="12"/>
      <c r="DU40" s="12"/>
      <c r="DV40" s="12"/>
      <c r="DW40" s="12"/>
      <c r="DX40" s="12"/>
      <c r="DY40" s="12"/>
      <c r="DZ40" s="12"/>
      <c r="EA40" s="12"/>
      <c r="EB40" s="12"/>
      <c r="EC40" s="12"/>
      <c r="ED40" s="12"/>
      <c r="EE40" s="12"/>
      <c r="EF40" s="12"/>
      <c r="EG40" s="12"/>
      <c r="EH40" s="12"/>
      <c r="EI40" s="12"/>
      <c r="EJ40" s="12"/>
      <c r="EK40" s="12"/>
      <c r="EL40" s="12"/>
      <c r="EM40" s="12"/>
      <c r="EN40" s="12"/>
      <c r="EO40" s="12"/>
      <c r="EP40" s="12"/>
      <c r="EQ40" s="12"/>
      <c r="ER40" s="12"/>
      <c r="ES40" s="12"/>
      <c r="ET40" s="12"/>
      <c r="EU40" s="12"/>
      <c r="EV40" s="12"/>
      <c r="EW40" s="12"/>
      <c r="EX40" s="12"/>
      <c r="EY40" s="12"/>
      <c r="EZ40" s="12"/>
      <c r="FA40" s="12"/>
      <c r="FB40" s="12"/>
      <c r="FC40" s="12"/>
      <c r="FD40" s="12"/>
      <c r="FE40" s="12"/>
      <c r="FF40" s="12"/>
      <c r="FG40" s="12"/>
      <c r="FH40" s="12"/>
      <c r="FI40" s="12"/>
      <c r="FJ40" s="12"/>
      <c r="FK40" s="12"/>
      <c r="FL40" s="12"/>
      <c r="FM40" s="12"/>
      <c r="FN40" s="12"/>
      <c r="FO40" s="12"/>
      <c r="FP40" s="12"/>
      <c r="FQ40" s="12"/>
      <c r="FR40" s="12"/>
      <c r="FS40" s="12"/>
      <c r="FT40" s="12"/>
      <c r="FU40" s="12"/>
      <c r="FV40" s="12"/>
      <c r="FW40" s="12"/>
      <c r="FX40" s="12"/>
      <c r="FY40" s="12"/>
      <c r="FZ40" s="12"/>
      <c r="GA40" s="12"/>
      <c r="GB40" s="12"/>
      <c r="GC40" s="12"/>
      <c r="GD40" s="12"/>
      <c r="GE40" s="12"/>
    </row>
    <row r="41" spans="1:187" ht="21" customHeight="1">
      <c r="A41" s="45"/>
      <c r="B41" s="9" t="s">
        <v>36</v>
      </c>
      <c r="C41" s="10" t="s">
        <v>97</v>
      </c>
      <c r="D41" s="10" t="s">
        <v>98</v>
      </c>
      <c r="E41" s="35">
        <v>156.34200000000001</v>
      </c>
      <c r="F41" s="35">
        <f>243.759-E41</f>
        <v>87.416999999999973</v>
      </c>
      <c r="G41" s="35">
        <v>24.32</v>
      </c>
      <c r="H41" s="35">
        <f>180.66-G41</f>
        <v>156.34</v>
      </c>
      <c r="I41" s="35">
        <f t="shared" si="0"/>
        <v>424.41899999999998</v>
      </c>
      <c r="J41" s="56">
        <v>460.33416</v>
      </c>
      <c r="K41" s="49">
        <v>4402.9960000000001</v>
      </c>
      <c r="L41" s="49">
        <v>4579.1158400000004</v>
      </c>
      <c r="M41" s="49">
        <v>1553.06305</v>
      </c>
      <c r="N41" s="49">
        <v>1615.1855720000001</v>
      </c>
      <c r="O41" s="56">
        <f t="shared" si="1"/>
        <v>2849.9329500000003</v>
      </c>
      <c r="P41" s="1">
        <f t="shared" si="2"/>
        <v>445564.21726890007</v>
      </c>
      <c r="Q41" s="1">
        <f t="shared" si="3"/>
        <v>249132.58869014995</v>
      </c>
      <c r="R41" s="1">
        <f t="shared" si="4"/>
        <v>72082.784117760006</v>
      </c>
      <c r="S41" s="1">
        <f t="shared" si="5"/>
        <v>463380.85809912003</v>
      </c>
      <c r="T41" s="1">
        <f t="shared" si="6"/>
        <v>1230160.4481759302</v>
      </c>
      <c r="U41" s="11"/>
      <c r="V41" s="11"/>
      <c r="W41" s="11"/>
      <c r="X41" s="12"/>
      <c r="Y41" s="12"/>
      <c r="Z41" s="12"/>
      <c r="AA41" s="12"/>
      <c r="AB41" s="12"/>
      <c r="AC41" s="12"/>
      <c r="AD41" s="12"/>
      <c r="AE41" s="12"/>
      <c r="AF41" s="12"/>
      <c r="AG41" s="12"/>
      <c r="AH41" s="12"/>
      <c r="AI41" s="12"/>
      <c r="AJ41" s="12"/>
      <c r="AK41" s="12"/>
      <c r="AL41" s="12"/>
      <c r="AM41" s="12"/>
      <c r="AN41" s="12"/>
      <c r="AO41" s="12"/>
      <c r="AP41" s="12"/>
      <c r="AQ41" s="12"/>
      <c r="AR41" s="12"/>
      <c r="AS41" s="12"/>
      <c r="AT41" s="12"/>
      <c r="AU41" s="12"/>
      <c r="AV41" s="12"/>
      <c r="AW41" s="12"/>
      <c r="AX41" s="12"/>
      <c r="AY41" s="12"/>
      <c r="AZ41" s="12"/>
      <c r="BA41" s="12"/>
      <c r="BB41" s="12"/>
      <c r="BC41" s="12"/>
      <c r="BD41" s="12"/>
      <c r="BE41" s="12"/>
      <c r="BF41" s="12"/>
      <c r="BG41" s="12"/>
      <c r="BH41" s="12"/>
      <c r="BI41" s="12"/>
      <c r="BJ41" s="12"/>
      <c r="BK41" s="12"/>
      <c r="BL41" s="12"/>
      <c r="BM41" s="12"/>
      <c r="BN41" s="12"/>
      <c r="BO41" s="12"/>
      <c r="BP41" s="12"/>
      <c r="BQ41" s="12"/>
      <c r="BR41" s="12"/>
      <c r="BS41" s="12"/>
      <c r="BT41" s="12"/>
      <c r="BU41" s="12"/>
      <c r="BV41" s="12"/>
      <c r="BW41" s="12"/>
      <c r="BX41" s="12"/>
      <c r="BY41" s="12"/>
      <c r="BZ41" s="12"/>
      <c r="CA41" s="12"/>
      <c r="CB41" s="12"/>
      <c r="CC41" s="12"/>
      <c r="CD41" s="12"/>
      <c r="CE41" s="12"/>
      <c r="CF41" s="12"/>
      <c r="CG41" s="12"/>
      <c r="CH41" s="12"/>
      <c r="CI41" s="12"/>
      <c r="CJ41" s="12"/>
      <c r="CK41" s="12"/>
      <c r="CL41" s="12"/>
      <c r="CM41" s="12"/>
      <c r="CN41" s="12"/>
      <c r="CO41" s="12"/>
      <c r="CP41" s="12"/>
      <c r="CQ41" s="12"/>
      <c r="CR41" s="12"/>
      <c r="CS41" s="12"/>
      <c r="CT41" s="12"/>
      <c r="CU41" s="12"/>
      <c r="CV41" s="12"/>
      <c r="CW41" s="12"/>
      <c r="CX41" s="12"/>
      <c r="CY41" s="12"/>
      <c r="CZ41" s="12"/>
      <c r="DA41" s="12"/>
      <c r="DB41" s="12"/>
      <c r="DC41" s="12"/>
      <c r="DD41" s="12"/>
      <c r="DE41" s="12"/>
      <c r="DF41" s="12"/>
      <c r="DG41" s="12"/>
      <c r="DH41" s="12"/>
      <c r="DI41" s="12"/>
      <c r="DJ41" s="12"/>
      <c r="DK41" s="12"/>
      <c r="DL41" s="12"/>
      <c r="DM41" s="12"/>
      <c r="DN41" s="12"/>
      <c r="DO41" s="12"/>
      <c r="DP41" s="12"/>
      <c r="DQ41" s="12"/>
      <c r="DR41" s="12"/>
      <c r="DS41" s="12"/>
      <c r="DT41" s="12"/>
      <c r="DU41" s="12"/>
      <c r="DV41" s="12"/>
      <c r="DW41" s="12"/>
      <c r="DX41" s="12"/>
      <c r="DY41" s="12"/>
      <c r="DZ41" s="12"/>
      <c r="EA41" s="12"/>
      <c r="EB41" s="12"/>
      <c r="EC41" s="12"/>
      <c r="ED41" s="12"/>
      <c r="EE41" s="12"/>
      <c r="EF41" s="12"/>
      <c r="EG41" s="12"/>
      <c r="EH41" s="12"/>
      <c r="EI41" s="12"/>
      <c r="EJ41" s="12"/>
      <c r="EK41" s="12"/>
      <c r="EL41" s="12"/>
      <c r="EM41" s="12"/>
      <c r="EN41" s="12"/>
      <c r="EO41" s="12"/>
      <c r="EP41" s="12"/>
      <c r="EQ41" s="12"/>
      <c r="ER41" s="12"/>
      <c r="ES41" s="12"/>
      <c r="ET41" s="12"/>
      <c r="EU41" s="12"/>
      <c r="EV41" s="12"/>
      <c r="EW41" s="12"/>
      <c r="EX41" s="12"/>
      <c r="EY41" s="12"/>
      <c r="EZ41" s="12"/>
      <c r="FA41" s="12"/>
      <c r="FB41" s="12"/>
      <c r="FC41" s="12"/>
      <c r="FD41" s="12"/>
      <c r="FE41" s="12"/>
      <c r="FF41" s="12"/>
      <c r="FG41" s="12"/>
      <c r="FH41" s="12"/>
      <c r="FI41" s="12"/>
      <c r="FJ41" s="12"/>
      <c r="FK41" s="12"/>
      <c r="FL41" s="12"/>
      <c r="FM41" s="12"/>
      <c r="FN41" s="12"/>
      <c r="FO41" s="12"/>
      <c r="FP41" s="12"/>
      <c r="FQ41" s="12"/>
      <c r="FR41" s="12"/>
      <c r="FS41" s="12"/>
      <c r="FT41" s="12"/>
      <c r="FU41" s="12"/>
      <c r="FV41" s="12"/>
      <c r="FW41" s="12"/>
      <c r="FX41" s="12"/>
      <c r="FY41" s="12"/>
      <c r="FZ41" s="12"/>
      <c r="GA41" s="12"/>
      <c r="GB41" s="12"/>
      <c r="GC41" s="12"/>
      <c r="GD41" s="12"/>
      <c r="GE41" s="12"/>
    </row>
    <row r="42" spans="1:187" ht="21" customHeight="1">
      <c r="A42" s="45"/>
      <c r="B42" s="9" t="s">
        <v>40</v>
      </c>
      <c r="C42" s="10" t="s">
        <v>96</v>
      </c>
      <c r="D42" s="10" t="s">
        <v>94</v>
      </c>
      <c r="E42" s="35">
        <v>146.316</v>
      </c>
      <c r="F42" s="35">
        <f>226.554-E42</f>
        <v>80.238</v>
      </c>
      <c r="G42" s="35">
        <v>21.359000000000002</v>
      </c>
      <c r="H42" s="35">
        <f>166.609-G42</f>
        <v>145.25</v>
      </c>
      <c r="I42" s="35">
        <f t="shared" si="0"/>
        <v>393.16300000000001</v>
      </c>
      <c r="J42" s="56">
        <v>350.4</v>
      </c>
      <c r="K42" s="49">
        <v>4112.3472000000002</v>
      </c>
      <c r="L42" s="49">
        <v>4276.8410880000001</v>
      </c>
      <c r="M42" s="49">
        <v>1631.5743199999997</v>
      </c>
      <c r="N42" s="49">
        <v>1696.8372927999997</v>
      </c>
      <c r="O42" s="56">
        <f t="shared" si="1"/>
        <v>2480.7728800000004</v>
      </c>
      <c r="P42" s="1">
        <f t="shared" si="2"/>
        <v>362976.76471008005</v>
      </c>
      <c r="Q42" s="1">
        <f t="shared" si="3"/>
        <v>199052.25434544004</v>
      </c>
      <c r="R42" s="1">
        <f t="shared" si="4"/>
        <v>55106.301061676808</v>
      </c>
      <c r="S42" s="1">
        <f t="shared" si="5"/>
        <v>374745.55125280004</v>
      </c>
      <c r="T42" s="1">
        <f t="shared" si="6"/>
        <v>991880.87136999692</v>
      </c>
      <c r="U42" s="11"/>
      <c r="V42" s="11"/>
      <c r="W42" s="11"/>
      <c r="X42" s="12"/>
      <c r="Y42" s="12"/>
      <c r="Z42" s="12"/>
      <c r="AA42" s="12"/>
      <c r="AB42" s="12"/>
      <c r="AC42" s="12"/>
      <c r="AD42" s="12"/>
      <c r="AE42" s="12"/>
      <c r="AF42" s="12"/>
      <c r="AG42" s="12"/>
      <c r="AH42" s="12"/>
      <c r="AI42" s="12"/>
      <c r="AJ42" s="12"/>
      <c r="AK42" s="12"/>
      <c r="AL42" s="12"/>
      <c r="AM42" s="12"/>
      <c r="AN42" s="12"/>
      <c r="AO42" s="12"/>
      <c r="AP42" s="12"/>
      <c r="AQ42" s="12"/>
      <c r="AR42" s="12"/>
      <c r="AS42" s="12"/>
      <c r="AT42" s="12"/>
      <c r="AU42" s="12"/>
      <c r="AV42" s="12"/>
      <c r="AW42" s="12"/>
      <c r="AX42" s="12"/>
      <c r="AY42" s="12"/>
      <c r="AZ42" s="12"/>
      <c r="BA42" s="12"/>
      <c r="BB42" s="12"/>
      <c r="BC42" s="12"/>
      <c r="BD42" s="12"/>
      <c r="BE42" s="12"/>
      <c r="BF42" s="12"/>
      <c r="BG42" s="12"/>
      <c r="BH42" s="12"/>
      <c r="BI42" s="12"/>
      <c r="BJ42" s="12"/>
      <c r="BK42" s="12"/>
      <c r="BL42" s="12"/>
      <c r="BM42" s="12"/>
      <c r="BN42" s="12"/>
      <c r="BO42" s="12"/>
      <c r="BP42" s="12"/>
      <c r="BQ42" s="12"/>
      <c r="BR42" s="12"/>
      <c r="BS42" s="12"/>
      <c r="BT42" s="12"/>
      <c r="BU42" s="12"/>
      <c r="BV42" s="12"/>
      <c r="BW42" s="12"/>
      <c r="BX42" s="12"/>
      <c r="BY42" s="12"/>
      <c r="BZ42" s="12"/>
      <c r="CA42" s="12"/>
      <c r="CB42" s="12"/>
      <c r="CC42" s="12"/>
      <c r="CD42" s="12"/>
      <c r="CE42" s="12"/>
      <c r="CF42" s="12"/>
      <c r="CG42" s="12"/>
      <c r="CH42" s="12"/>
      <c r="CI42" s="12"/>
      <c r="CJ42" s="12"/>
      <c r="CK42" s="12"/>
      <c r="CL42" s="12"/>
      <c r="CM42" s="12"/>
      <c r="CN42" s="12"/>
      <c r="CO42" s="12"/>
      <c r="CP42" s="12"/>
      <c r="CQ42" s="12"/>
      <c r="CR42" s="12"/>
      <c r="CS42" s="12"/>
      <c r="CT42" s="12"/>
      <c r="CU42" s="12"/>
      <c r="CV42" s="12"/>
      <c r="CW42" s="12"/>
      <c r="CX42" s="12"/>
      <c r="CY42" s="12"/>
      <c r="CZ42" s="12"/>
      <c r="DA42" s="12"/>
      <c r="DB42" s="12"/>
      <c r="DC42" s="12"/>
      <c r="DD42" s="12"/>
      <c r="DE42" s="12"/>
      <c r="DF42" s="12"/>
      <c r="DG42" s="12"/>
      <c r="DH42" s="12"/>
      <c r="DI42" s="12"/>
      <c r="DJ42" s="12"/>
      <c r="DK42" s="12"/>
      <c r="DL42" s="12"/>
      <c r="DM42" s="12"/>
      <c r="DN42" s="12"/>
      <c r="DO42" s="12"/>
      <c r="DP42" s="12"/>
      <c r="DQ42" s="12"/>
      <c r="DR42" s="12"/>
      <c r="DS42" s="12"/>
      <c r="DT42" s="12"/>
      <c r="DU42" s="12"/>
      <c r="DV42" s="12"/>
      <c r="DW42" s="12"/>
      <c r="DX42" s="12"/>
      <c r="DY42" s="12"/>
      <c r="DZ42" s="12"/>
      <c r="EA42" s="12"/>
      <c r="EB42" s="12"/>
      <c r="EC42" s="12"/>
      <c r="ED42" s="12"/>
      <c r="EE42" s="12"/>
      <c r="EF42" s="12"/>
      <c r="EG42" s="12"/>
      <c r="EH42" s="12"/>
      <c r="EI42" s="12"/>
      <c r="EJ42" s="12"/>
      <c r="EK42" s="12"/>
      <c r="EL42" s="12"/>
      <c r="EM42" s="12"/>
      <c r="EN42" s="12"/>
      <c r="EO42" s="12"/>
      <c r="EP42" s="12"/>
      <c r="EQ42" s="12"/>
      <c r="ER42" s="12"/>
      <c r="ES42" s="12"/>
      <c r="ET42" s="12"/>
      <c r="EU42" s="12"/>
      <c r="EV42" s="12"/>
      <c r="EW42" s="12"/>
      <c r="EX42" s="12"/>
      <c r="EY42" s="12"/>
      <c r="EZ42" s="12"/>
      <c r="FA42" s="12"/>
      <c r="FB42" s="12"/>
      <c r="FC42" s="12"/>
      <c r="FD42" s="12"/>
      <c r="FE42" s="12"/>
      <c r="FF42" s="12"/>
      <c r="FG42" s="12"/>
      <c r="FH42" s="12"/>
      <c r="FI42" s="12"/>
      <c r="FJ42" s="12"/>
      <c r="FK42" s="12"/>
      <c r="FL42" s="12"/>
      <c r="FM42" s="12"/>
      <c r="FN42" s="12"/>
      <c r="FO42" s="12"/>
      <c r="FP42" s="12"/>
      <c r="FQ42" s="12"/>
      <c r="FR42" s="12"/>
      <c r="FS42" s="12"/>
      <c r="FT42" s="12"/>
      <c r="FU42" s="12"/>
      <c r="FV42" s="12"/>
      <c r="FW42" s="12"/>
      <c r="FX42" s="12"/>
      <c r="FY42" s="12"/>
      <c r="FZ42" s="12"/>
      <c r="GA42" s="12"/>
      <c r="GB42" s="12"/>
      <c r="GC42" s="12"/>
      <c r="GD42" s="12"/>
      <c r="GE42" s="12"/>
    </row>
    <row r="43" spans="1:187" ht="21" customHeight="1">
      <c r="A43" s="45"/>
      <c r="B43" s="101" t="s">
        <v>102</v>
      </c>
      <c r="C43" s="101"/>
      <c r="D43" s="101"/>
      <c r="E43" s="34"/>
      <c r="F43" s="34"/>
      <c r="G43" s="34"/>
      <c r="H43" s="34"/>
      <c r="I43" s="35">
        <f t="shared" si="0"/>
        <v>0</v>
      </c>
      <c r="J43" s="56"/>
      <c r="K43" s="49"/>
      <c r="L43" s="49"/>
      <c r="M43" s="49"/>
      <c r="N43" s="49"/>
      <c r="O43" s="56">
        <f t="shared" si="1"/>
        <v>0</v>
      </c>
      <c r="P43" s="1">
        <f t="shared" si="2"/>
        <v>0</v>
      </c>
      <c r="Q43" s="1">
        <f t="shared" si="3"/>
        <v>0</v>
      </c>
      <c r="R43" s="1">
        <f t="shared" si="4"/>
        <v>0</v>
      </c>
      <c r="S43" s="1">
        <f t="shared" si="5"/>
        <v>0</v>
      </c>
      <c r="T43" s="1">
        <f t="shared" si="6"/>
        <v>0</v>
      </c>
      <c r="U43" s="45"/>
      <c r="V43" s="45"/>
      <c r="W43" s="45"/>
    </row>
    <row r="44" spans="1:187" ht="21" customHeight="1">
      <c r="A44" s="45"/>
      <c r="B44" s="15" t="s">
        <v>19</v>
      </c>
      <c r="C44" s="83" t="s">
        <v>111</v>
      </c>
      <c r="D44" s="18" t="s">
        <v>306</v>
      </c>
      <c r="E44" s="41">
        <v>110.09099999999999</v>
      </c>
      <c r="F44" s="41">
        <f>188.523-E44</f>
        <v>78.432000000000002</v>
      </c>
      <c r="G44" s="41">
        <v>51.164000000000001</v>
      </c>
      <c r="H44" s="41">
        <f>166.495-G44</f>
        <v>115.331</v>
      </c>
      <c r="I44" s="35">
        <f t="shared" si="0"/>
        <v>355.01800000000003</v>
      </c>
      <c r="J44" s="56">
        <v>430.2</v>
      </c>
      <c r="K44" s="49">
        <v>3441.9320000000002</v>
      </c>
      <c r="L44" s="49">
        <v>3579.6092800000006</v>
      </c>
      <c r="M44" s="49">
        <v>1701.0014699999999</v>
      </c>
      <c r="N44" s="49">
        <v>1769.0415287999999</v>
      </c>
      <c r="O44" s="56">
        <f t="shared" si="1"/>
        <v>1740.9305300000003</v>
      </c>
      <c r="P44" s="1">
        <f t="shared" si="2"/>
        <v>191660.78297823001</v>
      </c>
      <c r="Q44" s="1">
        <f t="shared" si="3"/>
        <v>136544.66332896004</v>
      </c>
      <c r="R44" s="1">
        <f t="shared" si="4"/>
        <v>92635.888422396834</v>
      </c>
      <c r="S44" s="1">
        <f t="shared" si="5"/>
        <v>208814.58931364727</v>
      </c>
      <c r="T44" s="1">
        <f t="shared" si="6"/>
        <v>629655.9240432342</v>
      </c>
      <c r="U44" s="45"/>
      <c r="V44" s="45"/>
      <c r="W44" s="45"/>
    </row>
    <row r="45" spans="1:187" ht="21" customHeight="1">
      <c r="A45" s="45"/>
      <c r="B45" s="9" t="s">
        <v>286</v>
      </c>
      <c r="C45" s="10" t="s">
        <v>108</v>
      </c>
      <c r="D45" s="10" t="s">
        <v>107</v>
      </c>
      <c r="E45" s="35">
        <v>785.19</v>
      </c>
      <c r="F45" s="35">
        <f>1234.15-E45</f>
        <v>448.96000000000004</v>
      </c>
      <c r="G45" s="35">
        <v>172.06800000000001</v>
      </c>
      <c r="H45" s="35">
        <f>901.474-G45</f>
        <v>729.40600000000006</v>
      </c>
      <c r="I45" s="35">
        <f t="shared" si="0"/>
        <v>2135.6240000000003</v>
      </c>
      <c r="J45" s="56">
        <v>2848.4</v>
      </c>
      <c r="K45" s="49">
        <v>4225.5720000000001</v>
      </c>
      <c r="L45" s="49">
        <v>4394.5948800000006</v>
      </c>
      <c r="M45" s="49">
        <v>1573.1808499999997</v>
      </c>
      <c r="N45" s="49">
        <v>1636.1080839999997</v>
      </c>
      <c r="O45" s="56">
        <f t="shared" si="1"/>
        <v>2652.3911500000004</v>
      </c>
      <c r="P45" s="1">
        <f t="shared" si="2"/>
        <v>2082631.0070685004</v>
      </c>
      <c r="Q45" s="1">
        <f t="shared" si="3"/>
        <v>1190817.5307040003</v>
      </c>
      <c r="R45" s="1">
        <f t="shared" si="4"/>
        <v>474647.3060141282</v>
      </c>
      <c r="S45" s="1">
        <f t="shared" si="5"/>
        <v>2012056.8199231769</v>
      </c>
      <c r="T45" s="1">
        <f t="shared" si="6"/>
        <v>5760152.6637098063</v>
      </c>
      <c r="U45" s="11"/>
      <c r="V45" s="11"/>
      <c r="W45" s="11"/>
      <c r="X45" s="12"/>
      <c r="Y45" s="12"/>
      <c r="Z45" s="12"/>
      <c r="AA45" s="12"/>
      <c r="AB45" s="12"/>
      <c r="AC45" s="12"/>
      <c r="AD45" s="12"/>
      <c r="AE45" s="12"/>
      <c r="AF45" s="12"/>
      <c r="AG45" s="12"/>
      <c r="AH45" s="12"/>
      <c r="AI45" s="12"/>
      <c r="AJ45" s="12"/>
      <c r="AK45" s="12"/>
      <c r="AL45" s="12"/>
      <c r="AM45" s="12"/>
      <c r="AN45" s="12"/>
      <c r="AO45" s="12"/>
      <c r="AP45" s="12"/>
      <c r="AQ45" s="12"/>
      <c r="AR45" s="12"/>
      <c r="AS45" s="12"/>
      <c r="AT45" s="12"/>
      <c r="AU45" s="12"/>
      <c r="AV45" s="12"/>
      <c r="AW45" s="12"/>
      <c r="AX45" s="12"/>
      <c r="AY45" s="12"/>
      <c r="AZ45" s="12"/>
      <c r="BA45" s="12"/>
      <c r="BB45" s="12"/>
      <c r="BC45" s="12"/>
      <c r="BD45" s="12"/>
      <c r="BE45" s="12"/>
      <c r="BF45" s="12"/>
      <c r="BG45" s="12"/>
      <c r="BH45" s="12"/>
      <c r="BI45" s="12"/>
      <c r="BJ45" s="12"/>
      <c r="BK45" s="12"/>
      <c r="BL45" s="12"/>
      <c r="BM45" s="12"/>
      <c r="BN45" s="12"/>
      <c r="BO45" s="12"/>
      <c r="BP45" s="12"/>
      <c r="BQ45" s="12"/>
      <c r="BR45" s="12"/>
      <c r="BS45" s="12"/>
      <c r="BT45" s="12"/>
      <c r="BU45" s="12"/>
      <c r="BV45" s="12"/>
      <c r="BW45" s="12"/>
      <c r="BX45" s="12"/>
      <c r="BY45" s="12"/>
      <c r="BZ45" s="12"/>
      <c r="CA45" s="12"/>
      <c r="CB45" s="12"/>
      <c r="CC45" s="12"/>
      <c r="CD45" s="12"/>
      <c r="CE45" s="12"/>
      <c r="CF45" s="12"/>
      <c r="CG45" s="12"/>
      <c r="CH45" s="12"/>
      <c r="CI45" s="12"/>
      <c r="CJ45" s="12"/>
      <c r="CK45" s="12"/>
      <c r="CL45" s="12"/>
      <c r="CM45" s="12"/>
      <c r="CN45" s="12"/>
      <c r="CO45" s="12"/>
      <c r="CP45" s="12"/>
      <c r="CQ45" s="12"/>
      <c r="CR45" s="12"/>
      <c r="CS45" s="12"/>
      <c r="CT45" s="12"/>
      <c r="CU45" s="12"/>
      <c r="CV45" s="12"/>
      <c r="CW45" s="12"/>
      <c r="CX45" s="12"/>
      <c r="CY45" s="12"/>
      <c r="CZ45" s="12"/>
      <c r="DA45" s="12"/>
      <c r="DB45" s="12"/>
      <c r="DC45" s="12"/>
      <c r="DD45" s="12"/>
      <c r="DE45" s="12"/>
      <c r="DF45" s="12"/>
      <c r="DG45" s="12"/>
      <c r="DH45" s="12"/>
      <c r="DI45" s="12"/>
      <c r="DJ45" s="12"/>
      <c r="DK45" s="12"/>
      <c r="DL45" s="12"/>
      <c r="DM45" s="12"/>
      <c r="DN45" s="12"/>
      <c r="DO45" s="12"/>
      <c r="DP45" s="12"/>
      <c r="DQ45" s="12"/>
      <c r="DR45" s="12"/>
      <c r="DS45" s="12"/>
      <c r="DT45" s="12"/>
      <c r="DU45" s="12"/>
      <c r="DV45" s="12"/>
      <c r="DW45" s="12"/>
      <c r="DX45" s="12"/>
      <c r="DY45" s="12"/>
      <c r="DZ45" s="12"/>
      <c r="EA45" s="12"/>
      <c r="EB45" s="12"/>
      <c r="EC45" s="12"/>
      <c r="ED45" s="12"/>
      <c r="EE45" s="12"/>
      <c r="EF45" s="12"/>
      <c r="EG45" s="12"/>
      <c r="EH45" s="12"/>
      <c r="EI45" s="12"/>
      <c r="EJ45" s="12"/>
      <c r="EK45" s="12"/>
      <c r="EL45" s="12"/>
      <c r="EM45" s="12"/>
      <c r="EN45" s="12"/>
      <c r="EO45" s="12"/>
      <c r="EP45" s="12"/>
      <c r="EQ45" s="12"/>
      <c r="ER45" s="12"/>
      <c r="ES45" s="12"/>
      <c r="ET45" s="12"/>
      <c r="EU45" s="12"/>
      <c r="EV45" s="12"/>
      <c r="EW45" s="12"/>
      <c r="EX45" s="12"/>
      <c r="EY45" s="12"/>
      <c r="EZ45" s="12"/>
      <c r="FA45" s="12"/>
      <c r="FB45" s="12"/>
      <c r="FC45" s="12"/>
      <c r="FD45" s="12"/>
      <c r="FE45" s="12"/>
      <c r="FF45" s="12"/>
      <c r="FG45" s="12"/>
      <c r="FH45" s="12"/>
      <c r="FI45" s="12"/>
      <c r="FJ45" s="12"/>
      <c r="FK45" s="12"/>
      <c r="FL45" s="12"/>
      <c r="FM45" s="12"/>
      <c r="FN45" s="12"/>
      <c r="FO45" s="12"/>
      <c r="FP45" s="12"/>
      <c r="FQ45" s="12"/>
      <c r="FR45" s="12"/>
      <c r="FS45" s="12"/>
      <c r="FT45" s="12"/>
      <c r="FU45" s="12"/>
      <c r="FV45" s="12"/>
      <c r="FW45" s="12"/>
      <c r="FX45" s="12"/>
      <c r="FY45" s="12"/>
      <c r="FZ45" s="12"/>
      <c r="GA45" s="12"/>
      <c r="GB45" s="12"/>
      <c r="GC45" s="12"/>
      <c r="GD45" s="12"/>
      <c r="GE45" s="12"/>
    </row>
    <row r="46" spans="1:187" ht="21" customHeight="1">
      <c r="A46" s="45"/>
      <c r="B46" s="9" t="s">
        <v>32</v>
      </c>
      <c r="C46" s="10" t="s">
        <v>104</v>
      </c>
      <c r="D46" s="10" t="s">
        <v>105</v>
      </c>
      <c r="E46" s="35">
        <v>3392.1039999999998</v>
      </c>
      <c r="F46" s="35">
        <f>5654.57-E46</f>
        <v>2262.4659999999999</v>
      </c>
      <c r="G46" s="35">
        <v>569.38499999999999</v>
      </c>
      <c r="H46" s="35">
        <f>3970.557-G46</f>
        <v>3401.1719999999996</v>
      </c>
      <c r="I46" s="35">
        <f t="shared" si="0"/>
        <v>9625.1270000000004</v>
      </c>
      <c r="J46" s="56">
        <v>9081.1</v>
      </c>
      <c r="K46" s="49">
        <v>3506.25</v>
      </c>
      <c r="L46" s="49">
        <v>3646.5</v>
      </c>
      <c r="M46" s="49">
        <v>1620.9346999999998</v>
      </c>
      <c r="N46" s="49">
        <v>1685.7720879999999</v>
      </c>
      <c r="O46" s="56">
        <f t="shared" si="1"/>
        <v>1885.3153000000002</v>
      </c>
      <c r="P46" s="1">
        <f t="shared" si="2"/>
        <v>6395185.5703912005</v>
      </c>
      <c r="Q46" s="1">
        <f t="shared" si="3"/>
        <v>4265461.7655298002</v>
      </c>
      <c r="R46" s="1">
        <f t="shared" si="4"/>
        <v>1116409.06217412</v>
      </c>
      <c r="S46" s="1">
        <f t="shared" si="5"/>
        <v>6668772.8739128634</v>
      </c>
      <c r="T46" s="1">
        <f t="shared" si="6"/>
        <v>18445829.272007983</v>
      </c>
      <c r="U46" s="11"/>
      <c r="V46" s="11"/>
      <c r="W46" s="11"/>
      <c r="X46" s="12"/>
      <c r="Y46" s="12"/>
      <c r="Z46" s="12"/>
      <c r="AA46" s="12"/>
      <c r="AB46" s="12"/>
      <c r="AC46" s="12"/>
      <c r="AD46" s="12"/>
      <c r="AE46" s="12"/>
      <c r="AF46" s="12"/>
      <c r="AG46" s="12"/>
      <c r="AH46" s="12"/>
      <c r="AI46" s="12"/>
      <c r="AJ46" s="12"/>
      <c r="AK46" s="12"/>
      <c r="AL46" s="12"/>
      <c r="AM46" s="12"/>
      <c r="AN46" s="12"/>
      <c r="AO46" s="12"/>
      <c r="AP46" s="12"/>
      <c r="AQ46" s="12"/>
      <c r="AR46" s="12"/>
      <c r="AS46" s="12"/>
      <c r="AT46" s="12"/>
      <c r="AU46" s="12"/>
      <c r="AV46" s="12"/>
      <c r="AW46" s="12"/>
      <c r="AX46" s="12"/>
      <c r="AY46" s="12"/>
      <c r="AZ46" s="12"/>
      <c r="BA46" s="12"/>
      <c r="BB46" s="12"/>
      <c r="BC46" s="12"/>
      <c r="BD46" s="12"/>
      <c r="BE46" s="12"/>
      <c r="BF46" s="12"/>
      <c r="BG46" s="12"/>
      <c r="BH46" s="12"/>
      <c r="BI46" s="12"/>
      <c r="BJ46" s="12"/>
      <c r="BK46" s="12"/>
      <c r="BL46" s="12"/>
      <c r="BM46" s="12"/>
      <c r="BN46" s="12"/>
      <c r="BO46" s="12"/>
      <c r="BP46" s="12"/>
      <c r="BQ46" s="12"/>
      <c r="BR46" s="12"/>
      <c r="BS46" s="12"/>
      <c r="BT46" s="12"/>
      <c r="BU46" s="12"/>
      <c r="BV46" s="12"/>
      <c r="BW46" s="12"/>
      <c r="BX46" s="12"/>
      <c r="BY46" s="12"/>
      <c r="BZ46" s="12"/>
      <c r="CA46" s="12"/>
      <c r="CB46" s="12"/>
      <c r="CC46" s="12"/>
      <c r="CD46" s="12"/>
      <c r="CE46" s="12"/>
      <c r="CF46" s="12"/>
      <c r="CG46" s="12"/>
      <c r="CH46" s="12"/>
      <c r="CI46" s="12"/>
      <c r="CJ46" s="12"/>
      <c r="CK46" s="12"/>
      <c r="CL46" s="12"/>
      <c r="CM46" s="12"/>
      <c r="CN46" s="12"/>
      <c r="CO46" s="12"/>
      <c r="CP46" s="12"/>
      <c r="CQ46" s="12"/>
      <c r="CR46" s="12"/>
      <c r="CS46" s="12"/>
      <c r="CT46" s="12"/>
      <c r="CU46" s="12"/>
      <c r="CV46" s="12"/>
      <c r="CW46" s="12"/>
      <c r="CX46" s="12"/>
      <c r="CY46" s="12"/>
      <c r="CZ46" s="12"/>
      <c r="DA46" s="12"/>
      <c r="DB46" s="12"/>
      <c r="DC46" s="12"/>
      <c r="DD46" s="12"/>
      <c r="DE46" s="12"/>
      <c r="DF46" s="12"/>
      <c r="DG46" s="12"/>
      <c r="DH46" s="12"/>
      <c r="DI46" s="12"/>
      <c r="DJ46" s="12"/>
      <c r="DK46" s="12"/>
      <c r="DL46" s="12"/>
      <c r="DM46" s="12"/>
      <c r="DN46" s="12"/>
      <c r="DO46" s="12"/>
      <c r="DP46" s="12"/>
      <c r="DQ46" s="12"/>
      <c r="DR46" s="12"/>
      <c r="DS46" s="12"/>
      <c r="DT46" s="12"/>
      <c r="DU46" s="12"/>
      <c r="DV46" s="12"/>
      <c r="DW46" s="12"/>
      <c r="DX46" s="12"/>
      <c r="DY46" s="12"/>
      <c r="DZ46" s="12"/>
      <c r="EA46" s="12"/>
      <c r="EB46" s="12"/>
      <c r="EC46" s="12"/>
      <c r="ED46" s="12"/>
      <c r="EE46" s="12"/>
      <c r="EF46" s="12"/>
      <c r="EG46" s="12"/>
      <c r="EH46" s="12"/>
      <c r="EI46" s="12"/>
      <c r="EJ46" s="12"/>
      <c r="EK46" s="12"/>
      <c r="EL46" s="12"/>
      <c r="EM46" s="12"/>
      <c r="EN46" s="12"/>
      <c r="EO46" s="12"/>
      <c r="EP46" s="12"/>
      <c r="EQ46" s="12"/>
      <c r="ER46" s="12"/>
      <c r="ES46" s="12"/>
      <c r="ET46" s="12"/>
      <c r="EU46" s="12"/>
      <c r="EV46" s="12"/>
      <c r="EW46" s="12"/>
      <c r="EX46" s="12"/>
      <c r="EY46" s="12"/>
      <c r="EZ46" s="12"/>
      <c r="FA46" s="12"/>
      <c r="FB46" s="12"/>
      <c r="FC46" s="12"/>
      <c r="FD46" s="12"/>
      <c r="FE46" s="12"/>
      <c r="FF46" s="12"/>
      <c r="FG46" s="12"/>
      <c r="FH46" s="12"/>
      <c r="FI46" s="12"/>
      <c r="FJ46" s="12"/>
      <c r="FK46" s="12"/>
      <c r="FL46" s="12"/>
      <c r="FM46" s="12"/>
      <c r="FN46" s="12"/>
      <c r="FO46" s="12"/>
      <c r="FP46" s="12"/>
      <c r="FQ46" s="12"/>
      <c r="FR46" s="12"/>
      <c r="FS46" s="12"/>
      <c r="FT46" s="12"/>
      <c r="FU46" s="12"/>
      <c r="FV46" s="12"/>
      <c r="FW46" s="12"/>
      <c r="FX46" s="12"/>
      <c r="FY46" s="12"/>
      <c r="FZ46" s="12"/>
      <c r="GA46" s="12"/>
      <c r="GB46" s="12"/>
      <c r="GC46" s="12"/>
      <c r="GD46" s="12"/>
      <c r="GE46" s="12"/>
    </row>
    <row r="47" spans="1:187" ht="21" customHeight="1">
      <c r="A47" s="45"/>
      <c r="B47" s="9" t="s">
        <v>32</v>
      </c>
      <c r="C47" s="10" t="s">
        <v>104</v>
      </c>
      <c r="D47" s="38" t="s">
        <v>376</v>
      </c>
      <c r="E47" s="35">
        <v>69.369</v>
      </c>
      <c r="F47" s="35">
        <f>115.615-E47</f>
        <v>46.245999999999995</v>
      </c>
      <c r="G47" s="35">
        <v>20.98</v>
      </c>
      <c r="H47" s="35">
        <v>62.93</v>
      </c>
      <c r="I47" s="35">
        <f t="shared" si="0"/>
        <v>199.52500000000001</v>
      </c>
      <c r="J47" s="56">
        <v>211.4</v>
      </c>
      <c r="K47" s="49">
        <v>3413.6024000000002</v>
      </c>
      <c r="L47" s="49">
        <v>3550.1464960000003</v>
      </c>
      <c r="M47" s="49">
        <v>1602.5901699999999</v>
      </c>
      <c r="N47" s="49">
        <v>1666.6937768</v>
      </c>
      <c r="O47" s="56">
        <f t="shared" si="1"/>
        <v>1811.0122300000003</v>
      </c>
      <c r="P47" s="1">
        <f t="shared" si="2"/>
        <v>125628.10738287002</v>
      </c>
      <c r="Q47" s="1">
        <f t="shared" si="3"/>
        <v>83752.071588580002</v>
      </c>
      <c r="R47" s="1">
        <f t="shared" si="4"/>
        <v>39514.838048816004</v>
      </c>
      <c r="S47" s="1">
        <f t="shared" si="5"/>
        <v>118525.67961925601</v>
      </c>
      <c r="T47" s="1">
        <f t="shared" si="6"/>
        <v>367420.69663952204</v>
      </c>
      <c r="U47" s="11"/>
      <c r="V47" s="11"/>
      <c r="W47" s="11"/>
      <c r="X47" s="12"/>
      <c r="Y47" s="12"/>
      <c r="Z47" s="12"/>
      <c r="AA47" s="12"/>
      <c r="AB47" s="12"/>
      <c r="AC47" s="12"/>
      <c r="AD47" s="12"/>
      <c r="AE47" s="12"/>
      <c r="AF47" s="12"/>
      <c r="AG47" s="12"/>
      <c r="AH47" s="12"/>
      <c r="AI47" s="12"/>
      <c r="AJ47" s="12"/>
      <c r="AK47" s="12"/>
      <c r="AL47" s="12"/>
      <c r="AM47" s="12"/>
      <c r="AN47" s="12"/>
      <c r="AO47" s="12"/>
      <c r="AP47" s="12"/>
      <c r="AQ47" s="12"/>
      <c r="AR47" s="12"/>
      <c r="AS47" s="12"/>
      <c r="AT47" s="12"/>
      <c r="AU47" s="12"/>
      <c r="AV47" s="12"/>
      <c r="AW47" s="12"/>
      <c r="AX47" s="12"/>
      <c r="AY47" s="12"/>
      <c r="AZ47" s="12"/>
      <c r="BA47" s="12"/>
      <c r="BB47" s="12"/>
      <c r="BC47" s="12"/>
      <c r="BD47" s="12"/>
      <c r="BE47" s="12"/>
      <c r="BF47" s="12"/>
      <c r="BG47" s="12"/>
      <c r="BH47" s="12"/>
      <c r="BI47" s="12"/>
      <c r="BJ47" s="12"/>
      <c r="BK47" s="12"/>
      <c r="BL47" s="12"/>
      <c r="BM47" s="12"/>
      <c r="BN47" s="12"/>
      <c r="BO47" s="12"/>
      <c r="BP47" s="12"/>
      <c r="BQ47" s="12"/>
      <c r="BR47" s="12"/>
      <c r="BS47" s="12"/>
      <c r="BT47" s="12"/>
      <c r="BU47" s="12"/>
      <c r="BV47" s="12"/>
      <c r="BW47" s="12"/>
      <c r="BX47" s="12"/>
      <c r="BY47" s="12"/>
      <c r="BZ47" s="12"/>
      <c r="CA47" s="12"/>
      <c r="CB47" s="12"/>
      <c r="CC47" s="12"/>
      <c r="CD47" s="12"/>
      <c r="CE47" s="12"/>
      <c r="CF47" s="12"/>
      <c r="CG47" s="12"/>
      <c r="CH47" s="12"/>
      <c r="CI47" s="12"/>
      <c r="CJ47" s="12"/>
      <c r="CK47" s="12"/>
      <c r="CL47" s="12"/>
      <c r="CM47" s="12"/>
      <c r="CN47" s="12"/>
      <c r="CO47" s="12"/>
      <c r="CP47" s="12"/>
      <c r="CQ47" s="12"/>
      <c r="CR47" s="12"/>
      <c r="CS47" s="12"/>
      <c r="CT47" s="12"/>
      <c r="CU47" s="12"/>
      <c r="CV47" s="12"/>
      <c r="CW47" s="12"/>
      <c r="CX47" s="12"/>
      <c r="CY47" s="12"/>
      <c r="CZ47" s="12"/>
      <c r="DA47" s="12"/>
      <c r="DB47" s="12"/>
      <c r="DC47" s="12"/>
      <c r="DD47" s="12"/>
      <c r="DE47" s="12"/>
      <c r="DF47" s="12"/>
      <c r="DG47" s="12"/>
      <c r="DH47" s="12"/>
      <c r="DI47" s="12"/>
      <c r="DJ47" s="12"/>
      <c r="DK47" s="12"/>
      <c r="DL47" s="12"/>
      <c r="DM47" s="12"/>
      <c r="DN47" s="12"/>
      <c r="DO47" s="12"/>
      <c r="DP47" s="12"/>
      <c r="DQ47" s="12"/>
      <c r="DR47" s="12"/>
      <c r="DS47" s="12"/>
      <c r="DT47" s="12"/>
      <c r="DU47" s="12"/>
      <c r="DV47" s="12"/>
      <c r="DW47" s="12"/>
      <c r="DX47" s="12"/>
      <c r="DY47" s="12"/>
      <c r="DZ47" s="12"/>
      <c r="EA47" s="12"/>
      <c r="EB47" s="12"/>
      <c r="EC47" s="12"/>
      <c r="ED47" s="12"/>
      <c r="EE47" s="12"/>
      <c r="EF47" s="12"/>
      <c r="EG47" s="12"/>
      <c r="EH47" s="12"/>
      <c r="EI47" s="12"/>
      <c r="EJ47" s="12"/>
      <c r="EK47" s="12"/>
      <c r="EL47" s="12"/>
      <c r="EM47" s="12"/>
      <c r="EN47" s="12"/>
      <c r="EO47" s="12"/>
      <c r="EP47" s="12"/>
      <c r="EQ47" s="12"/>
      <c r="ER47" s="12"/>
      <c r="ES47" s="12"/>
      <c r="ET47" s="12"/>
      <c r="EU47" s="12"/>
      <c r="EV47" s="12"/>
      <c r="EW47" s="12"/>
      <c r="EX47" s="12"/>
      <c r="EY47" s="12"/>
      <c r="EZ47" s="12"/>
      <c r="FA47" s="12"/>
      <c r="FB47" s="12"/>
      <c r="FC47" s="12"/>
      <c r="FD47" s="12"/>
      <c r="FE47" s="12"/>
      <c r="FF47" s="12"/>
      <c r="FG47" s="12"/>
      <c r="FH47" s="12"/>
      <c r="FI47" s="12"/>
      <c r="FJ47" s="12"/>
      <c r="FK47" s="12"/>
      <c r="FL47" s="12"/>
      <c r="FM47" s="12"/>
      <c r="FN47" s="12"/>
      <c r="FO47" s="12"/>
      <c r="FP47" s="12"/>
      <c r="FQ47" s="12"/>
      <c r="FR47" s="12"/>
      <c r="FS47" s="12"/>
      <c r="FT47" s="12"/>
      <c r="FU47" s="12"/>
      <c r="FV47" s="12"/>
      <c r="FW47" s="12"/>
      <c r="FX47" s="12"/>
      <c r="FY47" s="12"/>
      <c r="FZ47" s="12"/>
      <c r="GA47" s="12"/>
      <c r="GB47" s="12"/>
      <c r="GC47" s="12"/>
      <c r="GD47" s="12"/>
      <c r="GE47" s="12"/>
    </row>
    <row r="48" spans="1:187" ht="21" customHeight="1">
      <c r="A48" s="45"/>
      <c r="B48" s="9" t="s">
        <v>375</v>
      </c>
      <c r="C48" s="10" t="s">
        <v>104</v>
      </c>
      <c r="D48" s="38" t="s">
        <v>377</v>
      </c>
      <c r="E48" s="35">
        <v>48.848999999999997</v>
      </c>
      <c r="F48" s="35">
        <f>81.415-E48</f>
        <v>32.56600000000001</v>
      </c>
      <c r="G48" s="35">
        <v>21.524999999999999</v>
      </c>
      <c r="H48" s="35">
        <v>64.575000000000003</v>
      </c>
      <c r="I48" s="35">
        <f t="shared" si="0"/>
        <v>167.51499999999999</v>
      </c>
      <c r="J48" s="56">
        <v>210</v>
      </c>
      <c r="K48" s="49">
        <v>5774.5272000000004</v>
      </c>
      <c r="L48" s="49">
        <v>6005.5082880000009</v>
      </c>
      <c r="M48" s="49">
        <v>1602.5901699999999</v>
      </c>
      <c r="N48" s="49">
        <v>1666.6937768</v>
      </c>
      <c r="O48" s="56"/>
      <c r="P48" s="1"/>
      <c r="Q48" s="1">
        <f t="shared" si="3"/>
        <v>135863.30131898008</v>
      </c>
      <c r="R48" s="1">
        <f t="shared" si="4"/>
        <v>93392.982353580024</v>
      </c>
      <c r="S48" s="1">
        <f t="shared" si="5"/>
        <v>280178.94706074009</v>
      </c>
      <c r="T48" s="1">
        <f t="shared" si="6"/>
        <v>509435.23073330021</v>
      </c>
      <c r="U48" s="11"/>
      <c r="V48" s="11"/>
      <c r="W48" s="11"/>
      <c r="X48" s="12"/>
      <c r="Y48" s="12"/>
      <c r="Z48" s="12"/>
      <c r="AA48" s="12"/>
      <c r="AB48" s="12"/>
      <c r="AC48" s="12"/>
      <c r="AD48" s="12"/>
      <c r="AE48" s="12"/>
      <c r="AF48" s="12"/>
      <c r="AG48" s="12"/>
      <c r="AH48" s="12"/>
      <c r="AI48" s="12"/>
      <c r="AJ48" s="12"/>
      <c r="AK48" s="12"/>
      <c r="AL48" s="12"/>
      <c r="AM48" s="12"/>
      <c r="AN48" s="12"/>
      <c r="AO48" s="12"/>
      <c r="AP48" s="12"/>
      <c r="AQ48" s="12"/>
      <c r="AR48" s="12"/>
      <c r="AS48" s="12"/>
      <c r="AT48" s="12"/>
      <c r="AU48" s="12"/>
      <c r="AV48" s="12"/>
      <c r="AW48" s="12"/>
      <c r="AX48" s="12"/>
      <c r="AY48" s="12"/>
      <c r="AZ48" s="12"/>
      <c r="BA48" s="12"/>
      <c r="BB48" s="12"/>
      <c r="BC48" s="12"/>
      <c r="BD48" s="12"/>
      <c r="BE48" s="12"/>
      <c r="BF48" s="12"/>
      <c r="BG48" s="12"/>
      <c r="BH48" s="12"/>
      <c r="BI48" s="12"/>
      <c r="BJ48" s="12"/>
      <c r="BK48" s="12"/>
      <c r="BL48" s="12"/>
      <c r="BM48" s="12"/>
      <c r="BN48" s="12"/>
      <c r="BO48" s="12"/>
      <c r="BP48" s="12"/>
      <c r="BQ48" s="12"/>
      <c r="BR48" s="12"/>
      <c r="BS48" s="12"/>
      <c r="BT48" s="12"/>
      <c r="BU48" s="12"/>
      <c r="BV48" s="12"/>
      <c r="BW48" s="12"/>
      <c r="BX48" s="12"/>
      <c r="BY48" s="12"/>
      <c r="BZ48" s="12"/>
      <c r="CA48" s="12"/>
      <c r="CB48" s="12"/>
      <c r="CC48" s="12"/>
      <c r="CD48" s="12"/>
      <c r="CE48" s="12"/>
      <c r="CF48" s="12"/>
      <c r="CG48" s="12"/>
      <c r="CH48" s="12"/>
      <c r="CI48" s="12"/>
      <c r="CJ48" s="12"/>
      <c r="CK48" s="12"/>
      <c r="CL48" s="12"/>
      <c r="CM48" s="12"/>
      <c r="CN48" s="12"/>
      <c r="CO48" s="12"/>
      <c r="CP48" s="12"/>
      <c r="CQ48" s="12"/>
      <c r="CR48" s="12"/>
      <c r="CS48" s="12"/>
      <c r="CT48" s="12"/>
      <c r="CU48" s="12"/>
      <c r="CV48" s="12"/>
      <c r="CW48" s="12"/>
      <c r="CX48" s="12"/>
      <c r="CY48" s="12"/>
      <c r="CZ48" s="12"/>
      <c r="DA48" s="12"/>
      <c r="DB48" s="12"/>
      <c r="DC48" s="12"/>
      <c r="DD48" s="12"/>
      <c r="DE48" s="12"/>
      <c r="DF48" s="12"/>
      <c r="DG48" s="12"/>
      <c r="DH48" s="12"/>
      <c r="DI48" s="12"/>
      <c r="DJ48" s="12"/>
      <c r="DK48" s="12"/>
      <c r="DL48" s="12"/>
      <c r="DM48" s="12"/>
      <c r="DN48" s="12"/>
      <c r="DO48" s="12"/>
      <c r="DP48" s="12"/>
      <c r="DQ48" s="12"/>
      <c r="DR48" s="12"/>
      <c r="DS48" s="12"/>
      <c r="DT48" s="12"/>
      <c r="DU48" s="12"/>
      <c r="DV48" s="12"/>
      <c r="DW48" s="12"/>
      <c r="DX48" s="12"/>
      <c r="DY48" s="12"/>
      <c r="DZ48" s="12"/>
      <c r="EA48" s="12"/>
      <c r="EB48" s="12"/>
      <c r="EC48" s="12"/>
      <c r="ED48" s="12"/>
      <c r="EE48" s="12"/>
      <c r="EF48" s="12"/>
      <c r="EG48" s="12"/>
      <c r="EH48" s="12"/>
      <c r="EI48" s="12"/>
      <c r="EJ48" s="12"/>
      <c r="EK48" s="12"/>
      <c r="EL48" s="12"/>
      <c r="EM48" s="12"/>
      <c r="EN48" s="12"/>
      <c r="EO48" s="12"/>
      <c r="EP48" s="12"/>
      <c r="EQ48" s="12"/>
      <c r="ER48" s="12"/>
      <c r="ES48" s="12"/>
      <c r="ET48" s="12"/>
      <c r="EU48" s="12"/>
      <c r="EV48" s="12"/>
      <c r="EW48" s="12"/>
      <c r="EX48" s="12"/>
      <c r="EY48" s="12"/>
      <c r="EZ48" s="12"/>
      <c r="FA48" s="12"/>
      <c r="FB48" s="12"/>
      <c r="FC48" s="12"/>
      <c r="FD48" s="12"/>
      <c r="FE48" s="12"/>
      <c r="FF48" s="12"/>
      <c r="FG48" s="12"/>
      <c r="FH48" s="12"/>
      <c r="FI48" s="12"/>
      <c r="FJ48" s="12"/>
      <c r="FK48" s="12"/>
      <c r="FL48" s="12"/>
      <c r="FM48" s="12"/>
      <c r="FN48" s="12"/>
      <c r="FO48" s="12"/>
      <c r="FP48" s="12"/>
      <c r="FQ48" s="12"/>
      <c r="FR48" s="12"/>
      <c r="FS48" s="12"/>
      <c r="FT48" s="12"/>
      <c r="FU48" s="12"/>
      <c r="FV48" s="12"/>
      <c r="FW48" s="12"/>
      <c r="FX48" s="12"/>
      <c r="FY48" s="12"/>
      <c r="FZ48" s="12"/>
      <c r="GA48" s="12"/>
      <c r="GB48" s="12"/>
      <c r="GC48" s="12"/>
      <c r="GD48" s="12"/>
      <c r="GE48" s="12"/>
    </row>
    <row r="49" spans="1:187" ht="21" customHeight="1">
      <c r="A49" s="45"/>
      <c r="B49" s="9" t="s">
        <v>380</v>
      </c>
      <c r="C49" s="10" t="s">
        <v>381</v>
      </c>
      <c r="D49" s="10" t="s">
        <v>107</v>
      </c>
      <c r="E49" s="35">
        <v>11070.43</v>
      </c>
      <c r="F49" s="35">
        <f>16666.36-E49</f>
        <v>5595.93</v>
      </c>
      <c r="G49" s="35">
        <v>1622.62</v>
      </c>
      <c r="H49" s="35">
        <v>9104.64</v>
      </c>
      <c r="I49" s="35">
        <f t="shared" si="0"/>
        <v>27393.62</v>
      </c>
      <c r="J49" s="56">
        <v>27938.84</v>
      </c>
      <c r="K49" s="49">
        <v>4564.2688000000007</v>
      </c>
      <c r="L49" s="49">
        <v>4746.8395520000013</v>
      </c>
      <c r="M49" s="49">
        <v>1506.0558399999998</v>
      </c>
      <c r="N49" s="49">
        <v>1566.2980735999997</v>
      </c>
      <c r="O49" s="56">
        <f t="shared" si="1"/>
        <v>3058.2129600000007</v>
      </c>
      <c r="P49" s="1">
        <f t="shared" si="2"/>
        <v>33855732.498772807</v>
      </c>
      <c r="Q49" s="1">
        <f t="shared" si="3"/>
        <v>17113545.649252806</v>
      </c>
      <c r="R49" s="1">
        <f t="shared" si="4"/>
        <v>5160810.2136814101</v>
      </c>
      <c r="S49" s="1">
        <f t="shared" si="5"/>
        <v>28957685.165899787</v>
      </c>
      <c r="T49" s="1">
        <f t="shared" si="6"/>
        <v>85087773.527606815</v>
      </c>
      <c r="U49" s="11"/>
      <c r="V49" s="11"/>
      <c r="W49" s="11"/>
      <c r="X49" s="12"/>
      <c r="Y49" s="12"/>
      <c r="Z49" s="12"/>
      <c r="AA49" s="12"/>
      <c r="AB49" s="12"/>
      <c r="AC49" s="12"/>
      <c r="AD49" s="12"/>
      <c r="AE49" s="12"/>
      <c r="AF49" s="12"/>
      <c r="AG49" s="12"/>
      <c r="AH49" s="12"/>
      <c r="AI49" s="12"/>
      <c r="AJ49" s="12"/>
      <c r="AK49" s="12"/>
      <c r="AL49" s="12"/>
      <c r="AM49" s="12"/>
      <c r="AN49" s="12"/>
      <c r="AO49" s="12"/>
      <c r="AP49" s="12"/>
      <c r="AQ49" s="12"/>
      <c r="AR49" s="12"/>
      <c r="AS49" s="12"/>
      <c r="AT49" s="12"/>
      <c r="AU49" s="12"/>
      <c r="AV49" s="12"/>
      <c r="AW49" s="12"/>
      <c r="AX49" s="12"/>
      <c r="AY49" s="12"/>
      <c r="AZ49" s="12"/>
      <c r="BA49" s="12"/>
      <c r="BB49" s="12"/>
      <c r="BC49" s="12"/>
      <c r="BD49" s="12"/>
      <c r="BE49" s="12"/>
      <c r="BF49" s="12"/>
      <c r="BG49" s="12"/>
      <c r="BH49" s="12"/>
      <c r="BI49" s="12"/>
      <c r="BJ49" s="12"/>
      <c r="BK49" s="12"/>
      <c r="BL49" s="12"/>
      <c r="BM49" s="12"/>
      <c r="BN49" s="12"/>
      <c r="BO49" s="12"/>
      <c r="BP49" s="12"/>
      <c r="BQ49" s="12"/>
      <c r="BR49" s="12"/>
      <c r="BS49" s="12"/>
      <c r="BT49" s="12"/>
      <c r="BU49" s="12"/>
      <c r="BV49" s="12"/>
      <c r="BW49" s="12"/>
      <c r="BX49" s="12"/>
      <c r="BY49" s="12"/>
      <c r="BZ49" s="12"/>
      <c r="CA49" s="12"/>
      <c r="CB49" s="12"/>
      <c r="CC49" s="12"/>
      <c r="CD49" s="12"/>
      <c r="CE49" s="12"/>
      <c r="CF49" s="12"/>
      <c r="CG49" s="12"/>
      <c r="CH49" s="12"/>
      <c r="CI49" s="12"/>
      <c r="CJ49" s="12"/>
      <c r="CK49" s="12"/>
      <c r="CL49" s="12"/>
      <c r="CM49" s="12"/>
      <c r="CN49" s="12"/>
      <c r="CO49" s="12"/>
      <c r="CP49" s="12"/>
      <c r="CQ49" s="12"/>
      <c r="CR49" s="12"/>
      <c r="CS49" s="12"/>
      <c r="CT49" s="12"/>
      <c r="CU49" s="12"/>
      <c r="CV49" s="12"/>
      <c r="CW49" s="12"/>
      <c r="CX49" s="12"/>
      <c r="CY49" s="12"/>
      <c r="CZ49" s="12"/>
      <c r="DA49" s="12"/>
      <c r="DB49" s="12"/>
      <c r="DC49" s="12"/>
      <c r="DD49" s="12"/>
      <c r="DE49" s="12"/>
      <c r="DF49" s="12"/>
      <c r="DG49" s="12"/>
      <c r="DH49" s="12"/>
      <c r="DI49" s="12"/>
      <c r="DJ49" s="12"/>
      <c r="DK49" s="12"/>
      <c r="DL49" s="12"/>
      <c r="DM49" s="12"/>
      <c r="DN49" s="12"/>
      <c r="DO49" s="12"/>
      <c r="DP49" s="12"/>
      <c r="DQ49" s="12"/>
      <c r="DR49" s="12"/>
      <c r="DS49" s="12"/>
      <c r="DT49" s="12"/>
      <c r="DU49" s="12"/>
      <c r="DV49" s="12"/>
      <c r="DW49" s="12"/>
      <c r="DX49" s="12"/>
      <c r="DY49" s="12"/>
      <c r="DZ49" s="12"/>
      <c r="EA49" s="12"/>
      <c r="EB49" s="12"/>
      <c r="EC49" s="12"/>
      <c r="ED49" s="12"/>
      <c r="EE49" s="12"/>
      <c r="EF49" s="12"/>
      <c r="EG49" s="12"/>
      <c r="EH49" s="12"/>
      <c r="EI49" s="12"/>
      <c r="EJ49" s="12"/>
      <c r="EK49" s="12"/>
      <c r="EL49" s="12"/>
      <c r="EM49" s="12"/>
      <c r="EN49" s="12"/>
      <c r="EO49" s="12"/>
      <c r="EP49" s="12"/>
      <c r="EQ49" s="12"/>
      <c r="ER49" s="12"/>
      <c r="ES49" s="12"/>
      <c r="ET49" s="12"/>
      <c r="EU49" s="12"/>
      <c r="EV49" s="12"/>
      <c r="EW49" s="12"/>
      <c r="EX49" s="12"/>
      <c r="EY49" s="12"/>
      <c r="EZ49" s="12"/>
      <c r="FA49" s="12"/>
      <c r="FB49" s="12"/>
      <c r="FC49" s="12"/>
      <c r="FD49" s="12"/>
      <c r="FE49" s="12"/>
      <c r="FF49" s="12"/>
      <c r="FG49" s="12"/>
      <c r="FH49" s="12"/>
      <c r="FI49" s="12"/>
      <c r="FJ49" s="12"/>
      <c r="FK49" s="12"/>
      <c r="FL49" s="12"/>
      <c r="FM49" s="12"/>
      <c r="FN49" s="12"/>
      <c r="FO49" s="12"/>
      <c r="FP49" s="12"/>
      <c r="FQ49" s="12"/>
      <c r="FR49" s="12"/>
      <c r="FS49" s="12"/>
      <c r="FT49" s="12"/>
      <c r="FU49" s="12"/>
      <c r="FV49" s="12"/>
      <c r="FW49" s="12"/>
      <c r="FX49" s="12"/>
      <c r="FY49" s="12"/>
      <c r="FZ49" s="12"/>
      <c r="GA49" s="12"/>
      <c r="GB49" s="12"/>
      <c r="GC49" s="12"/>
      <c r="GD49" s="12"/>
      <c r="GE49" s="12"/>
    </row>
    <row r="50" spans="1:187" ht="21" customHeight="1">
      <c r="A50" s="45"/>
      <c r="B50" s="9" t="s">
        <v>408</v>
      </c>
      <c r="C50" s="10" t="s">
        <v>407</v>
      </c>
      <c r="D50" s="10" t="s">
        <v>103</v>
      </c>
      <c r="E50" s="35">
        <v>76.23</v>
      </c>
      <c r="F50" s="35">
        <f>115.45-E50</f>
        <v>39.22</v>
      </c>
      <c r="G50" s="35">
        <v>8.48</v>
      </c>
      <c r="H50" s="35">
        <v>83.42</v>
      </c>
      <c r="I50" s="35">
        <f t="shared" si="0"/>
        <v>207.35000000000002</v>
      </c>
      <c r="J50" s="56">
        <v>217.3</v>
      </c>
      <c r="K50" s="49">
        <v>3958.0528000000004</v>
      </c>
      <c r="L50" s="49">
        <v>4116.3749120000002</v>
      </c>
      <c r="M50" s="49">
        <v>1701.60293</v>
      </c>
      <c r="N50" s="49">
        <v>1769.6670472000001</v>
      </c>
      <c r="O50" s="56">
        <f t="shared" si="1"/>
        <v>2256.4498700000004</v>
      </c>
      <c r="P50" s="1">
        <f t="shared" si="2"/>
        <v>172009.17359010005</v>
      </c>
      <c r="Q50" s="1">
        <f t="shared" si="3"/>
        <v>88497.963901400013</v>
      </c>
      <c r="R50" s="1">
        <f t="shared" si="4"/>
        <v>19900.082693504002</v>
      </c>
      <c r="S50" s="1">
        <f t="shared" si="5"/>
        <v>195762.37008161601</v>
      </c>
      <c r="T50" s="1">
        <f t="shared" si="6"/>
        <v>476169.59026662004</v>
      </c>
      <c r="U50" s="11"/>
      <c r="V50" s="11"/>
      <c r="W50" s="11"/>
      <c r="X50" s="12"/>
      <c r="Y50" s="12"/>
      <c r="Z50" s="12"/>
      <c r="AA50" s="12"/>
      <c r="AB50" s="12"/>
      <c r="AC50" s="12"/>
      <c r="AD50" s="12"/>
      <c r="AE50" s="12"/>
      <c r="AF50" s="12"/>
      <c r="AG50" s="12"/>
      <c r="AH50" s="12"/>
      <c r="AI50" s="12"/>
      <c r="AJ50" s="12"/>
      <c r="AK50" s="12"/>
      <c r="AL50" s="12"/>
      <c r="AM50" s="12"/>
      <c r="AN50" s="12"/>
      <c r="AO50" s="12"/>
      <c r="AP50" s="12"/>
      <c r="AQ50" s="12"/>
      <c r="AR50" s="12"/>
      <c r="AS50" s="12"/>
      <c r="AT50" s="12"/>
      <c r="AU50" s="12"/>
      <c r="AV50" s="12"/>
      <c r="AW50" s="12"/>
      <c r="AX50" s="12"/>
      <c r="AY50" s="12"/>
      <c r="AZ50" s="12"/>
      <c r="BA50" s="12"/>
      <c r="BB50" s="12"/>
      <c r="BC50" s="12"/>
      <c r="BD50" s="12"/>
      <c r="BE50" s="12"/>
      <c r="BF50" s="12"/>
      <c r="BG50" s="12"/>
      <c r="BH50" s="12"/>
      <c r="BI50" s="12"/>
      <c r="BJ50" s="12"/>
      <c r="BK50" s="12"/>
      <c r="BL50" s="12"/>
      <c r="BM50" s="12"/>
      <c r="BN50" s="12"/>
      <c r="BO50" s="12"/>
      <c r="BP50" s="12"/>
      <c r="BQ50" s="12"/>
      <c r="BR50" s="12"/>
      <c r="BS50" s="12"/>
      <c r="BT50" s="12"/>
      <c r="BU50" s="12"/>
      <c r="BV50" s="12"/>
      <c r="BW50" s="12"/>
      <c r="BX50" s="12"/>
      <c r="BY50" s="12"/>
      <c r="BZ50" s="12"/>
      <c r="CA50" s="12"/>
      <c r="CB50" s="12"/>
      <c r="CC50" s="12"/>
      <c r="CD50" s="12"/>
      <c r="CE50" s="12"/>
      <c r="CF50" s="12"/>
      <c r="CG50" s="12"/>
      <c r="CH50" s="12"/>
      <c r="CI50" s="12"/>
      <c r="CJ50" s="12"/>
      <c r="CK50" s="12"/>
      <c r="CL50" s="12"/>
      <c r="CM50" s="12"/>
      <c r="CN50" s="12"/>
      <c r="CO50" s="12"/>
      <c r="CP50" s="12"/>
      <c r="CQ50" s="12"/>
      <c r="CR50" s="12"/>
      <c r="CS50" s="12"/>
      <c r="CT50" s="12"/>
      <c r="CU50" s="12"/>
      <c r="CV50" s="12"/>
      <c r="CW50" s="12"/>
      <c r="CX50" s="12"/>
      <c r="CY50" s="12"/>
      <c r="CZ50" s="12"/>
      <c r="DA50" s="12"/>
      <c r="DB50" s="12"/>
      <c r="DC50" s="12"/>
      <c r="DD50" s="12"/>
      <c r="DE50" s="12"/>
      <c r="DF50" s="12"/>
      <c r="DG50" s="12"/>
      <c r="DH50" s="12"/>
      <c r="DI50" s="12"/>
      <c r="DJ50" s="12"/>
      <c r="DK50" s="12"/>
      <c r="DL50" s="12"/>
      <c r="DM50" s="12"/>
      <c r="DN50" s="12"/>
      <c r="DO50" s="12"/>
      <c r="DP50" s="12"/>
      <c r="DQ50" s="12"/>
      <c r="DR50" s="12"/>
      <c r="DS50" s="12"/>
      <c r="DT50" s="12"/>
      <c r="DU50" s="12"/>
      <c r="DV50" s="12"/>
      <c r="DW50" s="12"/>
      <c r="DX50" s="12"/>
      <c r="DY50" s="12"/>
      <c r="DZ50" s="12"/>
      <c r="EA50" s="12"/>
      <c r="EB50" s="12"/>
      <c r="EC50" s="12"/>
      <c r="ED50" s="12"/>
      <c r="EE50" s="12"/>
      <c r="EF50" s="12"/>
      <c r="EG50" s="12"/>
      <c r="EH50" s="12"/>
      <c r="EI50" s="12"/>
      <c r="EJ50" s="12"/>
      <c r="EK50" s="12"/>
      <c r="EL50" s="12"/>
      <c r="EM50" s="12"/>
      <c r="EN50" s="12"/>
      <c r="EO50" s="12"/>
      <c r="EP50" s="12"/>
      <c r="EQ50" s="12"/>
      <c r="ER50" s="12"/>
      <c r="ES50" s="12"/>
      <c r="ET50" s="12"/>
      <c r="EU50" s="12"/>
      <c r="EV50" s="12"/>
      <c r="EW50" s="12"/>
      <c r="EX50" s="12"/>
      <c r="EY50" s="12"/>
      <c r="EZ50" s="12"/>
      <c r="FA50" s="12"/>
      <c r="FB50" s="12"/>
      <c r="FC50" s="12"/>
      <c r="FD50" s="12"/>
      <c r="FE50" s="12"/>
      <c r="FF50" s="12"/>
      <c r="FG50" s="12"/>
      <c r="FH50" s="12"/>
      <c r="FI50" s="12"/>
      <c r="FJ50" s="12"/>
      <c r="FK50" s="12"/>
      <c r="FL50" s="12"/>
      <c r="FM50" s="12"/>
      <c r="FN50" s="12"/>
      <c r="FO50" s="12"/>
      <c r="FP50" s="12"/>
      <c r="FQ50" s="12"/>
      <c r="FR50" s="12"/>
      <c r="FS50" s="12"/>
      <c r="FT50" s="12"/>
      <c r="FU50" s="12"/>
      <c r="FV50" s="12"/>
      <c r="FW50" s="12"/>
      <c r="FX50" s="12"/>
      <c r="FY50" s="12"/>
      <c r="FZ50" s="12"/>
      <c r="GA50" s="12"/>
      <c r="GB50" s="12"/>
      <c r="GC50" s="12"/>
      <c r="GD50" s="12"/>
      <c r="GE50" s="12"/>
    </row>
    <row r="51" spans="1:187" ht="21" customHeight="1">
      <c r="A51" s="45"/>
      <c r="B51" s="9" t="s">
        <v>408</v>
      </c>
      <c r="C51" s="10" t="s">
        <v>407</v>
      </c>
      <c r="D51" s="10" t="s">
        <v>109</v>
      </c>
      <c r="E51" s="35">
        <v>34.56</v>
      </c>
      <c r="F51" s="35">
        <f>57.6-E51</f>
        <v>23.04</v>
      </c>
      <c r="G51" s="35">
        <v>5.25</v>
      </c>
      <c r="H51" s="35">
        <v>28.6</v>
      </c>
      <c r="I51" s="35">
        <f t="shared" si="0"/>
        <v>91.45</v>
      </c>
      <c r="J51" s="104">
        <v>279.3</v>
      </c>
      <c r="K51" s="49">
        <v>6099.1112000000003</v>
      </c>
      <c r="L51" s="49">
        <v>6343.0756480000009</v>
      </c>
      <c r="M51" s="49">
        <v>1620.9346999999998</v>
      </c>
      <c r="N51" s="49">
        <v>1685.7720879999999</v>
      </c>
      <c r="O51" s="56">
        <f t="shared" si="1"/>
        <v>4478.1765000000005</v>
      </c>
      <c r="P51" s="1">
        <f t="shared" si="2"/>
        <v>154765.77984000003</v>
      </c>
      <c r="Q51" s="1">
        <f t="shared" si="3"/>
        <v>103177.18656</v>
      </c>
      <c r="R51" s="1">
        <f t="shared" si="4"/>
        <v>24450.843690000005</v>
      </c>
      <c r="S51" s="1">
        <f t="shared" si="5"/>
        <v>133198.88181600004</v>
      </c>
      <c r="T51" s="1">
        <f t="shared" si="6"/>
        <v>415592.69190600008</v>
      </c>
      <c r="U51" s="11"/>
      <c r="V51" s="11"/>
      <c r="W51" s="11"/>
      <c r="X51" s="12"/>
      <c r="Y51" s="12"/>
      <c r="Z51" s="12"/>
      <c r="AA51" s="12"/>
      <c r="AB51" s="12"/>
      <c r="AC51" s="12"/>
      <c r="AD51" s="12"/>
      <c r="AE51" s="12"/>
      <c r="AF51" s="12"/>
      <c r="AG51" s="12"/>
      <c r="AH51" s="12"/>
      <c r="AI51" s="12"/>
      <c r="AJ51" s="12"/>
      <c r="AK51" s="12"/>
      <c r="AL51" s="12"/>
      <c r="AM51" s="12"/>
      <c r="AN51" s="12"/>
      <c r="AO51" s="12"/>
      <c r="AP51" s="12"/>
      <c r="AQ51" s="12"/>
      <c r="AR51" s="12"/>
      <c r="AS51" s="12"/>
      <c r="AT51" s="12"/>
      <c r="AU51" s="12"/>
      <c r="AV51" s="12"/>
      <c r="AW51" s="12"/>
      <c r="AX51" s="12"/>
      <c r="AY51" s="12"/>
      <c r="AZ51" s="12"/>
      <c r="BA51" s="12"/>
      <c r="BB51" s="12"/>
      <c r="BC51" s="12"/>
      <c r="BD51" s="12"/>
      <c r="BE51" s="12"/>
      <c r="BF51" s="12"/>
      <c r="BG51" s="12"/>
      <c r="BH51" s="12"/>
      <c r="BI51" s="12"/>
      <c r="BJ51" s="12"/>
      <c r="BK51" s="12"/>
      <c r="BL51" s="12"/>
      <c r="BM51" s="12"/>
      <c r="BN51" s="12"/>
      <c r="BO51" s="12"/>
      <c r="BP51" s="12"/>
      <c r="BQ51" s="12"/>
      <c r="BR51" s="12"/>
      <c r="BS51" s="12"/>
      <c r="BT51" s="12"/>
      <c r="BU51" s="12"/>
      <c r="BV51" s="12"/>
      <c r="BW51" s="12"/>
      <c r="BX51" s="12"/>
      <c r="BY51" s="12"/>
      <c r="BZ51" s="12"/>
      <c r="CA51" s="12"/>
      <c r="CB51" s="12"/>
      <c r="CC51" s="12"/>
      <c r="CD51" s="12"/>
      <c r="CE51" s="12"/>
      <c r="CF51" s="12"/>
      <c r="CG51" s="12"/>
      <c r="CH51" s="12"/>
      <c r="CI51" s="12"/>
      <c r="CJ51" s="12"/>
      <c r="CK51" s="12"/>
      <c r="CL51" s="12"/>
      <c r="CM51" s="12"/>
      <c r="CN51" s="12"/>
      <c r="CO51" s="12"/>
      <c r="CP51" s="12"/>
      <c r="CQ51" s="12"/>
      <c r="CR51" s="12"/>
      <c r="CS51" s="12"/>
      <c r="CT51" s="12"/>
      <c r="CU51" s="12"/>
      <c r="CV51" s="12"/>
      <c r="CW51" s="12"/>
      <c r="CX51" s="12"/>
      <c r="CY51" s="12"/>
      <c r="CZ51" s="12"/>
      <c r="DA51" s="12"/>
      <c r="DB51" s="12"/>
      <c r="DC51" s="12"/>
      <c r="DD51" s="12"/>
      <c r="DE51" s="12"/>
      <c r="DF51" s="12"/>
      <c r="DG51" s="12"/>
      <c r="DH51" s="12"/>
      <c r="DI51" s="12"/>
      <c r="DJ51" s="12"/>
      <c r="DK51" s="12"/>
      <c r="DL51" s="12"/>
      <c r="DM51" s="12"/>
      <c r="DN51" s="12"/>
      <c r="DO51" s="12"/>
      <c r="DP51" s="12"/>
      <c r="DQ51" s="12"/>
      <c r="DR51" s="12"/>
      <c r="DS51" s="12"/>
      <c r="DT51" s="12"/>
      <c r="DU51" s="12"/>
      <c r="DV51" s="12"/>
      <c r="DW51" s="12"/>
      <c r="DX51" s="12"/>
      <c r="DY51" s="12"/>
      <c r="DZ51" s="12"/>
      <c r="EA51" s="12"/>
      <c r="EB51" s="12"/>
      <c r="EC51" s="12"/>
      <c r="ED51" s="12"/>
      <c r="EE51" s="12"/>
      <c r="EF51" s="12"/>
      <c r="EG51" s="12"/>
      <c r="EH51" s="12"/>
      <c r="EI51" s="12"/>
      <c r="EJ51" s="12"/>
      <c r="EK51" s="12"/>
      <c r="EL51" s="12"/>
      <c r="EM51" s="12"/>
      <c r="EN51" s="12"/>
      <c r="EO51" s="12"/>
      <c r="EP51" s="12"/>
      <c r="EQ51" s="12"/>
      <c r="ER51" s="12"/>
      <c r="ES51" s="12"/>
      <c r="ET51" s="12"/>
      <c r="EU51" s="12"/>
      <c r="EV51" s="12"/>
      <c r="EW51" s="12"/>
      <c r="EX51" s="12"/>
      <c r="EY51" s="12"/>
      <c r="EZ51" s="12"/>
      <c r="FA51" s="12"/>
      <c r="FB51" s="12"/>
      <c r="FC51" s="12"/>
      <c r="FD51" s="12"/>
      <c r="FE51" s="12"/>
      <c r="FF51" s="12"/>
      <c r="FG51" s="12"/>
      <c r="FH51" s="12"/>
      <c r="FI51" s="12"/>
      <c r="FJ51" s="12"/>
      <c r="FK51" s="12"/>
      <c r="FL51" s="12"/>
      <c r="FM51" s="12"/>
      <c r="FN51" s="12"/>
      <c r="FO51" s="12"/>
      <c r="FP51" s="12"/>
      <c r="FQ51" s="12"/>
      <c r="FR51" s="12"/>
      <c r="FS51" s="12"/>
      <c r="FT51" s="12"/>
      <c r="FU51" s="12"/>
      <c r="FV51" s="12"/>
      <c r="FW51" s="12"/>
      <c r="FX51" s="12"/>
      <c r="FY51" s="12"/>
      <c r="FZ51" s="12"/>
      <c r="GA51" s="12"/>
      <c r="GB51" s="12"/>
      <c r="GC51" s="12"/>
      <c r="GD51" s="12"/>
      <c r="GE51" s="12"/>
    </row>
    <row r="52" spans="1:187" ht="21" customHeight="1">
      <c r="A52" s="45"/>
      <c r="B52" s="9" t="s">
        <v>408</v>
      </c>
      <c r="C52" s="10" t="s">
        <v>407</v>
      </c>
      <c r="D52" s="10" t="s">
        <v>110</v>
      </c>
      <c r="E52" s="35">
        <v>71.150000000000006</v>
      </c>
      <c r="F52" s="35">
        <f>107.11-E52</f>
        <v>35.959999999999994</v>
      </c>
      <c r="G52" s="35">
        <v>11.93</v>
      </c>
      <c r="H52" s="35">
        <v>72.36</v>
      </c>
      <c r="I52" s="35">
        <f t="shared" si="0"/>
        <v>191.39999999999998</v>
      </c>
      <c r="J52" s="104"/>
      <c r="K52" s="49">
        <v>6099.1112000000003</v>
      </c>
      <c r="L52" s="49">
        <v>6343.0756480000009</v>
      </c>
      <c r="M52" s="49">
        <v>1620.9346999999998</v>
      </c>
      <c r="N52" s="49">
        <v>1685.7720879999999</v>
      </c>
      <c r="O52" s="56">
        <f t="shared" si="1"/>
        <v>4478.1765000000005</v>
      </c>
      <c r="P52" s="1">
        <f t="shared" si="2"/>
        <v>318622.25797500007</v>
      </c>
      <c r="Q52" s="1">
        <f t="shared" si="3"/>
        <v>161035.22693999999</v>
      </c>
      <c r="R52" s="1">
        <f t="shared" si="4"/>
        <v>55561.631470800014</v>
      </c>
      <c r="S52" s="1">
        <f t="shared" si="5"/>
        <v>337002.48560160008</v>
      </c>
      <c r="T52" s="1">
        <f t="shared" si="6"/>
        <v>872221.60198740009</v>
      </c>
      <c r="U52" s="11"/>
      <c r="V52" s="11"/>
      <c r="W52" s="11"/>
      <c r="X52" s="12"/>
      <c r="Y52" s="12"/>
      <c r="Z52" s="12"/>
      <c r="AA52" s="12"/>
      <c r="AB52" s="12"/>
      <c r="AC52" s="12"/>
      <c r="AD52" s="12"/>
      <c r="AE52" s="12"/>
      <c r="AF52" s="12"/>
      <c r="AG52" s="12"/>
      <c r="AH52" s="12"/>
      <c r="AI52" s="12"/>
      <c r="AJ52" s="12"/>
      <c r="AK52" s="12"/>
      <c r="AL52" s="12"/>
      <c r="AM52" s="12"/>
      <c r="AN52" s="12"/>
      <c r="AO52" s="12"/>
      <c r="AP52" s="12"/>
      <c r="AQ52" s="12"/>
      <c r="AR52" s="12"/>
      <c r="AS52" s="12"/>
      <c r="AT52" s="12"/>
      <c r="AU52" s="12"/>
      <c r="AV52" s="12"/>
      <c r="AW52" s="12"/>
      <c r="AX52" s="12"/>
      <c r="AY52" s="12"/>
      <c r="AZ52" s="12"/>
      <c r="BA52" s="12"/>
      <c r="BB52" s="12"/>
      <c r="BC52" s="12"/>
      <c r="BD52" s="12"/>
      <c r="BE52" s="12"/>
      <c r="BF52" s="12"/>
      <c r="BG52" s="12"/>
      <c r="BH52" s="12"/>
      <c r="BI52" s="12"/>
      <c r="BJ52" s="12"/>
      <c r="BK52" s="12"/>
      <c r="BL52" s="12"/>
      <c r="BM52" s="12"/>
      <c r="BN52" s="12"/>
      <c r="BO52" s="12"/>
      <c r="BP52" s="12"/>
      <c r="BQ52" s="12"/>
      <c r="BR52" s="12"/>
      <c r="BS52" s="12"/>
      <c r="BT52" s="12"/>
      <c r="BU52" s="12"/>
      <c r="BV52" s="12"/>
      <c r="BW52" s="12"/>
      <c r="BX52" s="12"/>
      <c r="BY52" s="12"/>
      <c r="BZ52" s="12"/>
      <c r="CA52" s="12"/>
      <c r="CB52" s="12"/>
      <c r="CC52" s="12"/>
      <c r="CD52" s="12"/>
      <c r="CE52" s="12"/>
      <c r="CF52" s="12"/>
      <c r="CG52" s="12"/>
      <c r="CH52" s="12"/>
      <c r="CI52" s="12"/>
      <c r="CJ52" s="12"/>
      <c r="CK52" s="12"/>
      <c r="CL52" s="12"/>
      <c r="CM52" s="12"/>
      <c r="CN52" s="12"/>
      <c r="CO52" s="12"/>
      <c r="CP52" s="12"/>
      <c r="CQ52" s="12"/>
      <c r="CR52" s="12"/>
      <c r="CS52" s="12"/>
      <c r="CT52" s="12"/>
      <c r="CU52" s="12"/>
      <c r="CV52" s="12"/>
      <c r="CW52" s="12"/>
      <c r="CX52" s="12"/>
      <c r="CY52" s="12"/>
      <c r="CZ52" s="12"/>
      <c r="DA52" s="12"/>
      <c r="DB52" s="12"/>
      <c r="DC52" s="12"/>
      <c r="DD52" s="12"/>
      <c r="DE52" s="12"/>
      <c r="DF52" s="12"/>
      <c r="DG52" s="12"/>
      <c r="DH52" s="12"/>
      <c r="DI52" s="12"/>
      <c r="DJ52" s="12"/>
      <c r="DK52" s="12"/>
      <c r="DL52" s="12"/>
      <c r="DM52" s="12"/>
      <c r="DN52" s="12"/>
      <c r="DO52" s="12"/>
      <c r="DP52" s="12"/>
      <c r="DQ52" s="12"/>
      <c r="DR52" s="12"/>
      <c r="DS52" s="12"/>
      <c r="DT52" s="12"/>
      <c r="DU52" s="12"/>
      <c r="DV52" s="12"/>
      <c r="DW52" s="12"/>
      <c r="DX52" s="12"/>
      <c r="DY52" s="12"/>
      <c r="DZ52" s="12"/>
      <c r="EA52" s="12"/>
      <c r="EB52" s="12"/>
      <c r="EC52" s="12"/>
      <c r="ED52" s="12"/>
      <c r="EE52" s="12"/>
      <c r="EF52" s="12"/>
      <c r="EG52" s="12"/>
      <c r="EH52" s="12"/>
      <c r="EI52" s="12"/>
      <c r="EJ52" s="12"/>
      <c r="EK52" s="12"/>
      <c r="EL52" s="12"/>
      <c r="EM52" s="12"/>
      <c r="EN52" s="12"/>
      <c r="EO52" s="12"/>
      <c r="EP52" s="12"/>
      <c r="EQ52" s="12"/>
      <c r="ER52" s="12"/>
      <c r="ES52" s="12"/>
      <c r="ET52" s="12"/>
      <c r="EU52" s="12"/>
      <c r="EV52" s="12"/>
      <c r="EW52" s="12"/>
      <c r="EX52" s="12"/>
      <c r="EY52" s="12"/>
      <c r="EZ52" s="12"/>
      <c r="FA52" s="12"/>
      <c r="FB52" s="12"/>
      <c r="FC52" s="12"/>
      <c r="FD52" s="12"/>
      <c r="FE52" s="12"/>
      <c r="FF52" s="12"/>
      <c r="FG52" s="12"/>
      <c r="FH52" s="12"/>
      <c r="FI52" s="12"/>
      <c r="FJ52" s="12"/>
      <c r="FK52" s="12"/>
      <c r="FL52" s="12"/>
      <c r="FM52" s="12"/>
      <c r="FN52" s="12"/>
      <c r="FO52" s="12"/>
      <c r="FP52" s="12"/>
      <c r="FQ52" s="12"/>
      <c r="FR52" s="12"/>
      <c r="FS52" s="12"/>
      <c r="FT52" s="12"/>
      <c r="FU52" s="12"/>
      <c r="FV52" s="12"/>
      <c r="FW52" s="12"/>
      <c r="FX52" s="12"/>
      <c r="FY52" s="12"/>
      <c r="FZ52" s="12"/>
      <c r="GA52" s="12"/>
      <c r="GB52" s="12"/>
      <c r="GC52" s="12"/>
      <c r="GD52" s="12"/>
      <c r="GE52" s="12"/>
    </row>
    <row r="53" spans="1:187" ht="21" customHeight="1">
      <c r="A53" s="45"/>
      <c r="B53" s="9" t="s">
        <v>287</v>
      </c>
      <c r="C53" s="10" t="s">
        <v>106</v>
      </c>
      <c r="D53" s="10" t="s">
        <v>107</v>
      </c>
      <c r="E53" s="35">
        <v>224.732</v>
      </c>
      <c r="F53" s="35">
        <f>333.143-E53</f>
        <v>108.41099999999997</v>
      </c>
      <c r="G53" s="35">
        <v>16.138999999999999</v>
      </c>
      <c r="H53" s="35">
        <f>153.679-G53</f>
        <v>137.54</v>
      </c>
      <c r="I53" s="35">
        <f t="shared" si="0"/>
        <v>486.822</v>
      </c>
      <c r="J53" s="56">
        <v>557.70000000000005</v>
      </c>
      <c r="K53" s="49">
        <v>3616.4752000000003</v>
      </c>
      <c r="L53" s="49">
        <v>3761.1342080000004</v>
      </c>
      <c r="M53" s="49">
        <v>2169.404</v>
      </c>
      <c r="N53" s="49">
        <v>2256.1801599999999</v>
      </c>
      <c r="O53" s="56">
        <f t="shared" si="1"/>
        <v>1447.0712000000003</v>
      </c>
      <c r="P53" s="1">
        <f t="shared" si="2"/>
        <v>325203.20491840009</v>
      </c>
      <c r="Q53" s="1">
        <f t="shared" si="3"/>
        <v>156878.43586319999</v>
      </c>
      <c r="R53" s="1">
        <f t="shared" si="4"/>
        <v>24288.453380672006</v>
      </c>
      <c r="S53" s="1">
        <f t="shared" si="5"/>
        <v>206991.37976192005</v>
      </c>
      <c r="T53" s="1">
        <f t="shared" si="6"/>
        <v>713361.47392419213</v>
      </c>
      <c r="U53" s="11"/>
      <c r="V53" s="11"/>
      <c r="W53" s="11"/>
      <c r="X53" s="12"/>
      <c r="Y53" s="12"/>
      <c r="Z53" s="12"/>
      <c r="AA53" s="12"/>
      <c r="AB53" s="12"/>
      <c r="AC53" s="12"/>
      <c r="AD53" s="12"/>
      <c r="AE53" s="12"/>
      <c r="AF53" s="12"/>
      <c r="AG53" s="12"/>
      <c r="AH53" s="12"/>
      <c r="AI53" s="12"/>
      <c r="AJ53" s="12"/>
      <c r="AK53" s="12"/>
      <c r="AL53" s="12"/>
      <c r="AM53" s="12"/>
      <c r="AN53" s="12"/>
      <c r="AO53" s="12"/>
      <c r="AP53" s="12"/>
      <c r="AQ53" s="12"/>
      <c r="AR53" s="12"/>
      <c r="AS53" s="12"/>
      <c r="AT53" s="12"/>
      <c r="AU53" s="12"/>
      <c r="AV53" s="12"/>
      <c r="AW53" s="12"/>
      <c r="AX53" s="12"/>
      <c r="AY53" s="12"/>
      <c r="AZ53" s="12"/>
      <c r="BA53" s="12"/>
      <c r="BB53" s="12"/>
      <c r="BC53" s="12"/>
      <c r="BD53" s="12"/>
      <c r="BE53" s="12"/>
      <c r="BF53" s="12"/>
      <c r="BG53" s="12"/>
      <c r="BH53" s="12"/>
      <c r="BI53" s="12"/>
      <c r="BJ53" s="12"/>
      <c r="BK53" s="12"/>
      <c r="BL53" s="12"/>
      <c r="BM53" s="12"/>
      <c r="BN53" s="12"/>
      <c r="BO53" s="12"/>
      <c r="BP53" s="12"/>
      <c r="BQ53" s="12"/>
      <c r="BR53" s="12"/>
      <c r="BS53" s="12"/>
      <c r="BT53" s="12"/>
      <c r="BU53" s="12"/>
      <c r="BV53" s="12"/>
      <c r="BW53" s="12"/>
      <c r="BX53" s="12"/>
      <c r="BY53" s="12"/>
      <c r="BZ53" s="12"/>
      <c r="CA53" s="12"/>
      <c r="CB53" s="12"/>
      <c r="CC53" s="12"/>
      <c r="CD53" s="12"/>
      <c r="CE53" s="12"/>
      <c r="CF53" s="12"/>
      <c r="CG53" s="12"/>
      <c r="CH53" s="12"/>
      <c r="CI53" s="12"/>
      <c r="CJ53" s="12"/>
      <c r="CK53" s="12"/>
      <c r="CL53" s="12"/>
      <c r="CM53" s="12"/>
      <c r="CN53" s="12"/>
      <c r="CO53" s="12"/>
      <c r="CP53" s="12"/>
      <c r="CQ53" s="12"/>
      <c r="CR53" s="12"/>
      <c r="CS53" s="12"/>
      <c r="CT53" s="12"/>
      <c r="CU53" s="12"/>
      <c r="CV53" s="12"/>
      <c r="CW53" s="12"/>
      <c r="CX53" s="12"/>
      <c r="CY53" s="12"/>
      <c r="CZ53" s="12"/>
      <c r="DA53" s="12"/>
      <c r="DB53" s="12"/>
      <c r="DC53" s="12"/>
      <c r="DD53" s="12"/>
      <c r="DE53" s="12"/>
      <c r="DF53" s="12"/>
      <c r="DG53" s="12"/>
      <c r="DH53" s="12"/>
      <c r="DI53" s="12"/>
      <c r="DJ53" s="12"/>
      <c r="DK53" s="12"/>
      <c r="DL53" s="12"/>
      <c r="DM53" s="12"/>
      <c r="DN53" s="12"/>
      <c r="DO53" s="12"/>
      <c r="DP53" s="12"/>
      <c r="DQ53" s="12"/>
      <c r="DR53" s="12"/>
      <c r="DS53" s="12"/>
      <c r="DT53" s="12"/>
      <c r="DU53" s="12"/>
      <c r="DV53" s="12"/>
      <c r="DW53" s="12"/>
      <c r="DX53" s="12"/>
      <c r="DY53" s="12"/>
      <c r="DZ53" s="12"/>
      <c r="EA53" s="12"/>
      <c r="EB53" s="12"/>
      <c r="EC53" s="12"/>
      <c r="ED53" s="12"/>
      <c r="EE53" s="12"/>
      <c r="EF53" s="12"/>
      <c r="EG53" s="12"/>
      <c r="EH53" s="12"/>
      <c r="EI53" s="12"/>
      <c r="EJ53" s="12"/>
      <c r="EK53" s="12"/>
      <c r="EL53" s="12"/>
      <c r="EM53" s="12"/>
      <c r="EN53" s="12"/>
      <c r="EO53" s="12"/>
      <c r="EP53" s="12"/>
      <c r="EQ53" s="12"/>
      <c r="ER53" s="12"/>
      <c r="ES53" s="12"/>
      <c r="ET53" s="12"/>
      <c r="EU53" s="12"/>
      <c r="EV53" s="12"/>
      <c r="EW53" s="12"/>
      <c r="EX53" s="12"/>
      <c r="EY53" s="12"/>
      <c r="EZ53" s="12"/>
      <c r="FA53" s="12"/>
      <c r="FB53" s="12"/>
      <c r="FC53" s="12"/>
      <c r="FD53" s="12"/>
      <c r="FE53" s="12"/>
      <c r="FF53" s="12"/>
      <c r="FG53" s="12"/>
      <c r="FH53" s="12"/>
      <c r="FI53" s="12"/>
      <c r="FJ53" s="12"/>
      <c r="FK53" s="12"/>
      <c r="FL53" s="12"/>
      <c r="FM53" s="12"/>
      <c r="FN53" s="12"/>
      <c r="FO53" s="12"/>
      <c r="FP53" s="12"/>
      <c r="FQ53" s="12"/>
      <c r="FR53" s="12"/>
      <c r="FS53" s="12"/>
      <c r="FT53" s="12"/>
      <c r="FU53" s="12"/>
      <c r="FV53" s="12"/>
      <c r="FW53" s="12"/>
      <c r="FX53" s="12"/>
      <c r="FY53" s="12"/>
      <c r="FZ53" s="12"/>
      <c r="GA53" s="12"/>
      <c r="GB53" s="12"/>
      <c r="GC53" s="12"/>
      <c r="GD53" s="12"/>
      <c r="GE53" s="12"/>
    </row>
    <row r="54" spans="1:187" ht="21" customHeight="1">
      <c r="A54" s="45" t="s">
        <v>337</v>
      </c>
      <c r="B54" s="9">
        <v>7729314745</v>
      </c>
      <c r="C54" s="10" t="s">
        <v>341</v>
      </c>
      <c r="D54" s="10" t="s">
        <v>107</v>
      </c>
      <c r="E54" s="35">
        <f>476.839*0.6</f>
        <v>286.10339999999997</v>
      </c>
      <c r="F54" s="35">
        <f>476.839*0.4</f>
        <v>190.73560000000001</v>
      </c>
      <c r="G54" s="35">
        <f>390.141*0.8</f>
        <v>312.11280000000005</v>
      </c>
      <c r="H54" s="35">
        <f>390.141*0.2</f>
        <v>78.028200000000012</v>
      </c>
      <c r="I54" s="35">
        <f t="shared" si="0"/>
        <v>866.98</v>
      </c>
      <c r="J54" s="56">
        <v>867</v>
      </c>
      <c r="K54" s="49">
        <v>3003.1455999999998</v>
      </c>
      <c r="L54" s="49">
        <v>3123.271424</v>
      </c>
      <c r="M54" s="49">
        <v>1678.4778299999998</v>
      </c>
      <c r="N54" s="49">
        <v>1745.6169431999999</v>
      </c>
      <c r="O54" s="56">
        <f t="shared" si="1"/>
        <v>1324.66777</v>
      </c>
      <c r="P54" s="1">
        <f t="shared" si="2"/>
        <v>378991.95286741795</v>
      </c>
      <c r="Q54" s="1">
        <f t="shared" si="3"/>
        <v>252661.30191161201</v>
      </c>
      <c r="R54" s="1">
        <f t="shared" si="4"/>
        <v>429983.59743503435</v>
      </c>
      <c r="S54" s="1">
        <f t="shared" si="5"/>
        <v>107495.89935875859</v>
      </c>
      <c r="T54" s="1">
        <f t="shared" si="6"/>
        <v>1169132.7515728232</v>
      </c>
      <c r="U54" s="11"/>
      <c r="V54" s="11"/>
      <c r="W54" s="11"/>
      <c r="X54" s="12"/>
      <c r="Y54" s="12"/>
      <c r="Z54" s="12"/>
      <c r="AA54" s="12"/>
      <c r="AB54" s="12"/>
      <c r="AC54" s="12"/>
      <c r="AD54" s="12"/>
      <c r="AE54" s="12"/>
      <c r="AF54" s="12"/>
      <c r="AG54" s="12"/>
      <c r="AH54" s="12"/>
      <c r="AI54" s="12"/>
      <c r="AJ54" s="12"/>
      <c r="AK54" s="12"/>
      <c r="AL54" s="12"/>
      <c r="AM54" s="12"/>
      <c r="AN54" s="12"/>
      <c r="AO54" s="12"/>
      <c r="AP54" s="12"/>
      <c r="AQ54" s="12"/>
      <c r="AR54" s="12"/>
      <c r="AS54" s="12"/>
      <c r="AT54" s="12"/>
      <c r="AU54" s="12"/>
      <c r="AV54" s="12"/>
      <c r="AW54" s="12"/>
      <c r="AX54" s="12"/>
      <c r="AY54" s="12"/>
      <c r="AZ54" s="12"/>
      <c r="BA54" s="12"/>
      <c r="BB54" s="12"/>
      <c r="BC54" s="12"/>
      <c r="BD54" s="12"/>
      <c r="BE54" s="12"/>
      <c r="BF54" s="12"/>
      <c r="BG54" s="12"/>
      <c r="BH54" s="12"/>
      <c r="BI54" s="12"/>
      <c r="BJ54" s="12"/>
      <c r="BK54" s="12"/>
      <c r="BL54" s="12"/>
      <c r="BM54" s="12"/>
      <c r="BN54" s="12"/>
      <c r="BO54" s="12"/>
      <c r="BP54" s="12"/>
      <c r="BQ54" s="12"/>
      <c r="BR54" s="12"/>
      <c r="BS54" s="12"/>
      <c r="BT54" s="12"/>
      <c r="BU54" s="12"/>
      <c r="BV54" s="12"/>
      <c r="BW54" s="12"/>
      <c r="BX54" s="12"/>
      <c r="BY54" s="12"/>
      <c r="BZ54" s="12"/>
      <c r="CA54" s="12"/>
      <c r="CB54" s="12"/>
      <c r="CC54" s="12"/>
      <c r="CD54" s="12"/>
      <c r="CE54" s="12"/>
      <c r="CF54" s="12"/>
      <c r="CG54" s="12"/>
      <c r="CH54" s="12"/>
      <c r="CI54" s="12"/>
      <c r="CJ54" s="12"/>
      <c r="CK54" s="12"/>
      <c r="CL54" s="12"/>
      <c r="CM54" s="12"/>
      <c r="CN54" s="12"/>
      <c r="CO54" s="12"/>
      <c r="CP54" s="12"/>
      <c r="CQ54" s="12"/>
      <c r="CR54" s="12"/>
      <c r="CS54" s="12"/>
      <c r="CT54" s="12"/>
      <c r="CU54" s="12"/>
      <c r="CV54" s="12"/>
      <c r="CW54" s="12"/>
      <c r="CX54" s="12"/>
      <c r="CY54" s="12"/>
      <c r="CZ54" s="12"/>
      <c r="DA54" s="12"/>
      <c r="DB54" s="12"/>
      <c r="DC54" s="12"/>
      <c r="DD54" s="12"/>
      <c r="DE54" s="12"/>
      <c r="DF54" s="12"/>
      <c r="DG54" s="12"/>
      <c r="DH54" s="12"/>
      <c r="DI54" s="12"/>
      <c r="DJ54" s="12"/>
      <c r="DK54" s="12"/>
      <c r="DL54" s="12"/>
      <c r="DM54" s="12"/>
      <c r="DN54" s="12"/>
      <c r="DO54" s="12"/>
      <c r="DP54" s="12"/>
      <c r="DQ54" s="12"/>
      <c r="DR54" s="12"/>
      <c r="DS54" s="12"/>
      <c r="DT54" s="12"/>
      <c r="DU54" s="12"/>
      <c r="DV54" s="12"/>
      <c r="DW54" s="12"/>
      <c r="DX54" s="12"/>
      <c r="DY54" s="12"/>
      <c r="DZ54" s="12"/>
      <c r="EA54" s="12"/>
      <c r="EB54" s="12"/>
      <c r="EC54" s="12"/>
      <c r="ED54" s="12"/>
      <c r="EE54" s="12"/>
      <c r="EF54" s="12"/>
      <c r="EG54" s="12"/>
      <c r="EH54" s="12"/>
      <c r="EI54" s="12"/>
      <c r="EJ54" s="12"/>
      <c r="EK54" s="12"/>
      <c r="EL54" s="12"/>
      <c r="EM54" s="12"/>
      <c r="EN54" s="12"/>
      <c r="EO54" s="12"/>
      <c r="EP54" s="12"/>
      <c r="EQ54" s="12"/>
      <c r="ER54" s="12"/>
      <c r="ES54" s="12"/>
      <c r="ET54" s="12"/>
      <c r="EU54" s="12"/>
      <c r="EV54" s="12"/>
      <c r="EW54" s="12"/>
      <c r="EX54" s="12"/>
      <c r="EY54" s="12"/>
      <c r="EZ54" s="12"/>
      <c r="FA54" s="12"/>
      <c r="FB54" s="12"/>
      <c r="FC54" s="12"/>
      <c r="FD54" s="12"/>
      <c r="FE54" s="12"/>
      <c r="FF54" s="12"/>
      <c r="FG54" s="12"/>
      <c r="FH54" s="12"/>
      <c r="FI54" s="12"/>
      <c r="FJ54" s="12"/>
      <c r="FK54" s="12"/>
      <c r="FL54" s="12"/>
      <c r="FM54" s="12"/>
      <c r="FN54" s="12"/>
      <c r="FO54" s="12"/>
      <c r="FP54" s="12"/>
      <c r="FQ54" s="12"/>
      <c r="FR54" s="12"/>
      <c r="FS54" s="12"/>
      <c r="FT54" s="12"/>
      <c r="FU54" s="12"/>
      <c r="FV54" s="12"/>
      <c r="FW54" s="12"/>
      <c r="FX54" s="12"/>
      <c r="FY54" s="12"/>
      <c r="FZ54" s="12"/>
      <c r="GA54" s="12"/>
      <c r="GB54" s="12"/>
      <c r="GC54" s="12"/>
      <c r="GD54" s="12"/>
      <c r="GE54" s="12"/>
    </row>
    <row r="55" spans="1:187" ht="21" customHeight="1">
      <c r="A55" s="45"/>
      <c r="B55" s="101" t="s">
        <v>114</v>
      </c>
      <c r="C55" s="101"/>
      <c r="D55" s="101"/>
      <c r="E55" s="34"/>
      <c r="F55" s="34"/>
      <c r="G55" s="34"/>
      <c r="H55" s="34"/>
      <c r="I55" s="35">
        <f t="shared" si="0"/>
        <v>0</v>
      </c>
      <c r="J55" s="56"/>
      <c r="K55" s="49"/>
      <c r="L55" s="49"/>
      <c r="M55" s="49"/>
      <c r="N55" s="49"/>
      <c r="O55" s="56">
        <f t="shared" si="1"/>
        <v>0</v>
      </c>
      <c r="P55" s="1">
        <f t="shared" si="2"/>
        <v>0</v>
      </c>
      <c r="Q55" s="1">
        <f t="shared" si="3"/>
        <v>0</v>
      </c>
      <c r="R55" s="1">
        <f t="shared" si="4"/>
        <v>0</v>
      </c>
      <c r="S55" s="1">
        <f t="shared" si="5"/>
        <v>0</v>
      </c>
      <c r="T55" s="1">
        <f t="shared" si="6"/>
        <v>0</v>
      </c>
      <c r="U55" s="45"/>
      <c r="V55" s="45"/>
      <c r="W55" s="45"/>
    </row>
    <row r="56" spans="1:187" ht="21" customHeight="1">
      <c r="A56" s="45"/>
      <c r="B56" s="9" t="s">
        <v>26</v>
      </c>
      <c r="C56" s="10" t="s">
        <v>118</v>
      </c>
      <c r="D56" s="10" t="s">
        <v>116</v>
      </c>
      <c r="E56" s="35">
        <v>189.34100000000001</v>
      </c>
      <c r="F56" s="35">
        <f>259.186-E56</f>
        <v>69.84499999999997</v>
      </c>
      <c r="G56" s="35">
        <v>26.37</v>
      </c>
      <c r="H56" s="35">
        <f>189.71</f>
        <v>189.71</v>
      </c>
      <c r="I56" s="35">
        <f t="shared" si="0"/>
        <v>475.26599999999996</v>
      </c>
      <c r="J56" s="56">
        <v>447</v>
      </c>
      <c r="K56" s="49">
        <v>6084.6</v>
      </c>
      <c r="L56" s="49">
        <v>6327.9840000000004</v>
      </c>
      <c r="M56" s="49">
        <v>1602.52</v>
      </c>
      <c r="N56" s="49">
        <v>1666.6208000000001</v>
      </c>
      <c r="O56" s="56">
        <f t="shared" si="1"/>
        <v>4482.08</v>
      </c>
      <c r="P56" s="1">
        <f t="shared" si="2"/>
        <v>848641.50928</v>
      </c>
      <c r="Q56" s="1">
        <f t="shared" si="3"/>
        <v>313050.87759999989</v>
      </c>
      <c r="R56" s="1">
        <f t="shared" si="4"/>
        <v>122920.14758400001</v>
      </c>
      <c r="S56" s="1">
        <f t="shared" si="5"/>
        <v>884307.21267200005</v>
      </c>
      <c r="T56" s="1">
        <f t="shared" si="6"/>
        <v>2168919.7471359996</v>
      </c>
      <c r="U56" s="11"/>
      <c r="V56" s="11"/>
      <c r="W56" s="11"/>
      <c r="X56" s="12"/>
      <c r="Y56" s="12"/>
      <c r="Z56" s="12"/>
      <c r="AA56" s="12"/>
      <c r="AB56" s="12"/>
      <c r="AC56" s="12"/>
      <c r="AD56" s="12"/>
      <c r="AE56" s="12"/>
      <c r="AF56" s="12"/>
      <c r="AG56" s="12"/>
      <c r="AH56" s="12"/>
      <c r="AI56" s="12"/>
      <c r="AJ56" s="12"/>
      <c r="AK56" s="12"/>
      <c r="AL56" s="12"/>
      <c r="AM56" s="12"/>
      <c r="AN56" s="12"/>
      <c r="AO56" s="12"/>
      <c r="AP56" s="12"/>
      <c r="AQ56" s="12"/>
      <c r="AR56" s="12"/>
      <c r="AS56" s="12"/>
      <c r="AT56" s="12"/>
      <c r="AU56" s="12"/>
      <c r="AV56" s="12"/>
      <c r="AW56" s="12"/>
      <c r="AX56" s="12"/>
      <c r="AY56" s="12"/>
      <c r="AZ56" s="12"/>
      <c r="BA56" s="12"/>
      <c r="BB56" s="12"/>
      <c r="BC56" s="12"/>
      <c r="BD56" s="12"/>
      <c r="BE56" s="12"/>
      <c r="BF56" s="12"/>
      <c r="BG56" s="12"/>
      <c r="BH56" s="12"/>
      <c r="BI56" s="12"/>
      <c r="BJ56" s="12"/>
      <c r="BK56" s="12"/>
      <c r="BL56" s="12"/>
      <c r="BM56" s="12"/>
      <c r="BN56" s="12"/>
      <c r="BO56" s="12"/>
      <c r="BP56" s="12"/>
      <c r="BQ56" s="12"/>
      <c r="BR56" s="12"/>
      <c r="BS56" s="12"/>
      <c r="BT56" s="12"/>
      <c r="BU56" s="12"/>
      <c r="BV56" s="12"/>
      <c r="BW56" s="12"/>
      <c r="BX56" s="12"/>
      <c r="BY56" s="12"/>
      <c r="BZ56" s="12"/>
      <c r="CA56" s="12"/>
      <c r="CB56" s="12"/>
      <c r="CC56" s="12"/>
      <c r="CD56" s="12"/>
      <c r="CE56" s="12"/>
      <c r="CF56" s="12"/>
      <c r="CG56" s="12"/>
      <c r="CH56" s="12"/>
      <c r="CI56" s="12"/>
      <c r="CJ56" s="12"/>
      <c r="CK56" s="12"/>
      <c r="CL56" s="12"/>
      <c r="CM56" s="12"/>
      <c r="CN56" s="12"/>
      <c r="CO56" s="12"/>
      <c r="CP56" s="12"/>
      <c r="CQ56" s="12"/>
      <c r="CR56" s="12"/>
      <c r="CS56" s="12"/>
      <c r="CT56" s="12"/>
      <c r="CU56" s="12"/>
      <c r="CV56" s="12"/>
      <c r="CW56" s="12"/>
      <c r="CX56" s="12"/>
      <c r="CY56" s="12"/>
      <c r="CZ56" s="12"/>
      <c r="DA56" s="12"/>
      <c r="DB56" s="12"/>
      <c r="DC56" s="12"/>
      <c r="DD56" s="12"/>
      <c r="DE56" s="12"/>
      <c r="DF56" s="12"/>
      <c r="DG56" s="12"/>
      <c r="DH56" s="12"/>
      <c r="DI56" s="12"/>
      <c r="DJ56" s="12"/>
      <c r="DK56" s="12"/>
      <c r="DL56" s="12"/>
      <c r="DM56" s="12"/>
      <c r="DN56" s="12"/>
      <c r="DO56" s="12"/>
      <c r="DP56" s="12"/>
      <c r="DQ56" s="12"/>
      <c r="DR56" s="12"/>
      <c r="DS56" s="12"/>
      <c r="DT56" s="12"/>
      <c r="DU56" s="12"/>
      <c r="DV56" s="12"/>
      <c r="DW56" s="12"/>
      <c r="DX56" s="12"/>
      <c r="DY56" s="12"/>
      <c r="DZ56" s="12"/>
      <c r="EA56" s="12"/>
      <c r="EB56" s="12"/>
      <c r="EC56" s="12"/>
      <c r="ED56" s="12"/>
      <c r="EE56" s="12"/>
      <c r="EF56" s="12"/>
      <c r="EG56" s="12"/>
      <c r="EH56" s="12"/>
      <c r="EI56" s="12"/>
      <c r="EJ56" s="12"/>
      <c r="EK56" s="12"/>
      <c r="EL56" s="12"/>
      <c r="EM56" s="12"/>
      <c r="EN56" s="12"/>
      <c r="EO56" s="12"/>
      <c r="EP56" s="12"/>
      <c r="EQ56" s="12"/>
      <c r="ER56" s="12"/>
      <c r="ES56" s="12"/>
      <c r="ET56" s="12"/>
      <c r="EU56" s="12"/>
      <c r="EV56" s="12"/>
      <c r="EW56" s="12"/>
      <c r="EX56" s="12"/>
      <c r="EY56" s="12"/>
      <c r="EZ56" s="12"/>
      <c r="FA56" s="12"/>
      <c r="FB56" s="12"/>
      <c r="FC56" s="12"/>
      <c r="FD56" s="12"/>
      <c r="FE56" s="12"/>
      <c r="FF56" s="12"/>
      <c r="FG56" s="12"/>
      <c r="FH56" s="12"/>
      <c r="FI56" s="12"/>
      <c r="FJ56" s="12"/>
      <c r="FK56" s="12"/>
      <c r="FL56" s="12"/>
      <c r="FM56" s="12"/>
      <c r="FN56" s="12"/>
      <c r="FO56" s="12"/>
      <c r="FP56" s="12"/>
      <c r="FQ56" s="12"/>
      <c r="FR56" s="12"/>
      <c r="FS56" s="12"/>
      <c r="FT56" s="12"/>
      <c r="FU56" s="12"/>
      <c r="FV56" s="12"/>
      <c r="FW56" s="12"/>
      <c r="FX56" s="12"/>
      <c r="FY56" s="12"/>
      <c r="FZ56" s="12"/>
      <c r="GA56" s="12"/>
      <c r="GB56" s="12"/>
      <c r="GC56" s="12"/>
      <c r="GD56" s="12"/>
      <c r="GE56" s="12"/>
    </row>
    <row r="57" spans="1:187" ht="21" customHeight="1">
      <c r="A57" s="45"/>
      <c r="B57" s="9" t="s">
        <v>395</v>
      </c>
      <c r="C57" s="10" t="s">
        <v>396</v>
      </c>
      <c r="D57" s="10" t="s">
        <v>116</v>
      </c>
      <c r="E57" s="35">
        <v>303.346</v>
      </c>
      <c r="F57" s="35">
        <f>443.621-E57</f>
        <v>140.27499999999998</v>
      </c>
      <c r="G57" s="35">
        <v>31.33</v>
      </c>
      <c r="H57" s="35">
        <v>306.58999999999997</v>
      </c>
      <c r="I57" s="35">
        <f t="shared" si="0"/>
        <v>781.54099999999994</v>
      </c>
      <c r="J57" s="56">
        <v>820.2</v>
      </c>
      <c r="K57" s="49">
        <v>6426.64</v>
      </c>
      <c r="L57" s="49">
        <v>6683.7</v>
      </c>
      <c r="M57" s="49">
        <v>1602.55</v>
      </c>
      <c r="N57" s="49">
        <v>1666.652</v>
      </c>
      <c r="O57" s="56"/>
      <c r="P57" s="1">
        <f t="shared" ref="P57" si="7">(K57-M57)*E57</f>
        <v>1463368.4051400002</v>
      </c>
      <c r="Q57" s="1">
        <f t="shared" si="3"/>
        <v>676699.22474999994</v>
      </c>
      <c r="R57" s="1">
        <f t="shared" si="4"/>
        <v>157184.11383999998</v>
      </c>
      <c r="S57" s="1">
        <f t="shared" si="5"/>
        <v>1538176.7463199999</v>
      </c>
      <c r="T57" s="1">
        <f t="shared" si="6"/>
        <v>3835428.4900499997</v>
      </c>
      <c r="U57" s="11"/>
      <c r="V57" s="11"/>
      <c r="W57" s="11"/>
      <c r="X57" s="12"/>
      <c r="Y57" s="12"/>
      <c r="Z57" s="12"/>
      <c r="AA57" s="12"/>
      <c r="AB57" s="12"/>
      <c r="AC57" s="12"/>
      <c r="AD57" s="12"/>
      <c r="AE57" s="12"/>
      <c r="AF57" s="12"/>
      <c r="AG57" s="12"/>
      <c r="AH57" s="12"/>
      <c r="AI57" s="12"/>
      <c r="AJ57" s="12"/>
      <c r="AK57" s="12"/>
      <c r="AL57" s="12"/>
      <c r="AM57" s="12"/>
      <c r="AN57" s="12"/>
      <c r="AO57" s="12"/>
      <c r="AP57" s="12"/>
      <c r="AQ57" s="12"/>
      <c r="AR57" s="12"/>
      <c r="AS57" s="12"/>
      <c r="AT57" s="12"/>
      <c r="AU57" s="12"/>
      <c r="AV57" s="12"/>
      <c r="AW57" s="12"/>
      <c r="AX57" s="12"/>
      <c r="AY57" s="12"/>
      <c r="AZ57" s="12"/>
      <c r="BA57" s="12"/>
      <c r="BB57" s="12"/>
      <c r="BC57" s="12"/>
      <c r="BD57" s="12"/>
      <c r="BE57" s="12"/>
      <c r="BF57" s="12"/>
      <c r="BG57" s="12"/>
      <c r="BH57" s="12"/>
      <c r="BI57" s="12"/>
      <c r="BJ57" s="12"/>
      <c r="BK57" s="12"/>
      <c r="BL57" s="12"/>
      <c r="BM57" s="12"/>
      <c r="BN57" s="12"/>
      <c r="BO57" s="12"/>
      <c r="BP57" s="12"/>
      <c r="BQ57" s="12"/>
      <c r="BR57" s="12"/>
      <c r="BS57" s="12"/>
      <c r="BT57" s="12"/>
      <c r="BU57" s="12"/>
      <c r="BV57" s="12"/>
      <c r="BW57" s="12"/>
      <c r="BX57" s="12"/>
      <c r="BY57" s="12"/>
      <c r="BZ57" s="12"/>
      <c r="CA57" s="12"/>
      <c r="CB57" s="12"/>
      <c r="CC57" s="12"/>
      <c r="CD57" s="12"/>
      <c r="CE57" s="12"/>
      <c r="CF57" s="12"/>
      <c r="CG57" s="12"/>
      <c r="CH57" s="12"/>
      <c r="CI57" s="12"/>
      <c r="CJ57" s="12"/>
      <c r="CK57" s="12"/>
      <c r="CL57" s="12"/>
      <c r="CM57" s="12"/>
      <c r="CN57" s="12"/>
      <c r="CO57" s="12"/>
      <c r="CP57" s="12"/>
      <c r="CQ57" s="12"/>
      <c r="CR57" s="12"/>
      <c r="CS57" s="12"/>
      <c r="CT57" s="12"/>
      <c r="CU57" s="12"/>
      <c r="CV57" s="12"/>
      <c r="CW57" s="12"/>
      <c r="CX57" s="12"/>
      <c r="CY57" s="12"/>
      <c r="CZ57" s="12"/>
      <c r="DA57" s="12"/>
      <c r="DB57" s="12"/>
      <c r="DC57" s="12"/>
      <c r="DD57" s="12"/>
      <c r="DE57" s="12"/>
      <c r="DF57" s="12"/>
      <c r="DG57" s="12"/>
      <c r="DH57" s="12"/>
      <c r="DI57" s="12"/>
      <c r="DJ57" s="12"/>
      <c r="DK57" s="12"/>
      <c r="DL57" s="12"/>
      <c r="DM57" s="12"/>
      <c r="DN57" s="12"/>
      <c r="DO57" s="12"/>
      <c r="DP57" s="12"/>
      <c r="DQ57" s="12"/>
      <c r="DR57" s="12"/>
      <c r="DS57" s="12"/>
      <c r="DT57" s="12"/>
      <c r="DU57" s="12"/>
      <c r="DV57" s="12"/>
      <c r="DW57" s="12"/>
      <c r="DX57" s="12"/>
      <c r="DY57" s="12"/>
      <c r="DZ57" s="12"/>
      <c r="EA57" s="12"/>
      <c r="EB57" s="12"/>
      <c r="EC57" s="12"/>
      <c r="ED57" s="12"/>
      <c r="EE57" s="12"/>
      <c r="EF57" s="12"/>
      <c r="EG57" s="12"/>
      <c r="EH57" s="12"/>
      <c r="EI57" s="12"/>
      <c r="EJ57" s="12"/>
      <c r="EK57" s="12"/>
      <c r="EL57" s="12"/>
      <c r="EM57" s="12"/>
      <c r="EN57" s="12"/>
      <c r="EO57" s="12"/>
      <c r="EP57" s="12"/>
      <c r="EQ57" s="12"/>
      <c r="ER57" s="12"/>
      <c r="ES57" s="12"/>
      <c r="ET57" s="12"/>
      <c r="EU57" s="12"/>
      <c r="EV57" s="12"/>
      <c r="EW57" s="12"/>
      <c r="EX57" s="12"/>
      <c r="EY57" s="12"/>
      <c r="EZ57" s="12"/>
      <c r="FA57" s="12"/>
      <c r="FB57" s="12"/>
      <c r="FC57" s="12"/>
      <c r="FD57" s="12"/>
      <c r="FE57" s="12"/>
      <c r="FF57" s="12"/>
      <c r="FG57" s="12"/>
      <c r="FH57" s="12"/>
      <c r="FI57" s="12"/>
      <c r="FJ57" s="12"/>
      <c r="FK57" s="12"/>
      <c r="FL57" s="12"/>
      <c r="FM57" s="12"/>
      <c r="FN57" s="12"/>
      <c r="FO57" s="12"/>
      <c r="FP57" s="12"/>
      <c r="FQ57" s="12"/>
      <c r="FR57" s="12"/>
      <c r="FS57" s="12"/>
      <c r="FT57" s="12"/>
      <c r="FU57" s="12"/>
      <c r="FV57" s="12"/>
      <c r="FW57" s="12"/>
      <c r="FX57" s="12"/>
      <c r="FY57" s="12"/>
      <c r="FZ57" s="12"/>
      <c r="GA57" s="12"/>
      <c r="GB57" s="12"/>
      <c r="GC57" s="12"/>
      <c r="GD57" s="12"/>
      <c r="GE57" s="12"/>
    </row>
    <row r="58" spans="1:187" ht="21" customHeight="1">
      <c r="A58" s="45"/>
      <c r="B58" s="9" t="s">
        <v>2</v>
      </c>
      <c r="C58" s="10" t="s">
        <v>68</v>
      </c>
      <c r="D58" s="10" t="s">
        <v>314</v>
      </c>
      <c r="E58" s="35">
        <v>574.91300000000001</v>
      </c>
      <c r="F58" s="35">
        <f>766.55-E58</f>
        <v>191.63699999999994</v>
      </c>
      <c r="G58" s="35">
        <v>191.631</v>
      </c>
      <c r="H58" s="35">
        <f>766.524-G58</f>
        <v>574.89300000000003</v>
      </c>
      <c r="I58" s="35">
        <f t="shared" si="0"/>
        <v>1533.0740000000001</v>
      </c>
      <c r="J58" s="56">
        <v>1630.24</v>
      </c>
      <c r="K58" s="49">
        <v>3037.4863999999998</v>
      </c>
      <c r="L58" s="49">
        <v>3158.9858559999998</v>
      </c>
      <c r="M58" s="49">
        <v>1539.08429</v>
      </c>
      <c r="N58" s="49">
        <v>1600.6476616</v>
      </c>
      <c r="O58" s="56">
        <f t="shared" si="1"/>
        <v>1498.4021099999998</v>
      </c>
      <c r="P58" s="1">
        <f t="shared" si="2"/>
        <v>861450.85226642992</v>
      </c>
      <c r="Q58" s="1">
        <f t="shared" si="3"/>
        <v>287149.28515406989</v>
      </c>
      <c r="R58" s="1">
        <f t="shared" si="4"/>
        <v>298625.90653106634</v>
      </c>
      <c r="S58" s="1">
        <f t="shared" si="5"/>
        <v>895877.71959319909</v>
      </c>
      <c r="T58" s="1">
        <f t="shared" si="6"/>
        <v>2343103.7635447653</v>
      </c>
      <c r="U58" s="11"/>
      <c r="V58" s="11"/>
      <c r="W58" s="11"/>
      <c r="X58" s="12"/>
      <c r="Y58" s="12"/>
      <c r="Z58" s="12"/>
      <c r="AA58" s="12"/>
      <c r="AB58" s="12"/>
      <c r="AC58" s="12"/>
      <c r="AD58" s="12"/>
      <c r="AE58" s="12"/>
      <c r="AF58" s="12"/>
      <c r="AG58" s="12"/>
      <c r="AH58" s="12"/>
      <c r="AI58" s="12"/>
      <c r="AJ58" s="12"/>
      <c r="AK58" s="12"/>
      <c r="AL58" s="12"/>
      <c r="AM58" s="12"/>
      <c r="AN58" s="12"/>
      <c r="AO58" s="12"/>
      <c r="AP58" s="12"/>
      <c r="AQ58" s="12"/>
      <c r="AR58" s="12"/>
      <c r="AS58" s="12"/>
      <c r="AT58" s="12"/>
      <c r="AU58" s="12"/>
      <c r="AV58" s="12"/>
      <c r="AW58" s="12"/>
      <c r="AX58" s="12"/>
      <c r="AY58" s="12"/>
      <c r="AZ58" s="12"/>
      <c r="BA58" s="12"/>
      <c r="BB58" s="12"/>
      <c r="BC58" s="12"/>
      <c r="BD58" s="12"/>
      <c r="BE58" s="12"/>
      <c r="BF58" s="12"/>
      <c r="BG58" s="12"/>
      <c r="BH58" s="12"/>
      <c r="BI58" s="12"/>
      <c r="BJ58" s="12"/>
      <c r="BK58" s="12"/>
      <c r="BL58" s="12"/>
      <c r="BM58" s="12"/>
      <c r="BN58" s="12"/>
      <c r="BO58" s="12"/>
      <c r="BP58" s="12"/>
      <c r="BQ58" s="12"/>
      <c r="BR58" s="12"/>
      <c r="BS58" s="12"/>
      <c r="BT58" s="12"/>
      <c r="BU58" s="12"/>
      <c r="BV58" s="12"/>
      <c r="BW58" s="12"/>
      <c r="BX58" s="12"/>
      <c r="BY58" s="12"/>
      <c r="BZ58" s="12"/>
      <c r="CA58" s="12"/>
      <c r="CB58" s="12"/>
      <c r="CC58" s="12"/>
      <c r="CD58" s="12"/>
      <c r="CE58" s="12"/>
      <c r="CF58" s="12"/>
      <c r="CG58" s="12"/>
      <c r="CH58" s="12"/>
      <c r="CI58" s="12"/>
      <c r="CJ58" s="12"/>
      <c r="CK58" s="12"/>
      <c r="CL58" s="12"/>
      <c r="CM58" s="12"/>
      <c r="CN58" s="12"/>
      <c r="CO58" s="12"/>
      <c r="CP58" s="12"/>
      <c r="CQ58" s="12"/>
      <c r="CR58" s="12"/>
      <c r="CS58" s="12"/>
      <c r="CT58" s="12"/>
      <c r="CU58" s="12"/>
      <c r="CV58" s="12"/>
      <c r="CW58" s="12"/>
      <c r="CX58" s="12"/>
      <c r="CY58" s="12"/>
      <c r="CZ58" s="12"/>
      <c r="DA58" s="12"/>
      <c r="DB58" s="12"/>
      <c r="DC58" s="12"/>
      <c r="DD58" s="12"/>
      <c r="DE58" s="12"/>
      <c r="DF58" s="12"/>
      <c r="DG58" s="12"/>
      <c r="DH58" s="12"/>
      <c r="DI58" s="12"/>
      <c r="DJ58" s="12"/>
      <c r="DK58" s="12"/>
      <c r="DL58" s="12"/>
      <c r="DM58" s="12"/>
      <c r="DN58" s="12"/>
      <c r="DO58" s="12"/>
      <c r="DP58" s="12"/>
      <c r="DQ58" s="12"/>
      <c r="DR58" s="12"/>
      <c r="DS58" s="12"/>
      <c r="DT58" s="12"/>
      <c r="DU58" s="12"/>
      <c r="DV58" s="12"/>
      <c r="DW58" s="12"/>
      <c r="DX58" s="12"/>
      <c r="DY58" s="12"/>
      <c r="DZ58" s="12"/>
      <c r="EA58" s="12"/>
      <c r="EB58" s="12"/>
      <c r="EC58" s="12"/>
      <c r="ED58" s="12"/>
      <c r="EE58" s="12"/>
      <c r="EF58" s="12"/>
      <c r="EG58" s="12"/>
      <c r="EH58" s="12"/>
      <c r="EI58" s="12"/>
      <c r="EJ58" s="12"/>
      <c r="EK58" s="12"/>
      <c r="EL58" s="12"/>
      <c r="EM58" s="12"/>
      <c r="EN58" s="12"/>
      <c r="EO58" s="12"/>
      <c r="EP58" s="12"/>
      <c r="EQ58" s="12"/>
      <c r="ER58" s="12"/>
      <c r="ES58" s="12"/>
      <c r="ET58" s="12"/>
      <c r="EU58" s="12"/>
      <c r="EV58" s="12"/>
      <c r="EW58" s="12"/>
      <c r="EX58" s="12"/>
      <c r="EY58" s="12"/>
      <c r="EZ58" s="12"/>
      <c r="FA58" s="12"/>
      <c r="FB58" s="12"/>
      <c r="FC58" s="12"/>
      <c r="FD58" s="12"/>
      <c r="FE58" s="12"/>
      <c r="FF58" s="12"/>
      <c r="FG58" s="12"/>
      <c r="FH58" s="12"/>
      <c r="FI58" s="12"/>
      <c r="FJ58" s="12"/>
      <c r="FK58" s="12"/>
      <c r="FL58" s="12"/>
      <c r="FM58" s="12"/>
      <c r="FN58" s="12"/>
      <c r="FO58" s="12"/>
      <c r="FP58" s="12"/>
      <c r="FQ58" s="12"/>
      <c r="FR58" s="12"/>
      <c r="FS58" s="12"/>
      <c r="FT58" s="12"/>
      <c r="FU58" s="12"/>
      <c r="FV58" s="12"/>
      <c r="FW58" s="12"/>
      <c r="FX58" s="12"/>
      <c r="FY58" s="12"/>
      <c r="FZ58" s="12"/>
      <c r="GA58" s="12"/>
      <c r="GB58" s="12"/>
      <c r="GC58" s="12"/>
      <c r="GD58" s="12"/>
      <c r="GE58" s="12"/>
    </row>
    <row r="59" spans="1:187" ht="21" customHeight="1">
      <c r="A59" s="45"/>
      <c r="B59" s="9" t="s">
        <v>2</v>
      </c>
      <c r="C59" s="10" t="s">
        <v>68</v>
      </c>
      <c r="D59" s="10" t="s">
        <v>315</v>
      </c>
      <c r="E59" s="35">
        <v>711.59400000000005</v>
      </c>
      <c r="F59" s="35">
        <f>948.792-E59</f>
        <v>237.19799999999998</v>
      </c>
      <c r="G59" s="35">
        <v>237.202</v>
      </c>
      <c r="H59" s="35">
        <f>948.808-G59</f>
        <v>711.60599999999999</v>
      </c>
      <c r="I59" s="35">
        <f t="shared" si="0"/>
        <v>1897.6000000000001</v>
      </c>
      <c r="J59" s="56">
        <v>1968.53</v>
      </c>
      <c r="K59" s="49">
        <v>3037.4863999999998</v>
      </c>
      <c r="L59" s="49">
        <v>3158.9858559999998</v>
      </c>
      <c r="M59" s="49">
        <v>1425.3357599999999</v>
      </c>
      <c r="N59" s="49">
        <v>1482.3491904</v>
      </c>
      <c r="O59" s="56">
        <f t="shared" si="1"/>
        <v>1612.1506399999998</v>
      </c>
      <c r="P59" s="1">
        <f t="shared" si="2"/>
        <v>1147196.72252016</v>
      </c>
      <c r="Q59" s="1">
        <f t="shared" si="3"/>
        <v>382398.90750671993</v>
      </c>
      <c r="R59" s="1">
        <f t="shared" si="4"/>
        <v>397701.57035365113</v>
      </c>
      <c r="S59" s="1">
        <f t="shared" si="5"/>
        <v>1193104.7110609533</v>
      </c>
      <c r="T59" s="1">
        <f t="shared" si="6"/>
        <v>3120401.9114414845</v>
      </c>
      <c r="U59" s="11"/>
      <c r="V59" s="11"/>
      <c r="W59" s="11"/>
      <c r="X59" s="12"/>
      <c r="Y59" s="12"/>
      <c r="Z59" s="12"/>
      <c r="AA59" s="12"/>
      <c r="AB59" s="12"/>
      <c r="AC59" s="12"/>
      <c r="AD59" s="12"/>
      <c r="AE59" s="12"/>
      <c r="AF59" s="12"/>
      <c r="AG59" s="12"/>
      <c r="AH59" s="12"/>
      <c r="AI59" s="12"/>
      <c r="AJ59" s="12"/>
      <c r="AK59" s="12"/>
      <c r="AL59" s="12"/>
      <c r="AM59" s="12"/>
      <c r="AN59" s="12"/>
      <c r="AO59" s="12"/>
      <c r="AP59" s="12"/>
      <c r="AQ59" s="12"/>
      <c r="AR59" s="12"/>
      <c r="AS59" s="12"/>
      <c r="AT59" s="12"/>
      <c r="AU59" s="12"/>
      <c r="AV59" s="12"/>
      <c r="AW59" s="12"/>
      <c r="AX59" s="12"/>
      <c r="AY59" s="12"/>
      <c r="AZ59" s="12"/>
      <c r="BA59" s="12"/>
      <c r="BB59" s="12"/>
      <c r="BC59" s="12"/>
      <c r="BD59" s="12"/>
      <c r="BE59" s="12"/>
      <c r="BF59" s="12"/>
      <c r="BG59" s="12"/>
      <c r="BH59" s="12"/>
      <c r="BI59" s="12"/>
      <c r="BJ59" s="12"/>
      <c r="BK59" s="12"/>
      <c r="BL59" s="12"/>
      <c r="BM59" s="12"/>
      <c r="BN59" s="12"/>
      <c r="BO59" s="12"/>
      <c r="BP59" s="12"/>
      <c r="BQ59" s="12"/>
      <c r="BR59" s="12"/>
      <c r="BS59" s="12"/>
      <c r="BT59" s="12"/>
      <c r="BU59" s="12"/>
      <c r="BV59" s="12"/>
      <c r="BW59" s="12"/>
      <c r="BX59" s="12"/>
      <c r="BY59" s="12"/>
      <c r="BZ59" s="12"/>
      <c r="CA59" s="12"/>
      <c r="CB59" s="12"/>
      <c r="CC59" s="12"/>
      <c r="CD59" s="12"/>
      <c r="CE59" s="12"/>
      <c r="CF59" s="12"/>
      <c r="CG59" s="12"/>
      <c r="CH59" s="12"/>
      <c r="CI59" s="12"/>
      <c r="CJ59" s="12"/>
      <c r="CK59" s="12"/>
      <c r="CL59" s="12"/>
      <c r="CM59" s="12"/>
      <c r="CN59" s="12"/>
      <c r="CO59" s="12"/>
      <c r="CP59" s="12"/>
      <c r="CQ59" s="12"/>
      <c r="CR59" s="12"/>
      <c r="CS59" s="12"/>
      <c r="CT59" s="12"/>
      <c r="CU59" s="12"/>
      <c r="CV59" s="12"/>
      <c r="CW59" s="12"/>
      <c r="CX59" s="12"/>
      <c r="CY59" s="12"/>
      <c r="CZ59" s="12"/>
      <c r="DA59" s="12"/>
      <c r="DB59" s="12"/>
      <c r="DC59" s="12"/>
      <c r="DD59" s="12"/>
      <c r="DE59" s="12"/>
      <c r="DF59" s="12"/>
      <c r="DG59" s="12"/>
      <c r="DH59" s="12"/>
      <c r="DI59" s="12"/>
      <c r="DJ59" s="12"/>
      <c r="DK59" s="12"/>
      <c r="DL59" s="12"/>
      <c r="DM59" s="12"/>
      <c r="DN59" s="12"/>
      <c r="DO59" s="12"/>
      <c r="DP59" s="12"/>
      <c r="DQ59" s="12"/>
      <c r="DR59" s="12"/>
      <c r="DS59" s="12"/>
      <c r="DT59" s="12"/>
      <c r="DU59" s="12"/>
      <c r="DV59" s="12"/>
      <c r="DW59" s="12"/>
      <c r="DX59" s="12"/>
      <c r="DY59" s="12"/>
      <c r="DZ59" s="12"/>
      <c r="EA59" s="12"/>
      <c r="EB59" s="12"/>
      <c r="EC59" s="12"/>
      <c r="ED59" s="12"/>
      <c r="EE59" s="12"/>
      <c r="EF59" s="12"/>
      <c r="EG59" s="12"/>
      <c r="EH59" s="12"/>
      <c r="EI59" s="12"/>
      <c r="EJ59" s="12"/>
      <c r="EK59" s="12"/>
      <c r="EL59" s="12"/>
      <c r="EM59" s="12"/>
      <c r="EN59" s="12"/>
      <c r="EO59" s="12"/>
      <c r="EP59" s="12"/>
      <c r="EQ59" s="12"/>
      <c r="ER59" s="12"/>
      <c r="ES59" s="12"/>
      <c r="ET59" s="12"/>
      <c r="EU59" s="12"/>
      <c r="EV59" s="12"/>
      <c r="EW59" s="12"/>
      <c r="EX59" s="12"/>
      <c r="EY59" s="12"/>
      <c r="EZ59" s="12"/>
      <c r="FA59" s="12"/>
      <c r="FB59" s="12"/>
      <c r="FC59" s="12"/>
      <c r="FD59" s="12"/>
      <c r="FE59" s="12"/>
      <c r="FF59" s="12"/>
      <c r="FG59" s="12"/>
      <c r="FH59" s="12"/>
      <c r="FI59" s="12"/>
      <c r="FJ59" s="12"/>
      <c r="FK59" s="12"/>
      <c r="FL59" s="12"/>
      <c r="FM59" s="12"/>
      <c r="FN59" s="12"/>
      <c r="FO59" s="12"/>
      <c r="FP59" s="12"/>
      <c r="FQ59" s="12"/>
      <c r="FR59" s="12"/>
      <c r="FS59" s="12"/>
      <c r="FT59" s="12"/>
      <c r="FU59" s="12"/>
      <c r="FV59" s="12"/>
      <c r="FW59" s="12"/>
      <c r="FX59" s="12"/>
      <c r="FY59" s="12"/>
      <c r="FZ59" s="12"/>
      <c r="GA59" s="12"/>
      <c r="GB59" s="12"/>
      <c r="GC59" s="12"/>
      <c r="GD59" s="12"/>
      <c r="GE59" s="12"/>
    </row>
    <row r="60" spans="1:187" ht="21" customHeight="1">
      <c r="A60" s="45"/>
      <c r="B60" s="9" t="s">
        <v>2</v>
      </c>
      <c r="C60" s="10" t="s">
        <v>68</v>
      </c>
      <c r="D60" s="10" t="s">
        <v>117</v>
      </c>
      <c r="E60" s="35">
        <v>4766.9560000000001</v>
      </c>
      <c r="F60" s="35">
        <f>6394.006-E60</f>
        <v>1627.0500000000002</v>
      </c>
      <c r="G60" s="35">
        <v>1627.5</v>
      </c>
      <c r="H60" s="35">
        <f>6385.845-G60</f>
        <v>4758.3450000000003</v>
      </c>
      <c r="I60" s="35">
        <f t="shared" si="0"/>
        <v>12779.851000000001</v>
      </c>
      <c r="J60" s="56">
        <v>13274.039999999999</v>
      </c>
      <c r="K60" s="49">
        <v>2447.5012843128457</v>
      </c>
      <c r="L60" s="49">
        <v>2545.4013356853598</v>
      </c>
      <c r="M60" s="49">
        <v>1571.3349899999998</v>
      </c>
      <c r="N60" s="49">
        <v>1634.1883895999999</v>
      </c>
      <c r="O60" s="56">
        <f t="shared" si="1"/>
        <v>876.16629431284582</v>
      </c>
      <c r="P60" s="1">
        <f t="shared" si="2"/>
        <v>4176646.1736723864</v>
      </c>
      <c r="Q60" s="1">
        <f t="shared" si="3"/>
        <v>1425566.369161716</v>
      </c>
      <c r="R60" s="1">
        <f t="shared" si="4"/>
        <v>1482999.069753923</v>
      </c>
      <c r="S60" s="1">
        <f t="shared" si="5"/>
        <v>4335865.5659405421</v>
      </c>
      <c r="T60" s="1">
        <f t="shared" si="6"/>
        <v>11421077.178528568</v>
      </c>
      <c r="U60" s="11"/>
      <c r="V60" s="11"/>
      <c r="W60" s="11"/>
      <c r="X60" s="12"/>
      <c r="Y60" s="12"/>
      <c r="Z60" s="12"/>
      <c r="AA60" s="12"/>
      <c r="AB60" s="12"/>
      <c r="AC60" s="12"/>
      <c r="AD60" s="12"/>
      <c r="AE60" s="12"/>
      <c r="AF60" s="12"/>
      <c r="AG60" s="12"/>
      <c r="AH60" s="12"/>
      <c r="AI60" s="12"/>
      <c r="AJ60" s="12"/>
      <c r="AK60" s="12"/>
      <c r="AL60" s="12"/>
      <c r="AM60" s="12"/>
      <c r="AN60" s="12"/>
      <c r="AO60" s="12"/>
      <c r="AP60" s="12"/>
      <c r="AQ60" s="12"/>
      <c r="AR60" s="12"/>
      <c r="AS60" s="12"/>
      <c r="AT60" s="12"/>
      <c r="AU60" s="12"/>
      <c r="AV60" s="12"/>
      <c r="AW60" s="12"/>
      <c r="AX60" s="12"/>
      <c r="AY60" s="12"/>
      <c r="AZ60" s="12"/>
      <c r="BA60" s="12"/>
      <c r="BB60" s="12"/>
      <c r="BC60" s="12"/>
      <c r="BD60" s="12"/>
      <c r="BE60" s="12"/>
      <c r="BF60" s="12"/>
      <c r="BG60" s="12"/>
      <c r="BH60" s="12"/>
      <c r="BI60" s="12"/>
      <c r="BJ60" s="12"/>
      <c r="BK60" s="12"/>
      <c r="BL60" s="12"/>
      <c r="BM60" s="12"/>
      <c r="BN60" s="12"/>
      <c r="BO60" s="12"/>
      <c r="BP60" s="12"/>
      <c r="BQ60" s="12"/>
      <c r="BR60" s="12"/>
      <c r="BS60" s="12"/>
      <c r="BT60" s="12"/>
      <c r="BU60" s="12"/>
      <c r="BV60" s="12"/>
      <c r="BW60" s="12"/>
      <c r="BX60" s="12"/>
      <c r="BY60" s="12"/>
      <c r="BZ60" s="12"/>
      <c r="CA60" s="12"/>
      <c r="CB60" s="12"/>
      <c r="CC60" s="12"/>
      <c r="CD60" s="12"/>
      <c r="CE60" s="12"/>
      <c r="CF60" s="12"/>
      <c r="CG60" s="12"/>
      <c r="CH60" s="12"/>
      <c r="CI60" s="12"/>
      <c r="CJ60" s="12"/>
      <c r="CK60" s="12"/>
      <c r="CL60" s="12"/>
      <c r="CM60" s="12"/>
      <c r="CN60" s="12"/>
      <c r="CO60" s="12"/>
      <c r="CP60" s="12"/>
      <c r="CQ60" s="12"/>
      <c r="CR60" s="12"/>
      <c r="CS60" s="12"/>
      <c r="CT60" s="12"/>
      <c r="CU60" s="12"/>
      <c r="CV60" s="12"/>
      <c r="CW60" s="12"/>
      <c r="CX60" s="12"/>
      <c r="CY60" s="12"/>
      <c r="CZ60" s="12"/>
      <c r="DA60" s="12"/>
      <c r="DB60" s="12"/>
      <c r="DC60" s="12"/>
      <c r="DD60" s="12"/>
      <c r="DE60" s="12"/>
      <c r="DF60" s="12"/>
      <c r="DG60" s="12"/>
      <c r="DH60" s="12"/>
      <c r="DI60" s="12"/>
      <c r="DJ60" s="12"/>
      <c r="DK60" s="12"/>
      <c r="DL60" s="12"/>
      <c r="DM60" s="12"/>
      <c r="DN60" s="12"/>
      <c r="DO60" s="12"/>
      <c r="DP60" s="12"/>
      <c r="DQ60" s="12"/>
      <c r="DR60" s="12"/>
      <c r="DS60" s="12"/>
      <c r="DT60" s="12"/>
      <c r="DU60" s="12"/>
      <c r="DV60" s="12"/>
      <c r="DW60" s="12"/>
      <c r="DX60" s="12"/>
      <c r="DY60" s="12"/>
      <c r="DZ60" s="12"/>
      <c r="EA60" s="12"/>
      <c r="EB60" s="12"/>
      <c r="EC60" s="12"/>
      <c r="ED60" s="12"/>
      <c r="EE60" s="12"/>
      <c r="EF60" s="12"/>
      <c r="EG60" s="12"/>
      <c r="EH60" s="12"/>
      <c r="EI60" s="12"/>
      <c r="EJ60" s="12"/>
      <c r="EK60" s="12"/>
      <c r="EL60" s="12"/>
      <c r="EM60" s="12"/>
      <c r="EN60" s="12"/>
      <c r="EO60" s="12"/>
      <c r="EP60" s="12"/>
      <c r="EQ60" s="12"/>
      <c r="ER60" s="12"/>
      <c r="ES60" s="12"/>
      <c r="ET60" s="12"/>
      <c r="EU60" s="12"/>
      <c r="EV60" s="12"/>
      <c r="EW60" s="12"/>
      <c r="EX60" s="12"/>
      <c r="EY60" s="12"/>
      <c r="EZ60" s="12"/>
      <c r="FA60" s="12"/>
      <c r="FB60" s="12"/>
      <c r="FC60" s="12"/>
      <c r="FD60" s="12"/>
      <c r="FE60" s="12"/>
      <c r="FF60" s="12"/>
      <c r="FG60" s="12"/>
      <c r="FH60" s="12"/>
      <c r="FI60" s="12"/>
      <c r="FJ60" s="12"/>
      <c r="FK60" s="12"/>
      <c r="FL60" s="12"/>
      <c r="FM60" s="12"/>
      <c r="FN60" s="12"/>
      <c r="FO60" s="12"/>
      <c r="FP60" s="12"/>
      <c r="FQ60" s="12"/>
      <c r="FR60" s="12"/>
      <c r="FS60" s="12"/>
      <c r="FT60" s="12"/>
      <c r="FU60" s="12"/>
      <c r="FV60" s="12"/>
      <c r="FW60" s="12"/>
      <c r="FX60" s="12"/>
      <c r="FY60" s="12"/>
      <c r="FZ60" s="12"/>
      <c r="GA60" s="12"/>
      <c r="GB60" s="12"/>
      <c r="GC60" s="12"/>
      <c r="GD60" s="12"/>
      <c r="GE60" s="12"/>
    </row>
    <row r="61" spans="1:187" ht="21" customHeight="1">
      <c r="A61" s="45"/>
      <c r="B61" s="9" t="s">
        <v>2</v>
      </c>
      <c r="C61" s="10" t="s">
        <v>68</v>
      </c>
      <c r="D61" s="10" t="s">
        <v>316</v>
      </c>
      <c r="E61" s="35">
        <v>4509.5820000000003</v>
      </c>
      <c r="F61" s="35">
        <f>6010.333-E61</f>
        <v>1500.7509999999993</v>
      </c>
      <c r="G61" s="35">
        <v>482.64</v>
      </c>
      <c r="H61" s="35">
        <f>4422.47-G61</f>
        <v>3939.8300000000004</v>
      </c>
      <c r="I61" s="35">
        <f t="shared" si="0"/>
        <v>10432.803</v>
      </c>
      <c r="J61" s="56">
        <v>11595.17</v>
      </c>
      <c r="K61" s="49">
        <v>5480.590436567998</v>
      </c>
      <c r="L61" s="49">
        <v>5699.8140540307186</v>
      </c>
      <c r="M61" s="49">
        <v>1546.4884699999998</v>
      </c>
      <c r="N61" s="49">
        <v>1608.3480087999999</v>
      </c>
      <c r="O61" s="56">
        <f t="shared" si="1"/>
        <v>3934.1019665679983</v>
      </c>
      <c r="P61" s="1">
        <f t="shared" si="2"/>
        <v>17741155.41459965</v>
      </c>
      <c r="Q61" s="1">
        <f t="shared" si="3"/>
        <v>5904107.460428887</v>
      </c>
      <c r="R61" s="1">
        <f t="shared" si="4"/>
        <v>1974705.1720701542</v>
      </c>
      <c r="S61" s="1">
        <f t="shared" si="5"/>
        <v>16119680.668981345</v>
      </c>
      <c r="T61" s="1">
        <f t="shared" si="6"/>
        <v>41739648.716080032</v>
      </c>
      <c r="U61" s="11"/>
      <c r="V61" s="11"/>
      <c r="W61" s="11"/>
      <c r="X61" s="12"/>
      <c r="Y61" s="12"/>
      <c r="Z61" s="12"/>
      <c r="AA61" s="12"/>
      <c r="AB61" s="12"/>
      <c r="AC61" s="12"/>
      <c r="AD61" s="12"/>
      <c r="AE61" s="12"/>
      <c r="AF61" s="12"/>
      <c r="AG61" s="12"/>
      <c r="AH61" s="12"/>
      <c r="AI61" s="12"/>
      <c r="AJ61" s="12"/>
      <c r="AK61" s="12"/>
      <c r="AL61" s="12"/>
      <c r="AM61" s="12"/>
      <c r="AN61" s="12"/>
      <c r="AO61" s="12"/>
      <c r="AP61" s="12"/>
      <c r="AQ61" s="12"/>
      <c r="AR61" s="12"/>
      <c r="AS61" s="12"/>
      <c r="AT61" s="12"/>
      <c r="AU61" s="12"/>
      <c r="AV61" s="12"/>
      <c r="AW61" s="12"/>
      <c r="AX61" s="12"/>
      <c r="AY61" s="12"/>
      <c r="AZ61" s="12"/>
      <c r="BA61" s="12"/>
      <c r="BB61" s="12"/>
      <c r="BC61" s="12"/>
      <c r="BD61" s="12"/>
      <c r="BE61" s="12"/>
      <c r="BF61" s="12"/>
      <c r="BG61" s="12"/>
      <c r="BH61" s="12"/>
      <c r="BI61" s="12"/>
      <c r="BJ61" s="12"/>
      <c r="BK61" s="12"/>
      <c r="BL61" s="12"/>
      <c r="BM61" s="12"/>
      <c r="BN61" s="12"/>
      <c r="BO61" s="12"/>
      <c r="BP61" s="12"/>
      <c r="BQ61" s="12"/>
      <c r="BR61" s="12"/>
      <c r="BS61" s="12"/>
      <c r="BT61" s="12"/>
      <c r="BU61" s="12"/>
      <c r="BV61" s="12"/>
      <c r="BW61" s="12"/>
      <c r="BX61" s="12"/>
      <c r="BY61" s="12"/>
      <c r="BZ61" s="12"/>
      <c r="CA61" s="12"/>
      <c r="CB61" s="12"/>
      <c r="CC61" s="12"/>
      <c r="CD61" s="12"/>
      <c r="CE61" s="12"/>
      <c r="CF61" s="12"/>
      <c r="CG61" s="12"/>
      <c r="CH61" s="12"/>
      <c r="CI61" s="12"/>
      <c r="CJ61" s="12"/>
      <c r="CK61" s="12"/>
      <c r="CL61" s="12"/>
      <c r="CM61" s="12"/>
      <c r="CN61" s="12"/>
      <c r="CO61" s="12"/>
      <c r="CP61" s="12"/>
      <c r="CQ61" s="12"/>
      <c r="CR61" s="12"/>
      <c r="CS61" s="12"/>
      <c r="CT61" s="12"/>
      <c r="CU61" s="12"/>
      <c r="CV61" s="12"/>
      <c r="CW61" s="12"/>
      <c r="CX61" s="12"/>
      <c r="CY61" s="12"/>
      <c r="CZ61" s="12"/>
      <c r="DA61" s="12"/>
      <c r="DB61" s="12"/>
      <c r="DC61" s="12"/>
      <c r="DD61" s="12"/>
      <c r="DE61" s="12"/>
      <c r="DF61" s="12"/>
      <c r="DG61" s="12"/>
      <c r="DH61" s="12"/>
      <c r="DI61" s="12"/>
      <c r="DJ61" s="12"/>
      <c r="DK61" s="12"/>
      <c r="DL61" s="12"/>
      <c r="DM61" s="12"/>
      <c r="DN61" s="12"/>
      <c r="DO61" s="12"/>
      <c r="DP61" s="12"/>
      <c r="DQ61" s="12"/>
      <c r="DR61" s="12"/>
      <c r="DS61" s="12"/>
      <c r="DT61" s="12"/>
      <c r="DU61" s="12"/>
      <c r="DV61" s="12"/>
      <c r="DW61" s="12"/>
      <c r="DX61" s="12"/>
      <c r="DY61" s="12"/>
      <c r="DZ61" s="12"/>
      <c r="EA61" s="12"/>
      <c r="EB61" s="12"/>
      <c r="EC61" s="12"/>
      <c r="ED61" s="12"/>
      <c r="EE61" s="12"/>
      <c r="EF61" s="12"/>
      <c r="EG61" s="12"/>
      <c r="EH61" s="12"/>
      <c r="EI61" s="12"/>
      <c r="EJ61" s="12"/>
      <c r="EK61" s="12"/>
      <c r="EL61" s="12"/>
      <c r="EM61" s="12"/>
      <c r="EN61" s="12"/>
      <c r="EO61" s="12"/>
      <c r="EP61" s="12"/>
      <c r="EQ61" s="12"/>
      <c r="ER61" s="12"/>
      <c r="ES61" s="12"/>
      <c r="ET61" s="12"/>
      <c r="EU61" s="12"/>
      <c r="EV61" s="12"/>
      <c r="EW61" s="12"/>
      <c r="EX61" s="12"/>
      <c r="EY61" s="12"/>
      <c r="EZ61" s="12"/>
      <c r="FA61" s="12"/>
      <c r="FB61" s="12"/>
      <c r="FC61" s="12"/>
      <c r="FD61" s="12"/>
      <c r="FE61" s="12"/>
      <c r="FF61" s="12"/>
      <c r="FG61" s="12"/>
      <c r="FH61" s="12"/>
      <c r="FI61" s="12"/>
      <c r="FJ61" s="12"/>
      <c r="FK61" s="12"/>
      <c r="FL61" s="12"/>
      <c r="FM61" s="12"/>
      <c r="FN61" s="12"/>
      <c r="FO61" s="12"/>
      <c r="FP61" s="12"/>
      <c r="FQ61" s="12"/>
      <c r="FR61" s="12"/>
      <c r="FS61" s="12"/>
      <c r="FT61" s="12"/>
      <c r="FU61" s="12"/>
      <c r="FV61" s="12"/>
      <c r="FW61" s="12"/>
      <c r="FX61" s="12"/>
      <c r="FY61" s="12"/>
      <c r="FZ61" s="12"/>
      <c r="GA61" s="12"/>
      <c r="GB61" s="12"/>
      <c r="GC61" s="12"/>
      <c r="GD61" s="12"/>
      <c r="GE61" s="12"/>
    </row>
    <row r="62" spans="1:187" ht="21" customHeight="1">
      <c r="A62" s="45"/>
      <c r="B62" s="9" t="s">
        <v>2</v>
      </c>
      <c r="C62" s="10" t="s">
        <v>68</v>
      </c>
      <c r="D62" s="10" t="s">
        <v>317</v>
      </c>
      <c r="E62" s="35">
        <v>855.90800000000002</v>
      </c>
      <c r="F62" s="35">
        <f>1191.474-E62</f>
        <v>335.56599999999992</v>
      </c>
      <c r="G62" s="35">
        <v>47.448999999999998</v>
      </c>
      <c r="H62" s="35">
        <f>686.951-G62</f>
        <v>639.50200000000007</v>
      </c>
      <c r="I62" s="35">
        <f t="shared" si="0"/>
        <v>1878.4250000000002</v>
      </c>
      <c r="J62" s="56">
        <v>2044.45</v>
      </c>
      <c r="K62" s="49">
        <v>5480.59</v>
      </c>
      <c r="L62" s="49">
        <v>5699.8136000000004</v>
      </c>
      <c r="M62" s="49">
        <v>2229.7677699999999</v>
      </c>
      <c r="N62" s="49">
        <v>2318.9584808</v>
      </c>
      <c r="O62" s="56">
        <f t="shared" si="1"/>
        <v>3250.8222300000002</v>
      </c>
      <c r="P62" s="1">
        <f t="shared" si="2"/>
        <v>2782404.7532348405</v>
      </c>
      <c r="Q62" s="1">
        <f t="shared" si="3"/>
        <v>1090865.4124321798</v>
      </c>
      <c r="R62" s="1">
        <f t="shared" si="4"/>
        <v>160418.1945509208</v>
      </c>
      <c r="S62" s="1">
        <f t="shared" si="5"/>
        <v>2162063.6104386388</v>
      </c>
      <c r="T62" s="1">
        <f t="shared" si="6"/>
        <v>6195751.9706565794</v>
      </c>
      <c r="U62" s="11"/>
      <c r="V62" s="11"/>
      <c r="W62" s="11"/>
      <c r="X62" s="12"/>
      <c r="Y62" s="12"/>
      <c r="Z62" s="12"/>
      <c r="AA62" s="12"/>
      <c r="AB62" s="12"/>
      <c r="AC62" s="12"/>
      <c r="AD62" s="12"/>
      <c r="AE62" s="12"/>
      <c r="AF62" s="12"/>
      <c r="AG62" s="12"/>
      <c r="AH62" s="12"/>
      <c r="AI62" s="12"/>
      <c r="AJ62" s="12"/>
      <c r="AK62" s="12"/>
      <c r="AL62" s="12"/>
      <c r="AM62" s="12"/>
      <c r="AN62" s="12"/>
      <c r="AO62" s="12"/>
      <c r="AP62" s="12"/>
      <c r="AQ62" s="12"/>
      <c r="AR62" s="12"/>
      <c r="AS62" s="12"/>
      <c r="AT62" s="12"/>
      <c r="AU62" s="12"/>
      <c r="AV62" s="12"/>
      <c r="AW62" s="12"/>
      <c r="AX62" s="12"/>
      <c r="AY62" s="12"/>
      <c r="AZ62" s="12"/>
      <c r="BA62" s="12"/>
      <c r="BB62" s="12"/>
      <c r="BC62" s="12"/>
      <c r="BD62" s="12"/>
      <c r="BE62" s="12"/>
      <c r="BF62" s="12"/>
      <c r="BG62" s="12"/>
      <c r="BH62" s="12"/>
      <c r="BI62" s="12"/>
      <c r="BJ62" s="12"/>
      <c r="BK62" s="12"/>
      <c r="BL62" s="12"/>
      <c r="BM62" s="12"/>
      <c r="BN62" s="12"/>
      <c r="BO62" s="12"/>
      <c r="BP62" s="12"/>
      <c r="BQ62" s="12"/>
      <c r="BR62" s="12"/>
      <c r="BS62" s="12"/>
      <c r="BT62" s="12"/>
      <c r="BU62" s="12"/>
      <c r="BV62" s="12"/>
      <c r="BW62" s="12"/>
      <c r="BX62" s="12"/>
      <c r="BY62" s="12"/>
      <c r="BZ62" s="12"/>
      <c r="CA62" s="12"/>
      <c r="CB62" s="12"/>
      <c r="CC62" s="12"/>
      <c r="CD62" s="12"/>
      <c r="CE62" s="12"/>
      <c r="CF62" s="12"/>
      <c r="CG62" s="12"/>
      <c r="CH62" s="12"/>
      <c r="CI62" s="12"/>
      <c r="CJ62" s="12"/>
      <c r="CK62" s="12"/>
      <c r="CL62" s="12"/>
      <c r="CM62" s="12"/>
      <c r="CN62" s="12"/>
      <c r="CO62" s="12"/>
      <c r="CP62" s="12"/>
      <c r="CQ62" s="12"/>
      <c r="CR62" s="12"/>
      <c r="CS62" s="12"/>
      <c r="CT62" s="12"/>
      <c r="CU62" s="12"/>
      <c r="CV62" s="12"/>
      <c r="CW62" s="12"/>
      <c r="CX62" s="12"/>
      <c r="CY62" s="12"/>
      <c r="CZ62" s="12"/>
      <c r="DA62" s="12"/>
      <c r="DB62" s="12"/>
      <c r="DC62" s="12"/>
      <c r="DD62" s="12"/>
      <c r="DE62" s="12"/>
      <c r="DF62" s="12"/>
      <c r="DG62" s="12"/>
      <c r="DH62" s="12"/>
      <c r="DI62" s="12"/>
      <c r="DJ62" s="12"/>
      <c r="DK62" s="12"/>
      <c r="DL62" s="12"/>
      <c r="DM62" s="12"/>
      <c r="DN62" s="12"/>
      <c r="DO62" s="12"/>
      <c r="DP62" s="12"/>
      <c r="DQ62" s="12"/>
      <c r="DR62" s="12"/>
      <c r="DS62" s="12"/>
      <c r="DT62" s="12"/>
      <c r="DU62" s="12"/>
      <c r="DV62" s="12"/>
      <c r="DW62" s="12"/>
      <c r="DX62" s="12"/>
      <c r="DY62" s="12"/>
      <c r="DZ62" s="12"/>
      <c r="EA62" s="12"/>
      <c r="EB62" s="12"/>
      <c r="EC62" s="12"/>
      <c r="ED62" s="12"/>
      <c r="EE62" s="12"/>
      <c r="EF62" s="12"/>
      <c r="EG62" s="12"/>
      <c r="EH62" s="12"/>
      <c r="EI62" s="12"/>
      <c r="EJ62" s="12"/>
      <c r="EK62" s="12"/>
      <c r="EL62" s="12"/>
      <c r="EM62" s="12"/>
      <c r="EN62" s="12"/>
      <c r="EO62" s="12"/>
      <c r="EP62" s="12"/>
      <c r="EQ62" s="12"/>
      <c r="ER62" s="12"/>
      <c r="ES62" s="12"/>
      <c r="ET62" s="12"/>
      <c r="EU62" s="12"/>
      <c r="EV62" s="12"/>
      <c r="EW62" s="12"/>
      <c r="EX62" s="12"/>
      <c r="EY62" s="12"/>
      <c r="EZ62" s="12"/>
      <c r="FA62" s="12"/>
      <c r="FB62" s="12"/>
      <c r="FC62" s="12"/>
      <c r="FD62" s="12"/>
      <c r="FE62" s="12"/>
      <c r="FF62" s="12"/>
      <c r="FG62" s="12"/>
      <c r="FH62" s="12"/>
      <c r="FI62" s="12"/>
      <c r="FJ62" s="12"/>
      <c r="FK62" s="12"/>
      <c r="FL62" s="12"/>
      <c r="FM62" s="12"/>
      <c r="FN62" s="12"/>
      <c r="FO62" s="12"/>
      <c r="FP62" s="12"/>
      <c r="FQ62" s="12"/>
      <c r="FR62" s="12"/>
      <c r="FS62" s="12"/>
      <c r="FT62" s="12"/>
      <c r="FU62" s="12"/>
      <c r="FV62" s="12"/>
      <c r="FW62" s="12"/>
      <c r="FX62" s="12"/>
      <c r="FY62" s="12"/>
      <c r="FZ62" s="12"/>
      <c r="GA62" s="12"/>
      <c r="GB62" s="12"/>
      <c r="GC62" s="12"/>
      <c r="GD62" s="12"/>
      <c r="GE62" s="12"/>
    </row>
    <row r="63" spans="1:187" ht="21" customHeight="1">
      <c r="A63" s="45"/>
      <c r="B63" s="9" t="s">
        <v>2</v>
      </c>
      <c r="C63" s="10" t="s">
        <v>68</v>
      </c>
      <c r="D63" s="10" t="s">
        <v>318</v>
      </c>
      <c r="E63" s="35">
        <v>457.42</v>
      </c>
      <c r="F63" s="35">
        <f>610.816-E63</f>
        <v>153.39600000000002</v>
      </c>
      <c r="G63" s="35">
        <v>155.20599999999999</v>
      </c>
      <c r="H63" s="35">
        <f>611.715-G63</f>
        <v>456.50900000000001</v>
      </c>
      <c r="I63" s="35">
        <f t="shared" si="0"/>
        <v>1222.5309999999999</v>
      </c>
      <c r="J63" s="56">
        <v>1283.3800000000001</v>
      </c>
      <c r="K63" s="49">
        <v>5480.59</v>
      </c>
      <c r="L63" s="49">
        <v>5699.8136000000004</v>
      </c>
      <c r="M63" s="49">
        <v>1452.5051599999999</v>
      </c>
      <c r="N63" s="49">
        <v>1510.6053664000001</v>
      </c>
      <c r="O63" s="56">
        <f t="shared" si="1"/>
        <v>4028.0848400000004</v>
      </c>
      <c r="P63" s="1">
        <f t="shared" si="2"/>
        <v>1842526.5675128002</v>
      </c>
      <c r="Q63" s="1">
        <f t="shared" si="3"/>
        <v>617892.10211664008</v>
      </c>
      <c r="R63" s="1">
        <f t="shared" si="4"/>
        <v>650190.25310412166</v>
      </c>
      <c r="S63" s="1">
        <f t="shared" si="5"/>
        <v>1912411.2615125026</v>
      </c>
      <c r="T63" s="1">
        <f t="shared" si="6"/>
        <v>5023020.1842460651</v>
      </c>
      <c r="U63" s="11"/>
      <c r="V63" s="11"/>
      <c r="W63" s="11"/>
      <c r="X63" s="12"/>
      <c r="Y63" s="12"/>
      <c r="Z63" s="12"/>
      <c r="AA63" s="12"/>
      <c r="AB63" s="12"/>
      <c r="AC63" s="12"/>
      <c r="AD63" s="12"/>
      <c r="AE63" s="12"/>
      <c r="AF63" s="12"/>
      <c r="AG63" s="12"/>
      <c r="AH63" s="12"/>
      <c r="AI63" s="12"/>
      <c r="AJ63" s="12"/>
      <c r="AK63" s="12"/>
      <c r="AL63" s="12"/>
      <c r="AM63" s="12"/>
      <c r="AN63" s="12"/>
      <c r="AO63" s="12"/>
      <c r="AP63" s="12"/>
      <c r="AQ63" s="12"/>
      <c r="AR63" s="12"/>
      <c r="AS63" s="12"/>
      <c r="AT63" s="12"/>
      <c r="AU63" s="12"/>
      <c r="AV63" s="12"/>
      <c r="AW63" s="12"/>
      <c r="AX63" s="12"/>
      <c r="AY63" s="12"/>
      <c r="AZ63" s="12"/>
      <c r="BA63" s="12"/>
      <c r="BB63" s="12"/>
      <c r="BC63" s="12"/>
      <c r="BD63" s="12"/>
      <c r="BE63" s="12"/>
      <c r="BF63" s="12"/>
      <c r="BG63" s="12"/>
      <c r="BH63" s="12"/>
      <c r="BI63" s="12"/>
      <c r="BJ63" s="12"/>
      <c r="BK63" s="12"/>
      <c r="BL63" s="12"/>
      <c r="BM63" s="12"/>
      <c r="BN63" s="12"/>
      <c r="BO63" s="12"/>
      <c r="BP63" s="12"/>
      <c r="BQ63" s="12"/>
      <c r="BR63" s="12"/>
      <c r="BS63" s="12"/>
      <c r="BT63" s="12"/>
      <c r="BU63" s="12"/>
      <c r="BV63" s="12"/>
      <c r="BW63" s="12"/>
      <c r="BX63" s="12"/>
      <c r="BY63" s="12"/>
      <c r="BZ63" s="12"/>
      <c r="CA63" s="12"/>
      <c r="CB63" s="12"/>
      <c r="CC63" s="12"/>
      <c r="CD63" s="12"/>
      <c r="CE63" s="12"/>
      <c r="CF63" s="12"/>
      <c r="CG63" s="12"/>
      <c r="CH63" s="12"/>
      <c r="CI63" s="12"/>
      <c r="CJ63" s="12"/>
      <c r="CK63" s="12"/>
      <c r="CL63" s="12"/>
      <c r="CM63" s="12"/>
      <c r="CN63" s="12"/>
      <c r="CO63" s="12"/>
      <c r="CP63" s="12"/>
      <c r="CQ63" s="12"/>
      <c r="CR63" s="12"/>
      <c r="CS63" s="12"/>
      <c r="CT63" s="12"/>
      <c r="CU63" s="12"/>
      <c r="CV63" s="12"/>
      <c r="CW63" s="12"/>
      <c r="CX63" s="12"/>
      <c r="CY63" s="12"/>
      <c r="CZ63" s="12"/>
      <c r="DA63" s="12"/>
      <c r="DB63" s="12"/>
      <c r="DC63" s="12"/>
      <c r="DD63" s="12"/>
      <c r="DE63" s="12"/>
      <c r="DF63" s="12"/>
      <c r="DG63" s="12"/>
      <c r="DH63" s="12"/>
      <c r="DI63" s="12"/>
      <c r="DJ63" s="12"/>
      <c r="DK63" s="12"/>
      <c r="DL63" s="12"/>
      <c r="DM63" s="12"/>
      <c r="DN63" s="12"/>
      <c r="DO63" s="12"/>
      <c r="DP63" s="12"/>
      <c r="DQ63" s="12"/>
      <c r="DR63" s="12"/>
      <c r="DS63" s="12"/>
      <c r="DT63" s="12"/>
      <c r="DU63" s="12"/>
      <c r="DV63" s="12"/>
      <c r="DW63" s="12"/>
      <c r="DX63" s="12"/>
      <c r="DY63" s="12"/>
      <c r="DZ63" s="12"/>
      <c r="EA63" s="12"/>
      <c r="EB63" s="12"/>
      <c r="EC63" s="12"/>
      <c r="ED63" s="12"/>
      <c r="EE63" s="12"/>
      <c r="EF63" s="12"/>
      <c r="EG63" s="12"/>
      <c r="EH63" s="12"/>
      <c r="EI63" s="12"/>
      <c r="EJ63" s="12"/>
      <c r="EK63" s="12"/>
      <c r="EL63" s="12"/>
      <c r="EM63" s="12"/>
      <c r="EN63" s="12"/>
      <c r="EO63" s="12"/>
      <c r="EP63" s="12"/>
      <c r="EQ63" s="12"/>
      <c r="ER63" s="12"/>
      <c r="ES63" s="12"/>
      <c r="ET63" s="12"/>
      <c r="EU63" s="12"/>
      <c r="EV63" s="12"/>
      <c r="EW63" s="12"/>
      <c r="EX63" s="12"/>
      <c r="EY63" s="12"/>
      <c r="EZ63" s="12"/>
      <c r="FA63" s="12"/>
      <c r="FB63" s="12"/>
      <c r="FC63" s="12"/>
      <c r="FD63" s="12"/>
      <c r="FE63" s="12"/>
      <c r="FF63" s="12"/>
      <c r="FG63" s="12"/>
      <c r="FH63" s="12"/>
      <c r="FI63" s="12"/>
      <c r="FJ63" s="12"/>
      <c r="FK63" s="12"/>
      <c r="FL63" s="12"/>
      <c r="FM63" s="12"/>
      <c r="FN63" s="12"/>
      <c r="FO63" s="12"/>
      <c r="FP63" s="12"/>
      <c r="FQ63" s="12"/>
      <c r="FR63" s="12"/>
      <c r="FS63" s="12"/>
      <c r="FT63" s="12"/>
      <c r="FU63" s="12"/>
      <c r="FV63" s="12"/>
      <c r="FW63" s="12"/>
      <c r="FX63" s="12"/>
      <c r="FY63" s="12"/>
      <c r="FZ63" s="12"/>
      <c r="GA63" s="12"/>
      <c r="GB63" s="12"/>
      <c r="GC63" s="12"/>
      <c r="GD63" s="12"/>
      <c r="GE63" s="12"/>
    </row>
    <row r="64" spans="1:187" ht="21" customHeight="1">
      <c r="A64" s="45" t="s">
        <v>337</v>
      </c>
      <c r="B64" s="9" t="s">
        <v>435</v>
      </c>
      <c r="C64" s="10" t="s">
        <v>436</v>
      </c>
      <c r="D64" s="10" t="s">
        <v>336</v>
      </c>
      <c r="E64" s="35">
        <f>290.1134384*0.6</f>
        <v>174.06806304</v>
      </c>
      <c r="F64" s="35">
        <f>290.1134384*0.4</f>
        <v>116.04537536000001</v>
      </c>
      <c r="G64" s="35">
        <f>224.4545616*0.2</f>
        <v>44.890912320000005</v>
      </c>
      <c r="H64" s="35">
        <f>224.4545616*0.8</f>
        <v>179.56364928000002</v>
      </c>
      <c r="I64" s="35">
        <f t="shared" si="0"/>
        <v>514.56799999999998</v>
      </c>
      <c r="J64" s="56">
        <v>421.8</v>
      </c>
      <c r="K64" s="49">
        <v>4066.51</v>
      </c>
      <c r="L64" s="49">
        <v>4229.1704</v>
      </c>
      <c r="M64" s="49">
        <v>1933.18</v>
      </c>
      <c r="N64" s="49">
        <v>2010.5</v>
      </c>
      <c r="O64" s="56">
        <f t="shared" si="1"/>
        <v>2133.33</v>
      </c>
      <c r="P64" s="1">
        <f t="shared" si="2"/>
        <v>371344.62092512316</v>
      </c>
      <c r="Q64" s="1">
        <f t="shared" si="3"/>
        <v>247563.0806167488</v>
      </c>
      <c r="R64" s="1">
        <f t="shared" si="4"/>
        <v>99598.13839337934</v>
      </c>
      <c r="S64" s="1">
        <f t="shared" si="5"/>
        <v>398392.55357351736</v>
      </c>
      <c r="T64" s="1">
        <f t="shared" si="6"/>
        <v>1116898.3935087686</v>
      </c>
      <c r="U64" s="11"/>
      <c r="V64" s="11"/>
      <c r="W64" s="11"/>
      <c r="X64" s="12"/>
      <c r="Y64" s="12"/>
      <c r="Z64" s="12"/>
      <c r="AA64" s="12"/>
      <c r="AB64" s="12"/>
      <c r="AC64" s="12"/>
      <c r="AD64" s="12"/>
      <c r="AE64" s="12"/>
      <c r="AF64" s="12"/>
      <c r="AG64" s="12"/>
      <c r="AH64" s="12"/>
      <c r="AI64" s="12"/>
      <c r="AJ64" s="12"/>
      <c r="AK64" s="12"/>
      <c r="AL64" s="12"/>
      <c r="AM64" s="12"/>
      <c r="AN64" s="12"/>
      <c r="AO64" s="12"/>
      <c r="AP64" s="12"/>
      <c r="AQ64" s="12"/>
      <c r="AR64" s="12"/>
      <c r="AS64" s="12"/>
      <c r="AT64" s="12"/>
      <c r="AU64" s="12"/>
      <c r="AV64" s="12"/>
      <c r="AW64" s="12"/>
      <c r="AX64" s="12"/>
      <c r="AY64" s="12"/>
      <c r="AZ64" s="12"/>
      <c r="BA64" s="12"/>
      <c r="BB64" s="12"/>
      <c r="BC64" s="12"/>
      <c r="BD64" s="12"/>
      <c r="BE64" s="12"/>
      <c r="BF64" s="12"/>
      <c r="BG64" s="12"/>
      <c r="BH64" s="12"/>
      <c r="BI64" s="12"/>
      <c r="BJ64" s="12"/>
      <c r="BK64" s="12"/>
      <c r="BL64" s="12"/>
      <c r="BM64" s="12"/>
      <c r="BN64" s="12"/>
      <c r="BO64" s="12"/>
      <c r="BP64" s="12"/>
      <c r="BQ64" s="12"/>
      <c r="BR64" s="12"/>
      <c r="BS64" s="12"/>
      <c r="BT64" s="12"/>
      <c r="BU64" s="12"/>
      <c r="BV64" s="12"/>
      <c r="BW64" s="12"/>
      <c r="BX64" s="12"/>
      <c r="BY64" s="12"/>
      <c r="BZ64" s="12"/>
      <c r="CA64" s="12"/>
      <c r="CB64" s="12"/>
      <c r="CC64" s="12"/>
      <c r="CD64" s="12"/>
      <c r="CE64" s="12"/>
      <c r="CF64" s="12"/>
      <c r="CG64" s="12"/>
      <c r="CH64" s="12"/>
      <c r="CI64" s="12"/>
      <c r="CJ64" s="12"/>
      <c r="CK64" s="12"/>
      <c r="CL64" s="12"/>
      <c r="CM64" s="12"/>
      <c r="CN64" s="12"/>
      <c r="CO64" s="12"/>
      <c r="CP64" s="12"/>
      <c r="CQ64" s="12"/>
      <c r="CR64" s="12"/>
      <c r="CS64" s="12"/>
      <c r="CT64" s="12"/>
      <c r="CU64" s="12"/>
      <c r="CV64" s="12"/>
      <c r="CW64" s="12"/>
      <c r="CX64" s="12"/>
      <c r="CY64" s="12"/>
      <c r="CZ64" s="12"/>
      <c r="DA64" s="12"/>
      <c r="DB64" s="12"/>
      <c r="DC64" s="12"/>
      <c r="DD64" s="12"/>
      <c r="DE64" s="12"/>
      <c r="DF64" s="12"/>
      <c r="DG64" s="12"/>
      <c r="DH64" s="12"/>
      <c r="DI64" s="12"/>
      <c r="DJ64" s="12"/>
      <c r="DK64" s="12"/>
      <c r="DL64" s="12"/>
      <c r="DM64" s="12"/>
      <c r="DN64" s="12"/>
      <c r="DO64" s="12"/>
      <c r="DP64" s="12"/>
      <c r="DQ64" s="12"/>
      <c r="DR64" s="12"/>
      <c r="DS64" s="12"/>
      <c r="DT64" s="12"/>
      <c r="DU64" s="12"/>
      <c r="DV64" s="12"/>
      <c r="DW64" s="12"/>
      <c r="DX64" s="12"/>
      <c r="DY64" s="12"/>
      <c r="DZ64" s="12"/>
      <c r="EA64" s="12"/>
      <c r="EB64" s="12"/>
      <c r="EC64" s="12"/>
      <c r="ED64" s="12"/>
      <c r="EE64" s="12"/>
      <c r="EF64" s="12"/>
      <c r="EG64" s="12"/>
      <c r="EH64" s="12"/>
      <c r="EI64" s="12"/>
      <c r="EJ64" s="12"/>
      <c r="EK64" s="12"/>
      <c r="EL64" s="12"/>
      <c r="EM64" s="12"/>
      <c r="EN64" s="12"/>
      <c r="EO64" s="12"/>
      <c r="EP64" s="12"/>
      <c r="EQ64" s="12"/>
      <c r="ER64" s="12"/>
      <c r="ES64" s="12"/>
      <c r="ET64" s="12"/>
      <c r="EU64" s="12"/>
      <c r="EV64" s="12"/>
      <c r="EW64" s="12"/>
      <c r="EX64" s="12"/>
      <c r="EY64" s="12"/>
      <c r="EZ64" s="12"/>
      <c r="FA64" s="12"/>
      <c r="FB64" s="12"/>
      <c r="FC64" s="12"/>
      <c r="FD64" s="12"/>
      <c r="FE64" s="12"/>
      <c r="FF64" s="12"/>
      <c r="FG64" s="12"/>
      <c r="FH64" s="12"/>
      <c r="FI64" s="12"/>
      <c r="FJ64" s="12"/>
      <c r="FK64" s="12"/>
      <c r="FL64" s="12"/>
      <c r="FM64" s="12"/>
      <c r="FN64" s="12"/>
      <c r="FO64" s="12"/>
      <c r="FP64" s="12"/>
      <c r="FQ64" s="12"/>
      <c r="FR64" s="12"/>
      <c r="FS64" s="12"/>
      <c r="FT64" s="12"/>
      <c r="FU64" s="12"/>
      <c r="FV64" s="12"/>
      <c r="FW64" s="12"/>
      <c r="FX64" s="12"/>
      <c r="FY64" s="12"/>
      <c r="FZ64" s="12"/>
      <c r="GA64" s="12"/>
      <c r="GB64" s="12"/>
      <c r="GC64" s="12"/>
      <c r="GD64" s="12"/>
      <c r="GE64" s="12"/>
    </row>
    <row r="65" spans="1:187" ht="21" customHeight="1">
      <c r="A65" s="45"/>
      <c r="B65" s="9" t="s">
        <v>338</v>
      </c>
      <c r="C65" s="10" t="s">
        <v>339</v>
      </c>
      <c r="D65" s="10" t="s">
        <v>336</v>
      </c>
      <c r="E65" s="35">
        <f>75.3993952909912*0.6</f>
        <v>45.239637174594712</v>
      </c>
      <c r="F65" s="35">
        <f>75.3993952909912*0.4</f>
        <v>30.159758116396478</v>
      </c>
      <c r="G65" s="35">
        <f>59.4095647090088*0.2</f>
        <v>11.88191294180176</v>
      </c>
      <c r="H65" s="35">
        <f>59.4095647090088*0.8</f>
        <v>47.52765176720704</v>
      </c>
      <c r="I65" s="35">
        <f t="shared" si="0"/>
        <v>134.80895999999998</v>
      </c>
      <c r="J65" s="56">
        <v>134.80896000000001</v>
      </c>
      <c r="K65" s="49">
        <v>1792.3360000000002</v>
      </c>
      <c r="L65" s="49">
        <v>1864.0294400000002</v>
      </c>
      <c r="M65" s="49">
        <v>1571.35</v>
      </c>
      <c r="N65" s="49">
        <v>1634.204</v>
      </c>
      <c r="O65" s="56">
        <f t="shared" si="1"/>
        <v>220.98600000000033</v>
      </c>
      <c r="P65" s="1">
        <f t="shared" si="2"/>
        <v>9997.3264606650027</v>
      </c>
      <c r="Q65" s="1">
        <f t="shared" si="3"/>
        <v>6664.8843071100018</v>
      </c>
      <c r="R65" s="1">
        <f t="shared" si="4"/>
        <v>2730.7658698912874</v>
      </c>
      <c r="S65" s="1">
        <f t="shared" si="5"/>
        <v>10923.063479565149</v>
      </c>
      <c r="T65" s="1">
        <f t="shared" si="6"/>
        <v>30316.040117231438</v>
      </c>
      <c r="U65" s="11"/>
      <c r="V65" s="11"/>
      <c r="W65" s="11"/>
      <c r="X65" s="12"/>
      <c r="Y65" s="12"/>
      <c r="Z65" s="12"/>
      <c r="AA65" s="12"/>
      <c r="AB65" s="12"/>
      <c r="AC65" s="12"/>
      <c r="AD65" s="12"/>
      <c r="AE65" s="12"/>
      <c r="AF65" s="12"/>
      <c r="AG65" s="12"/>
      <c r="AH65" s="12"/>
      <c r="AI65" s="12"/>
      <c r="AJ65" s="12"/>
      <c r="AK65" s="12"/>
      <c r="AL65" s="12"/>
      <c r="AM65" s="12"/>
      <c r="AN65" s="12"/>
      <c r="AO65" s="12"/>
      <c r="AP65" s="12"/>
      <c r="AQ65" s="12"/>
      <c r="AR65" s="12"/>
      <c r="AS65" s="12"/>
      <c r="AT65" s="12"/>
      <c r="AU65" s="12"/>
      <c r="AV65" s="12"/>
      <c r="AW65" s="12"/>
      <c r="AX65" s="12"/>
      <c r="AY65" s="12"/>
      <c r="AZ65" s="12"/>
      <c r="BA65" s="12"/>
      <c r="BB65" s="12"/>
      <c r="BC65" s="12"/>
      <c r="BD65" s="12"/>
      <c r="BE65" s="12"/>
      <c r="BF65" s="12"/>
      <c r="BG65" s="12"/>
      <c r="BH65" s="12"/>
      <c r="BI65" s="12"/>
      <c r="BJ65" s="12"/>
      <c r="BK65" s="12"/>
      <c r="BL65" s="12"/>
      <c r="BM65" s="12"/>
      <c r="BN65" s="12"/>
      <c r="BO65" s="12"/>
      <c r="BP65" s="12"/>
      <c r="BQ65" s="12"/>
      <c r="BR65" s="12"/>
      <c r="BS65" s="12"/>
      <c r="BT65" s="12"/>
      <c r="BU65" s="12"/>
      <c r="BV65" s="12"/>
      <c r="BW65" s="12"/>
      <c r="BX65" s="12"/>
      <c r="BY65" s="12"/>
      <c r="BZ65" s="12"/>
      <c r="CA65" s="12"/>
      <c r="CB65" s="12"/>
      <c r="CC65" s="12"/>
      <c r="CD65" s="12"/>
      <c r="CE65" s="12"/>
      <c r="CF65" s="12"/>
      <c r="CG65" s="12"/>
      <c r="CH65" s="12"/>
      <c r="CI65" s="12"/>
      <c r="CJ65" s="12"/>
      <c r="CK65" s="12"/>
      <c r="CL65" s="12"/>
      <c r="CM65" s="12"/>
      <c r="CN65" s="12"/>
      <c r="CO65" s="12"/>
      <c r="CP65" s="12"/>
      <c r="CQ65" s="12"/>
      <c r="CR65" s="12"/>
      <c r="CS65" s="12"/>
      <c r="CT65" s="12"/>
      <c r="CU65" s="12"/>
      <c r="CV65" s="12"/>
      <c r="CW65" s="12"/>
      <c r="CX65" s="12"/>
      <c r="CY65" s="12"/>
      <c r="CZ65" s="12"/>
      <c r="DA65" s="12"/>
      <c r="DB65" s="12"/>
      <c r="DC65" s="12"/>
      <c r="DD65" s="12"/>
      <c r="DE65" s="12"/>
      <c r="DF65" s="12"/>
      <c r="DG65" s="12"/>
      <c r="DH65" s="12"/>
      <c r="DI65" s="12"/>
      <c r="DJ65" s="12"/>
      <c r="DK65" s="12"/>
      <c r="DL65" s="12"/>
      <c r="DM65" s="12"/>
      <c r="DN65" s="12"/>
      <c r="DO65" s="12"/>
      <c r="DP65" s="12"/>
      <c r="DQ65" s="12"/>
      <c r="DR65" s="12"/>
      <c r="DS65" s="12"/>
      <c r="DT65" s="12"/>
      <c r="DU65" s="12"/>
      <c r="DV65" s="12"/>
      <c r="DW65" s="12"/>
      <c r="DX65" s="12"/>
      <c r="DY65" s="12"/>
      <c r="DZ65" s="12"/>
      <c r="EA65" s="12"/>
      <c r="EB65" s="12"/>
      <c r="EC65" s="12"/>
      <c r="ED65" s="12"/>
      <c r="EE65" s="12"/>
      <c r="EF65" s="12"/>
      <c r="EG65" s="12"/>
      <c r="EH65" s="12"/>
      <c r="EI65" s="12"/>
      <c r="EJ65" s="12"/>
      <c r="EK65" s="12"/>
      <c r="EL65" s="12"/>
      <c r="EM65" s="12"/>
      <c r="EN65" s="12"/>
      <c r="EO65" s="12"/>
      <c r="EP65" s="12"/>
      <c r="EQ65" s="12"/>
      <c r="ER65" s="12"/>
      <c r="ES65" s="12"/>
      <c r="ET65" s="12"/>
      <c r="EU65" s="12"/>
      <c r="EV65" s="12"/>
      <c r="EW65" s="12"/>
      <c r="EX65" s="12"/>
      <c r="EY65" s="12"/>
      <c r="EZ65" s="12"/>
      <c r="FA65" s="12"/>
      <c r="FB65" s="12"/>
      <c r="FC65" s="12"/>
      <c r="FD65" s="12"/>
      <c r="FE65" s="12"/>
      <c r="FF65" s="12"/>
      <c r="FG65" s="12"/>
      <c r="FH65" s="12"/>
      <c r="FI65" s="12"/>
      <c r="FJ65" s="12"/>
      <c r="FK65" s="12"/>
      <c r="FL65" s="12"/>
      <c r="FM65" s="12"/>
      <c r="FN65" s="12"/>
      <c r="FO65" s="12"/>
      <c r="FP65" s="12"/>
      <c r="FQ65" s="12"/>
      <c r="FR65" s="12"/>
      <c r="FS65" s="12"/>
      <c r="FT65" s="12"/>
      <c r="FU65" s="12"/>
      <c r="FV65" s="12"/>
      <c r="FW65" s="12"/>
      <c r="FX65" s="12"/>
      <c r="FY65" s="12"/>
      <c r="FZ65" s="12"/>
      <c r="GA65" s="12"/>
      <c r="GB65" s="12"/>
      <c r="GC65" s="12"/>
      <c r="GD65" s="12"/>
      <c r="GE65" s="12"/>
    </row>
    <row r="66" spans="1:187" ht="21" customHeight="1">
      <c r="A66" s="45" t="s">
        <v>337</v>
      </c>
      <c r="B66" s="9">
        <v>7729314745</v>
      </c>
      <c r="C66" s="10" t="s">
        <v>341</v>
      </c>
      <c r="D66" s="10" t="s">
        <v>116</v>
      </c>
      <c r="E66" s="35">
        <f>3995.8985*0.6</f>
        <v>2397.5391</v>
      </c>
      <c r="F66" s="35">
        <f>3995.8985*0.4</f>
        <v>1598.3594000000001</v>
      </c>
      <c r="G66" s="35">
        <f>3269.3715*0.2</f>
        <v>653.87430000000006</v>
      </c>
      <c r="H66" s="35">
        <f>3269.3715*0.8</f>
        <v>2615.4972000000002</v>
      </c>
      <c r="I66" s="35">
        <f t="shared" si="0"/>
        <v>7265.27</v>
      </c>
      <c r="J66" s="56">
        <v>7265.3</v>
      </c>
      <c r="K66" s="49">
        <v>1941.75</v>
      </c>
      <c r="L66" s="49">
        <v>2019.42</v>
      </c>
      <c r="M66" s="49">
        <v>1390.3681199999999</v>
      </c>
      <c r="N66" s="49">
        <v>1445.9828447999998</v>
      </c>
      <c r="O66" s="56">
        <f t="shared" si="1"/>
        <v>551.38188000000014</v>
      </c>
      <c r="P66" s="1">
        <f t="shared" si="2"/>
        <v>1321959.6163315084</v>
      </c>
      <c r="Q66" s="1">
        <f t="shared" si="3"/>
        <v>881306.41088767222</v>
      </c>
      <c r="R66" s="1">
        <f t="shared" si="4"/>
        <v>374955.81845039153</v>
      </c>
      <c r="S66" s="1">
        <f t="shared" si="5"/>
        <v>1499823.2738015661</v>
      </c>
      <c r="T66" s="1">
        <f t="shared" si="6"/>
        <v>4078045.1194711383</v>
      </c>
      <c r="U66" s="11"/>
      <c r="V66" s="11"/>
      <c r="W66" s="11"/>
      <c r="X66" s="12"/>
      <c r="Y66" s="12"/>
      <c r="Z66" s="12"/>
      <c r="AA66" s="12"/>
      <c r="AB66" s="12"/>
      <c r="AC66" s="12"/>
      <c r="AD66" s="12"/>
      <c r="AE66" s="12"/>
      <c r="AF66" s="12"/>
      <c r="AG66" s="12"/>
      <c r="AH66" s="12"/>
      <c r="AI66" s="12"/>
      <c r="AJ66" s="12"/>
      <c r="AK66" s="12"/>
      <c r="AL66" s="12"/>
      <c r="AM66" s="12"/>
      <c r="AN66" s="12"/>
      <c r="AO66" s="12"/>
      <c r="AP66" s="12"/>
      <c r="AQ66" s="12"/>
      <c r="AR66" s="12"/>
      <c r="AS66" s="12"/>
      <c r="AT66" s="12"/>
      <c r="AU66" s="12"/>
      <c r="AV66" s="12"/>
      <c r="AW66" s="12"/>
      <c r="AX66" s="12"/>
      <c r="AY66" s="12"/>
      <c r="AZ66" s="12"/>
      <c r="BA66" s="12"/>
      <c r="BB66" s="12"/>
      <c r="BC66" s="12"/>
      <c r="BD66" s="12"/>
      <c r="BE66" s="12"/>
      <c r="BF66" s="12"/>
      <c r="BG66" s="12"/>
      <c r="BH66" s="12"/>
      <c r="BI66" s="12"/>
      <c r="BJ66" s="12"/>
      <c r="BK66" s="12"/>
      <c r="BL66" s="12"/>
      <c r="BM66" s="12"/>
      <c r="BN66" s="12"/>
      <c r="BO66" s="12"/>
      <c r="BP66" s="12"/>
      <c r="BQ66" s="12"/>
      <c r="BR66" s="12"/>
      <c r="BS66" s="12"/>
      <c r="BT66" s="12"/>
      <c r="BU66" s="12"/>
      <c r="BV66" s="12"/>
      <c r="BW66" s="12"/>
      <c r="BX66" s="12"/>
      <c r="BY66" s="12"/>
      <c r="BZ66" s="12"/>
      <c r="CA66" s="12"/>
      <c r="CB66" s="12"/>
      <c r="CC66" s="12"/>
      <c r="CD66" s="12"/>
      <c r="CE66" s="12"/>
      <c r="CF66" s="12"/>
      <c r="CG66" s="12"/>
      <c r="CH66" s="12"/>
      <c r="CI66" s="12"/>
      <c r="CJ66" s="12"/>
      <c r="CK66" s="12"/>
      <c r="CL66" s="12"/>
      <c r="CM66" s="12"/>
      <c r="CN66" s="12"/>
      <c r="CO66" s="12"/>
      <c r="CP66" s="12"/>
      <c r="CQ66" s="12"/>
      <c r="CR66" s="12"/>
      <c r="CS66" s="12"/>
      <c r="CT66" s="12"/>
      <c r="CU66" s="12"/>
      <c r="CV66" s="12"/>
      <c r="CW66" s="12"/>
      <c r="CX66" s="12"/>
      <c r="CY66" s="12"/>
      <c r="CZ66" s="12"/>
      <c r="DA66" s="12"/>
      <c r="DB66" s="12"/>
      <c r="DC66" s="12"/>
      <c r="DD66" s="12"/>
      <c r="DE66" s="12"/>
      <c r="DF66" s="12"/>
      <c r="DG66" s="12"/>
      <c r="DH66" s="12"/>
      <c r="DI66" s="12"/>
      <c r="DJ66" s="12"/>
      <c r="DK66" s="12"/>
      <c r="DL66" s="12"/>
      <c r="DM66" s="12"/>
      <c r="DN66" s="12"/>
      <c r="DO66" s="12"/>
      <c r="DP66" s="12"/>
      <c r="DQ66" s="12"/>
      <c r="DR66" s="12"/>
      <c r="DS66" s="12"/>
      <c r="DT66" s="12"/>
      <c r="DU66" s="12"/>
      <c r="DV66" s="12"/>
      <c r="DW66" s="12"/>
      <c r="DX66" s="12"/>
      <c r="DY66" s="12"/>
      <c r="DZ66" s="12"/>
      <c r="EA66" s="12"/>
      <c r="EB66" s="12"/>
      <c r="EC66" s="12"/>
      <c r="ED66" s="12"/>
      <c r="EE66" s="12"/>
      <c r="EF66" s="12"/>
      <c r="EG66" s="12"/>
      <c r="EH66" s="12"/>
      <c r="EI66" s="12"/>
      <c r="EJ66" s="12"/>
      <c r="EK66" s="12"/>
      <c r="EL66" s="12"/>
      <c r="EM66" s="12"/>
      <c r="EN66" s="12"/>
      <c r="EO66" s="12"/>
      <c r="EP66" s="12"/>
      <c r="EQ66" s="12"/>
      <c r="ER66" s="12"/>
      <c r="ES66" s="12"/>
      <c r="ET66" s="12"/>
      <c r="EU66" s="12"/>
      <c r="EV66" s="12"/>
      <c r="EW66" s="12"/>
      <c r="EX66" s="12"/>
      <c r="EY66" s="12"/>
      <c r="EZ66" s="12"/>
      <c r="FA66" s="12"/>
      <c r="FB66" s="12"/>
      <c r="FC66" s="12"/>
      <c r="FD66" s="12"/>
      <c r="FE66" s="12"/>
      <c r="FF66" s="12"/>
      <c r="FG66" s="12"/>
      <c r="FH66" s="12"/>
      <c r="FI66" s="12"/>
      <c r="FJ66" s="12"/>
      <c r="FK66" s="12"/>
      <c r="FL66" s="12"/>
      <c r="FM66" s="12"/>
      <c r="FN66" s="12"/>
      <c r="FO66" s="12"/>
      <c r="FP66" s="12"/>
      <c r="FQ66" s="12"/>
      <c r="FR66" s="12"/>
      <c r="FS66" s="12"/>
      <c r="FT66" s="12"/>
      <c r="FU66" s="12"/>
      <c r="FV66" s="12"/>
      <c r="FW66" s="12"/>
      <c r="FX66" s="12"/>
      <c r="FY66" s="12"/>
      <c r="FZ66" s="12"/>
      <c r="GA66" s="12"/>
      <c r="GB66" s="12"/>
      <c r="GC66" s="12"/>
      <c r="GD66" s="12"/>
      <c r="GE66" s="12"/>
    </row>
    <row r="67" spans="1:187" ht="21" customHeight="1">
      <c r="A67" s="45"/>
      <c r="B67" s="9" t="s">
        <v>291</v>
      </c>
      <c r="C67" s="10" t="s">
        <v>66</v>
      </c>
      <c r="D67" s="10" t="s">
        <v>115</v>
      </c>
      <c r="E67" s="35">
        <v>158.941</v>
      </c>
      <c r="F67" s="35">
        <f>232.999-E67</f>
        <v>74.057999999999993</v>
      </c>
      <c r="G67" s="35">
        <v>0</v>
      </c>
      <c r="H67" s="35">
        <f>181.079</f>
        <v>181.07900000000001</v>
      </c>
      <c r="I67" s="35">
        <f t="shared" si="0"/>
        <v>414.07799999999997</v>
      </c>
      <c r="J67" s="56">
        <v>605.5</v>
      </c>
      <c r="K67" s="49">
        <v>5480.17</v>
      </c>
      <c r="L67" s="49">
        <v>5699.37</v>
      </c>
      <c r="M67" s="49">
        <v>1586.04</v>
      </c>
      <c r="N67" s="49">
        <v>1649.4816000000001</v>
      </c>
      <c r="O67" s="56">
        <f t="shared" si="1"/>
        <v>3894.13</v>
      </c>
      <c r="P67" s="1">
        <f t="shared" si="2"/>
        <v>618936.91633000004</v>
      </c>
      <c r="Q67" s="1">
        <f t="shared" si="3"/>
        <v>288391.47953999997</v>
      </c>
      <c r="R67" s="1">
        <f t="shared" si="4"/>
        <v>0</v>
      </c>
      <c r="S67" s="1">
        <f t="shared" si="5"/>
        <v>733349.74158359994</v>
      </c>
      <c r="T67" s="1">
        <f t="shared" si="6"/>
        <v>1640678.1374535998</v>
      </c>
      <c r="U67" s="11"/>
      <c r="V67" s="11"/>
      <c r="W67" s="11"/>
      <c r="X67" s="12"/>
      <c r="Y67" s="12"/>
      <c r="Z67" s="12"/>
      <c r="AA67" s="12"/>
      <c r="AB67" s="12"/>
      <c r="AC67" s="12"/>
      <c r="AD67" s="12"/>
      <c r="AE67" s="12"/>
      <c r="AF67" s="12"/>
      <c r="AG67" s="12"/>
      <c r="AH67" s="12"/>
      <c r="AI67" s="12"/>
      <c r="AJ67" s="12"/>
      <c r="AK67" s="12"/>
      <c r="AL67" s="12"/>
      <c r="AM67" s="12"/>
      <c r="AN67" s="12"/>
      <c r="AO67" s="12"/>
      <c r="AP67" s="12"/>
      <c r="AQ67" s="12"/>
      <c r="AR67" s="12"/>
      <c r="AS67" s="12"/>
      <c r="AT67" s="12"/>
      <c r="AU67" s="12"/>
      <c r="AV67" s="12"/>
      <c r="AW67" s="12"/>
      <c r="AX67" s="12"/>
      <c r="AY67" s="12"/>
      <c r="AZ67" s="12"/>
      <c r="BA67" s="12"/>
      <c r="BB67" s="12"/>
      <c r="BC67" s="12"/>
      <c r="BD67" s="12"/>
      <c r="BE67" s="12"/>
      <c r="BF67" s="12"/>
      <c r="BG67" s="12"/>
      <c r="BH67" s="12"/>
      <c r="BI67" s="12"/>
      <c r="BJ67" s="12"/>
      <c r="BK67" s="12"/>
      <c r="BL67" s="12"/>
      <c r="BM67" s="12"/>
      <c r="BN67" s="12"/>
      <c r="BO67" s="12"/>
      <c r="BP67" s="12"/>
      <c r="BQ67" s="12"/>
      <c r="BR67" s="12"/>
      <c r="BS67" s="12"/>
      <c r="BT67" s="12"/>
      <c r="BU67" s="12"/>
      <c r="BV67" s="12"/>
      <c r="BW67" s="12"/>
      <c r="BX67" s="12"/>
      <c r="BY67" s="12"/>
      <c r="BZ67" s="12"/>
      <c r="CA67" s="12"/>
      <c r="CB67" s="12"/>
      <c r="CC67" s="12"/>
      <c r="CD67" s="12"/>
      <c r="CE67" s="12"/>
      <c r="CF67" s="12"/>
      <c r="CG67" s="12"/>
      <c r="CH67" s="12"/>
      <c r="CI67" s="12"/>
      <c r="CJ67" s="12"/>
      <c r="CK67" s="12"/>
      <c r="CL67" s="12"/>
      <c r="CM67" s="12"/>
      <c r="CN67" s="12"/>
      <c r="CO67" s="12"/>
      <c r="CP67" s="12"/>
      <c r="CQ67" s="12"/>
      <c r="CR67" s="12"/>
      <c r="CS67" s="12"/>
      <c r="CT67" s="12"/>
      <c r="CU67" s="12"/>
      <c r="CV67" s="12"/>
      <c r="CW67" s="12"/>
      <c r="CX67" s="12"/>
      <c r="CY67" s="12"/>
      <c r="CZ67" s="12"/>
      <c r="DA67" s="12"/>
      <c r="DB67" s="12"/>
      <c r="DC67" s="12"/>
      <c r="DD67" s="12"/>
      <c r="DE67" s="12"/>
      <c r="DF67" s="12"/>
      <c r="DG67" s="12"/>
      <c r="DH67" s="12"/>
      <c r="DI67" s="12"/>
      <c r="DJ67" s="12"/>
      <c r="DK67" s="12"/>
      <c r="DL67" s="12"/>
      <c r="DM67" s="12"/>
      <c r="DN67" s="12"/>
      <c r="DO67" s="12"/>
      <c r="DP67" s="12"/>
      <c r="DQ67" s="12"/>
      <c r="DR67" s="12"/>
      <c r="DS67" s="12"/>
      <c r="DT67" s="12"/>
      <c r="DU67" s="12"/>
      <c r="DV67" s="12"/>
      <c r="DW67" s="12"/>
      <c r="DX67" s="12"/>
      <c r="DY67" s="12"/>
      <c r="DZ67" s="12"/>
      <c r="EA67" s="12"/>
      <c r="EB67" s="12"/>
      <c r="EC67" s="12"/>
      <c r="ED67" s="12"/>
      <c r="EE67" s="12"/>
      <c r="EF67" s="12"/>
      <c r="EG67" s="12"/>
      <c r="EH67" s="12"/>
      <c r="EI67" s="12"/>
      <c r="EJ67" s="12"/>
      <c r="EK67" s="12"/>
      <c r="EL67" s="12"/>
      <c r="EM67" s="12"/>
      <c r="EN67" s="12"/>
      <c r="EO67" s="12"/>
      <c r="EP67" s="12"/>
      <c r="EQ67" s="12"/>
      <c r="ER67" s="12"/>
      <c r="ES67" s="12"/>
      <c r="ET67" s="12"/>
      <c r="EU67" s="12"/>
      <c r="EV67" s="12"/>
      <c r="EW67" s="12"/>
      <c r="EX67" s="12"/>
      <c r="EY67" s="12"/>
      <c r="EZ67" s="12"/>
      <c r="FA67" s="12"/>
      <c r="FB67" s="12"/>
      <c r="FC67" s="12"/>
      <c r="FD67" s="12"/>
      <c r="FE67" s="12"/>
      <c r="FF67" s="12"/>
      <c r="FG67" s="12"/>
      <c r="FH67" s="12"/>
      <c r="FI67" s="12"/>
      <c r="FJ67" s="12"/>
      <c r="FK67" s="12"/>
      <c r="FL67" s="12"/>
      <c r="FM67" s="12"/>
      <c r="FN67" s="12"/>
      <c r="FO67" s="12"/>
      <c r="FP67" s="12"/>
      <c r="FQ67" s="12"/>
      <c r="FR67" s="12"/>
      <c r="FS67" s="12"/>
      <c r="FT67" s="12"/>
      <c r="FU67" s="12"/>
      <c r="FV67" s="12"/>
      <c r="FW67" s="12"/>
      <c r="FX67" s="12"/>
      <c r="FY67" s="12"/>
      <c r="FZ67" s="12"/>
      <c r="GA67" s="12"/>
      <c r="GB67" s="12"/>
      <c r="GC67" s="12"/>
      <c r="GD67" s="12"/>
      <c r="GE67" s="12"/>
    </row>
    <row r="68" spans="1:187" s="19" customFormat="1" ht="21" customHeight="1" outlineLevel="1">
      <c r="A68" s="29"/>
      <c r="B68" s="106" t="s">
        <v>112</v>
      </c>
      <c r="C68" s="106"/>
      <c r="D68" s="106"/>
      <c r="E68" s="71"/>
      <c r="F68" s="2"/>
      <c r="G68" s="2"/>
      <c r="H68" s="2"/>
      <c r="I68" s="35">
        <f t="shared" si="0"/>
        <v>0</v>
      </c>
      <c r="J68" s="56"/>
      <c r="K68" s="49"/>
      <c r="L68" s="49"/>
      <c r="M68" s="49"/>
      <c r="N68" s="49"/>
      <c r="O68" s="56">
        <f t="shared" si="1"/>
        <v>0</v>
      </c>
      <c r="P68" s="1">
        <f t="shared" si="2"/>
        <v>0</v>
      </c>
      <c r="Q68" s="1">
        <f t="shared" si="3"/>
        <v>0</v>
      </c>
      <c r="R68" s="1">
        <f t="shared" si="4"/>
        <v>0</v>
      </c>
      <c r="S68" s="1">
        <f t="shared" si="5"/>
        <v>0</v>
      </c>
      <c r="T68" s="1">
        <f t="shared" si="6"/>
        <v>0</v>
      </c>
      <c r="U68" s="1">
        <f>G68*(P68-R68)</f>
        <v>0</v>
      </c>
      <c r="V68" s="1"/>
      <c r="W68" s="1"/>
    </row>
    <row r="69" spans="1:187" s="19" customFormat="1" ht="21" customHeight="1" outlineLevel="1">
      <c r="A69" s="29"/>
      <c r="B69" s="4" t="s">
        <v>19</v>
      </c>
      <c r="C69" s="3" t="s">
        <v>113</v>
      </c>
      <c r="D69" s="3"/>
      <c r="E69" s="42">
        <v>2758.7080000000001</v>
      </c>
      <c r="F69" s="42">
        <f>3971.809-E69</f>
        <v>1213.1010000000001</v>
      </c>
      <c r="G69" s="42">
        <v>334.017</v>
      </c>
      <c r="H69" s="42">
        <f>2199.106-G69</f>
        <v>1865.0890000000002</v>
      </c>
      <c r="I69" s="35">
        <f t="shared" si="0"/>
        <v>6170.915</v>
      </c>
      <c r="J69" s="56">
        <v>6222.2960000000003</v>
      </c>
      <c r="K69" s="49">
        <v>1825.4704000000002</v>
      </c>
      <c r="L69" s="49">
        <v>1898.4892160000002</v>
      </c>
      <c r="M69" s="49">
        <v>1717.3445899999997</v>
      </c>
      <c r="N69" s="49">
        <v>1786.0383735999997</v>
      </c>
      <c r="O69" s="56">
        <f t="shared" si="1"/>
        <v>108.12581000000046</v>
      </c>
      <c r="P69" s="1">
        <f t="shared" si="2"/>
        <v>298287.53705348127</v>
      </c>
      <c r="Q69" s="1">
        <f t="shared" si="3"/>
        <v>131167.52823681055</v>
      </c>
      <c r="R69" s="1">
        <f t="shared" si="4"/>
        <v>37560.493025920972</v>
      </c>
      <c r="S69" s="1">
        <f t="shared" si="5"/>
        <v>209730.82920097458</v>
      </c>
      <c r="T69" s="1">
        <f t="shared" si="6"/>
        <v>676746.3875171874</v>
      </c>
      <c r="U69" s="1">
        <f>G69*(P69-R69)</f>
        <v>87087265.06495361</v>
      </c>
      <c r="V69" s="1"/>
      <c r="W69" s="1"/>
    </row>
    <row r="70" spans="1:187" s="19" customFormat="1" ht="21" customHeight="1" outlineLevel="1">
      <c r="A70" s="29" t="s">
        <v>337</v>
      </c>
      <c r="B70" s="9">
        <v>7729314745</v>
      </c>
      <c r="C70" s="10" t="s">
        <v>341</v>
      </c>
      <c r="D70" s="3"/>
      <c r="E70" s="35">
        <f>739.596*0.4</f>
        <v>295.83840000000004</v>
      </c>
      <c r="F70" s="35">
        <f>739.596*0.6</f>
        <v>443.75759999999997</v>
      </c>
      <c r="G70" s="35">
        <f>605.124*0.8</f>
        <v>484.09920000000005</v>
      </c>
      <c r="H70" s="35">
        <f>605.124*0.2</f>
        <v>121.02480000000001</v>
      </c>
      <c r="I70" s="35">
        <f t="shared" si="0"/>
        <v>1344.72</v>
      </c>
      <c r="J70" s="56">
        <v>1344.7</v>
      </c>
      <c r="K70" s="49">
        <v>7705.3808000000008</v>
      </c>
      <c r="L70" s="49">
        <v>8013.5960320000013</v>
      </c>
      <c r="M70" s="49">
        <v>2067.5913399999999</v>
      </c>
      <c r="N70" s="49">
        <v>2150.2949936</v>
      </c>
      <c r="O70" s="56">
        <f t="shared" si="1"/>
        <v>5637.7894600000009</v>
      </c>
      <c r="P70" s="1">
        <f t="shared" si="2"/>
        <v>1667874.6133832645</v>
      </c>
      <c r="Q70" s="1">
        <f t="shared" si="3"/>
        <v>2501811.9200748964</v>
      </c>
      <c r="R70" s="1">
        <f t="shared" si="4"/>
        <v>2838419.3420486101</v>
      </c>
      <c r="S70" s="1">
        <f t="shared" si="5"/>
        <v>709604.83551215252</v>
      </c>
      <c r="T70" s="1">
        <f t="shared" si="6"/>
        <v>7717710.7110189246</v>
      </c>
      <c r="U70" s="1"/>
      <c r="V70" s="1"/>
      <c r="W70" s="1"/>
    </row>
    <row r="71" spans="1:187" ht="21" customHeight="1">
      <c r="A71" s="45"/>
      <c r="B71" s="101" t="s">
        <v>119</v>
      </c>
      <c r="C71" s="101"/>
      <c r="D71" s="101"/>
      <c r="E71" s="34"/>
      <c r="F71" s="34"/>
      <c r="G71" s="34"/>
      <c r="H71" s="34"/>
      <c r="I71" s="35">
        <f t="shared" si="0"/>
        <v>0</v>
      </c>
      <c r="J71" s="56"/>
      <c r="K71" s="49"/>
      <c r="L71" s="49"/>
      <c r="M71" s="49"/>
      <c r="N71" s="49"/>
      <c r="O71" s="56">
        <f t="shared" si="1"/>
        <v>0</v>
      </c>
      <c r="P71" s="1">
        <f t="shared" si="2"/>
        <v>0</v>
      </c>
      <c r="Q71" s="1">
        <f t="shared" si="3"/>
        <v>0</v>
      </c>
      <c r="R71" s="1">
        <f t="shared" si="4"/>
        <v>0</v>
      </c>
      <c r="S71" s="1">
        <f t="shared" si="5"/>
        <v>0</v>
      </c>
      <c r="T71" s="1">
        <f t="shared" si="6"/>
        <v>0</v>
      </c>
      <c r="U71" s="45"/>
      <c r="V71" s="45"/>
      <c r="W71" s="45"/>
    </row>
    <row r="72" spans="1:187" ht="21" customHeight="1">
      <c r="A72" s="45"/>
      <c r="B72" s="9" t="s">
        <v>43</v>
      </c>
      <c r="C72" s="10" t="s">
        <v>120</v>
      </c>
      <c r="D72" s="10" t="s">
        <v>121</v>
      </c>
      <c r="E72" s="35">
        <v>300.31</v>
      </c>
      <c r="F72" s="35">
        <f>455.02-E72</f>
        <v>154.70999999999998</v>
      </c>
      <c r="G72" s="35">
        <v>36</v>
      </c>
      <c r="H72" s="35">
        <f>330.46-G72</f>
        <v>294.45999999999998</v>
      </c>
      <c r="I72" s="35">
        <f t="shared" si="0"/>
        <v>785.48</v>
      </c>
      <c r="J72" s="56">
        <v>833</v>
      </c>
      <c r="K72" s="49">
        <v>5337.5088000000005</v>
      </c>
      <c r="L72" s="49">
        <v>5551.0091520000005</v>
      </c>
      <c r="M72" s="49">
        <v>1735.6580099999999</v>
      </c>
      <c r="N72" s="49">
        <v>1805.0843304</v>
      </c>
      <c r="O72" s="56">
        <f t="shared" si="1"/>
        <v>3601.8507900000004</v>
      </c>
      <c r="P72" s="1">
        <f t="shared" si="2"/>
        <v>1081671.8107449</v>
      </c>
      <c r="Q72" s="1">
        <f t="shared" si="3"/>
        <v>557242.33572089998</v>
      </c>
      <c r="R72" s="1">
        <f t="shared" si="4"/>
        <v>134853.29357760001</v>
      </c>
      <c r="S72" s="1">
        <f t="shared" si="5"/>
        <v>1103025.022968336</v>
      </c>
      <c r="T72" s="1">
        <f t="shared" si="6"/>
        <v>2876792.4630117361</v>
      </c>
      <c r="U72" s="11"/>
      <c r="V72" s="11"/>
      <c r="W72" s="11"/>
      <c r="X72" s="12"/>
      <c r="Y72" s="12"/>
      <c r="Z72" s="12"/>
      <c r="AA72" s="12"/>
      <c r="AB72" s="12"/>
      <c r="AC72" s="12"/>
      <c r="AD72" s="12"/>
      <c r="AE72" s="12"/>
      <c r="AF72" s="12"/>
      <c r="AG72" s="12"/>
      <c r="AH72" s="12"/>
      <c r="AI72" s="12"/>
      <c r="AJ72" s="12"/>
      <c r="AK72" s="12"/>
      <c r="AL72" s="12"/>
      <c r="AM72" s="12"/>
      <c r="AN72" s="12"/>
      <c r="AO72" s="12"/>
      <c r="AP72" s="12"/>
      <c r="AQ72" s="12"/>
      <c r="AR72" s="12"/>
      <c r="AS72" s="12"/>
      <c r="AT72" s="12"/>
      <c r="AU72" s="12"/>
      <c r="AV72" s="12"/>
      <c r="AW72" s="12"/>
      <c r="AX72" s="12"/>
      <c r="AY72" s="12"/>
      <c r="AZ72" s="12"/>
      <c r="BA72" s="12"/>
      <c r="BB72" s="12"/>
      <c r="BC72" s="12"/>
      <c r="BD72" s="12"/>
      <c r="BE72" s="12"/>
      <c r="BF72" s="12"/>
      <c r="BG72" s="12"/>
      <c r="BH72" s="12"/>
      <c r="BI72" s="12"/>
      <c r="BJ72" s="12"/>
      <c r="BK72" s="12"/>
      <c r="BL72" s="12"/>
      <c r="BM72" s="12"/>
      <c r="BN72" s="12"/>
      <c r="BO72" s="12"/>
      <c r="BP72" s="12"/>
      <c r="BQ72" s="12"/>
      <c r="BR72" s="12"/>
      <c r="BS72" s="12"/>
      <c r="BT72" s="12"/>
      <c r="BU72" s="12"/>
      <c r="BV72" s="12"/>
      <c r="BW72" s="12"/>
      <c r="BX72" s="12"/>
      <c r="BY72" s="12"/>
      <c r="BZ72" s="12"/>
      <c r="CA72" s="12"/>
      <c r="CB72" s="12"/>
      <c r="CC72" s="12"/>
      <c r="CD72" s="12"/>
      <c r="CE72" s="12"/>
      <c r="CF72" s="12"/>
      <c r="CG72" s="12"/>
      <c r="CH72" s="12"/>
      <c r="CI72" s="12"/>
      <c r="CJ72" s="12"/>
      <c r="CK72" s="12"/>
      <c r="CL72" s="12"/>
      <c r="CM72" s="12"/>
      <c r="CN72" s="12"/>
      <c r="CO72" s="12"/>
      <c r="CP72" s="12"/>
      <c r="CQ72" s="12"/>
      <c r="CR72" s="12"/>
      <c r="CS72" s="12"/>
      <c r="CT72" s="12"/>
      <c r="CU72" s="12"/>
      <c r="CV72" s="12"/>
      <c r="CW72" s="12"/>
      <c r="CX72" s="12"/>
      <c r="CY72" s="12"/>
      <c r="CZ72" s="12"/>
      <c r="DA72" s="12"/>
      <c r="DB72" s="12"/>
      <c r="DC72" s="12"/>
      <c r="DD72" s="12"/>
      <c r="DE72" s="12"/>
      <c r="DF72" s="12"/>
      <c r="DG72" s="12"/>
      <c r="DH72" s="12"/>
      <c r="DI72" s="12"/>
      <c r="DJ72" s="12"/>
      <c r="DK72" s="12"/>
      <c r="DL72" s="12"/>
      <c r="DM72" s="12"/>
      <c r="DN72" s="12"/>
      <c r="DO72" s="12"/>
      <c r="DP72" s="12"/>
      <c r="DQ72" s="12"/>
      <c r="DR72" s="12"/>
      <c r="DS72" s="12"/>
      <c r="DT72" s="12"/>
      <c r="DU72" s="12"/>
      <c r="DV72" s="12"/>
      <c r="DW72" s="12"/>
      <c r="DX72" s="12"/>
      <c r="DY72" s="12"/>
      <c r="DZ72" s="12"/>
      <c r="EA72" s="12"/>
      <c r="EB72" s="12"/>
      <c r="EC72" s="12"/>
      <c r="ED72" s="12"/>
      <c r="EE72" s="12"/>
      <c r="EF72" s="12"/>
      <c r="EG72" s="12"/>
      <c r="EH72" s="12"/>
      <c r="EI72" s="12"/>
      <c r="EJ72" s="12"/>
      <c r="EK72" s="12"/>
      <c r="EL72" s="12"/>
      <c r="EM72" s="12"/>
      <c r="EN72" s="12"/>
      <c r="EO72" s="12"/>
      <c r="EP72" s="12"/>
      <c r="EQ72" s="12"/>
      <c r="ER72" s="12"/>
      <c r="ES72" s="12"/>
      <c r="ET72" s="12"/>
      <c r="EU72" s="12"/>
      <c r="EV72" s="12"/>
      <c r="EW72" s="12"/>
      <c r="EX72" s="12"/>
      <c r="EY72" s="12"/>
      <c r="EZ72" s="12"/>
      <c r="FA72" s="12"/>
      <c r="FB72" s="12"/>
      <c r="FC72" s="12"/>
      <c r="FD72" s="12"/>
      <c r="FE72" s="12"/>
      <c r="FF72" s="12"/>
      <c r="FG72" s="12"/>
      <c r="FH72" s="12"/>
      <c r="FI72" s="12"/>
      <c r="FJ72" s="12"/>
      <c r="FK72" s="12"/>
      <c r="FL72" s="12"/>
      <c r="FM72" s="12"/>
      <c r="FN72" s="12"/>
      <c r="FO72" s="12"/>
      <c r="FP72" s="12"/>
      <c r="FQ72" s="12"/>
      <c r="FR72" s="12"/>
      <c r="FS72" s="12"/>
      <c r="FT72" s="12"/>
      <c r="FU72" s="12"/>
      <c r="FV72" s="12"/>
      <c r="FW72" s="12"/>
      <c r="FX72" s="12"/>
      <c r="FY72" s="12"/>
      <c r="FZ72" s="12"/>
      <c r="GA72" s="12"/>
      <c r="GB72" s="12"/>
      <c r="GC72" s="12"/>
      <c r="GD72" s="12"/>
      <c r="GE72" s="12"/>
    </row>
    <row r="73" spans="1:187" ht="21" customHeight="1">
      <c r="A73" s="45"/>
      <c r="B73" s="9" t="s">
        <v>297</v>
      </c>
      <c r="C73" s="10" t="s">
        <v>298</v>
      </c>
      <c r="D73" s="10" t="s">
        <v>122</v>
      </c>
      <c r="E73" s="35">
        <v>3262.3429999999998</v>
      </c>
      <c r="F73" s="35">
        <f>4513.742-E73</f>
        <v>1251.3990000000003</v>
      </c>
      <c r="G73" s="35">
        <v>379.71899999999999</v>
      </c>
      <c r="H73" s="35">
        <f>3345.173-G73</f>
        <v>2965.4539999999997</v>
      </c>
      <c r="I73" s="35">
        <f t="shared" ref="I73:I138" si="8">SUM(E73:H73)</f>
        <v>7858.915</v>
      </c>
      <c r="J73" s="56">
        <v>8031.2</v>
      </c>
      <c r="K73" s="49">
        <v>5480.8208000000004</v>
      </c>
      <c r="L73" s="49">
        <v>5700.053632000001</v>
      </c>
      <c r="M73" s="49">
        <v>1687.8211999999999</v>
      </c>
      <c r="N73" s="49">
        <v>1755.3340479999999</v>
      </c>
      <c r="O73" s="56">
        <f t="shared" si="1"/>
        <v>3792.9996000000006</v>
      </c>
      <c r="P73" s="1">
        <f t="shared" si="2"/>
        <v>12374065.694062801</v>
      </c>
      <c r="Q73" s="1">
        <f t="shared" si="3"/>
        <v>4746555.9064404024</v>
      </c>
      <c r="R73" s="1">
        <f t="shared" si="4"/>
        <v>1497884.9757168966</v>
      </c>
      <c r="S73" s="1">
        <f t="shared" si="5"/>
        <v>11697884.469251139</v>
      </c>
      <c r="T73" s="1">
        <f t="shared" si="6"/>
        <v>30316391.045471236</v>
      </c>
      <c r="U73" s="11"/>
      <c r="V73" s="11"/>
      <c r="W73" s="11"/>
      <c r="X73" s="12"/>
      <c r="Y73" s="12"/>
      <c r="Z73" s="12"/>
      <c r="AA73" s="12"/>
      <c r="AB73" s="12"/>
      <c r="AC73" s="12"/>
      <c r="AD73" s="12"/>
      <c r="AE73" s="12"/>
      <c r="AF73" s="12"/>
      <c r="AG73" s="12"/>
      <c r="AH73" s="12"/>
      <c r="AI73" s="12"/>
      <c r="AJ73" s="12"/>
      <c r="AK73" s="12"/>
      <c r="AL73" s="12"/>
      <c r="AM73" s="12"/>
      <c r="AN73" s="12"/>
      <c r="AO73" s="12"/>
      <c r="AP73" s="12"/>
      <c r="AQ73" s="12"/>
      <c r="AR73" s="12"/>
      <c r="AS73" s="12"/>
      <c r="AT73" s="12"/>
      <c r="AU73" s="12"/>
      <c r="AV73" s="12"/>
      <c r="AW73" s="12"/>
      <c r="AX73" s="12"/>
      <c r="AY73" s="12"/>
      <c r="AZ73" s="12"/>
      <c r="BA73" s="12"/>
      <c r="BB73" s="12"/>
      <c r="BC73" s="12"/>
      <c r="BD73" s="12"/>
      <c r="BE73" s="12"/>
      <c r="BF73" s="12"/>
      <c r="BG73" s="12"/>
      <c r="BH73" s="12"/>
      <c r="BI73" s="12"/>
      <c r="BJ73" s="12"/>
      <c r="BK73" s="12"/>
      <c r="BL73" s="12"/>
      <c r="BM73" s="12"/>
      <c r="BN73" s="12"/>
      <c r="BO73" s="12"/>
      <c r="BP73" s="12"/>
      <c r="BQ73" s="12"/>
      <c r="BR73" s="12"/>
      <c r="BS73" s="12"/>
      <c r="BT73" s="12"/>
      <c r="BU73" s="12"/>
      <c r="BV73" s="12"/>
      <c r="BW73" s="12"/>
      <c r="BX73" s="12"/>
      <c r="BY73" s="12"/>
      <c r="BZ73" s="12"/>
      <c r="CA73" s="12"/>
      <c r="CB73" s="12"/>
      <c r="CC73" s="12"/>
      <c r="CD73" s="12"/>
      <c r="CE73" s="12"/>
      <c r="CF73" s="12"/>
      <c r="CG73" s="12"/>
      <c r="CH73" s="12"/>
      <c r="CI73" s="12"/>
      <c r="CJ73" s="12"/>
      <c r="CK73" s="12"/>
      <c r="CL73" s="12"/>
      <c r="CM73" s="12"/>
      <c r="CN73" s="12"/>
      <c r="CO73" s="12"/>
      <c r="CP73" s="12"/>
      <c r="CQ73" s="12"/>
      <c r="CR73" s="12"/>
      <c r="CS73" s="12"/>
      <c r="CT73" s="12"/>
      <c r="CU73" s="12"/>
      <c r="CV73" s="12"/>
      <c r="CW73" s="12"/>
      <c r="CX73" s="12"/>
      <c r="CY73" s="12"/>
      <c r="CZ73" s="12"/>
      <c r="DA73" s="12"/>
      <c r="DB73" s="12"/>
      <c r="DC73" s="12"/>
      <c r="DD73" s="12"/>
      <c r="DE73" s="12"/>
      <c r="DF73" s="12"/>
      <c r="DG73" s="12"/>
      <c r="DH73" s="12"/>
      <c r="DI73" s="12"/>
      <c r="DJ73" s="12"/>
      <c r="DK73" s="12"/>
      <c r="DL73" s="12"/>
      <c r="DM73" s="12"/>
      <c r="DN73" s="12"/>
      <c r="DO73" s="12"/>
      <c r="DP73" s="12"/>
      <c r="DQ73" s="12"/>
      <c r="DR73" s="12"/>
      <c r="DS73" s="12"/>
      <c r="DT73" s="12"/>
      <c r="DU73" s="12"/>
      <c r="DV73" s="12"/>
      <c r="DW73" s="12"/>
      <c r="DX73" s="12"/>
      <c r="DY73" s="12"/>
      <c r="DZ73" s="12"/>
      <c r="EA73" s="12"/>
      <c r="EB73" s="12"/>
      <c r="EC73" s="12"/>
      <c r="ED73" s="12"/>
      <c r="EE73" s="12"/>
      <c r="EF73" s="12"/>
      <c r="EG73" s="12"/>
      <c r="EH73" s="12"/>
      <c r="EI73" s="12"/>
      <c r="EJ73" s="12"/>
      <c r="EK73" s="12"/>
      <c r="EL73" s="12"/>
      <c r="EM73" s="12"/>
      <c r="EN73" s="12"/>
      <c r="EO73" s="12"/>
      <c r="EP73" s="12"/>
      <c r="EQ73" s="12"/>
      <c r="ER73" s="12"/>
      <c r="ES73" s="12"/>
      <c r="ET73" s="12"/>
      <c r="EU73" s="12"/>
      <c r="EV73" s="12"/>
      <c r="EW73" s="12"/>
      <c r="EX73" s="12"/>
      <c r="EY73" s="12"/>
      <c r="EZ73" s="12"/>
      <c r="FA73" s="12"/>
      <c r="FB73" s="12"/>
      <c r="FC73" s="12"/>
      <c r="FD73" s="12"/>
      <c r="FE73" s="12"/>
      <c r="FF73" s="12"/>
      <c r="FG73" s="12"/>
      <c r="FH73" s="12"/>
      <c r="FI73" s="12"/>
      <c r="FJ73" s="12"/>
      <c r="FK73" s="12"/>
      <c r="FL73" s="12"/>
      <c r="FM73" s="12"/>
      <c r="FN73" s="12"/>
      <c r="FO73" s="12"/>
      <c r="FP73" s="12"/>
      <c r="FQ73" s="12"/>
      <c r="FR73" s="12"/>
      <c r="FS73" s="12"/>
      <c r="FT73" s="12"/>
      <c r="FU73" s="12"/>
      <c r="FV73" s="12"/>
      <c r="FW73" s="12"/>
      <c r="FX73" s="12"/>
      <c r="FY73" s="12"/>
      <c r="FZ73" s="12"/>
      <c r="GA73" s="12"/>
      <c r="GB73" s="12"/>
      <c r="GC73" s="12"/>
      <c r="GD73" s="12"/>
      <c r="GE73" s="12"/>
    </row>
    <row r="74" spans="1:187" ht="21" customHeight="1">
      <c r="A74" s="45" t="s">
        <v>337</v>
      </c>
      <c r="B74" s="72">
        <v>2914001089</v>
      </c>
      <c r="C74" s="10" t="s">
        <v>331</v>
      </c>
      <c r="D74" s="10" t="s">
        <v>121</v>
      </c>
      <c r="E74" s="35">
        <f>83.9832*0.4</f>
        <v>33.59328</v>
      </c>
      <c r="F74" s="35">
        <f>83.9832*0.6</f>
        <v>50.389919999999996</v>
      </c>
      <c r="G74" s="35">
        <f>65.9868*0.2</f>
        <v>13.197360000000002</v>
      </c>
      <c r="H74" s="35">
        <f>65.9868*0.8</f>
        <v>52.789440000000006</v>
      </c>
      <c r="I74" s="35">
        <f t="shared" si="8"/>
        <v>149.97</v>
      </c>
      <c r="J74" s="56">
        <v>150</v>
      </c>
      <c r="K74" s="49">
        <v>9860.0632000000005</v>
      </c>
      <c r="L74" s="49">
        <v>10254.465728000001</v>
      </c>
      <c r="M74" s="49">
        <v>1735.6580099999999</v>
      </c>
      <c r="N74" s="49">
        <v>1805.0843304</v>
      </c>
      <c r="O74" s="56">
        <f t="shared" si="1"/>
        <v>8124.4051900000004</v>
      </c>
      <c r="P74" s="1">
        <f t="shared" si="2"/>
        <v>272925.41838112322</v>
      </c>
      <c r="Q74" s="1">
        <f t="shared" ref="Q74:Q137" si="9">(K74-M74)*F74</f>
        <v>409388.12757168477</v>
      </c>
      <c r="R74" s="1">
        <f t="shared" ref="R74:R137" si="10">(L74-N74)*G74</f>
        <v>111509.52808143037</v>
      </c>
      <c r="S74" s="1">
        <f t="shared" ref="S74:S137" si="11">(H74*(L74-N74))</f>
        <v>446038.11232572148</v>
      </c>
      <c r="T74" s="1">
        <f t="shared" ref="T74:T137" si="12">SUM(P74:S74)</f>
        <v>1239861.1863599599</v>
      </c>
      <c r="U74" s="11"/>
      <c r="V74" s="11"/>
      <c r="W74" s="11"/>
      <c r="X74" s="12"/>
      <c r="Y74" s="12"/>
      <c r="Z74" s="12"/>
      <c r="AA74" s="12"/>
      <c r="AB74" s="12"/>
      <c r="AC74" s="12"/>
      <c r="AD74" s="12"/>
      <c r="AE74" s="12"/>
      <c r="AF74" s="12"/>
      <c r="AG74" s="12"/>
      <c r="AH74" s="12"/>
      <c r="AI74" s="12"/>
      <c r="AJ74" s="12"/>
      <c r="AK74" s="12"/>
      <c r="AL74" s="12"/>
      <c r="AM74" s="12"/>
      <c r="AN74" s="12"/>
      <c r="AO74" s="12"/>
      <c r="AP74" s="12"/>
      <c r="AQ74" s="12"/>
      <c r="AR74" s="12"/>
      <c r="AS74" s="12"/>
      <c r="AT74" s="12"/>
      <c r="AU74" s="12"/>
      <c r="AV74" s="12"/>
      <c r="AW74" s="12"/>
      <c r="AX74" s="12"/>
      <c r="AY74" s="12"/>
      <c r="AZ74" s="12"/>
      <c r="BA74" s="12"/>
      <c r="BB74" s="12"/>
      <c r="BC74" s="12"/>
      <c r="BD74" s="12"/>
      <c r="BE74" s="12"/>
      <c r="BF74" s="12"/>
      <c r="BG74" s="12"/>
      <c r="BH74" s="12"/>
      <c r="BI74" s="12"/>
      <c r="BJ74" s="12"/>
      <c r="BK74" s="12"/>
      <c r="BL74" s="12"/>
      <c r="BM74" s="12"/>
      <c r="BN74" s="12"/>
      <c r="BO74" s="12"/>
      <c r="BP74" s="12"/>
      <c r="BQ74" s="12"/>
      <c r="BR74" s="12"/>
      <c r="BS74" s="12"/>
      <c r="BT74" s="12"/>
      <c r="BU74" s="12"/>
      <c r="BV74" s="12"/>
      <c r="BW74" s="12"/>
      <c r="BX74" s="12"/>
      <c r="BY74" s="12"/>
      <c r="BZ74" s="12"/>
      <c r="CA74" s="12"/>
      <c r="CB74" s="12"/>
      <c r="CC74" s="12"/>
      <c r="CD74" s="12"/>
      <c r="CE74" s="12"/>
      <c r="CF74" s="12"/>
      <c r="CG74" s="12"/>
      <c r="CH74" s="12"/>
      <c r="CI74" s="12"/>
      <c r="CJ74" s="12"/>
      <c r="CK74" s="12"/>
      <c r="CL74" s="12"/>
      <c r="CM74" s="12"/>
      <c r="CN74" s="12"/>
      <c r="CO74" s="12"/>
      <c r="CP74" s="12"/>
      <c r="CQ74" s="12"/>
      <c r="CR74" s="12"/>
      <c r="CS74" s="12"/>
      <c r="CT74" s="12"/>
      <c r="CU74" s="12"/>
      <c r="CV74" s="12"/>
      <c r="CW74" s="12"/>
      <c r="CX74" s="12"/>
      <c r="CY74" s="12"/>
      <c r="CZ74" s="12"/>
      <c r="DA74" s="12"/>
      <c r="DB74" s="12"/>
      <c r="DC74" s="12"/>
      <c r="DD74" s="12"/>
      <c r="DE74" s="12"/>
      <c r="DF74" s="12"/>
      <c r="DG74" s="12"/>
      <c r="DH74" s="12"/>
      <c r="DI74" s="12"/>
      <c r="DJ74" s="12"/>
      <c r="DK74" s="12"/>
      <c r="DL74" s="12"/>
      <c r="DM74" s="12"/>
      <c r="DN74" s="12"/>
      <c r="DO74" s="12"/>
      <c r="DP74" s="12"/>
      <c r="DQ74" s="12"/>
      <c r="DR74" s="12"/>
      <c r="DS74" s="12"/>
      <c r="DT74" s="12"/>
      <c r="DU74" s="12"/>
      <c r="DV74" s="12"/>
      <c r="DW74" s="12"/>
      <c r="DX74" s="12"/>
      <c r="DY74" s="12"/>
      <c r="DZ74" s="12"/>
      <c r="EA74" s="12"/>
      <c r="EB74" s="12"/>
      <c r="EC74" s="12"/>
      <c r="ED74" s="12"/>
      <c r="EE74" s="12"/>
      <c r="EF74" s="12"/>
      <c r="EG74" s="12"/>
      <c r="EH74" s="12"/>
      <c r="EI74" s="12"/>
      <c r="EJ74" s="12"/>
      <c r="EK74" s="12"/>
      <c r="EL74" s="12"/>
      <c r="EM74" s="12"/>
      <c r="EN74" s="12"/>
      <c r="EO74" s="12"/>
      <c r="EP74" s="12"/>
      <c r="EQ74" s="12"/>
      <c r="ER74" s="12"/>
      <c r="ES74" s="12"/>
      <c r="ET74" s="12"/>
      <c r="EU74" s="12"/>
      <c r="EV74" s="12"/>
      <c r="EW74" s="12"/>
      <c r="EX74" s="12"/>
      <c r="EY74" s="12"/>
      <c r="EZ74" s="12"/>
      <c r="FA74" s="12"/>
      <c r="FB74" s="12"/>
      <c r="FC74" s="12"/>
      <c r="FD74" s="12"/>
      <c r="FE74" s="12"/>
      <c r="FF74" s="12"/>
      <c r="FG74" s="12"/>
      <c r="FH74" s="12"/>
      <c r="FI74" s="12"/>
      <c r="FJ74" s="12"/>
      <c r="FK74" s="12"/>
      <c r="FL74" s="12"/>
      <c r="FM74" s="12"/>
      <c r="FN74" s="12"/>
      <c r="FO74" s="12"/>
      <c r="FP74" s="12"/>
      <c r="FQ74" s="12"/>
      <c r="FR74" s="12"/>
      <c r="FS74" s="12"/>
      <c r="FT74" s="12"/>
      <c r="FU74" s="12"/>
      <c r="FV74" s="12"/>
      <c r="FW74" s="12"/>
      <c r="FX74" s="12"/>
      <c r="FY74" s="12"/>
      <c r="FZ74" s="12"/>
      <c r="GA74" s="12"/>
      <c r="GB74" s="12"/>
      <c r="GC74" s="12"/>
      <c r="GD74" s="12"/>
      <c r="GE74" s="12"/>
    </row>
    <row r="75" spans="1:187" ht="21" customHeight="1">
      <c r="A75" s="45"/>
      <c r="B75" s="101" t="s">
        <v>123</v>
      </c>
      <c r="C75" s="101"/>
      <c r="D75" s="101"/>
      <c r="E75" s="34"/>
      <c r="F75" s="34"/>
      <c r="G75" s="34"/>
      <c r="H75" s="34"/>
      <c r="I75" s="35">
        <f t="shared" si="8"/>
        <v>0</v>
      </c>
      <c r="J75" s="56"/>
      <c r="K75" s="49"/>
      <c r="L75" s="49"/>
      <c r="M75" s="49"/>
      <c r="N75" s="49"/>
      <c r="O75" s="56">
        <f t="shared" si="1"/>
        <v>0</v>
      </c>
      <c r="P75" s="1">
        <f t="shared" ref="P75:P142" si="13">(K75-M75)*E75</f>
        <v>0</v>
      </c>
      <c r="Q75" s="1">
        <f t="shared" si="9"/>
        <v>0</v>
      </c>
      <c r="R75" s="1">
        <f t="shared" si="10"/>
        <v>0</v>
      </c>
      <c r="S75" s="1">
        <f t="shared" si="11"/>
        <v>0</v>
      </c>
      <c r="T75" s="1">
        <f t="shared" si="12"/>
        <v>0</v>
      </c>
      <c r="U75" s="45"/>
      <c r="V75" s="45"/>
      <c r="W75" s="45"/>
    </row>
    <row r="76" spans="1:187" ht="21" customHeight="1">
      <c r="A76" s="45"/>
      <c r="B76" s="9" t="s">
        <v>285</v>
      </c>
      <c r="C76" s="10" t="s">
        <v>124</v>
      </c>
      <c r="D76" s="10" t="s">
        <v>125</v>
      </c>
      <c r="E76" s="35">
        <v>975.79100000000005</v>
      </c>
      <c r="F76" s="35">
        <f>1430.226-E76</f>
        <v>454.43500000000006</v>
      </c>
      <c r="G76" s="35">
        <v>101.95</v>
      </c>
      <c r="H76" s="35">
        <f>1037.883-G76</f>
        <v>935.93299999999999</v>
      </c>
      <c r="I76" s="35">
        <f t="shared" si="8"/>
        <v>2468.1090000000004</v>
      </c>
      <c r="J76" s="56">
        <v>2719.1</v>
      </c>
      <c r="K76" s="49">
        <v>2477.96</v>
      </c>
      <c r="L76" s="49">
        <v>2577.0700000000002</v>
      </c>
      <c r="M76" s="49">
        <v>1694.64</v>
      </c>
      <c r="N76" s="49">
        <v>1762.4256000000003</v>
      </c>
      <c r="O76" s="56">
        <f t="shared" ref="O76:O142" si="14">K76-M76</f>
        <v>783.31999999999994</v>
      </c>
      <c r="P76" s="1">
        <f t="shared" si="13"/>
        <v>764356.60612000001</v>
      </c>
      <c r="Q76" s="1">
        <f t="shared" si="9"/>
        <v>355968.02420000004</v>
      </c>
      <c r="R76" s="1">
        <f t="shared" si="10"/>
        <v>83052.996579999992</v>
      </c>
      <c r="S76" s="1">
        <f t="shared" si="11"/>
        <v>762452.5772251999</v>
      </c>
      <c r="T76" s="1">
        <f t="shared" si="12"/>
        <v>1965830.2041251999</v>
      </c>
      <c r="U76" s="11"/>
      <c r="V76" s="11"/>
      <c r="W76" s="11"/>
      <c r="X76" s="12"/>
      <c r="Y76" s="12"/>
      <c r="Z76" s="12"/>
      <c r="AA76" s="12"/>
      <c r="AB76" s="12"/>
      <c r="AC76" s="12"/>
      <c r="AD76" s="12"/>
      <c r="AE76" s="12"/>
      <c r="AF76" s="12"/>
      <c r="AG76" s="12"/>
      <c r="AH76" s="12"/>
      <c r="AI76" s="12"/>
      <c r="AJ76" s="12"/>
      <c r="AK76" s="12"/>
      <c r="AL76" s="12"/>
      <c r="AM76" s="12"/>
      <c r="AN76" s="12"/>
      <c r="AO76" s="12"/>
      <c r="AP76" s="12"/>
      <c r="AQ76" s="12"/>
      <c r="AR76" s="12"/>
      <c r="AS76" s="12"/>
      <c r="AT76" s="12"/>
      <c r="AU76" s="12"/>
      <c r="AV76" s="12"/>
      <c r="AW76" s="12"/>
      <c r="AX76" s="12"/>
      <c r="AY76" s="12"/>
      <c r="AZ76" s="12"/>
      <c r="BA76" s="12"/>
      <c r="BB76" s="12"/>
      <c r="BC76" s="12"/>
      <c r="BD76" s="12"/>
      <c r="BE76" s="12"/>
      <c r="BF76" s="12"/>
      <c r="BG76" s="12"/>
      <c r="BH76" s="12"/>
      <c r="BI76" s="12"/>
      <c r="BJ76" s="12"/>
      <c r="BK76" s="12"/>
      <c r="BL76" s="12"/>
      <c r="BM76" s="12"/>
      <c r="BN76" s="12"/>
      <c r="BO76" s="12"/>
      <c r="BP76" s="12"/>
      <c r="BQ76" s="12"/>
      <c r="BR76" s="12"/>
      <c r="BS76" s="12"/>
      <c r="BT76" s="12"/>
      <c r="BU76" s="12"/>
      <c r="BV76" s="12"/>
      <c r="BW76" s="12"/>
      <c r="BX76" s="12"/>
      <c r="BY76" s="12"/>
      <c r="BZ76" s="12"/>
      <c r="CA76" s="12"/>
      <c r="CB76" s="12"/>
      <c r="CC76" s="12"/>
      <c r="CD76" s="12"/>
      <c r="CE76" s="12"/>
      <c r="CF76" s="12"/>
      <c r="CG76" s="12"/>
      <c r="CH76" s="12"/>
      <c r="CI76" s="12"/>
      <c r="CJ76" s="12"/>
      <c r="CK76" s="12"/>
      <c r="CL76" s="12"/>
      <c r="CM76" s="12"/>
      <c r="CN76" s="12"/>
      <c r="CO76" s="12"/>
      <c r="CP76" s="12"/>
      <c r="CQ76" s="12"/>
      <c r="CR76" s="12"/>
      <c r="CS76" s="12"/>
      <c r="CT76" s="12"/>
      <c r="CU76" s="12"/>
      <c r="CV76" s="12"/>
      <c r="CW76" s="12"/>
      <c r="CX76" s="12"/>
      <c r="CY76" s="12"/>
      <c r="CZ76" s="12"/>
      <c r="DA76" s="12"/>
      <c r="DB76" s="12"/>
      <c r="DC76" s="12"/>
      <c r="DD76" s="12"/>
      <c r="DE76" s="12"/>
      <c r="DF76" s="12"/>
      <c r="DG76" s="12"/>
      <c r="DH76" s="12"/>
      <c r="DI76" s="12"/>
      <c r="DJ76" s="12"/>
      <c r="DK76" s="12"/>
      <c r="DL76" s="12"/>
      <c r="DM76" s="12"/>
      <c r="DN76" s="12"/>
      <c r="DO76" s="12"/>
      <c r="DP76" s="12"/>
      <c r="DQ76" s="12"/>
      <c r="DR76" s="12"/>
      <c r="DS76" s="12"/>
      <c r="DT76" s="12"/>
      <c r="DU76" s="12"/>
      <c r="DV76" s="12"/>
      <c r="DW76" s="12"/>
      <c r="DX76" s="12"/>
      <c r="DY76" s="12"/>
      <c r="DZ76" s="12"/>
      <c r="EA76" s="12"/>
      <c r="EB76" s="12"/>
      <c r="EC76" s="12"/>
      <c r="ED76" s="12"/>
      <c r="EE76" s="12"/>
      <c r="EF76" s="12"/>
      <c r="EG76" s="12"/>
      <c r="EH76" s="12"/>
      <c r="EI76" s="12"/>
      <c r="EJ76" s="12"/>
      <c r="EK76" s="12"/>
      <c r="EL76" s="12"/>
      <c r="EM76" s="12"/>
      <c r="EN76" s="12"/>
      <c r="EO76" s="12"/>
      <c r="EP76" s="12"/>
      <c r="EQ76" s="12"/>
      <c r="ER76" s="12"/>
      <c r="ES76" s="12"/>
      <c r="ET76" s="12"/>
      <c r="EU76" s="12"/>
      <c r="EV76" s="12"/>
      <c r="EW76" s="12"/>
      <c r="EX76" s="12"/>
      <c r="EY76" s="12"/>
      <c r="EZ76" s="12"/>
      <c r="FA76" s="12"/>
      <c r="FB76" s="12"/>
      <c r="FC76" s="12"/>
      <c r="FD76" s="12"/>
      <c r="FE76" s="12"/>
      <c r="FF76" s="12"/>
      <c r="FG76" s="12"/>
      <c r="FH76" s="12"/>
      <c r="FI76" s="12"/>
      <c r="FJ76" s="12"/>
      <c r="FK76" s="12"/>
      <c r="FL76" s="12"/>
      <c r="FM76" s="12"/>
      <c r="FN76" s="12"/>
      <c r="FO76" s="12"/>
      <c r="FP76" s="12"/>
      <c r="FQ76" s="12"/>
      <c r="FR76" s="12"/>
      <c r="FS76" s="12"/>
      <c r="FT76" s="12"/>
      <c r="FU76" s="12"/>
      <c r="FV76" s="12"/>
      <c r="FW76" s="12"/>
      <c r="FX76" s="12"/>
      <c r="FY76" s="12"/>
      <c r="FZ76" s="12"/>
      <c r="GA76" s="12"/>
      <c r="GB76" s="12"/>
      <c r="GC76" s="12"/>
      <c r="GD76" s="12"/>
      <c r="GE76" s="12"/>
    </row>
    <row r="77" spans="1:187" ht="21" customHeight="1">
      <c r="A77" s="45"/>
      <c r="B77" s="9" t="s">
        <v>284</v>
      </c>
      <c r="C77" s="10" t="s">
        <v>128</v>
      </c>
      <c r="D77" s="10" t="s">
        <v>129</v>
      </c>
      <c r="E77" s="35">
        <v>2733.7089999999998</v>
      </c>
      <c r="F77" s="35">
        <f>4168.28-E77</f>
        <v>1434.5709999999999</v>
      </c>
      <c r="G77" s="35">
        <v>321.24299999999999</v>
      </c>
      <c r="H77" s="35">
        <f>2670.231-G77</f>
        <v>2348.9880000000003</v>
      </c>
      <c r="I77" s="35">
        <f t="shared" si="8"/>
        <v>6838.5110000000004</v>
      </c>
      <c r="J77" s="56">
        <v>7149.6</v>
      </c>
      <c r="K77" s="49">
        <v>4057.29</v>
      </c>
      <c r="L77" s="49">
        <v>4219.58</v>
      </c>
      <c r="M77" s="49">
        <v>1461.96</v>
      </c>
      <c r="N77" s="49">
        <v>1520.4384</v>
      </c>
      <c r="O77" s="56">
        <f t="shared" si="14"/>
        <v>2595.33</v>
      </c>
      <c r="P77" s="1">
        <f t="shared" si="13"/>
        <v>7094876.9789699996</v>
      </c>
      <c r="Q77" s="1">
        <f t="shared" si="9"/>
        <v>3723185.1534299995</v>
      </c>
      <c r="R77" s="1">
        <f t="shared" si="10"/>
        <v>867080.34500879992</v>
      </c>
      <c r="S77" s="1">
        <f t="shared" si="11"/>
        <v>6340251.2287008008</v>
      </c>
      <c r="T77" s="1">
        <f t="shared" si="12"/>
        <v>18025393.706109598</v>
      </c>
      <c r="U77" s="11"/>
      <c r="V77" s="11"/>
      <c r="W77" s="11"/>
      <c r="X77" s="12"/>
      <c r="Y77" s="12"/>
      <c r="Z77" s="12"/>
      <c r="AA77" s="12"/>
      <c r="AB77" s="12"/>
      <c r="AC77" s="12"/>
      <c r="AD77" s="12"/>
      <c r="AE77" s="12"/>
      <c r="AF77" s="12"/>
      <c r="AG77" s="12"/>
      <c r="AH77" s="12"/>
      <c r="AI77" s="12"/>
      <c r="AJ77" s="12"/>
      <c r="AK77" s="12"/>
      <c r="AL77" s="12"/>
      <c r="AM77" s="12"/>
      <c r="AN77" s="12"/>
      <c r="AO77" s="12"/>
      <c r="AP77" s="12"/>
      <c r="AQ77" s="12"/>
      <c r="AR77" s="12"/>
      <c r="AS77" s="12"/>
      <c r="AT77" s="12"/>
      <c r="AU77" s="12"/>
      <c r="AV77" s="12"/>
      <c r="AW77" s="12"/>
      <c r="AX77" s="12"/>
      <c r="AY77" s="12"/>
      <c r="AZ77" s="12"/>
      <c r="BA77" s="12"/>
      <c r="BB77" s="12"/>
      <c r="BC77" s="12"/>
      <c r="BD77" s="12"/>
      <c r="BE77" s="12"/>
      <c r="BF77" s="12"/>
      <c r="BG77" s="12"/>
      <c r="BH77" s="12"/>
      <c r="BI77" s="12"/>
      <c r="BJ77" s="12"/>
      <c r="BK77" s="12"/>
      <c r="BL77" s="12"/>
      <c r="BM77" s="12"/>
      <c r="BN77" s="12"/>
      <c r="BO77" s="12"/>
      <c r="BP77" s="12"/>
      <c r="BQ77" s="12"/>
      <c r="BR77" s="12"/>
      <c r="BS77" s="12"/>
      <c r="BT77" s="12"/>
      <c r="BU77" s="12"/>
      <c r="BV77" s="12"/>
      <c r="BW77" s="12"/>
      <c r="BX77" s="12"/>
      <c r="BY77" s="12"/>
      <c r="BZ77" s="12"/>
      <c r="CA77" s="12"/>
      <c r="CB77" s="12"/>
      <c r="CC77" s="12"/>
      <c r="CD77" s="12"/>
      <c r="CE77" s="12"/>
      <c r="CF77" s="12"/>
      <c r="CG77" s="12"/>
      <c r="CH77" s="12"/>
      <c r="CI77" s="12"/>
      <c r="CJ77" s="12"/>
      <c r="CK77" s="12"/>
      <c r="CL77" s="12"/>
      <c r="CM77" s="12"/>
      <c r="CN77" s="12"/>
      <c r="CO77" s="12"/>
      <c r="CP77" s="12"/>
      <c r="CQ77" s="12"/>
      <c r="CR77" s="12"/>
      <c r="CS77" s="12"/>
      <c r="CT77" s="12"/>
      <c r="CU77" s="12"/>
      <c r="CV77" s="12"/>
      <c r="CW77" s="12"/>
      <c r="CX77" s="12"/>
      <c r="CY77" s="12"/>
      <c r="CZ77" s="12"/>
      <c r="DA77" s="12"/>
      <c r="DB77" s="12"/>
      <c r="DC77" s="12"/>
      <c r="DD77" s="12"/>
      <c r="DE77" s="12"/>
      <c r="DF77" s="12"/>
      <c r="DG77" s="12"/>
      <c r="DH77" s="12"/>
      <c r="DI77" s="12"/>
      <c r="DJ77" s="12"/>
      <c r="DK77" s="12"/>
      <c r="DL77" s="12"/>
      <c r="DM77" s="12"/>
      <c r="DN77" s="12"/>
      <c r="DO77" s="12"/>
      <c r="DP77" s="12"/>
      <c r="DQ77" s="12"/>
      <c r="DR77" s="12"/>
      <c r="DS77" s="12"/>
      <c r="DT77" s="12"/>
      <c r="DU77" s="12"/>
      <c r="DV77" s="12"/>
      <c r="DW77" s="12"/>
      <c r="DX77" s="12"/>
      <c r="DY77" s="12"/>
      <c r="DZ77" s="12"/>
      <c r="EA77" s="12"/>
      <c r="EB77" s="12"/>
      <c r="EC77" s="12"/>
      <c r="ED77" s="12"/>
      <c r="EE77" s="12"/>
      <c r="EF77" s="12"/>
      <c r="EG77" s="12"/>
      <c r="EH77" s="12"/>
      <c r="EI77" s="12"/>
      <c r="EJ77" s="12"/>
      <c r="EK77" s="12"/>
      <c r="EL77" s="12"/>
      <c r="EM77" s="12"/>
      <c r="EN77" s="12"/>
      <c r="EO77" s="12"/>
      <c r="EP77" s="12"/>
      <c r="EQ77" s="12"/>
      <c r="ER77" s="12"/>
      <c r="ES77" s="12"/>
      <c r="ET77" s="12"/>
      <c r="EU77" s="12"/>
      <c r="EV77" s="12"/>
      <c r="EW77" s="12"/>
      <c r="EX77" s="12"/>
      <c r="EY77" s="12"/>
      <c r="EZ77" s="12"/>
      <c r="FA77" s="12"/>
      <c r="FB77" s="12"/>
      <c r="FC77" s="12"/>
      <c r="FD77" s="12"/>
      <c r="FE77" s="12"/>
      <c r="FF77" s="12"/>
      <c r="FG77" s="12"/>
      <c r="FH77" s="12"/>
      <c r="FI77" s="12"/>
      <c r="FJ77" s="12"/>
      <c r="FK77" s="12"/>
      <c r="FL77" s="12"/>
      <c r="FM77" s="12"/>
      <c r="FN77" s="12"/>
      <c r="FO77" s="12"/>
      <c r="FP77" s="12"/>
      <c r="FQ77" s="12"/>
      <c r="FR77" s="12"/>
      <c r="FS77" s="12"/>
      <c r="FT77" s="12"/>
      <c r="FU77" s="12"/>
      <c r="FV77" s="12"/>
      <c r="FW77" s="12"/>
      <c r="FX77" s="12"/>
      <c r="FY77" s="12"/>
      <c r="FZ77" s="12"/>
      <c r="GA77" s="12"/>
      <c r="GB77" s="12"/>
      <c r="GC77" s="12"/>
      <c r="GD77" s="12"/>
      <c r="GE77" s="12"/>
    </row>
    <row r="78" spans="1:187" ht="21" customHeight="1">
      <c r="A78" s="45"/>
      <c r="B78" s="9" t="s">
        <v>35</v>
      </c>
      <c r="C78" s="10" t="s">
        <v>126</v>
      </c>
      <c r="D78" s="10" t="s">
        <v>127</v>
      </c>
      <c r="E78" s="35">
        <v>475.92</v>
      </c>
      <c r="F78" s="35">
        <f>702.788-E78</f>
        <v>226.86799999999999</v>
      </c>
      <c r="G78" s="35">
        <v>56.82</v>
      </c>
      <c r="H78" s="35">
        <f>490.15-G78</f>
        <v>433.33</v>
      </c>
      <c r="I78" s="35">
        <f t="shared" si="8"/>
        <v>1192.9380000000001</v>
      </c>
      <c r="J78" s="56">
        <v>1132</v>
      </c>
      <c r="K78" s="49">
        <v>4716.84</v>
      </c>
      <c r="L78" s="49">
        <v>4905.5136000000002</v>
      </c>
      <c r="M78" s="49">
        <v>1737.97</v>
      </c>
      <c r="N78" s="49">
        <v>1807.4888000000001</v>
      </c>
      <c r="O78" s="56">
        <f t="shared" si="14"/>
        <v>2978.87</v>
      </c>
      <c r="P78" s="1">
        <f t="shared" si="13"/>
        <v>1417703.8104000001</v>
      </c>
      <c r="Q78" s="1">
        <f t="shared" si="9"/>
        <v>675810.27915999992</v>
      </c>
      <c r="R78" s="1">
        <f t="shared" si="10"/>
        <v>176029.76913600002</v>
      </c>
      <c r="S78" s="1">
        <f t="shared" si="11"/>
        <v>1342467.0865839999</v>
      </c>
      <c r="T78" s="1">
        <f t="shared" si="12"/>
        <v>3612010.9452800001</v>
      </c>
      <c r="U78" s="11"/>
      <c r="V78" s="11"/>
      <c r="W78" s="11"/>
      <c r="X78" s="12"/>
      <c r="Y78" s="12"/>
      <c r="Z78" s="12"/>
      <c r="AA78" s="12"/>
      <c r="AB78" s="12"/>
      <c r="AC78" s="12"/>
      <c r="AD78" s="12"/>
      <c r="AE78" s="12"/>
      <c r="AF78" s="12"/>
      <c r="AG78" s="12"/>
      <c r="AH78" s="12"/>
      <c r="AI78" s="12"/>
      <c r="AJ78" s="12"/>
      <c r="AK78" s="12"/>
      <c r="AL78" s="12"/>
      <c r="AM78" s="12"/>
      <c r="AN78" s="12"/>
      <c r="AO78" s="12"/>
      <c r="AP78" s="12"/>
      <c r="AQ78" s="12"/>
      <c r="AR78" s="12"/>
      <c r="AS78" s="12"/>
      <c r="AT78" s="12"/>
      <c r="AU78" s="12"/>
      <c r="AV78" s="12"/>
      <c r="AW78" s="12"/>
      <c r="AX78" s="12"/>
      <c r="AY78" s="12"/>
      <c r="AZ78" s="12"/>
      <c r="BA78" s="12"/>
      <c r="BB78" s="12"/>
      <c r="BC78" s="12"/>
      <c r="BD78" s="12"/>
      <c r="BE78" s="12"/>
      <c r="BF78" s="12"/>
      <c r="BG78" s="12"/>
      <c r="BH78" s="12"/>
      <c r="BI78" s="12"/>
      <c r="BJ78" s="12"/>
      <c r="BK78" s="12"/>
      <c r="BL78" s="12"/>
      <c r="BM78" s="12"/>
      <c r="BN78" s="12"/>
      <c r="BO78" s="12"/>
      <c r="BP78" s="12"/>
      <c r="BQ78" s="12"/>
      <c r="BR78" s="12"/>
      <c r="BS78" s="12"/>
      <c r="BT78" s="12"/>
      <c r="BU78" s="12"/>
      <c r="BV78" s="12"/>
      <c r="BW78" s="12"/>
      <c r="BX78" s="12"/>
      <c r="BY78" s="12"/>
      <c r="BZ78" s="12"/>
      <c r="CA78" s="12"/>
      <c r="CB78" s="12"/>
      <c r="CC78" s="12"/>
      <c r="CD78" s="12"/>
      <c r="CE78" s="12"/>
      <c r="CF78" s="12"/>
      <c r="CG78" s="12"/>
      <c r="CH78" s="12"/>
      <c r="CI78" s="12"/>
      <c r="CJ78" s="12"/>
      <c r="CK78" s="12"/>
      <c r="CL78" s="12"/>
      <c r="CM78" s="12"/>
      <c r="CN78" s="12"/>
      <c r="CO78" s="12"/>
      <c r="CP78" s="12"/>
      <c r="CQ78" s="12"/>
      <c r="CR78" s="12"/>
      <c r="CS78" s="12"/>
      <c r="CT78" s="12"/>
      <c r="CU78" s="12"/>
      <c r="CV78" s="12"/>
      <c r="CW78" s="12"/>
      <c r="CX78" s="12"/>
      <c r="CY78" s="12"/>
      <c r="CZ78" s="12"/>
      <c r="DA78" s="12"/>
      <c r="DB78" s="12"/>
      <c r="DC78" s="12"/>
      <c r="DD78" s="12"/>
      <c r="DE78" s="12"/>
      <c r="DF78" s="12"/>
      <c r="DG78" s="12"/>
      <c r="DH78" s="12"/>
      <c r="DI78" s="12"/>
      <c r="DJ78" s="12"/>
      <c r="DK78" s="12"/>
      <c r="DL78" s="12"/>
      <c r="DM78" s="12"/>
      <c r="DN78" s="12"/>
      <c r="DO78" s="12"/>
      <c r="DP78" s="12"/>
      <c r="DQ78" s="12"/>
      <c r="DR78" s="12"/>
      <c r="DS78" s="12"/>
      <c r="DT78" s="12"/>
      <c r="DU78" s="12"/>
      <c r="DV78" s="12"/>
      <c r="DW78" s="12"/>
      <c r="DX78" s="12"/>
      <c r="DY78" s="12"/>
      <c r="DZ78" s="12"/>
      <c r="EA78" s="12"/>
      <c r="EB78" s="12"/>
      <c r="EC78" s="12"/>
      <c r="ED78" s="12"/>
      <c r="EE78" s="12"/>
      <c r="EF78" s="12"/>
      <c r="EG78" s="12"/>
      <c r="EH78" s="12"/>
      <c r="EI78" s="12"/>
      <c r="EJ78" s="12"/>
      <c r="EK78" s="12"/>
      <c r="EL78" s="12"/>
      <c r="EM78" s="12"/>
      <c r="EN78" s="12"/>
      <c r="EO78" s="12"/>
      <c r="EP78" s="12"/>
      <c r="EQ78" s="12"/>
      <c r="ER78" s="12"/>
      <c r="ES78" s="12"/>
      <c r="ET78" s="12"/>
      <c r="EU78" s="12"/>
      <c r="EV78" s="12"/>
      <c r="EW78" s="12"/>
      <c r="EX78" s="12"/>
      <c r="EY78" s="12"/>
      <c r="EZ78" s="12"/>
      <c r="FA78" s="12"/>
      <c r="FB78" s="12"/>
      <c r="FC78" s="12"/>
      <c r="FD78" s="12"/>
      <c r="FE78" s="12"/>
      <c r="FF78" s="12"/>
      <c r="FG78" s="12"/>
      <c r="FH78" s="12"/>
      <c r="FI78" s="12"/>
      <c r="FJ78" s="12"/>
      <c r="FK78" s="12"/>
      <c r="FL78" s="12"/>
      <c r="FM78" s="12"/>
      <c r="FN78" s="12"/>
      <c r="FO78" s="12"/>
      <c r="FP78" s="12"/>
      <c r="FQ78" s="12"/>
      <c r="FR78" s="12"/>
      <c r="FS78" s="12"/>
      <c r="FT78" s="12"/>
      <c r="FU78" s="12"/>
      <c r="FV78" s="12"/>
      <c r="FW78" s="12"/>
      <c r="FX78" s="12"/>
      <c r="FY78" s="12"/>
      <c r="FZ78" s="12"/>
      <c r="GA78" s="12"/>
      <c r="GB78" s="12"/>
      <c r="GC78" s="12"/>
      <c r="GD78" s="12"/>
      <c r="GE78" s="12"/>
    </row>
    <row r="79" spans="1:187" ht="21" customHeight="1">
      <c r="A79" s="45"/>
      <c r="B79" s="9" t="s">
        <v>13</v>
      </c>
      <c r="C79" s="10" t="s">
        <v>130</v>
      </c>
      <c r="D79" s="10" t="s">
        <v>129</v>
      </c>
      <c r="E79" s="35">
        <v>44.133000000000003</v>
      </c>
      <c r="F79" s="35">
        <f>67.382-E79</f>
        <v>23.249000000000002</v>
      </c>
      <c r="G79" s="35">
        <v>5.8840000000000003</v>
      </c>
      <c r="H79" s="35">
        <f>50.016</f>
        <v>50.015999999999998</v>
      </c>
      <c r="I79" s="35">
        <f t="shared" si="8"/>
        <v>123.28200000000001</v>
      </c>
      <c r="J79" s="56">
        <v>124.7</v>
      </c>
      <c r="K79" s="49">
        <v>4912.7</v>
      </c>
      <c r="L79" s="49">
        <v>5109.2079999999996</v>
      </c>
      <c r="M79" s="49">
        <v>1450.8044799999998</v>
      </c>
      <c r="N79" s="49">
        <v>1508.8366591999998</v>
      </c>
      <c r="O79" s="56">
        <f t="shared" si="14"/>
        <v>3461.89552</v>
      </c>
      <c r="P79" s="1">
        <f t="shared" si="13"/>
        <v>152783.83498416</v>
      </c>
      <c r="Q79" s="1">
        <f t="shared" si="9"/>
        <v>80485.608944480002</v>
      </c>
      <c r="R79" s="1">
        <f t="shared" si="10"/>
        <v>21184.584969267202</v>
      </c>
      <c r="S79" s="1">
        <f t="shared" si="11"/>
        <v>180076.17298145278</v>
      </c>
      <c r="T79" s="1">
        <f t="shared" si="12"/>
        <v>434530.20187935996</v>
      </c>
      <c r="U79" s="11"/>
      <c r="V79" s="11"/>
      <c r="W79" s="11"/>
      <c r="X79" s="12"/>
      <c r="Y79" s="12"/>
      <c r="Z79" s="12"/>
      <c r="AA79" s="12"/>
      <c r="AB79" s="12"/>
      <c r="AC79" s="12"/>
      <c r="AD79" s="12"/>
      <c r="AE79" s="12"/>
      <c r="AF79" s="12"/>
      <c r="AG79" s="12"/>
      <c r="AH79" s="12"/>
      <c r="AI79" s="12"/>
      <c r="AJ79" s="12"/>
      <c r="AK79" s="12"/>
      <c r="AL79" s="12"/>
      <c r="AM79" s="12"/>
      <c r="AN79" s="12"/>
      <c r="AO79" s="12"/>
      <c r="AP79" s="12"/>
      <c r="AQ79" s="12"/>
      <c r="AR79" s="12"/>
      <c r="AS79" s="12"/>
      <c r="AT79" s="12"/>
      <c r="AU79" s="12"/>
      <c r="AV79" s="12"/>
      <c r="AW79" s="12"/>
      <c r="AX79" s="12"/>
      <c r="AY79" s="12"/>
      <c r="AZ79" s="12"/>
      <c r="BA79" s="12"/>
      <c r="BB79" s="12"/>
      <c r="BC79" s="12"/>
      <c r="BD79" s="12"/>
      <c r="BE79" s="12"/>
      <c r="BF79" s="12"/>
      <c r="BG79" s="12"/>
      <c r="BH79" s="12"/>
      <c r="BI79" s="12"/>
      <c r="BJ79" s="12"/>
      <c r="BK79" s="12"/>
      <c r="BL79" s="12"/>
      <c r="BM79" s="12"/>
      <c r="BN79" s="12"/>
      <c r="BO79" s="12"/>
      <c r="BP79" s="12"/>
      <c r="BQ79" s="12"/>
      <c r="BR79" s="12"/>
      <c r="BS79" s="12"/>
      <c r="BT79" s="12"/>
      <c r="BU79" s="12"/>
      <c r="BV79" s="12"/>
      <c r="BW79" s="12"/>
      <c r="BX79" s="12"/>
      <c r="BY79" s="12"/>
      <c r="BZ79" s="12"/>
      <c r="CA79" s="12"/>
      <c r="CB79" s="12"/>
      <c r="CC79" s="12"/>
      <c r="CD79" s="12"/>
      <c r="CE79" s="12"/>
      <c r="CF79" s="12"/>
      <c r="CG79" s="12"/>
      <c r="CH79" s="12"/>
      <c r="CI79" s="12"/>
      <c r="CJ79" s="12"/>
      <c r="CK79" s="12"/>
      <c r="CL79" s="12"/>
      <c r="CM79" s="12"/>
      <c r="CN79" s="12"/>
      <c r="CO79" s="12"/>
      <c r="CP79" s="12"/>
      <c r="CQ79" s="12"/>
      <c r="CR79" s="12"/>
      <c r="CS79" s="12"/>
      <c r="CT79" s="12"/>
      <c r="CU79" s="12"/>
      <c r="CV79" s="12"/>
      <c r="CW79" s="12"/>
      <c r="CX79" s="12"/>
      <c r="CY79" s="12"/>
      <c r="CZ79" s="12"/>
      <c r="DA79" s="12"/>
      <c r="DB79" s="12"/>
      <c r="DC79" s="12"/>
      <c r="DD79" s="12"/>
      <c r="DE79" s="12"/>
      <c r="DF79" s="12"/>
      <c r="DG79" s="12"/>
      <c r="DH79" s="12"/>
      <c r="DI79" s="12"/>
      <c r="DJ79" s="12"/>
      <c r="DK79" s="12"/>
      <c r="DL79" s="12"/>
      <c r="DM79" s="12"/>
      <c r="DN79" s="12"/>
      <c r="DO79" s="12"/>
      <c r="DP79" s="12"/>
      <c r="DQ79" s="12"/>
      <c r="DR79" s="12"/>
      <c r="DS79" s="12"/>
      <c r="DT79" s="12"/>
      <c r="DU79" s="12"/>
      <c r="DV79" s="12"/>
      <c r="DW79" s="12"/>
      <c r="DX79" s="12"/>
      <c r="DY79" s="12"/>
      <c r="DZ79" s="12"/>
      <c r="EA79" s="12"/>
      <c r="EB79" s="12"/>
      <c r="EC79" s="12"/>
      <c r="ED79" s="12"/>
      <c r="EE79" s="12"/>
      <c r="EF79" s="12"/>
      <c r="EG79" s="12"/>
      <c r="EH79" s="12"/>
      <c r="EI79" s="12"/>
      <c r="EJ79" s="12"/>
      <c r="EK79" s="12"/>
      <c r="EL79" s="12"/>
      <c r="EM79" s="12"/>
      <c r="EN79" s="12"/>
      <c r="EO79" s="12"/>
      <c r="EP79" s="12"/>
      <c r="EQ79" s="12"/>
      <c r="ER79" s="12"/>
      <c r="ES79" s="12"/>
      <c r="ET79" s="12"/>
      <c r="EU79" s="12"/>
      <c r="EV79" s="12"/>
      <c r="EW79" s="12"/>
      <c r="EX79" s="12"/>
      <c r="EY79" s="12"/>
      <c r="EZ79" s="12"/>
      <c r="FA79" s="12"/>
      <c r="FB79" s="12"/>
      <c r="FC79" s="12"/>
      <c r="FD79" s="12"/>
      <c r="FE79" s="12"/>
      <c r="FF79" s="12"/>
      <c r="FG79" s="12"/>
      <c r="FH79" s="12"/>
      <c r="FI79" s="12"/>
      <c r="FJ79" s="12"/>
      <c r="FK79" s="12"/>
      <c r="FL79" s="12"/>
      <c r="FM79" s="12"/>
      <c r="FN79" s="12"/>
      <c r="FO79" s="12"/>
      <c r="FP79" s="12"/>
      <c r="FQ79" s="12"/>
      <c r="FR79" s="12"/>
      <c r="FS79" s="12"/>
      <c r="FT79" s="12"/>
      <c r="FU79" s="12"/>
      <c r="FV79" s="12"/>
      <c r="FW79" s="12"/>
      <c r="FX79" s="12"/>
      <c r="FY79" s="12"/>
      <c r="FZ79" s="12"/>
      <c r="GA79" s="12"/>
      <c r="GB79" s="12"/>
      <c r="GC79" s="12"/>
      <c r="GD79" s="12"/>
      <c r="GE79" s="12"/>
    </row>
    <row r="80" spans="1:187" ht="21" customHeight="1">
      <c r="A80" s="45"/>
      <c r="B80" s="9" t="s">
        <v>338</v>
      </c>
      <c r="C80" s="10" t="s">
        <v>339</v>
      </c>
      <c r="D80" s="10" t="s">
        <v>129</v>
      </c>
      <c r="E80" s="35">
        <f>12.6340404996014*0.6</f>
        <v>7.58042429976084</v>
      </c>
      <c r="F80" s="35">
        <f>12.6340404996014*0.4</f>
        <v>5.0536161998405609</v>
      </c>
      <c r="G80" s="35">
        <f>9.95475950039862*0.8</f>
        <v>7.963807600318896</v>
      </c>
      <c r="H80" s="35">
        <f>9.95475950039862*0.2</f>
        <v>1.990951900079724</v>
      </c>
      <c r="I80" s="35">
        <f t="shared" si="8"/>
        <v>22.588800000000024</v>
      </c>
      <c r="J80" s="56">
        <v>22.588800000000003</v>
      </c>
      <c r="K80" s="49">
        <v>1972.68</v>
      </c>
      <c r="L80" s="49">
        <v>2051.5871999999999</v>
      </c>
      <c r="M80" s="49">
        <v>1478.6997799999999</v>
      </c>
      <c r="N80" s="49">
        <v>1537.8477711999999</v>
      </c>
      <c r="O80" s="56">
        <f t="shared" si="14"/>
        <v>493.98022000000014</v>
      </c>
      <c r="P80" s="1">
        <f t="shared" si="13"/>
        <v>3744.5796632892066</v>
      </c>
      <c r="Q80" s="1">
        <f t="shared" si="9"/>
        <v>2496.3864421928051</v>
      </c>
      <c r="R80" s="1">
        <f t="shared" si="10"/>
        <v>4091.3219676609287</v>
      </c>
      <c r="S80" s="1">
        <f t="shared" si="11"/>
        <v>1022.8304919152322</v>
      </c>
      <c r="T80" s="1">
        <f t="shared" si="12"/>
        <v>11355.118565058172</v>
      </c>
      <c r="U80" s="11"/>
      <c r="V80" s="11"/>
      <c r="W80" s="11"/>
      <c r="X80" s="12"/>
      <c r="Y80" s="12"/>
      <c r="Z80" s="12"/>
      <c r="AA80" s="12"/>
      <c r="AB80" s="12"/>
      <c r="AC80" s="12"/>
      <c r="AD80" s="12"/>
      <c r="AE80" s="12"/>
      <c r="AF80" s="12"/>
      <c r="AG80" s="12"/>
      <c r="AH80" s="12"/>
      <c r="AI80" s="12"/>
      <c r="AJ80" s="12"/>
      <c r="AK80" s="12"/>
      <c r="AL80" s="12"/>
      <c r="AM80" s="12"/>
      <c r="AN80" s="12"/>
      <c r="AO80" s="12"/>
      <c r="AP80" s="12"/>
      <c r="AQ80" s="12"/>
      <c r="AR80" s="12"/>
      <c r="AS80" s="12"/>
      <c r="AT80" s="12"/>
      <c r="AU80" s="12"/>
      <c r="AV80" s="12"/>
      <c r="AW80" s="12"/>
      <c r="AX80" s="12"/>
      <c r="AY80" s="12"/>
      <c r="AZ80" s="12"/>
      <c r="BA80" s="12"/>
      <c r="BB80" s="12"/>
      <c r="BC80" s="12"/>
      <c r="BD80" s="12"/>
      <c r="BE80" s="12"/>
      <c r="BF80" s="12"/>
      <c r="BG80" s="12"/>
      <c r="BH80" s="12"/>
      <c r="BI80" s="12"/>
      <c r="BJ80" s="12"/>
      <c r="BK80" s="12"/>
      <c r="BL80" s="12"/>
      <c r="BM80" s="12"/>
      <c r="BN80" s="12"/>
      <c r="BO80" s="12"/>
      <c r="BP80" s="12"/>
      <c r="BQ80" s="12"/>
      <c r="BR80" s="12"/>
      <c r="BS80" s="12"/>
      <c r="BT80" s="12"/>
      <c r="BU80" s="12"/>
      <c r="BV80" s="12"/>
      <c r="BW80" s="12"/>
      <c r="BX80" s="12"/>
      <c r="BY80" s="12"/>
      <c r="BZ80" s="12"/>
      <c r="CA80" s="12"/>
      <c r="CB80" s="12"/>
      <c r="CC80" s="12"/>
      <c r="CD80" s="12"/>
      <c r="CE80" s="12"/>
      <c r="CF80" s="12"/>
      <c r="CG80" s="12"/>
      <c r="CH80" s="12"/>
      <c r="CI80" s="12"/>
      <c r="CJ80" s="12"/>
      <c r="CK80" s="12"/>
      <c r="CL80" s="12"/>
      <c r="CM80" s="12"/>
      <c r="CN80" s="12"/>
      <c r="CO80" s="12"/>
      <c r="CP80" s="12"/>
      <c r="CQ80" s="12"/>
      <c r="CR80" s="12"/>
      <c r="CS80" s="12"/>
      <c r="CT80" s="12"/>
      <c r="CU80" s="12"/>
      <c r="CV80" s="12"/>
      <c r="CW80" s="12"/>
      <c r="CX80" s="12"/>
      <c r="CY80" s="12"/>
      <c r="CZ80" s="12"/>
      <c r="DA80" s="12"/>
      <c r="DB80" s="12"/>
      <c r="DC80" s="12"/>
      <c r="DD80" s="12"/>
      <c r="DE80" s="12"/>
      <c r="DF80" s="12"/>
      <c r="DG80" s="12"/>
      <c r="DH80" s="12"/>
      <c r="DI80" s="12"/>
      <c r="DJ80" s="12"/>
      <c r="DK80" s="12"/>
      <c r="DL80" s="12"/>
      <c r="DM80" s="12"/>
      <c r="DN80" s="12"/>
      <c r="DO80" s="12"/>
      <c r="DP80" s="12"/>
      <c r="DQ80" s="12"/>
      <c r="DR80" s="12"/>
      <c r="DS80" s="12"/>
      <c r="DT80" s="12"/>
      <c r="DU80" s="12"/>
      <c r="DV80" s="12"/>
      <c r="DW80" s="12"/>
      <c r="DX80" s="12"/>
      <c r="DY80" s="12"/>
      <c r="DZ80" s="12"/>
      <c r="EA80" s="12"/>
      <c r="EB80" s="12"/>
      <c r="EC80" s="12"/>
      <c r="ED80" s="12"/>
      <c r="EE80" s="12"/>
      <c r="EF80" s="12"/>
      <c r="EG80" s="12"/>
      <c r="EH80" s="12"/>
      <c r="EI80" s="12"/>
      <c r="EJ80" s="12"/>
      <c r="EK80" s="12"/>
      <c r="EL80" s="12"/>
      <c r="EM80" s="12"/>
      <c r="EN80" s="12"/>
      <c r="EO80" s="12"/>
      <c r="EP80" s="12"/>
      <c r="EQ80" s="12"/>
      <c r="ER80" s="12"/>
      <c r="ES80" s="12"/>
      <c r="ET80" s="12"/>
      <c r="EU80" s="12"/>
      <c r="EV80" s="12"/>
      <c r="EW80" s="12"/>
      <c r="EX80" s="12"/>
      <c r="EY80" s="12"/>
      <c r="EZ80" s="12"/>
      <c r="FA80" s="12"/>
      <c r="FB80" s="12"/>
      <c r="FC80" s="12"/>
      <c r="FD80" s="12"/>
      <c r="FE80" s="12"/>
      <c r="FF80" s="12"/>
      <c r="FG80" s="12"/>
      <c r="FH80" s="12"/>
      <c r="FI80" s="12"/>
      <c r="FJ80" s="12"/>
      <c r="FK80" s="12"/>
      <c r="FL80" s="12"/>
      <c r="FM80" s="12"/>
      <c r="FN80" s="12"/>
      <c r="FO80" s="12"/>
      <c r="FP80" s="12"/>
      <c r="FQ80" s="12"/>
      <c r="FR80" s="12"/>
      <c r="FS80" s="12"/>
      <c r="FT80" s="12"/>
      <c r="FU80" s="12"/>
      <c r="FV80" s="12"/>
      <c r="FW80" s="12"/>
      <c r="FX80" s="12"/>
      <c r="FY80" s="12"/>
      <c r="FZ80" s="12"/>
      <c r="GA80" s="12"/>
      <c r="GB80" s="12"/>
      <c r="GC80" s="12"/>
      <c r="GD80" s="12"/>
      <c r="GE80" s="12"/>
    </row>
    <row r="81" spans="1:187" ht="21" customHeight="1">
      <c r="A81" s="45"/>
      <c r="B81" s="4" t="s">
        <v>283</v>
      </c>
      <c r="C81" s="3" t="s">
        <v>131</v>
      </c>
      <c r="D81" s="3" t="s">
        <v>125</v>
      </c>
      <c r="E81" s="2">
        <v>3714.2069999999999</v>
      </c>
      <c r="F81" s="2">
        <f>5534.726+0.021-E81</f>
        <v>1820.5399999999995</v>
      </c>
      <c r="G81" s="2">
        <v>510.56299999999999</v>
      </c>
      <c r="H81" s="2">
        <f>3856.257-G81</f>
        <v>3345.694</v>
      </c>
      <c r="I81" s="35">
        <f t="shared" si="8"/>
        <v>9391.003999999999</v>
      </c>
      <c r="J81" s="56">
        <v>10351.700000000001</v>
      </c>
      <c r="K81" s="49">
        <v>1733.55</v>
      </c>
      <c r="L81" s="49">
        <v>1802.8920000000001</v>
      </c>
      <c r="M81" s="49">
        <v>718.94</v>
      </c>
      <c r="N81" s="49">
        <v>747.69760000000008</v>
      </c>
      <c r="O81" s="56">
        <f t="shared" si="14"/>
        <v>1014.6099999999999</v>
      </c>
      <c r="P81" s="1">
        <f t="shared" si="13"/>
        <v>3768471.5642699995</v>
      </c>
      <c r="Q81" s="1">
        <f t="shared" si="9"/>
        <v>1847138.0893999992</v>
      </c>
      <c r="R81" s="1">
        <f t="shared" si="10"/>
        <v>538743.21844719991</v>
      </c>
      <c r="S81" s="1">
        <f t="shared" si="11"/>
        <v>3530357.5729135997</v>
      </c>
      <c r="T81" s="1">
        <f t="shared" si="12"/>
        <v>9684710.4450307991</v>
      </c>
      <c r="U81" s="11"/>
      <c r="V81" s="11"/>
      <c r="W81" s="11"/>
      <c r="X81" s="12"/>
      <c r="Y81" s="12"/>
      <c r="Z81" s="12"/>
      <c r="AA81" s="12"/>
      <c r="AB81" s="12"/>
      <c r="AC81" s="12"/>
      <c r="AD81" s="12"/>
      <c r="AE81" s="12"/>
      <c r="AF81" s="12"/>
      <c r="AG81" s="12"/>
      <c r="AH81" s="12"/>
      <c r="AI81" s="12"/>
      <c r="AJ81" s="12"/>
      <c r="AK81" s="12"/>
      <c r="AL81" s="12"/>
      <c r="AM81" s="12"/>
      <c r="AN81" s="12"/>
      <c r="AO81" s="12"/>
      <c r="AP81" s="12"/>
      <c r="AQ81" s="12"/>
      <c r="AR81" s="12"/>
      <c r="AS81" s="12"/>
      <c r="AT81" s="12"/>
      <c r="AU81" s="12"/>
      <c r="AV81" s="12"/>
      <c r="AW81" s="12"/>
      <c r="AX81" s="12"/>
      <c r="AY81" s="12"/>
      <c r="AZ81" s="12"/>
      <c r="BA81" s="12"/>
      <c r="BB81" s="12"/>
      <c r="BC81" s="12"/>
      <c r="BD81" s="12"/>
      <c r="BE81" s="12"/>
      <c r="BF81" s="12"/>
      <c r="BG81" s="12"/>
      <c r="BH81" s="12"/>
      <c r="BI81" s="12"/>
      <c r="BJ81" s="12"/>
      <c r="BK81" s="12"/>
      <c r="BL81" s="12"/>
      <c r="BM81" s="12"/>
      <c r="BN81" s="12"/>
      <c r="BO81" s="12"/>
      <c r="BP81" s="12"/>
      <c r="BQ81" s="12"/>
      <c r="BR81" s="12"/>
      <c r="BS81" s="12"/>
      <c r="BT81" s="12"/>
      <c r="BU81" s="12"/>
      <c r="BV81" s="12"/>
      <c r="BW81" s="12"/>
      <c r="BX81" s="12"/>
      <c r="BY81" s="12"/>
      <c r="BZ81" s="12"/>
      <c r="CA81" s="12"/>
      <c r="CB81" s="12"/>
      <c r="CC81" s="12"/>
      <c r="CD81" s="12"/>
      <c r="CE81" s="12"/>
      <c r="CF81" s="12"/>
      <c r="CG81" s="12"/>
      <c r="CH81" s="12"/>
      <c r="CI81" s="12"/>
      <c r="CJ81" s="12"/>
      <c r="CK81" s="12"/>
      <c r="CL81" s="12"/>
      <c r="CM81" s="12"/>
      <c r="CN81" s="12"/>
      <c r="CO81" s="12"/>
      <c r="CP81" s="12"/>
      <c r="CQ81" s="12"/>
      <c r="CR81" s="12"/>
      <c r="CS81" s="12"/>
      <c r="CT81" s="12"/>
      <c r="CU81" s="12"/>
      <c r="CV81" s="12"/>
      <c r="CW81" s="12"/>
      <c r="CX81" s="12"/>
      <c r="CY81" s="12"/>
      <c r="CZ81" s="12"/>
      <c r="DA81" s="12"/>
      <c r="DB81" s="12"/>
      <c r="DC81" s="12"/>
      <c r="DD81" s="12"/>
      <c r="DE81" s="12"/>
      <c r="DF81" s="12"/>
      <c r="DG81" s="12"/>
      <c r="DH81" s="12"/>
      <c r="DI81" s="12"/>
      <c r="DJ81" s="12"/>
      <c r="DK81" s="12"/>
      <c r="DL81" s="12"/>
      <c r="DM81" s="12"/>
      <c r="DN81" s="12"/>
      <c r="DO81" s="12"/>
      <c r="DP81" s="12"/>
      <c r="DQ81" s="12"/>
      <c r="DR81" s="12"/>
      <c r="DS81" s="12"/>
      <c r="DT81" s="12"/>
      <c r="DU81" s="12"/>
      <c r="DV81" s="12"/>
      <c r="DW81" s="12"/>
      <c r="DX81" s="12"/>
      <c r="DY81" s="12"/>
      <c r="DZ81" s="12"/>
      <c r="EA81" s="12"/>
      <c r="EB81" s="12"/>
      <c r="EC81" s="12"/>
      <c r="ED81" s="12"/>
      <c r="EE81" s="12"/>
      <c r="EF81" s="12"/>
      <c r="EG81" s="12"/>
      <c r="EH81" s="12"/>
      <c r="EI81" s="12"/>
      <c r="EJ81" s="12"/>
      <c r="EK81" s="12"/>
      <c r="EL81" s="12"/>
      <c r="EM81" s="12"/>
      <c r="EN81" s="12"/>
      <c r="EO81" s="12"/>
      <c r="EP81" s="12"/>
      <c r="EQ81" s="12"/>
      <c r="ER81" s="12"/>
      <c r="ES81" s="12"/>
      <c r="ET81" s="12"/>
      <c r="EU81" s="12"/>
      <c r="EV81" s="12"/>
      <c r="EW81" s="12"/>
      <c r="EX81" s="12"/>
      <c r="EY81" s="12"/>
      <c r="EZ81" s="12"/>
      <c r="FA81" s="12"/>
      <c r="FB81" s="12"/>
      <c r="FC81" s="12"/>
      <c r="FD81" s="12"/>
      <c r="FE81" s="12"/>
      <c r="FF81" s="12"/>
      <c r="FG81" s="12"/>
      <c r="FH81" s="12"/>
      <c r="FI81" s="12"/>
      <c r="FJ81" s="12"/>
      <c r="FK81" s="12"/>
      <c r="FL81" s="12"/>
      <c r="FM81" s="12"/>
      <c r="FN81" s="12"/>
      <c r="FO81" s="12"/>
      <c r="FP81" s="12"/>
      <c r="FQ81" s="12"/>
      <c r="FR81" s="12"/>
      <c r="FS81" s="12"/>
      <c r="FT81" s="12"/>
      <c r="FU81" s="12"/>
      <c r="FV81" s="12"/>
      <c r="FW81" s="12"/>
      <c r="FX81" s="12"/>
      <c r="FY81" s="12"/>
      <c r="FZ81" s="12"/>
      <c r="GA81" s="12"/>
      <c r="GB81" s="12"/>
      <c r="GC81" s="12"/>
      <c r="GD81" s="12"/>
      <c r="GE81" s="12"/>
    </row>
    <row r="82" spans="1:187" ht="21" customHeight="1">
      <c r="A82" s="45"/>
      <c r="B82" s="101" t="s">
        <v>132</v>
      </c>
      <c r="C82" s="101"/>
      <c r="D82" s="101"/>
      <c r="E82" s="34"/>
      <c r="F82" s="34"/>
      <c r="G82" s="34"/>
      <c r="H82" s="34"/>
      <c r="I82" s="35">
        <f t="shared" si="8"/>
        <v>0</v>
      </c>
      <c r="J82" s="56"/>
      <c r="K82" s="49"/>
      <c r="L82" s="49"/>
      <c r="M82" s="49"/>
      <c r="N82" s="49"/>
      <c r="O82" s="56">
        <f t="shared" si="14"/>
        <v>0</v>
      </c>
      <c r="P82" s="1">
        <f t="shared" si="13"/>
        <v>0</v>
      </c>
      <c r="Q82" s="1">
        <f t="shared" si="9"/>
        <v>0</v>
      </c>
      <c r="R82" s="1">
        <f t="shared" si="10"/>
        <v>0</v>
      </c>
      <c r="S82" s="1">
        <f t="shared" si="11"/>
        <v>0</v>
      </c>
      <c r="T82" s="1">
        <f t="shared" si="12"/>
        <v>0</v>
      </c>
      <c r="U82" s="45"/>
      <c r="V82" s="45"/>
      <c r="W82" s="45"/>
    </row>
    <row r="83" spans="1:187" ht="21" customHeight="1">
      <c r="A83" s="45"/>
      <c r="B83" s="9" t="s">
        <v>2</v>
      </c>
      <c r="C83" s="10" t="s">
        <v>68</v>
      </c>
      <c r="D83" s="10" t="s">
        <v>303</v>
      </c>
      <c r="E83" s="35">
        <v>4556.0249999999996</v>
      </c>
      <c r="F83" s="35">
        <f>6782.284-E83</f>
        <v>2226.259</v>
      </c>
      <c r="G83" s="35">
        <v>538.45899999999995</v>
      </c>
      <c r="H83" s="35">
        <f>4184.521-G83</f>
        <v>3646.0619999999999</v>
      </c>
      <c r="I83" s="35">
        <f t="shared" si="8"/>
        <v>10966.805</v>
      </c>
      <c r="J83" s="56">
        <v>11530.3</v>
      </c>
      <c r="K83" s="49">
        <v>9473.18</v>
      </c>
      <c r="L83" s="49">
        <v>9852.1072000000004</v>
      </c>
      <c r="M83" s="49">
        <v>1598.8673399999998</v>
      </c>
      <c r="N83" s="49">
        <v>1662.8220335999999</v>
      </c>
      <c r="O83" s="56">
        <f t="shared" si="14"/>
        <v>7874.3126600000005</v>
      </c>
      <c r="P83" s="1">
        <f t="shared" si="13"/>
        <v>35875565.336776502</v>
      </c>
      <c r="Q83" s="1">
        <f t="shared" si="9"/>
        <v>17530259.428138942</v>
      </c>
      <c r="R83" s="1">
        <f t="shared" si="10"/>
        <v>4409594.3014145773</v>
      </c>
      <c r="S83" s="1">
        <f t="shared" si="11"/>
        <v>29858641.452374719</v>
      </c>
      <c r="T83" s="1">
        <f t="shared" si="12"/>
        <v>87674060.518704742</v>
      </c>
      <c r="U83" s="11"/>
      <c r="V83" s="11"/>
      <c r="W83" s="11"/>
      <c r="X83" s="12"/>
      <c r="Y83" s="12"/>
      <c r="Z83" s="12"/>
      <c r="AA83" s="12"/>
      <c r="AB83" s="12"/>
      <c r="AC83" s="12"/>
      <c r="AD83" s="12"/>
      <c r="AE83" s="12"/>
      <c r="AF83" s="12"/>
      <c r="AG83" s="12"/>
      <c r="AH83" s="12"/>
      <c r="AI83" s="12"/>
      <c r="AJ83" s="12"/>
      <c r="AK83" s="12"/>
      <c r="AL83" s="12"/>
      <c r="AM83" s="12"/>
      <c r="AN83" s="12"/>
      <c r="AO83" s="12"/>
      <c r="AP83" s="12"/>
      <c r="AQ83" s="12"/>
      <c r="AR83" s="12"/>
      <c r="AS83" s="12"/>
      <c r="AT83" s="12"/>
      <c r="AU83" s="12"/>
      <c r="AV83" s="12"/>
      <c r="AW83" s="12"/>
      <c r="AX83" s="12"/>
      <c r="AY83" s="12"/>
      <c r="AZ83" s="12"/>
      <c r="BA83" s="12"/>
      <c r="BB83" s="12"/>
      <c r="BC83" s="12"/>
      <c r="BD83" s="12"/>
      <c r="BE83" s="12"/>
      <c r="BF83" s="12"/>
      <c r="BG83" s="12"/>
      <c r="BH83" s="12"/>
      <c r="BI83" s="12"/>
      <c r="BJ83" s="12"/>
      <c r="BK83" s="12"/>
      <c r="BL83" s="12"/>
      <c r="BM83" s="12"/>
      <c r="BN83" s="12"/>
      <c r="BO83" s="12"/>
      <c r="BP83" s="12"/>
      <c r="BQ83" s="12"/>
      <c r="BR83" s="12"/>
      <c r="BS83" s="12"/>
      <c r="BT83" s="12"/>
      <c r="BU83" s="12"/>
      <c r="BV83" s="12"/>
      <c r="BW83" s="12"/>
      <c r="BX83" s="12"/>
      <c r="BY83" s="12"/>
      <c r="BZ83" s="12"/>
      <c r="CA83" s="12"/>
      <c r="CB83" s="12"/>
      <c r="CC83" s="12"/>
      <c r="CD83" s="12"/>
      <c r="CE83" s="12"/>
      <c r="CF83" s="12"/>
      <c r="CG83" s="12"/>
      <c r="CH83" s="12"/>
      <c r="CI83" s="12"/>
      <c r="CJ83" s="12"/>
      <c r="CK83" s="12"/>
      <c r="CL83" s="12"/>
      <c r="CM83" s="12"/>
      <c r="CN83" s="12"/>
      <c r="CO83" s="12"/>
      <c r="CP83" s="12"/>
      <c r="CQ83" s="12"/>
      <c r="CR83" s="12"/>
      <c r="CS83" s="12"/>
      <c r="CT83" s="12"/>
      <c r="CU83" s="12"/>
      <c r="CV83" s="12"/>
      <c r="CW83" s="12"/>
      <c r="CX83" s="12"/>
      <c r="CY83" s="12"/>
      <c r="CZ83" s="12"/>
      <c r="DA83" s="12"/>
      <c r="DB83" s="12"/>
      <c r="DC83" s="12"/>
      <c r="DD83" s="12"/>
      <c r="DE83" s="12"/>
      <c r="DF83" s="12"/>
      <c r="DG83" s="12"/>
      <c r="DH83" s="12"/>
      <c r="DI83" s="12"/>
      <c r="DJ83" s="12"/>
      <c r="DK83" s="12"/>
      <c r="DL83" s="12"/>
      <c r="DM83" s="12"/>
      <c r="DN83" s="12"/>
      <c r="DO83" s="12"/>
      <c r="DP83" s="12"/>
      <c r="DQ83" s="12"/>
      <c r="DR83" s="12"/>
      <c r="DS83" s="12"/>
      <c r="DT83" s="12"/>
      <c r="DU83" s="12"/>
      <c r="DV83" s="12"/>
      <c r="DW83" s="12"/>
      <c r="DX83" s="12"/>
      <c r="DY83" s="12"/>
      <c r="DZ83" s="12"/>
      <c r="EA83" s="12"/>
      <c r="EB83" s="12"/>
      <c r="EC83" s="12"/>
      <c r="ED83" s="12"/>
      <c r="EE83" s="12"/>
      <c r="EF83" s="12"/>
      <c r="EG83" s="12"/>
      <c r="EH83" s="12"/>
      <c r="EI83" s="12"/>
      <c r="EJ83" s="12"/>
      <c r="EK83" s="12"/>
      <c r="EL83" s="12"/>
      <c r="EM83" s="12"/>
      <c r="EN83" s="12"/>
      <c r="EO83" s="12"/>
      <c r="EP83" s="12"/>
      <c r="EQ83" s="12"/>
      <c r="ER83" s="12"/>
      <c r="ES83" s="12"/>
      <c r="ET83" s="12"/>
      <c r="EU83" s="12"/>
      <c r="EV83" s="12"/>
      <c r="EW83" s="12"/>
      <c r="EX83" s="12"/>
      <c r="EY83" s="12"/>
      <c r="EZ83" s="12"/>
      <c r="FA83" s="12"/>
      <c r="FB83" s="12"/>
      <c r="FC83" s="12"/>
      <c r="FD83" s="12"/>
      <c r="FE83" s="12"/>
      <c r="FF83" s="12"/>
      <c r="FG83" s="12"/>
      <c r="FH83" s="12"/>
      <c r="FI83" s="12"/>
      <c r="FJ83" s="12"/>
      <c r="FK83" s="12"/>
      <c r="FL83" s="12"/>
      <c r="FM83" s="12"/>
      <c r="FN83" s="12"/>
      <c r="FO83" s="12"/>
      <c r="FP83" s="12"/>
      <c r="FQ83" s="12"/>
      <c r="FR83" s="12"/>
      <c r="FS83" s="12"/>
      <c r="FT83" s="12"/>
      <c r="FU83" s="12"/>
      <c r="FV83" s="12"/>
      <c r="FW83" s="12"/>
      <c r="FX83" s="12"/>
      <c r="FY83" s="12"/>
      <c r="FZ83" s="12"/>
      <c r="GA83" s="12"/>
      <c r="GB83" s="12"/>
      <c r="GC83" s="12"/>
      <c r="GD83" s="12"/>
      <c r="GE83" s="12"/>
    </row>
    <row r="84" spans="1:187" ht="21" customHeight="1">
      <c r="A84" s="45"/>
      <c r="B84" s="101" t="s">
        <v>133</v>
      </c>
      <c r="C84" s="101"/>
      <c r="D84" s="101"/>
      <c r="E84" s="34"/>
      <c r="F84" s="34"/>
      <c r="G84" s="34"/>
      <c r="H84" s="34"/>
      <c r="I84" s="35">
        <f t="shared" si="8"/>
        <v>0</v>
      </c>
      <c r="J84" s="56"/>
      <c r="K84" s="49"/>
      <c r="L84" s="49"/>
      <c r="M84" s="49"/>
      <c r="N84" s="49"/>
      <c r="O84" s="56">
        <f t="shared" si="14"/>
        <v>0</v>
      </c>
      <c r="P84" s="1">
        <f t="shared" si="13"/>
        <v>0</v>
      </c>
      <c r="Q84" s="1">
        <f t="shared" si="9"/>
        <v>0</v>
      </c>
      <c r="R84" s="1">
        <f t="shared" si="10"/>
        <v>0</v>
      </c>
      <c r="S84" s="1">
        <f t="shared" si="11"/>
        <v>0</v>
      </c>
      <c r="T84" s="1">
        <f t="shared" si="12"/>
        <v>0</v>
      </c>
      <c r="U84" s="45"/>
      <c r="V84" s="45"/>
      <c r="W84" s="45"/>
    </row>
    <row r="85" spans="1:187" ht="21" customHeight="1">
      <c r="A85" s="45"/>
      <c r="B85" s="9" t="s">
        <v>2</v>
      </c>
      <c r="C85" s="10" t="s">
        <v>68</v>
      </c>
      <c r="D85" s="10" t="s">
        <v>304</v>
      </c>
      <c r="E85" s="35">
        <v>3657.9490000000001</v>
      </c>
      <c r="F85" s="35">
        <f>5650.67-E85</f>
        <v>1992.721</v>
      </c>
      <c r="G85" s="35">
        <v>738.68499999999995</v>
      </c>
      <c r="H85" s="35">
        <f>3951.318-G85</f>
        <v>3212.6330000000003</v>
      </c>
      <c r="I85" s="35">
        <f t="shared" si="8"/>
        <v>9601.9879999999994</v>
      </c>
      <c r="J85" s="56">
        <v>9881.48</v>
      </c>
      <c r="K85" s="49">
        <v>8610.39</v>
      </c>
      <c r="L85" s="49">
        <v>8954.8055999999997</v>
      </c>
      <c r="M85" s="49">
        <v>1354.0316399999999</v>
      </c>
      <c r="N85" s="49">
        <v>1408.1929055999999</v>
      </c>
      <c r="O85" s="56">
        <f t="shared" si="14"/>
        <v>7256.3583599999993</v>
      </c>
      <c r="P85" s="1">
        <f t="shared" si="13"/>
        <v>26543388.806603637</v>
      </c>
      <c r="Q85" s="1">
        <f t="shared" si="9"/>
        <v>14459897.687497558</v>
      </c>
      <c r="R85" s="1">
        <f t="shared" si="10"/>
        <v>5574569.5981628634</v>
      </c>
      <c r="S85" s="1">
        <f t="shared" si="11"/>
        <v>24244496.980248358</v>
      </c>
      <c r="T85" s="1">
        <f t="shared" si="12"/>
        <v>70822353.072512418</v>
      </c>
      <c r="U85" s="11"/>
      <c r="V85" s="11"/>
      <c r="W85" s="11"/>
      <c r="X85" s="12"/>
      <c r="Y85" s="12"/>
      <c r="Z85" s="12"/>
      <c r="AA85" s="12"/>
      <c r="AB85" s="12"/>
      <c r="AC85" s="12"/>
      <c r="AD85" s="12"/>
      <c r="AE85" s="12"/>
      <c r="AF85" s="12"/>
      <c r="AG85" s="12"/>
      <c r="AH85" s="12"/>
      <c r="AI85" s="12"/>
      <c r="AJ85" s="12"/>
      <c r="AK85" s="12"/>
      <c r="AL85" s="12"/>
      <c r="AM85" s="12"/>
      <c r="AN85" s="12"/>
      <c r="AO85" s="12"/>
      <c r="AP85" s="12"/>
      <c r="AQ85" s="12"/>
      <c r="AR85" s="12"/>
      <c r="AS85" s="12"/>
      <c r="AT85" s="12"/>
      <c r="AU85" s="12"/>
      <c r="AV85" s="12"/>
      <c r="AW85" s="12"/>
      <c r="AX85" s="12"/>
      <c r="AY85" s="12"/>
      <c r="AZ85" s="12"/>
      <c r="BA85" s="12"/>
      <c r="BB85" s="12"/>
      <c r="BC85" s="12"/>
      <c r="BD85" s="12"/>
      <c r="BE85" s="12"/>
      <c r="BF85" s="12"/>
      <c r="BG85" s="12"/>
      <c r="BH85" s="12"/>
      <c r="BI85" s="12"/>
      <c r="BJ85" s="12"/>
      <c r="BK85" s="12"/>
      <c r="BL85" s="12"/>
      <c r="BM85" s="12"/>
      <c r="BN85" s="12"/>
      <c r="BO85" s="12"/>
      <c r="BP85" s="12"/>
      <c r="BQ85" s="12"/>
      <c r="BR85" s="12"/>
      <c r="BS85" s="12"/>
      <c r="BT85" s="12"/>
      <c r="BU85" s="12"/>
      <c r="BV85" s="12"/>
      <c r="BW85" s="12"/>
      <c r="BX85" s="12"/>
      <c r="BY85" s="12"/>
      <c r="BZ85" s="12"/>
      <c r="CA85" s="12"/>
      <c r="CB85" s="12"/>
      <c r="CC85" s="12"/>
      <c r="CD85" s="12"/>
      <c r="CE85" s="12"/>
      <c r="CF85" s="12"/>
      <c r="CG85" s="12"/>
      <c r="CH85" s="12"/>
      <c r="CI85" s="12"/>
      <c r="CJ85" s="12"/>
      <c r="CK85" s="12"/>
      <c r="CL85" s="12"/>
      <c r="CM85" s="12"/>
      <c r="CN85" s="12"/>
      <c r="CO85" s="12"/>
      <c r="CP85" s="12"/>
      <c r="CQ85" s="12"/>
      <c r="CR85" s="12"/>
      <c r="CS85" s="12"/>
      <c r="CT85" s="12"/>
      <c r="CU85" s="12"/>
      <c r="CV85" s="12"/>
      <c r="CW85" s="12"/>
      <c r="CX85" s="12"/>
      <c r="CY85" s="12"/>
      <c r="CZ85" s="12"/>
      <c r="DA85" s="12"/>
      <c r="DB85" s="12"/>
      <c r="DC85" s="12"/>
      <c r="DD85" s="12"/>
      <c r="DE85" s="12"/>
      <c r="DF85" s="12"/>
      <c r="DG85" s="12"/>
      <c r="DH85" s="12"/>
      <c r="DI85" s="12"/>
      <c r="DJ85" s="12"/>
      <c r="DK85" s="12"/>
      <c r="DL85" s="12"/>
      <c r="DM85" s="12"/>
      <c r="DN85" s="12"/>
      <c r="DO85" s="12"/>
      <c r="DP85" s="12"/>
      <c r="DQ85" s="12"/>
      <c r="DR85" s="12"/>
      <c r="DS85" s="12"/>
      <c r="DT85" s="12"/>
      <c r="DU85" s="12"/>
      <c r="DV85" s="12"/>
      <c r="DW85" s="12"/>
      <c r="DX85" s="12"/>
      <c r="DY85" s="12"/>
      <c r="DZ85" s="12"/>
      <c r="EA85" s="12"/>
      <c r="EB85" s="12"/>
      <c r="EC85" s="12"/>
      <c r="ED85" s="12"/>
      <c r="EE85" s="12"/>
      <c r="EF85" s="12"/>
      <c r="EG85" s="12"/>
      <c r="EH85" s="12"/>
      <c r="EI85" s="12"/>
      <c r="EJ85" s="12"/>
      <c r="EK85" s="12"/>
      <c r="EL85" s="12"/>
      <c r="EM85" s="12"/>
      <c r="EN85" s="12"/>
      <c r="EO85" s="12"/>
      <c r="EP85" s="12"/>
      <c r="EQ85" s="12"/>
      <c r="ER85" s="12"/>
      <c r="ES85" s="12"/>
      <c r="ET85" s="12"/>
      <c r="EU85" s="12"/>
      <c r="EV85" s="12"/>
      <c r="EW85" s="12"/>
      <c r="EX85" s="12"/>
      <c r="EY85" s="12"/>
      <c r="EZ85" s="12"/>
      <c r="FA85" s="12"/>
      <c r="FB85" s="12"/>
      <c r="FC85" s="12"/>
      <c r="FD85" s="12"/>
      <c r="FE85" s="12"/>
      <c r="FF85" s="12"/>
      <c r="FG85" s="12"/>
      <c r="FH85" s="12"/>
      <c r="FI85" s="12"/>
      <c r="FJ85" s="12"/>
      <c r="FK85" s="12"/>
      <c r="FL85" s="12"/>
      <c r="FM85" s="12"/>
      <c r="FN85" s="12"/>
      <c r="FO85" s="12"/>
      <c r="FP85" s="12"/>
      <c r="FQ85" s="12"/>
      <c r="FR85" s="12"/>
      <c r="FS85" s="12"/>
      <c r="FT85" s="12"/>
      <c r="FU85" s="12"/>
      <c r="FV85" s="12"/>
      <c r="FW85" s="12"/>
      <c r="FX85" s="12"/>
      <c r="FY85" s="12"/>
      <c r="FZ85" s="12"/>
      <c r="GA85" s="12"/>
      <c r="GB85" s="12"/>
      <c r="GC85" s="12"/>
      <c r="GD85" s="12"/>
      <c r="GE85" s="12"/>
    </row>
    <row r="86" spans="1:187" ht="21" customHeight="1">
      <c r="A86" s="45" t="s">
        <v>337</v>
      </c>
      <c r="B86" s="9">
        <v>7729314745</v>
      </c>
      <c r="C86" s="10" t="s">
        <v>341</v>
      </c>
      <c r="D86" s="10" t="s">
        <v>342</v>
      </c>
      <c r="E86" s="35">
        <f>60.9235*0.4</f>
        <v>24.369399999999999</v>
      </c>
      <c r="F86" s="35">
        <f>60.9235*0.6</f>
        <v>36.554099999999998</v>
      </c>
      <c r="G86" s="35">
        <f>49.8465*0.2</f>
        <v>9.9693000000000005</v>
      </c>
      <c r="H86" s="35">
        <f>49.8465*0.8</f>
        <v>39.877200000000002</v>
      </c>
      <c r="I86" s="35">
        <f t="shared" si="8"/>
        <v>110.77</v>
      </c>
      <c r="J86" s="56">
        <v>110.8</v>
      </c>
      <c r="K86" s="49">
        <v>6746.4316399999998</v>
      </c>
      <c r="L86" s="49">
        <v>7016.2889056000004</v>
      </c>
      <c r="M86" s="49">
        <v>1354.0316399999999</v>
      </c>
      <c r="N86" s="49">
        <v>1408.1929055999999</v>
      </c>
      <c r="O86" s="56">
        <f t="shared" si="14"/>
        <v>5392.4</v>
      </c>
      <c r="P86" s="1">
        <f t="shared" si="13"/>
        <v>131409.55255999998</v>
      </c>
      <c r="Q86" s="1">
        <f t="shared" si="9"/>
        <v>197114.32883999997</v>
      </c>
      <c r="R86" s="1">
        <f t="shared" si="10"/>
        <v>55908.791452800004</v>
      </c>
      <c r="S86" s="1">
        <f t="shared" si="11"/>
        <v>223635.16581120002</v>
      </c>
      <c r="T86" s="1">
        <f t="shared" si="12"/>
        <v>608067.83866399992</v>
      </c>
      <c r="U86" s="11"/>
      <c r="V86" s="11"/>
      <c r="W86" s="11"/>
      <c r="X86" s="12"/>
      <c r="Y86" s="12"/>
      <c r="Z86" s="12"/>
      <c r="AA86" s="12"/>
      <c r="AB86" s="12"/>
      <c r="AC86" s="12"/>
      <c r="AD86" s="12"/>
      <c r="AE86" s="12"/>
      <c r="AF86" s="12"/>
      <c r="AG86" s="12"/>
      <c r="AH86" s="12"/>
      <c r="AI86" s="12"/>
      <c r="AJ86" s="12"/>
      <c r="AK86" s="12"/>
      <c r="AL86" s="12"/>
      <c r="AM86" s="12"/>
      <c r="AN86" s="12"/>
      <c r="AO86" s="12"/>
      <c r="AP86" s="12"/>
      <c r="AQ86" s="12"/>
      <c r="AR86" s="12"/>
      <c r="AS86" s="12"/>
      <c r="AT86" s="12"/>
      <c r="AU86" s="12"/>
      <c r="AV86" s="12"/>
      <c r="AW86" s="12"/>
      <c r="AX86" s="12"/>
      <c r="AY86" s="12"/>
      <c r="AZ86" s="12"/>
      <c r="BA86" s="12"/>
      <c r="BB86" s="12"/>
      <c r="BC86" s="12"/>
      <c r="BD86" s="12"/>
      <c r="BE86" s="12"/>
      <c r="BF86" s="12"/>
      <c r="BG86" s="12"/>
      <c r="BH86" s="12"/>
      <c r="BI86" s="12"/>
      <c r="BJ86" s="12"/>
      <c r="BK86" s="12"/>
      <c r="BL86" s="12"/>
      <c r="BM86" s="12"/>
      <c r="BN86" s="12"/>
      <c r="BO86" s="12"/>
      <c r="BP86" s="12"/>
      <c r="BQ86" s="12"/>
      <c r="BR86" s="12"/>
      <c r="BS86" s="12"/>
      <c r="BT86" s="12"/>
      <c r="BU86" s="12"/>
      <c r="BV86" s="12"/>
      <c r="BW86" s="12"/>
      <c r="BX86" s="12"/>
      <c r="BY86" s="12"/>
      <c r="BZ86" s="12"/>
      <c r="CA86" s="12"/>
      <c r="CB86" s="12"/>
      <c r="CC86" s="12"/>
      <c r="CD86" s="12"/>
      <c r="CE86" s="12"/>
      <c r="CF86" s="12"/>
      <c r="CG86" s="12"/>
      <c r="CH86" s="12"/>
      <c r="CI86" s="12"/>
      <c r="CJ86" s="12"/>
      <c r="CK86" s="12"/>
      <c r="CL86" s="12"/>
      <c r="CM86" s="12"/>
      <c r="CN86" s="12"/>
      <c r="CO86" s="12"/>
      <c r="CP86" s="12"/>
      <c r="CQ86" s="12"/>
      <c r="CR86" s="12"/>
      <c r="CS86" s="12"/>
      <c r="CT86" s="12"/>
      <c r="CU86" s="12"/>
      <c r="CV86" s="12"/>
      <c r="CW86" s="12"/>
      <c r="CX86" s="12"/>
      <c r="CY86" s="12"/>
      <c r="CZ86" s="12"/>
      <c r="DA86" s="12"/>
      <c r="DB86" s="12"/>
      <c r="DC86" s="12"/>
      <c r="DD86" s="12"/>
      <c r="DE86" s="12"/>
      <c r="DF86" s="12"/>
      <c r="DG86" s="12"/>
      <c r="DH86" s="12"/>
      <c r="DI86" s="12"/>
      <c r="DJ86" s="12"/>
      <c r="DK86" s="12"/>
      <c r="DL86" s="12"/>
      <c r="DM86" s="12"/>
      <c r="DN86" s="12"/>
      <c r="DO86" s="12"/>
      <c r="DP86" s="12"/>
      <c r="DQ86" s="12"/>
      <c r="DR86" s="12"/>
      <c r="DS86" s="12"/>
      <c r="DT86" s="12"/>
      <c r="DU86" s="12"/>
      <c r="DV86" s="12"/>
      <c r="DW86" s="12"/>
      <c r="DX86" s="12"/>
      <c r="DY86" s="12"/>
      <c r="DZ86" s="12"/>
      <c r="EA86" s="12"/>
      <c r="EB86" s="12"/>
      <c r="EC86" s="12"/>
      <c r="ED86" s="12"/>
      <c r="EE86" s="12"/>
      <c r="EF86" s="12"/>
      <c r="EG86" s="12"/>
      <c r="EH86" s="12"/>
      <c r="EI86" s="12"/>
      <c r="EJ86" s="12"/>
      <c r="EK86" s="12"/>
      <c r="EL86" s="12"/>
      <c r="EM86" s="12"/>
      <c r="EN86" s="12"/>
      <c r="EO86" s="12"/>
      <c r="EP86" s="12"/>
      <c r="EQ86" s="12"/>
      <c r="ER86" s="12"/>
      <c r="ES86" s="12"/>
      <c r="ET86" s="12"/>
      <c r="EU86" s="12"/>
      <c r="EV86" s="12"/>
      <c r="EW86" s="12"/>
      <c r="EX86" s="12"/>
      <c r="EY86" s="12"/>
      <c r="EZ86" s="12"/>
      <c r="FA86" s="12"/>
      <c r="FB86" s="12"/>
      <c r="FC86" s="12"/>
      <c r="FD86" s="12"/>
      <c r="FE86" s="12"/>
      <c r="FF86" s="12"/>
      <c r="FG86" s="12"/>
      <c r="FH86" s="12"/>
      <c r="FI86" s="12"/>
      <c r="FJ86" s="12"/>
      <c r="FK86" s="12"/>
      <c r="FL86" s="12"/>
      <c r="FM86" s="12"/>
      <c r="FN86" s="12"/>
      <c r="FO86" s="12"/>
      <c r="FP86" s="12"/>
      <c r="FQ86" s="12"/>
      <c r="FR86" s="12"/>
      <c r="FS86" s="12"/>
      <c r="FT86" s="12"/>
      <c r="FU86" s="12"/>
      <c r="FV86" s="12"/>
      <c r="FW86" s="12"/>
      <c r="FX86" s="12"/>
      <c r="FY86" s="12"/>
      <c r="FZ86" s="12"/>
      <c r="GA86" s="12"/>
      <c r="GB86" s="12"/>
      <c r="GC86" s="12"/>
      <c r="GD86" s="12"/>
      <c r="GE86" s="12"/>
    </row>
    <row r="87" spans="1:187" ht="21" customHeight="1">
      <c r="A87" s="45"/>
      <c r="B87" s="101" t="s">
        <v>109</v>
      </c>
      <c r="C87" s="101"/>
      <c r="D87" s="101"/>
      <c r="E87" s="34"/>
      <c r="F87" s="34"/>
      <c r="G87" s="34"/>
      <c r="H87" s="34"/>
      <c r="I87" s="35">
        <f t="shared" si="8"/>
        <v>0</v>
      </c>
      <c r="J87" s="56"/>
      <c r="K87" s="49"/>
      <c r="L87" s="49"/>
      <c r="M87" s="49"/>
      <c r="N87" s="49"/>
      <c r="O87" s="56">
        <f t="shared" si="14"/>
        <v>0</v>
      </c>
      <c r="P87" s="1">
        <f t="shared" si="13"/>
        <v>0</v>
      </c>
      <c r="Q87" s="1">
        <f t="shared" si="9"/>
        <v>0</v>
      </c>
      <c r="R87" s="1">
        <f t="shared" si="10"/>
        <v>0</v>
      </c>
      <c r="S87" s="1">
        <f t="shared" si="11"/>
        <v>0</v>
      </c>
      <c r="T87" s="1">
        <f t="shared" si="12"/>
        <v>0</v>
      </c>
      <c r="U87" s="45"/>
      <c r="V87" s="45"/>
      <c r="W87" s="45"/>
    </row>
    <row r="88" spans="1:187" ht="21" customHeight="1">
      <c r="A88" s="45"/>
      <c r="B88" s="9" t="s">
        <v>33</v>
      </c>
      <c r="C88" s="10" t="s">
        <v>134</v>
      </c>
      <c r="D88" s="10"/>
      <c r="E88" s="39">
        <v>45585.184000000001</v>
      </c>
      <c r="F88" s="39">
        <f>74313.317-E88</f>
        <v>28728.132999999994</v>
      </c>
      <c r="G88" s="39">
        <v>14954.482</v>
      </c>
      <c r="H88" s="39">
        <f>58094.657-G88</f>
        <v>43140.175000000003</v>
      </c>
      <c r="I88" s="35">
        <f t="shared" si="8"/>
        <v>132407.97399999999</v>
      </c>
      <c r="J88" s="56">
        <v>141521.84</v>
      </c>
      <c r="K88" s="49">
        <v>2022.25</v>
      </c>
      <c r="L88" s="49">
        <v>2103.14</v>
      </c>
      <c r="M88" s="49">
        <v>1526.65</v>
      </c>
      <c r="N88" s="49">
        <v>1587.7160000000001</v>
      </c>
      <c r="O88" s="56">
        <f t="shared" si="14"/>
        <v>495.59999999999991</v>
      </c>
      <c r="P88" s="1">
        <f t="shared" si="13"/>
        <v>22592017.190399997</v>
      </c>
      <c r="Q88" s="1">
        <f t="shared" si="9"/>
        <v>14237662.714799995</v>
      </c>
      <c r="R88" s="1">
        <f t="shared" si="10"/>
        <v>7707898.930367996</v>
      </c>
      <c r="S88" s="1">
        <f t="shared" si="11"/>
        <v>22235481.559199993</v>
      </c>
      <c r="T88" s="1">
        <f t="shared" si="12"/>
        <v>66773060.394767985</v>
      </c>
      <c r="U88" s="11"/>
      <c r="V88" s="11"/>
      <c r="W88" s="11"/>
      <c r="X88" s="12"/>
      <c r="Y88" s="12"/>
      <c r="Z88" s="12"/>
      <c r="AA88" s="12"/>
      <c r="AB88" s="12"/>
      <c r="AC88" s="12"/>
      <c r="AD88" s="12"/>
      <c r="AE88" s="12"/>
      <c r="AF88" s="12"/>
      <c r="AG88" s="12"/>
      <c r="AH88" s="12"/>
      <c r="AI88" s="12"/>
      <c r="AJ88" s="12"/>
      <c r="AK88" s="12"/>
      <c r="AL88" s="12"/>
      <c r="AM88" s="12"/>
      <c r="AN88" s="12"/>
      <c r="AO88" s="12"/>
      <c r="AP88" s="12"/>
      <c r="AQ88" s="12"/>
      <c r="AR88" s="12"/>
      <c r="AS88" s="12"/>
      <c r="AT88" s="12"/>
      <c r="AU88" s="12"/>
      <c r="AV88" s="12"/>
      <c r="AW88" s="12"/>
      <c r="AX88" s="12"/>
      <c r="AY88" s="12"/>
      <c r="AZ88" s="12"/>
      <c r="BA88" s="12"/>
      <c r="BB88" s="12"/>
      <c r="BC88" s="12"/>
      <c r="BD88" s="12"/>
      <c r="BE88" s="12"/>
      <c r="BF88" s="12"/>
      <c r="BG88" s="12"/>
      <c r="BH88" s="12"/>
      <c r="BI88" s="12"/>
      <c r="BJ88" s="12"/>
      <c r="BK88" s="12"/>
      <c r="BL88" s="12"/>
      <c r="BM88" s="12"/>
      <c r="BN88" s="12"/>
      <c r="BO88" s="12"/>
      <c r="BP88" s="12"/>
      <c r="BQ88" s="12"/>
      <c r="BR88" s="12"/>
      <c r="BS88" s="12"/>
      <c r="BT88" s="12"/>
      <c r="BU88" s="12"/>
      <c r="BV88" s="12"/>
      <c r="BW88" s="12"/>
      <c r="BX88" s="12"/>
      <c r="BY88" s="12"/>
      <c r="BZ88" s="12"/>
      <c r="CA88" s="12"/>
      <c r="CB88" s="12"/>
      <c r="CC88" s="12"/>
      <c r="CD88" s="12"/>
      <c r="CE88" s="12"/>
      <c r="CF88" s="12"/>
      <c r="CG88" s="12"/>
      <c r="CH88" s="12"/>
      <c r="CI88" s="12"/>
      <c r="CJ88" s="12"/>
      <c r="CK88" s="12"/>
      <c r="CL88" s="12"/>
      <c r="CM88" s="12"/>
      <c r="CN88" s="12"/>
      <c r="CO88" s="12"/>
      <c r="CP88" s="12"/>
      <c r="CQ88" s="12"/>
      <c r="CR88" s="12"/>
      <c r="CS88" s="12"/>
      <c r="CT88" s="12"/>
      <c r="CU88" s="12"/>
      <c r="CV88" s="12"/>
      <c r="CW88" s="12"/>
      <c r="CX88" s="12"/>
      <c r="CY88" s="12"/>
      <c r="CZ88" s="12"/>
      <c r="DA88" s="12"/>
      <c r="DB88" s="12"/>
      <c r="DC88" s="12"/>
      <c r="DD88" s="12"/>
      <c r="DE88" s="12"/>
      <c r="DF88" s="12"/>
      <c r="DG88" s="12"/>
      <c r="DH88" s="12"/>
      <c r="DI88" s="12"/>
      <c r="DJ88" s="12"/>
      <c r="DK88" s="12"/>
      <c r="DL88" s="12"/>
      <c r="DM88" s="12"/>
      <c r="DN88" s="12"/>
      <c r="DO88" s="12"/>
      <c r="DP88" s="12"/>
      <c r="DQ88" s="12"/>
      <c r="DR88" s="12"/>
      <c r="DS88" s="12"/>
      <c r="DT88" s="12"/>
      <c r="DU88" s="12"/>
      <c r="DV88" s="12"/>
      <c r="DW88" s="12"/>
      <c r="DX88" s="12"/>
      <c r="DY88" s="12"/>
      <c r="DZ88" s="12"/>
      <c r="EA88" s="12"/>
      <c r="EB88" s="12"/>
      <c r="EC88" s="12"/>
      <c r="ED88" s="12"/>
      <c r="EE88" s="12"/>
      <c r="EF88" s="12"/>
      <c r="EG88" s="12"/>
      <c r="EH88" s="12"/>
      <c r="EI88" s="12"/>
      <c r="EJ88" s="12"/>
      <c r="EK88" s="12"/>
      <c r="EL88" s="12"/>
      <c r="EM88" s="12"/>
      <c r="EN88" s="12"/>
      <c r="EO88" s="12"/>
      <c r="EP88" s="12"/>
      <c r="EQ88" s="12"/>
      <c r="ER88" s="12"/>
      <c r="ES88" s="12"/>
      <c r="ET88" s="12"/>
      <c r="EU88" s="12"/>
      <c r="EV88" s="12"/>
      <c r="EW88" s="12"/>
      <c r="EX88" s="12"/>
      <c r="EY88" s="12"/>
      <c r="EZ88" s="12"/>
      <c r="FA88" s="12"/>
      <c r="FB88" s="12"/>
      <c r="FC88" s="12"/>
      <c r="FD88" s="12"/>
      <c r="FE88" s="12"/>
      <c r="FF88" s="12"/>
      <c r="FG88" s="12"/>
      <c r="FH88" s="12"/>
      <c r="FI88" s="12"/>
      <c r="FJ88" s="12"/>
      <c r="FK88" s="12"/>
      <c r="FL88" s="12"/>
      <c r="FM88" s="12"/>
      <c r="FN88" s="12"/>
      <c r="FO88" s="12"/>
      <c r="FP88" s="12"/>
      <c r="FQ88" s="12"/>
      <c r="FR88" s="12"/>
      <c r="FS88" s="12"/>
      <c r="FT88" s="12"/>
      <c r="FU88" s="12"/>
      <c r="FV88" s="12"/>
      <c r="FW88" s="12"/>
      <c r="FX88" s="12"/>
      <c r="FY88" s="12"/>
      <c r="FZ88" s="12"/>
      <c r="GA88" s="12"/>
      <c r="GB88" s="12"/>
      <c r="GC88" s="12"/>
      <c r="GD88" s="12"/>
      <c r="GE88" s="12"/>
    </row>
    <row r="89" spans="1:187" ht="21" customHeight="1">
      <c r="A89" s="45" t="s">
        <v>337</v>
      </c>
      <c r="B89" s="9">
        <v>7729314745</v>
      </c>
      <c r="C89" s="10" t="s">
        <v>341</v>
      </c>
      <c r="D89" s="10"/>
      <c r="E89" s="35">
        <f>2542.804*0.4</f>
        <v>1017.1216000000001</v>
      </c>
      <c r="F89" s="35">
        <f>2542.804*0.6</f>
        <v>1525.6823999999999</v>
      </c>
      <c r="G89" s="35">
        <f>2080.476*0.2</f>
        <v>416.09520000000003</v>
      </c>
      <c r="H89" s="35">
        <f>2080.476*0.8</f>
        <v>1664.3808000000001</v>
      </c>
      <c r="I89" s="35">
        <f t="shared" si="8"/>
        <v>4623.2800000000007</v>
      </c>
      <c r="J89" s="56">
        <v>4623.3</v>
      </c>
      <c r="K89" s="49">
        <v>1659.3407999999999</v>
      </c>
      <c r="L89" s="49">
        <v>1725.714432</v>
      </c>
      <c r="M89" s="49">
        <v>1526.65066</v>
      </c>
      <c r="N89" s="49">
        <v>1587.7166864000001</v>
      </c>
      <c r="O89" s="56">
        <f t="shared" si="14"/>
        <v>132.69013999999993</v>
      </c>
      <c r="P89" s="1">
        <f t="shared" si="13"/>
        <v>134962.00750102394</v>
      </c>
      <c r="Q89" s="1">
        <f t="shared" si="9"/>
        <v>202443.01125153588</v>
      </c>
      <c r="R89" s="1">
        <f t="shared" si="10"/>
        <v>57420.199554981089</v>
      </c>
      <c r="S89" s="1">
        <f t="shared" si="11"/>
        <v>229680.79821992436</v>
      </c>
      <c r="T89" s="1">
        <f t="shared" si="12"/>
        <v>624506.0165274652</v>
      </c>
      <c r="U89" s="11"/>
      <c r="V89" s="11"/>
      <c r="W89" s="11"/>
      <c r="X89" s="12"/>
      <c r="Y89" s="12"/>
      <c r="Z89" s="12"/>
      <c r="AA89" s="12"/>
      <c r="AB89" s="12"/>
      <c r="AC89" s="12"/>
      <c r="AD89" s="12"/>
      <c r="AE89" s="12"/>
      <c r="AF89" s="12"/>
      <c r="AG89" s="12"/>
      <c r="AH89" s="12"/>
      <c r="AI89" s="12"/>
      <c r="AJ89" s="12"/>
      <c r="AK89" s="12"/>
      <c r="AL89" s="12"/>
      <c r="AM89" s="12"/>
      <c r="AN89" s="12"/>
      <c r="AO89" s="12"/>
      <c r="AP89" s="12"/>
      <c r="AQ89" s="12"/>
      <c r="AR89" s="12"/>
      <c r="AS89" s="12"/>
      <c r="AT89" s="12"/>
      <c r="AU89" s="12"/>
      <c r="AV89" s="12"/>
      <c r="AW89" s="12"/>
      <c r="AX89" s="12"/>
      <c r="AY89" s="12"/>
      <c r="AZ89" s="12"/>
      <c r="BA89" s="12"/>
      <c r="BB89" s="12"/>
      <c r="BC89" s="12"/>
      <c r="BD89" s="12"/>
      <c r="BE89" s="12"/>
      <c r="BF89" s="12"/>
      <c r="BG89" s="12"/>
      <c r="BH89" s="12"/>
      <c r="BI89" s="12"/>
      <c r="BJ89" s="12"/>
      <c r="BK89" s="12"/>
      <c r="BL89" s="12"/>
      <c r="BM89" s="12"/>
      <c r="BN89" s="12"/>
      <c r="BO89" s="12"/>
      <c r="BP89" s="12"/>
      <c r="BQ89" s="12"/>
      <c r="BR89" s="12"/>
      <c r="BS89" s="12"/>
      <c r="BT89" s="12"/>
      <c r="BU89" s="12"/>
      <c r="BV89" s="12"/>
      <c r="BW89" s="12"/>
      <c r="BX89" s="12"/>
      <c r="BY89" s="12"/>
      <c r="BZ89" s="12"/>
      <c r="CA89" s="12"/>
      <c r="CB89" s="12"/>
      <c r="CC89" s="12"/>
      <c r="CD89" s="12"/>
      <c r="CE89" s="12"/>
      <c r="CF89" s="12"/>
      <c r="CG89" s="12"/>
      <c r="CH89" s="12"/>
      <c r="CI89" s="12"/>
      <c r="CJ89" s="12"/>
      <c r="CK89" s="12"/>
      <c r="CL89" s="12"/>
      <c r="CM89" s="12"/>
      <c r="CN89" s="12"/>
      <c r="CO89" s="12"/>
      <c r="CP89" s="12"/>
      <c r="CQ89" s="12"/>
      <c r="CR89" s="12"/>
      <c r="CS89" s="12"/>
      <c r="CT89" s="12"/>
      <c r="CU89" s="12"/>
      <c r="CV89" s="12"/>
      <c r="CW89" s="12"/>
      <c r="CX89" s="12"/>
      <c r="CY89" s="12"/>
      <c r="CZ89" s="12"/>
      <c r="DA89" s="12"/>
      <c r="DB89" s="12"/>
      <c r="DC89" s="12"/>
      <c r="DD89" s="12"/>
      <c r="DE89" s="12"/>
      <c r="DF89" s="12"/>
      <c r="DG89" s="12"/>
      <c r="DH89" s="12"/>
      <c r="DI89" s="12"/>
      <c r="DJ89" s="12"/>
      <c r="DK89" s="12"/>
      <c r="DL89" s="12"/>
      <c r="DM89" s="12"/>
      <c r="DN89" s="12"/>
      <c r="DO89" s="12"/>
      <c r="DP89" s="12"/>
      <c r="DQ89" s="12"/>
      <c r="DR89" s="12"/>
      <c r="DS89" s="12"/>
      <c r="DT89" s="12"/>
      <c r="DU89" s="12"/>
      <c r="DV89" s="12"/>
      <c r="DW89" s="12"/>
      <c r="DX89" s="12"/>
      <c r="DY89" s="12"/>
      <c r="DZ89" s="12"/>
      <c r="EA89" s="12"/>
      <c r="EB89" s="12"/>
      <c r="EC89" s="12"/>
      <c r="ED89" s="12"/>
      <c r="EE89" s="12"/>
      <c r="EF89" s="12"/>
      <c r="EG89" s="12"/>
      <c r="EH89" s="12"/>
      <c r="EI89" s="12"/>
      <c r="EJ89" s="12"/>
      <c r="EK89" s="12"/>
      <c r="EL89" s="12"/>
      <c r="EM89" s="12"/>
      <c r="EN89" s="12"/>
      <c r="EO89" s="12"/>
      <c r="EP89" s="12"/>
      <c r="EQ89" s="12"/>
      <c r="ER89" s="12"/>
      <c r="ES89" s="12"/>
      <c r="ET89" s="12"/>
      <c r="EU89" s="12"/>
      <c r="EV89" s="12"/>
      <c r="EW89" s="12"/>
      <c r="EX89" s="12"/>
      <c r="EY89" s="12"/>
      <c r="EZ89" s="12"/>
      <c r="FA89" s="12"/>
      <c r="FB89" s="12"/>
      <c r="FC89" s="12"/>
      <c r="FD89" s="12"/>
      <c r="FE89" s="12"/>
      <c r="FF89" s="12"/>
      <c r="FG89" s="12"/>
      <c r="FH89" s="12"/>
      <c r="FI89" s="12"/>
      <c r="FJ89" s="12"/>
      <c r="FK89" s="12"/>
      <c r="FL89" s="12"/>
      <c r="FM89" s="12"/>
      <c r="FN89" s="12"/>
      <c r="FO89" s="12"/>
      <c r="FP89" s="12"/>
      <c r="FQ89" s="12"/>
      <c r="FR89" s="12"/>
      <c r="FS89" s="12"/>
      <c r="FT89" s="12"/>
      <c r="FU89" s="12"/>
      <c r="FV89" s="12"/>
      <c r="FW89" s="12"/>
      <c r="FX89" s="12"/>
      <c r="FY89" s="12"/>
      <c r="FZ89" s="12"/>
      <c r="GA89" s="12"/>
      <c r="GB89" s="12"/>
      <c r="GC89" s="12"/>
      <c r="GD89" s="12"/>
      <c r="GE89" s="12"/>
    </row>
    <row r="90" spans="1:187" ht="21" customHeight="1">
      <c r="A90" s="45"/>
      <c r="B90" s="101" t="s">
        <v>135</v>
      </c>
      <c r="C90" s="101"/>
      <c r="D90" s="101"/>
      <c r="E90" s="34"/>
      <c r="F90" s="34"/>
      <c r="G90" s="34"/>
      <c r="H90" s="34"/>
      <c r="I90" s="35">
        <f t="shared" si="8"/>
        <v>0</v>
      </c>
      <c r="J90" s="56"/>
      <c r="K90" s="49"/>
      <c r="L90" s="49"/>
      <c r="M90" s="49"/>
      <c r="N90" s="49"/>
      <c r="O90" s="56">
        <f t="shared" si="14"/>
        <v>0</v>
      </c>
      <c r="P90" s="1">
        <f t="shared" si="13"/>
        <v>0</v>
      </c>
      <c r="Q90" s="1">
        <f t="shared" si="9"/>
        <v>0</v>
      </c>
      <c r="R90" s="1">
        <f t="shared" si="10"/>
        <v>0</v>
      </c>
      <c r="S90" s="1">
        <f t="shared" si="11"/>
        <v>0</v>
      </c>
      <c r="T90" s="1">
        <f t="shared" si="12"/>
        <v>0</v>
      </c>
      <c r="U90" s="45"/>
      <c r="V90" s="45"/>
      <c r="W90" s="45"/>
    </row>
    <row r="91" spans="1:187" ht="21" customHeight="1">
      <c r="A91" s="45"/>
      <c r="B91" s="9" t="s">
        <v>18</v>
      </c>
      <c r="C91" s="10" t="s">
        <v>140</v>
      </c>
      <c r="D91" s="10"/>
      <c r="E91" s="35">
        <v>9485.1630000000005</v>
      </c>
      <c r="F91" s="35">
        <f>15089-E91</f>
        <v>5603.8369999999995</v>
      </c>
      <c r="G91" s="35">
        <v>2488.8870000000002</v>
      </c>
      <c r="H91" s="35">
        <f>11458.673</f>
        <v>11458.673000000001</v>
      </c>
      <c r="I91" s="35">
        <f t="shared" si="8"/>
        <v>29036.559999999998</v>
      </c>
      <c r="J91" s="56">
        <v>26448</v>
      </c>
      <c r="K91" s="49">
        <v>4199.32</v>
      </c>
      <c r="L91" s="49">
        <v>4367.2928000000002</v>
      </c>
      <c r="M91" s="49">
        <v>1292.33014</v>
      </c>
      <c r="N91" s="49">
        <v>1344.0233456000001</v>
      </c>
      <c r="O91" s="56">
        <f t="shared" si="14"/>
        <v>2906.9898599999997</v>
      </c>
      <c r="P91" s="1">
        <f t="shared" si="13"/>
        <v>27573272.661447179</v>
      </c>
      <c r="Q91" s="1">
        <f t="shared" si="9"/>
        <v>16290297.336092817</v>
      </c>
      <c r="R91" s="1">
        <f t="shared" si="10"/>
        <v>7524576.0425532535</v>
      </c>
      <c r="S91" s="1">
        <f t="shared" si="11"/>
        <v>34642656.068858013</v>
      </c>
      <c r="T91" s="1">
        <f t="shared" si="12"/>
        <v>86030802.108951271</v>
      </c>
      <c r="U91" s="11"/>
      <c r="V91" s="11"/>
      <c r="W91" s="11"/>
      <c r="X91" s="12"/>
      <c r="Y91" s="12"/>
      <c r="Z91" s="12"/>
      <c r="AA91" s="12"/>
      <c r="AB91" s="12"/>
      <c r="AC91" s="12"/>
      <c r="AD91" s="12"/>
      <c r="AE91" s="12"/>
      <c r="AF91" s="12"/>
      <c r="AG91" s="12"/>
      <c r="AH91" s="12"/>
      <c r="AI91" s="12"/>
      <c r="AJ91" s="12"/>
      <c r="AK91" s="12"/>
      <c r="AL91" s="12"/>
      <c r="AM91" s="12"/>
      <c r="AN91" s="12"/>
      <c r="AO91" s="12"/>
      <c r="AP91" s="12"/>
      <c r="AQ91" s="12"/>
      <c r="AR91" s="12"/>
      <c r="AS91" s="12"/>
      <c r="AT91" s="12"/>
      <c r="AU91" s="12"/>
      <c r="AV91" s="12"/>
      <c r="AW91" s="12"/>
      <c r="AX91" s="12"/>
      <c r="AY91" s="12"/>
      <c r="AZ91" s="12"/>
      <c r="BA91" s="12"/>
      <c r="BB91" s="12"/>
      <c r="BC91" s="12"/>
      <c r="BD91" s="12"/>
      <c r="BE91" s="12"/>
      <c r="BF91" s="12"/>
      <c r="BG91" s="12"/>
      <c r="BH91" s="12"/>
      <c r="BI91" s="12"/>
      <c r="BJ91" s="12"/>
      <c r="BK91" s="12"/>
      <c r="BL91" s="12"/>
      <c r="BM91" s="12"/>
      <c r="BN91" s="12"/>
      <c r="BO91" s="12"/>
      <c r="BP91" s="12"/>
      <c r="BQ91" s="12"/>
      <c r="BR91" s="12"/>
      <c r="BS91" s="12"/>
      <c r="BT91" s="12"/>
      <c r="BU91" s="12"/>
      <c r="BV91" s="12"/>
      <c r="BW91" s="12"/>
      <c r="BX91" s="12"/>
      <c r="BY91" s="12"/>
      <c r="BZ91" s="12"/>
      <c r="CA91" s="12"/>
      <c r="CB91" s="12"/>
      <c r="CC91" s="12"/>
      <c r="CD91" s="12"/>
      <c r="CE91" s="12"/>
      <c r="CF91" s="12"/>
      <c r="CG91" s="12"/>
      <c r="CH91" s="12"/>
      <c r="CI91" s="12"/>
      <c r="CJ91" s="12"/>
      <c r="CK91" s="12"/>
      <c r="CL91" s="12"/>
      <c r="CM91" s="12"/>
      <c r="CN91" s="12"/>
      <c r="CO91" s="12"/>
      <c r="CP91" s="12"/>
      <c r="CQ91" s="12"/>
      <c r="CR91" s="12"/>
      <c r="CS91" s="12"/>
      <c r="CT91" s="12"/>
      <c r="CU91" s="12"/>
      <c r="CV91" s="12"/>
      <c r="CW91" s="12"/>
      <c r="CX91" s="12"/>
      <c r="CY91" s="12"/>
      <c r="CZ91" s="12"/>
      <c r="DA91" s="12"/>
      <c r="DB91" s="12"/>
      <c r="DC91" s="12"/>
      <c r="DD91" s="12"/>
      <c r="DE91" s="12"/>
      <c r="DF91" s="12"/>
      <c r="DG91" s="12"/>
      <c r="DH91" s="12"/>
      <c r="DI91" s="12"/>
      <c r="DJ91" s="12"/>
      <c r="DK91" s="12"/>
      <c r="DL91" s="12"/>
      <c r="DM91" s="12"/>
      <c r="DN91" s="12"/>
      <c r="DO91" s="12"/>
      <c r="DP91" s="12"/>
      <c r="DQ91" s="12"/>
      <c r="DR91" s="12"/>
      <c r="DS91" s="12"/>
      <c r="DT91" s="12"/>
      <c r="DU91" s="12"/>
      <c r="DV91" s="12"/>
      <c r="DW91" s="12"/>
      <c r="DX91" s="12"/>
      <c r="DY91" s="12"/>
      <c r="DZ91" s="12"/>
      <c r="EA91" s="12"/>
      <c r="EB91" s="12"/>
      <c r="EC91" s="12"/>
      <c r="ED91" s="12"/>
      <c r="EE91" s="12"/>
      <c r="EF91" s="12"/>
      <c r="EG91" s="12"/>
      <c r="EH91" s="12"/>
      <c r="EI91" s="12"/>
      <c r="EJ91" s="12"/>
      <c r="EK91" s="12"/>
      <c r="EL91" s="12"/>
      <c r="EM91" s="12"/>
      <c r="EN91" s="12"/>
      <c r="EO91" s="12"/>
      <c r="EP91" s="12"/>
      <c r="EQ91" s="12"/>
      <c r="ER91" s="12"/>
      <c r="ES91" s="12"/>
      <c r="ET91" s="12"/>
      <c r="EU91" s="12"/>
      <c r="EV91" s="12"/>
      <c r="EW91" s="12"/>
      <c r="EX91" s="12"/>
      <c r="EY91" s="12"/>
      <c r="EZ91" s="12"/>
      <c r="FA91" s="12"/>
      <c r="FB91" s="12"/>
      <c r="FC91" s="12"/>
      <c r="FD91" s="12"/>
      <c r="FE91" s="12"/>
      <c r="FF91" s="12"/>
      <c r="FG91" s="12"/>
      <c r="FH91" s="12"/>
      <c r="FI91" s="12"/>
      <c r="FJ91" s="12"/>
      <c r="FK91" s="12"/>
      <c r="FL91" s="12"/>
      <c r="FM91" s="12"/>
      <c r="FN91" s="12"/>
      <c r="FO91" s="12"/>
      <c r="FP91" s="12"/>
      <c r="FQ91" s="12"/>
      <c r="FR91" s="12"/>
      <c r="FS91" s="12"/>
      <c r="FT91" s="12"/>
      <c r="FU91" s="12"/>
      <c r="FV91" s="12"/>
      <c r="FW91" s="12"/>
      <c r="FX91" s="12"/>
      <c r="FY91" s="12"/>
      <c r="FZ91" s="12"/>
      <c r="GA91" s="12"/>
      <c r="GB91" s="12"/>
      <c r="GC91" s="12"/>
      <c r="GD91" s="12"/>
      <c r="GE91" s="12"/>
    </row>
    <row r="92" spans="1:187" ht="21" customHeight="1">
      <c r="A92" s="45"/>
      <c r="B92" s="9" t="s">
        <v>14</v>
      </c>
      <c r="C92" s="10" t="s">
        <v>136</v>
      </c>
      <c r="D92" s="10" t="s">
        <v>137</v>
      </c>
      <c r="E92" s="35">
        <v>26822.468000000001</v>
      </c>
      <c r="F92" s="35">
        <f>41170.639-E92</f>
        <v>14348.171000000002</v>
      </c>
      <c r="G92" s="35">
        <v>4943.1769999999997</v>
      </c>
      <c r="H92" s="35">
        <f>30387.229-G92</f>
        <v>25444.052</v>
      </c>
      <c r="I92" s="35">
        <f t="shared" si="8"/>
        <v>71557.868000000002</v>
      </c>
      <c r="J92" s="56">
        <v>78547</v>
      </c>
      <c r="K92" s="49">
        <v>1626.3728000000001</v>
      </c>
      <c r="L92" s="49">
        <v>1691.4277120000002</v>
      </c>
      <c r="M92" s="49">
        <v>1292.33014</v>
      </c>
      <c r="N92" s="49">
        <v>1344.0233456000001</v>
      </c>
      <c r="O92" s="56">
        <f t="shared" si="14"/>
        <v>334.04266000000007</v>
      </c>
      <c r="P92" s="1">
        <f t="shared" si="13"/>
        <v>8959848.5584848821</v>
      </c>
      <c r="Q92" s="1">
        <f t="shared" si="9"/>
        <v>4792901.2069748621</v>
      </c>
      <c r="R92" s="1">
        <f t="shared" si="10"/>
        <v>1717281.273688053</v>
      </c>
      <c r="S92" s="1">
        <f t="shared" si="11"/>
        <v>8839374.7637086548</v>
      </c>
      <c r="T92" s="1">
        <f t="shared" si="12"/>
        <v>24309405.802856453</v>
      </c>
      <c r="U92" s="11"/>
      <c r="V92" s="11"/>
      <c r="W92" s="11"/>
      <c r="X92" s="12"/>
      <c r="Y92" s="12"/>
      <c r="Z92" s="12"/>
      <c r="AA92" s="12"/>
      <c r="AB92" s="12"/>
      <c r="AC92" s="12"/>
      <c r="AD92" s="12"/>
      <c r="AE92" s="12"/>
      <c r="AF92" s="12"/>
      <c r="AG92" s="12"/>
      <c r="AH92" s="12"/>
      <c r="AI92" s="12"/>
      <c r="AJ92" s="12"/>
      <c r="AK92" s="12"/>
      <c r="AL92" s="12"/>
      <c r="AM92" s="12"/>
      <c r="AN92" s="12"/>
      <c r="AO92" s="12"/>
      <c r="AP92" s="12"/>
      <c r="AQ92" s="12"/>
      <c r="AR92" s="12"/>
      <c r="AS92" s="12"/>
      <c r="AT92" s="12"/>
      <c r="AU92" s="12"/>
      <c r="AV92" s="12"/>
      <c r="AW92" s="12"/>
      <c r="AX92" s="12"/>
      <c r="AY92" s="12"/>
      <c r="AZ92" s="12"/>
      <c r="BA92" s="12"/>
      <c r="BB92" s="12"/>
      <c r="BC92" s="12"/>
      <c r="BD92" s="12"/>
      <c r="BE92" s="12"/>
      <c r="BF92" s="12"/>
      <c r="BG92" s="12"/>
      <c r="BH92" s="12"/>
      <c r="BI92" s="12"/>
      <c r="BJ92" s="12"/>
      <c r="BK92" s="12"/>
      <c r="BL92" s="12"/>
      <c r="BM92" s="12"/>
      <c r="BN92" s="12"/>
      <c r="BO92" s="12"/>
      <c r="BP92" s="12"/>
      <c r="BQ92" s="12"/>
      <c r="BR92" s="12"/>
      <c r="BS92" s="12"/>
      <c r="BT92" s="12"/>
      <c r="BU92" s="12"/>
      <c r="BV92" s="12"/>
      <c r="BW92" s="12"/>
      <c r="BX92" s="12"/>
      <c r="BY92" s="12"/>
      <c r="BZ92" s="12"/>
      <c r="CA92" s="12"/>
      <c r="CB92" s="12"/>
      <c r="CC92" s="12"/>
      <c r="CD92" s="12"/>
      <c r="CE92" s="12"/>
      <c r="CF92" s="12"/>
      <c r="CG92" s="12"/>
      <c r="CH92" s="12"/>
      <c r="CI92" s="12"/>
      <c r="CJ92" s="12"/>
      <c r="CK92" s="12"/>
      <c r="CL92" s="12"/>
      <c r="CM92" s="12"/>
      <c r="CN92" s="12"/>
      <c r="CO92" s="12"/>
      <c r="CP92" s="12"/>
      <c r="CQ92" s="12"/>
      <c r="CR92" s="12"/>
      <c r="CS92" s="12"/>
      <c r="CT92" s="12"/>
      <c r="CU92" s="12"/>
      <c r="CV92" s="12"/>
      <c r="CW92" s="12"/>
      <c r="CX92" s="12"/>
      <c r="CY92" s="12"/>
      <c r="CZ92" s="12"/>
      <c r="DA92" s="12"/>
      <c r="DB92" s="12"/>
      <c r="DC92" s="12"/>
      <c r="DD92" s="12"/>
      <c r="DE92" s="12"/>
      <c r="DF92" s="12"/>
      <c r="DG92" s="12"/>
      <c r="DH92" s="12"/>
      <c r="DI92" s="12"/>
      <c r="DJ92" s="12"/>
      <c r="DK92" s="12"/>
      <c r="DL92" s="12"/>
      <c r="DM92" s="12"/>
      <c r="DN92" s="12"/>
      <c r="DO92" s="12"/>
      <c r="DP92" s="12"/>
      <c r="DQ92" s="12"/>
      <c r="DR92" s="12"/>
      <c r="DS92" s="12"/>
      <c r="DT92" s="12"/>
      <c r="DU92" s="12"/>
      <c r="DV92" s="12"/>
      <c r="DW92" s="12"/>
      <c r="DX92" s="12"/>
      <c r="DY92" s="12"/>
      <c r="DZ92" s="12"/>
      <c r="EA92" s="12"/>
      <c r="EB92" s="12"/>
      <c r="EC92" s="12"/>
      <c r="ED92" s="12"/>
      <c r="EE92" s="12"/>
      <c r="EF92" s="12"/>
      <c r="EG92" s="12"/>
      <c r="EH92" s="12"/>
      <c r="EI92" s="12"/>
      <c r="EJ92" s="12"/>
      <c r="EK92" s="12"/>
      <c r="EL92" s="12"/>
      <c r="EM92" s="12"/>
      <c r="EN92" s="12"/>
      <c r="EO92" s="12"/>
      <c r="EP92" s="12"/>
      <c r="EQ92" s="12"/>
      <c r="ER92" s="12"/>
      <c r="ES92" s="12"/>
      <c r="ET92" s="12"/>
      <c r="EU92" s="12"/>
      <c r="EV92" s="12"/>
      <c r="EW92" s="12"/>
      <c r="EX92" s="12"/>
      <c r="EY92" s="12"/>
      <c r="EZ92" s="12"/>
      <c r="FA92" s="12"/>
      <c r="FB92" s="12"/>
      <c r="FC92" s="12"/>
      <c r="FD92" s="12"/>
      <c r="FE92" s="12"/>
      <c r="FF92" s="12"/>
      <c r="FG92" s="12"/>
      <c r="FH92" s="12"/>
      <c r="FI92" s="12"/>
      <c r="FJ92" s="12"/>
      <c r="FK92" s="12"/>
      <c r="FL92" s="12"/>
      <c r="FM92" s="12"/>
      <c r="FN92" s="12"/>
      <c r="FO92" s="12"/>
      <c r="FP92" s="12"/>
      <c r="FQ92" s="12"/>
      <c r="FR92" s="12"/>
      <c r="FS92" s="12"/>
      <c r="FT92" s="12"/>
      <c r="FU92" s="12"/>
      <c r="FV92" s="12"/>
      <c r="FW92" s="12"/>
      <c r="FX92" s="12"/>
      <c r="FY92" s="12"/>
      <c r="FZ92" s="12"/>
      <c r="GA92" s="12"/>
      <c r="GB92" s="12"/>
      <c r="GC92" s="12"/>
      <c r="GD92" s="12"/>
      <c r="GE92" s="12"/>
    </row>
    <row r="93" spans="1:187" ht="21" customHeight="1">
      <c r="A93" s="45"/>
      <c r="B93" s="9" t="s">
        <v>282</v>
      </c>
      <c r="C93" s="10" t="s">
        <v>138</v>
      </c>
      <c r="D93" s="10" t="s">
        <v>139</v>
      </c>
      <c r="E93" s="35">
        <v>79.278000000000006</v>
      </c>
      <c r="F93" s="35">
        <f>132.13-E93</f>
        <v>52.85199999999999</v>
      </c>
      <c r="G93" s="35">
        <v>13.21</v>
      </c>
      <c r="H93" s="35">
        <v>67.05</v>
      </c>
      <c r="I93" s="35">
        <f t="shared" si="8"/>
        <v>212.39</v>
      </c>
      <c r="J93" s="56">
        <v>203.19059328</v>
      </c>
      <c r="K93" s="49">
        <v>3631.42</v>
      </c>
      <c r="L93" s="49">
        <v>3776.6768000000002</v>
      </c>
      <c r="M93" s="49">
        <v>1337.1492799999999</v>
      </c>
      <c r="N93" s="49">
        <v>1390.6352511999999</v>
      </c>
      <c r="O93" s="56">
        <f t="shared" si="14"/>
        <v>2294.2707200000004</v>
      </c>
      <c r="P93" s="1">
        <f t="shared" si="13"/>
        <v>181885.19414016005</v>
      </c>
      <c r="Q93" s="1">
        <f t="shared" si="9"/>
        <v>121256.79609344</v>
      </c>
      <c r="R93" s="1">
        <f t="shared" si="10"/>
        <v>31519.608859648008</v>
      </c>
      <c r="S93" s="1">
        <f t="shared" si="11"/>
        <v>159984.08584704003</v>
      </c>
      <c r="T93" s="1">
        <f t="shared" si="12"/>
        <v>494645.68494028808</v>
      </c>
      <c r="U93" s="11"/>
      <c r="V93" s="11"/>
      <c r="W93" s="11"/>
      <c r="X93" s="12"/>
      <c r="Y93" s="12"/>
      <c r="Z93" s="12"/>
      <c r="AA93" s="12"/>
      <c r="AB93" s="12"/>
      <c r="AC93" s="12"/>
      <c r="AD93" s="12"/>
      <c r="AE93" s="12"/>
      <c r="AF93" s="12"/>
      <c r="AG93" s="12"/>
      <c r="AH93" s="12"/>
      <c r="AI93" s="12"/>
      <c r="AJ93" s="12"/>
      <c r="AK93" s="12"/>
      <c r="AL93" s="12"/>
      <c r="AM93" s="12"/>
      <c r="AN93" s="12"/>
      <c r="AO93" s="12"/>
      <c r="AP93" s="12"/>
      <c r="AQ93" s="12"/>
      <c r="AR93" s="12"/>
      <c r="AS93" s="12"/>
      <c r="AT93" s="12"/>
      <c r="AU93" s="12"/>
      <c r="AV93" s="12"/>
      <c r="AW93" s="12"/>
      <c r="AX93" s="12"/>
      <c r="AY93" s="12"/>
      <c r="AZ93" s="12"/>
      <c r="BA93" s="12"/>
      <c r="BB93" s="12"/>
      <c r="BC93" s="12"/>
      <c r="BD93" s="12"/>
      <c r="BE93" s="12"/>
      <c r="BF93" s="12"/>
      <c r="BG93" s="12"/>
      <c r="BH93" s="12"/>
      <c r="BI93" s="12"/>
      <c r="BJ93" s="12"/>
      <c r="BK93" s="12"/>
      <c r="BL93" s="12"/>
      <c r="BM93" s="12"/>
      <c r="BN93" s="12"/>
      <c r="BO93" s="12"/>
      <c r="BP93" s="12"/>
      <c r="BQ93" s="12"/>
      <c r="BR93" s="12"/>
      <c r="BS93" s="12"/>
      <c r="BT93" s="12"/>
      <c r="BU93" s="12"/>
      <c r="BV93" s="12"/>
      <c r="BW93" s="12"/>
      <c r="BX93" s="12"/>
      <c r="BY93" s="12"/>
      <c r="BZ93" s="12"/>
      <c r="CA93" s="12"/>
      <c r="CB93" s="12"/>
      <c r="CC93" s="12"/>
      <c r="CD93" s="12"/>
      <c r="CE93" s="12"/>
      <c r="CF93" s="12"/>
      <c r="CG93" s="12"/>
      <c r="CH93" s="12"/>
      <c r="CI93" s="12"/>
      <c r="CJ93" s="12"/>
      <c r="CK93" s="12"/>
      <c r="CL93" s="12"/>
      <c r="CM93" s="12"/>
      <c r="CN93" s="12"/>
      <c r="CO93" s="12"/>
      <c r="CP93" s="12"/>
      <c r="CQ93" s="12"/>
      <c r="CR93" s="12"/>
      <c r="CS93" s="12"/>
      <c r="CT93" s="12"/>
      <c r="CU93" s="12"/>
      <c r="CV93" s="12"/>
      <c r="CW93" s="12"/>
      <c r="CX93" s="12"/>
      <c r="CY93" s="12"/>
      <c r="CZ93" s="12"/>
      <c r="DA93" s="12"/>
      <c r="DB93" s="12"/>
      <c r="DC93" s="12"/>
      <c r="DD93" s="12"/>
      <c r="DE93" s="12"/>
      <c r="DF93" s="12"/>
      <c r="DG93" s="12"/>
      <c r="DH93" s="12"/>
      <c r="DI93" s="12"/>
      <c r="DJ93" s="12"/>
      <c r="DK93" s="12"/>
      <c r="DL93" s="12"/>
      <c r="DM93" s="12"/>
      <c r="DN93" s="12"/>
      <c r="DO93" s="12"/>
      <c r="DP93" s="12"/>
      <c r="DQ93" s="12"/>
      <c r="DR93" s="12"/>
      <c r="DS93" s="12"/>
      <c r="DT93" s="12"/>
      <c r="DU93" s="12"/>
      <c r="DV93" s="12"/>
      <c r="DW93" s="12"/>
      <c r="DX93" s="12"/>
      <c r="DY93" s="12"/>
      <c r="DZ93" s="12"/>
      <c r="EA93" s="12"/>
      <c r="EB93" s="12"/>
      <c r="EC93" s="12"/>
      <c r="ED93" s="12"/>
      <c r="EE93" s="12"/>
      <c r="EF93" s="12"/>
      <c r="EG93" s="12"/>
      <c r="EH93" s="12"/>
      <c r="EI93" s="12"/>
      <c r="EJ93" s="12"/>
      <c r="EK93" s="12"/>
      <c r="EL93" s="12"/>
      <c r="EM93" s="12"/>
      <c r="EN93" s="12"/>
      <c r="EO93" s="12"/>
      <c r="EP93" s="12"/>
      <c r="EQ93" s="12"/>
      <c r="ER93" s="12"/>
      <c r="ES93" s="12"/>
      <c r="ET93" s="12"/>
      <c r="EU93" s="12"/>
      <c r="EV93" s="12"/>
      <c r="EW93" s="12"/>
      <c r="EX93" s="12"/>
      <c r="EY93" s="12"/>
      <c r="EZ93" s="12"/>
      <c r="FA93" s="12"/>
      <c r="FB93" s="12"/>
      <c r="FC93" s="12"/>
      <c r="FD93" s="12"/>
      <c r="FE93" s="12"/>
      <c r="FF93" s="12"/>
      <c r="FG93" s="12"/>
      <c r="FH93" s="12"/>
      <c r="FI93" s="12"/>
      <c r="FJ93" s="12"/>
      <c r="FK93" s="12"/>
      <c r="FL93" s="12"/>
      <c r="FM93" s="12"/>
      <c r="FN93" s="12"/>
      <c r="FO93" s="12"/>
      <c r="FP93" s="12"/>
      <c r="FQ93" s="12"/>
      <c r="FR93" s="12"/>
      <c r="FS93" s="12"/>
      <c r="FT93" s="12"/>
      <c r="FU93" s="12"/>
      <c r="FV93" s="12"/>
      <c r="FW93" s="12"/>
      <c r="FX93" s="12"/>
      <c r="FY93" s="12"/>
      <c r="FZ93" s="12"/>
      <c r="GA93" s="12"/>
      <c r="GB93" s="12"/>
      <c r="GC93" s="12"/>
      <c r="GD93" s="12"/>
      <c r="GE93" s="12"/>
    </row>
    <row r="94" spans="1:187" ht="21" customHeight="1">
      <c r="A94" s="45"/>
      <c r="B94" s="31" t="s">
        <v>402</v>
      </c>
      <c r="C94" s="32" t="s">
        <v>403</v>
      </c>
      <c r="D94" s="32" t="s">
        <v>139</v>
      </c>
      <c r="E94" s="35">
        <v>84.92</v>
      </c>
      <c r="F94" s="35">
        <f>151.73-E94</f>
        <v>66.809999999999988</v>
      </c>
      <c r="G94" s="35">
        <v>28.62</v>
      </c>
      <c r="H94" s="35">
        <v>77.25</v>
      </c>
      <c r="I94" s="35">
        <f t="shared" si="8"/>
        <v>257.60000000000002</v>
      </c>
      <c r="J94" s="56">
        <v>257.60000000000002</v>
      </c>
      <c r="K94" s="49">
        <v>4565.4856000000009</v>
      </c>
      <c r="L94" s="49">
        <v>4748.1050240000013</v>
      </c>
      <c r="M94" s="49">
        <v>1337.1492799999999</v>
      </c>
      <c r="N94" s="49">
        <v>1390.6352511999999</v>
      </c>
      <c r="O94" s="56">
        <f t="shared" si="14"/>
        <v>3228.3363200000013</v>
      </c>
      <c r="P94" s="1">
        <f t="shared" si="13"/>
        <v>274150.3202944001</v>
      </c>
      <c r="Q94" s="1">
        <f t="shared" si="9"/>
        <v>215685.14953920004</v>
      </c>
      <c r="R94" s="1">
        <f t="shared" si="10"/>
        <v>96090.784897536039</v>
      </c>
      <c r="S94" s="1">
        <f t="shared" si="11"/>
        <v>259364.53994880011</v>
      </c>
      <c r="T94" s="1">
        <f t="shared" si="12"/>
        <v>845290.79467993625</v>
      </c>
      <c r="U94" s="11"/>
      <c r="V94" s="11"/>
      <c r="W94" s="11"/>
      <c r="X94" s="12"/>
      <c r="Y94" s="12"/>
      <c r="Z94" s="12"/>
      <c r="AA94" s="12"/>
      <c r="AB94" s="12"/>
      <c r="AC94" s="12"/>
      <c r="AD94" s="12"/>
      <c r="AE94" s="12"/>
      <c r="AF94" s="12"/>
      <c r="AG94" s="12"/>
      <c r="AH94" s="12"/>
      <c r="AI94" s="12"/>
      <c r="AJ94" s="12"/>
      <c r="AK94" s="12"/>
      <c r="AL94" s="12"/>
      <c r="AM94" s="12"/>
      <c r="AN94" s="12"/>
      <c r="AO94" s="12"/>
      <c r="AP94" s="12"/>
      <c r="AQ94" s="12"/>
      <c r="AR94" s="12"/>
      <c r="AS94" s="12"/>
      <c r="AT94" s="12"/>
      <c r="AU94" s="12"/>
      <c r="AV94" s="12"/>
      <c r="AW94" s="12"/>
      <c r="AX94" s="12"/>
      <c r="AY94" s="12"/>
      <c r="AZ94" s="12"/>
      <c r="BA94" s="12"/>
      <c r="BB94" s="12"/>
      <c r="BC94" s="12"/>
      <c r="BD94" s="12"/>
      <c r="BE94" s="12"/>
      <c r="BF94" s="12"/>
      <c r="BG94" s="12"/>
      <c r="BH94" s="12"/>
      <c r="BI94" s="12"/>
      <c r="BJ94" s="12"/>
      <c r="BK94" s="12"/>
      <c r="BL94" s="12"/>
      <c r="BM94" s="12"/>
      <c r="BN94" s="12"/>
      <c r="BO94" s="12"/>
      <c r="BP94" s="12"/>
      <c r="BQ94" s="12"/>
      <c r="BR94" s="12"/>
      <c r="BS94" s="12"/>
      <c r="BT94" s="12"/>
      <c r="BU94" s="12"/>
      <c r="BV94" s="12"/>
      <c r="BW94" s="12"/>
      <c r="BX94" s="12"/>
      <c r="BY94" s="12"/>
      <c r="BZ94" s="12"/>
      <c r="CA94" s="12"/>
      <c r="CB94" s="12"/>
      <c r="CC94" s="12"/>
      <c r="CD94" s="12"/>
      <c r="CE94" s="12"/>
      <c r="CF94" s="12"/>
      <c r="CG94" s="12"/>
      <c r="CH94" s="12"/>
      <c r="CI94" s="12"/>
      <c r="CJ94" s="12"/>
      <c r="CK94" s="12"/>
      <c r="CL94" s="12"/>
      <c r="CM94" s="12"/>
      <c r="CN94" s="12"/>
      <c r="CO94" s="12"/>
      <c r="CP94" s="12"/>
      <c r="CQ94" s="12"/>
      <c r="CR94" s="12"/>
      <c r="CS94" s="12"/>
      <c r="CT94" s="12"/>
      <c r="CU94" s="12"/>
      <c r="CV94" s="12"/>
      <c r="CW94" s="12"/>
      <c r="CX94" s="12"/>
      <c r="CY94" s="12"/>
      <c r="CZ94" s="12"/>
      <c r="DA94" s="12"/>
      <c r="DB94" s="12"/>
      <c r="DC94" s="12"/>
      <c r="DD94" s="12"/>
      <c r="DE94" s="12"/>
      <c r="DF94" s="12"/>
      <c r="DG94" s="12"/>
      <c r="DH94" s="12"/>
      <c r="DI94" s="12"/>
      <c r="DJ94" s="12"/>
      <c r="DK94" s="12"/>
      <c r="DL94" s="12"/>
      <c r="DM94" s="12"/>
      <c r="DN94" s="12"/>
      <c r="DO94" s="12"/>
      <c r="DP94" s="12"/>
      <c r="DQ94" s="12"/>
      <c r="DR94" s="12"/>
      <c r="DS94" s="12"/>
      <c r="DT94" s="12"/>
      <c r="DU94" s="12"/>
      <c r="DV94" s="12"/>
      <c r="DW94" s="12"/>
      <c r="DX94" s="12"/>
      <c r="DY94" s="12"/>
      <c r="DZ94" s="12"/>
      <c r="EA94" s="12"/>
      <c r="EB94" s="12"/>
      <c r="EC94" s="12"/>
      <c r="ED94" s="12"/>
      <c r="EE94" s="12"/>
      <c r="EF94" s="12"/>
      <c r="EG94" s="12"/>
      <c r="EH94" s="12"/>
      <c r="EI94" s="12"/>
      <c r="EJ94" s="12"/>
      <c r="EK94" s="12"/>
      <c r="EL94" s="12"/>
      <c r="EM94" s="12"/>
      <c r="EN94" s="12"/>
      <c r="EO94" s="12"/>
      <c r="EP94" s="12"/>
      <c r="EQ94" s="12"/>
      <c r="ER94" s="12"/>
      <c r="ES94" s="12"/>
      <c r="ET94" s="12"/>
      <c r="EU94" s="12"/>
      <c r="EV94" s="12"/>
      <c r="EW94" s="12"/>
      <c r="EX94" s="12"/>
      <c r="EY94" s="12"/>
      <c r="EZ94" s="12"/>
      <c r="FA94" s="12"/>
      <c r="FB94" s="12"/>
      <c r="FC94" s="12"/>
      <c r="FD94" s="12"/>
      <c r="FE94" s="12"/>
      <c r="FF94" s="12"/>
      <c r="FG94" s="12"/>
      <c r="FH94" s="12"/>
      <c r="FI94" s="12"/>
      <c r="FJ94" s="12"/>
      <c r="FK94" s="12"/>
      <c r="FL94" s="12"/>
      <c r="FM94" s="12"/>
      <c r="FN94" s="12"/>
      <c r="FO94" s="12"/>
      <c r="FP94" s="12"/>
      <c r="FQ94" s="12"/>
      <c r="FR94" s="12"/>
      <c r="FS94" s="12"/>
      <c r="FT94" s="12"/>
      <c r="FU94" s="12"/>
      <c r="FV94" s="12"/>
      <c r="FW94" s="12"/>
      <c r="FX94" s="12"/>
      <c r="FY94" s="12"/>
      <c r="FZ94" s="12"/>
      <c r="GA94" s="12"/>
      <c r="GB94" s="12"/>
      <c r="GC94" s="12"/>
      <c r="GD94" s="12"/>
      <c r="GE94" s="12"/>
    </row>
    <row r="95" spans="1:187" ht="21" customHeight="1">
      <c r="A95" s="73"/>
      <c r="B95" s="15" t="s">
        <v>19</v>
      </c>
      <c r="C95" s="83" t="s">
        <v>111</v>
      </c>
      <c r="D95" s="10" t="s">
        <v>305</v>
      </c>
      <c r="E95" s="39">
        <v>426.94099999999997</v>
      </c>
      <c r="F95" s="39">
        <f>572.74-E95</f>
        <v>145.79900000000004</v>
      </c>
      <c r="G95" s="39">
        <v>7.0410000000000004</v>
      </c>
      <c r="H95" s="39">
        <f>453.272-G95</f>
        <v>446.23099999999999</v>
      </c>
      <c r="I95" s="35">
        <f t="shared" si="8"/>
        <v>1026.0120000000002</v>
      </c>
      <c r="J95" s="56">
        <v>1201.3530000000001</v>
      </c>
      <c r="K95" s="49">
        <v>3906.2625629753825</v>
      </c>
      <c r="L95" s="49">
        <v>4062.5130654943978</v>
      </c>
      <c r="M95" s="49">
        <v>1292.33014</v>
      </c>
      <c r="N95" s="49">
        <v>1344.0233456000001</v>
      </c>
      <c r="O95" s="37">
        <f t="shared" si="14"/>
        <v>2613.9324229753825</v>
      </c>
      <c r="P95" s="1">
        <f t="shared" si="13"/>
        <v>1115994.9225975326</v>
      </c>
      <c r="Q95" s="1">
        <f t="shared" si="9"/>
        <v>381108.73333738785</v>
      </c>
      <c r="R95" s="1">
        <f t="shared" si="10"/>
        <v>19140.886117776456</v>
      </c>
      <c r="S95" s="1">
        <f t="shared" si="11"/>
        <v>1213074.386198197</v>
      </c>
      <c r="T95" s="1">
        <f t="shared" si="12"/>
        <v>2729318.928250894</v>
      </c>
      <c r="U95" s="11"/>
      <c r="V95" s="11"/>
      <c r="W95" s="11"/>
      <c r="X95" s="12"/>
      <c r="Y95" s="12"/>
      <c r="Z95" s="12"/>
      <c r="AA95" s="12"/>
      <c r="AB95" s="12"/>
      <c r="AC95" s="12"/>
      <c r="AD95" s="12"/>
      <c r="AE95" s="12"/>
      <c r="AF95" s="12"/>
      <c r="AG95" s="12"/>
      <c r="AH95" s="12"/>
      <c r="AI95" s="12"/>
      <c r="AJ95" s="12"/>
      <c r="AK95" s="12"/>
      <c r="AL95" s="12"/>
      <c r="AM95" s="12"/>
      <c r="AN95" s="12"/>
      <c r="AO95" s="12"/>
      <c r="AP95" s="12"/>
      <c r="AQ95" s="12"/>
      <c r="AR95" s="12"/>
      <c r="AS95" s="12"/>
      <c r="AT95" s="12"/>
      <c r="AU95" s="12"/>
      <c r="AV95" s="12"/>
      <c r="AW95" s="12"/>
      <c r="AX95" s="12"/>
      <c r="AY95" s="12"/>
      <c r="AZ95" s="12"/>
      <c r="BA95" s="12"/>
      <c r="BB95" s="12"/>
      <c r="BC95" s="12"/>
      <c r="BD95" s="12"/>
      <c r="BE95" s="12"/>
      <c r="BF95" s="12"/>
      <c r="BG95" s="12"/>
      <c r="BH95" s="12"/>
      <c r="BI95" s="12"/>
      <c r="BJ95" s="12"/>
      <c r="BK95" s="12"/>
      <c r="BL95" s="12"/>
      <c r="BM95" s="12"/>
      <c r="BN95" s="12"/>
      <c r="BO95" s="12"/>
      <c r="BP95" s="12"/>
      <c r="BQ95" s="12"/>
      <c r="BR95" s="12"/>
      <c r="BS95" s="12"/>
      <c r="BT95" s="12"/>
      <c r="BU95" s="12"/>
      <c r="BV95" s="12"/>
      <c r="BW95" s="12"/>
      <c r="BX95" s="12"/>
      <c r="BY95" s="12"/>
      <c r="BZ95" s="12"/>
      <c r="CA95" s="12"/>
      <c r="CB95" s="12"/>
      <c r="CC95" s="12"/>
      <c r="CD95" s="12"/>
      <c r="CE95" s="12"/>
      <c r="CF95" s="12"/>
      <c r="CG95" s="12"/>
      <c r="CH95" s="12"/>
      <c r="CI95" s="12"/>
      <c r="CJ95" s="12"/>
      <c r="CK95" s="12"/>
      <c r="CL95" s="12"/>
      <c r="CM95" s="12"/>
      <c r="CN95" s="12"/>
      <c r="CO95" s="12"/>
      <c r="CP95" s="12"/>
      <c r="CQ95" s="12"/>
      <c r="CR95" s="12"/>
      <c r="CS95" s="12"/>
      <c r="CT95" s="12"/>
      <c r="CU95" s="12"/>
      <c r="CV95" s="12"/>
      <c r="CW95" s="12"/>
      <c r="CX95" s="12"/>
      <c r="CY95" s="12"/>
      <c r="CZ95" s="12"/>
      <c r="DA95" s="12"/>
      <c r="DB95" s="12"/>
      <c r="DC95" s="12"/>
      <c r="DD95" s="12"/>
      <c r="DE95" s="12"/>
      <c r="DF95" s="12"/>
      <c r="DG95" s="12"/>
      <c r="DH95" s="12"/>
      <c r="DI95" s="12"/>
      <c r="DJ95" s="12"/>
      <c r="DK95" s="12"/>
      <c r="DL95" s="12"/>
      <c r="DM95" s="12"/>
      <c r="DN95" s="12"/>
      <c r="DO95" s="12"/>
      <c r="DP95" s="12"/>
      <c r="DQ95" s="12"/>
      <c r="DR95" s="12"/>
      <c r="DS95" s="12"/>
      <c r="DT95" s="12"/>
      <c r="DU95" s="12"/>
      <c r="DV95" s="12"/>
      <c r="DW95" s="12"/>
      <c r="DX95" s="12"/>
      <c r="DY95" s="12"/>
      <c r="DZ95" s="12"/>
      <c r="EA95" s="12"/>
      <c r="EB95" s="12"/>
      <c r="EC95" s="12"/>
      <c r="ED95" s="12"/>
      <c r="EE95" s="12"/>
      <c r="EF95" s="12"/>
      <c r="EG95" s="12"/>
      <c r="EH95" s="12"/>
      <c r="EI95" s="12"/>
      <c r="EJ95" s="12"/>
      <c r="EK95" s="12"/>
      <c r="EL95" s="12"/>
      <c r="EM95" s="12"/>
      <c r="EN95" s="12"/>
      <c r="EO95" s="12"/>
      <c r="EP95" s="12"/>
      <c r="EQ95" s="12"/>
      <c r="ER95" s="12"/>
      <c r="ES95" s="12"/>
      <c r="ET95" s="12"/>
      <c r="EU95" s="12"/>
      <c r="EV95" s="12"/>
      <c r="EW95" s="12"/>
      <c r="EX95" s="12"/>
      <c r="EY95" s="12"/>
      <c r="EZ95" s="12"/>
      <c r="FA95" s="12"/>
      <c r="FB95" s="12"/>
      <c r="FC95" s="12"/>
      <c r="FD95" s="12"/>
      <c r="FE95" s="12"/>
      <c r="FF95" s="12"/>
      <c r="FG95" s="12"/>
      <c r="FH95" s="12"/>
      <c r="FI95" s="12"/>
      <c r="FJ95" s="12"/>
      <c r="FK95" s="12"/>
      <c r="FL95" s="12"/>
      <c r="FM95" s="12"/>
      <c r="FN95" s="12"/>
      <c r="FO95" s="12"/>
      <c r="FP95" s="12"/>
      <c r="FQ95" s="12"/>
      <c r="FR95" s="12"/>
      <c r="FS95" s="12"/>
      <c r="FT95" s="12"/>
      <c r="FU95" s="12"/>
      <c r="FV95" s="12"/>
      <c r="FW95" s="12"/>
      <c r="FX95" s="12"/>
      <c r="FY95" s="12"/>
      <c r="FZ95" s="12"/>
      <c r="GA95" s="12"/>
      <c r="GB95" s="12"/>
      <c r="GC95" s="12"/>
      <c r="GD95" s="12"/>
      <c r="GE95" s="12"/>
    </row>
    <row r="96" spans="1:187" ht="21" customHeight="1">
      <c r="A96" s="45"/>
      <c r="B96" s="101" t="s">
        <v>141</v>
      </c>
      <c r="C96" s="101"/>
      <c r="D96" s="101"/>
      <c r="E96" s="34"/>
      <c r="F96" s="34"/>
      <c r="G96" s="34"/>
      <c r="H96" s="34"/>
      <c r="I96" s="35">
        <f t="shared" si="8"/>
        <v>0</v>
      </c>
      <c r="J96" s="56"/>
      <c r="K96" s="49"/>
      <c r="L96" s="49"/>
      <c r="M96" s="49"/>
      <c r="N96" s="49"/>
      <c r="O96" s="56">
        <f t="shared" si="14"/>
        <v>0</v>
      </c>
      <c r="P96" s="1">
        <f t="shared" si="13"/>
        <v>0</v>
      </c>
      <c r="Q96" s="1">
        <f t="shared" si="9"/>
        <v>0</v>
      </c>
      <c r="R96" s="1">
        <f t="shared" si="10"/>
        <v>0</v>
      </c>
      <c r="S96" s="1">
        <f t="shared" si="11"/>
        <v>0</v>
      </c>
      <c r="T96" s="1">
        <f t="shared" si="12"/>
        <v>0</v>
      </c>
      <c r="U96" s="45"/>
      <c r="V96" s="45"/>
      <c r="W96" s="45"/>
    </row>
    <row r="97" spans="1:187" ht="21" customHeight="1">
      <c r="A97" s="45"/>
      <c r="B97" s="9" t="s">
        <v>21</v>
      </c>
      <c r="C97" s="10" t="s">
        <v>142</v>
      </c>
      <c r="D97" s="10" t="s">
        <v>143</v>
      </c>
      <c r="E97" s="35">
        <v>3837.05</v>
      </c>
      <c r="F97" s="35">
        <f>6416.45-E97</f>
        <v>2579.3999999999996</v>
      </c>
      <c r="G97" s="35">
        <v>1278.1300000000001</v>
      </c>
      <c r="H97" s="35">
        <f>5140.48-G97</f>
        <v>3862.3499999999995</v>
      </c>
      <c r="I97" s="35">
        <f t="shared" si="8"/>
        <v>11556.93</v>
      </c>
      <c r="J97" s="56">
        <v>11420.5</v>
      </c>
      <c r="K97" s="49">
        <v>4545.45</v>
      </c>
      <c r="L97" s="49">
        <v>4727.2700000000004</v>
      </c>
      <c r="M97" s="49">
        <v>1349.67</v>
      </c>
      <c r="N97" s="49">
        <v>1403.65</v>
      </c>
      <c r="O97" s="56">
        <f t="shared" si="14"/>
        <v>3195.7799999999997</v>
      </c>
      <c r="P97" s="1">
        <f t="shared" si="13"/>
        <v>12262367.649</v>
      </c>
      <c r="Q97" s="1">
        <f t="shared" si="9"/>
        <v>8243194.9319999982</v>
      </c>
      <c r="R97" s="1">
        <f t="shared" si="10"/>
        <v>4248018.4306000005</v>
      </c>
      <c r="S97" s="1">
        <f t="shared" si="11"/>
        <v>12836983.707</v>
      </c>
      <c r="T97" s="1">
        <f t="shared" si="12"/>
        <v>37590564.718600005</v>
      </c>
      <c r="U97" s="11"/>
      <c r="V97" s="11"/>
      <c r="W97" s="11"/>
      <c r="X97" s="12"/>
      <c r="Y97" s="12"/>
      <c r="Z97" s="12"/>
      <c r="AA97" s="12"/>
      <c r="AB97" s="12"/>
      <c r="AC97" s="12"/>
      <c r="AD97" s="12"/>
      <c r="AE97" s="12"/>
      <c r="AF97" s="12"/>
      <c r="AG97" s="12"/>
      <c r="AH97" s="12"/>
      <c r="AI97" s="12"/>
      <c r="AJ97" s="12"/>
      <c r="AK97" s="12"/>
      <c r="AL97" s="12"/>
      <c r="AM97" s="12"/>
      <c r="AN97" s="12"/>
      <c r="AO97" s="12"/>
      <c r="AP97" s="12"/>
      <c r="AQ97" s="12"/>
      <c r="AR97" s="12"/>
      <c r="AS97" s="12"/>
      <c r="AT97" s="12"/>
      <c r="AU97" s="12"/>
      <c r="AV97" s="12"/>
      <c r="AW97" s="12"/>
      <c r="AX97" s="12"/>
      <c r="AY97" s="12"/>
      <c r="AZ97" s="12"/>
      <c r="BA97" s="12"/>
      <c r="BB97" s="12"/>
      <c r="BC97" s="12"/>
      <c r="BD97" s="12"/>
      <c r="BE97" s="12"/>
      <c r="BF97" s="12"/>
      <c r="BG97" s="12"/>
      <c r="BH97" s="12"/>
      <c r="BI97" s="12"/>
      <c r="BJ97" s="12"/>
      <c r="BK97" s="12"/>
      <c r="BL97" s="12"/>
      <c r="BM97" s="12"/>
      <c r="BN97" s="12"/>
      <c r="BO97" s="12"/>
      <c r="BP97" s="12"/>
      <c r="BQ97" s="12"/>
      <c r="BR97" s="12"/>
      <c r="BS97" s="12"/>
      <c r="BT97" s="12"/>
      <c r="BU97" s="12"/>
      <c r="BV97" s="12"/>
      <c r="BW97" s="12"/>
      <c r="BX97" s="12"/>
      <c r="BY97" s="12"/>
      <c r="BZ97" s="12"/>
      <c r="CA97" s="12"/>
      <c r="CB97" s="12"/>
      <c r="CC97" s="12"/>
      <c r="CD97" s="12"/>
      <c r="CE97" s="12"/>
      <c r="CF97" s="12"/>
      <c r="CG97" s="12"/>
      <c r="CH97" s="12"/>
      <c r="CI97" s="12"/>
      <c r="CJ97" s="12"/>
      <c r="CK97" s="12"/>
      <c r="CL97" s="12"/>
      <c r="CM97" s="12"/>
      <c r="CN97" s="12"/>
      <c r="CO97" s="12"/>
      <c r="CP97" s="12"/>
      <c r="CQ97" s="12"/>
      <c r="CR97" s="12"/>
      <c r="CS97" s="12"/>
      <c r="CT97" s="12"/>
      <c r="CU97" s="12"/>
      <c r="CV97" s="12"/>
      <c r="CW97" s="12"/>
      <c r="CX97" s="12"/>
      <c r="CY97" s="12"/>
      <c r="CZ97" s="12"/>
      <c r="DA97" s="12"/>
      <c r="DB97" s="12"/>
      <c r="DC97" s="12"/>
      <c r="DD97" s="12"/>
      <c r="DE97" s="12"/>
      <c r="DF97" s="12"/>
      <c r="DG97" s="12"/>
      <c r="DH97" s="12"/>
      <c r="DI97" s="12"/>
      <c r="DJ97" s="12"/>
      <c r="DK97" s="12"/>
      <c r="DL97" s="12"/>
      <c r="DM97" s="12"/>
      <c r="DN97" s="12"/>
      <c r="DO97" s="12"/>
      <c r="DP97" s="12"/>
      <c r="DQ97" s="12"/>
      <c r="DR97" s="12"/>
      <c r="DS97" s="12"/>
      <c r="DT97" s="12"/>
      <c r="DU97" s="12"/>
      <c r="DV97" s="12"/>
      <c r="DW97" s="12"/>
      <c r="DX97" s="12"/>
      <c r="DY97" s="12"/>
      <c r="DZ97" s="12"/>
      <c r="EA97" s="12"/>
      <c r="EB97" s="12"/>
      <c r="EC97" s="12"/>
      <c r="ED97" s="12"/>
      <c r="EE97" s="12"/>
      <c r="EF97" s="12"/>
      <c r="EG97" s="12"/>
      <c r="EH97" s="12"/>
      <c r="EI97" s="12"/>
      <c r="EJ97" s="12"/>
      <c r="EK97" s="12"/>
      <c r="EL97" s="12"/>
      <c r="EM97" s="12"/>
      <c r="EN97" s="12"/>
      <c r="EO97" s="12"/>
      <c r="EP97" s="12"/>
      <c r="EQ97" s="12"/>
      <c r="ER97" s="12"/>
      <c r="ES97" s="12"/>
      <c r="ET97" s="12"/>
      <c r="EU97" s="12"/>
      <c r="EV97" s="12"/>
      <c r="EW97" s="12"/>
      <c r="EX97" s="12"/>
      <c r="EY97" s="12"/>
      <c r="EZ97" s="12"/>
      <c r="FA97" s="12"/>
      <c r="FB97" s="12"/>
      <c r="FC97" s="12"/>
      <c r="FD97" s="12"/>
      <c r="FE97" s="12"/>
      <c r="FF97" s="12"/>
      <c r="FG97" s="12"/>
      <c r="FH97" s="12"/>
      <c r="FI97" s="12"/>
      <c r="FJ97" s="12"/>
      <c r="FK97" s="12"/>
      <c r="FL97" s="12"/>
      <c r="FM97" s="12"/>
      <c r="FN97" s="12"/>
      <c r="FO97" s="12"/>
      <c r="FP97" s="12"/>
      <c r="FQ97" s="12"/>
      <c r="FR97" s="12"/>
      <c r="FS97" s="12"/>
      <c r="FT97" s="12"/>
      <c r="FU97" s="12"/>
      <c r="FV97" s="12"/>
      <c r="FW97" s="12"/>
      <c r="FX97" s="12"/>
      <c r="FY97" s="12"/>
      <c r="FZ97" s="12"/>
      <c r="GA97" s="12"/>
      <c r="GB97" s="12"/>
      <c r="GC97" s="12"/>
      <c r="GD97" s="12"/>
      <c r="GE97" s="12"/>
    </row>
    <row r="98" spans="1:187" ht="21" customHeight="1">
      <c r="A98" s="45"/>
      <c r="B98" s="9" t="s">
        <v>281</v>
      </c>
      <c r="C98" s="10" t="s">
        <v>144</v>
      </c>
      <c r="D98" s="10" t="s">
        <v>145</v>
      </c>
      <c r="E98" s="35">
        <v>3423.4589999999998</v>
      </c>
      <c r="F98" s="35">
        <f>5453.973-E98</f>
        <v>2030.5140000000001</v>
      </c>
      <c r="G98" s="35">
        <v>843.28800000000001</v>
      </c>
      <c r="H98" s="35">
        <f>3896.953-G98</f>
        <v>3053.665</v>
      </c>
      <c r="I98" s="35">
        <f t="shared" si="8"/>
        <v>9350.9259999999995</v>
      </c>
      <c r="J98" s="56">
        <v>8307.73</v>
      </c>
      <c r="K98" s="49">
        <v>4973.2099088224541</v>
      </c>
      <c r="L98" s="49">
        <v>5172.1383051753528</v>
      </c>
      <c r="M98" s="49">
        <v>1375.6219799999999</v>
      </c>
      <c r="N98" s="49">
        <v>1430.6468591999999</v>
      </c>
      <c r="O98" s="56">
        <f t="shared" si="14"/>
        <v>3597.5879288224542</v>
      </c>
      <c r="P98" s="1">
        <f t="shared" si="13"/>
        <v>12316194.773218589</v>
      </c>
      <c r="Q98" s="1">
        <f t="shared" si="9"/>
        <v>7304952.6557049975</v>
      </c>
      <c r="R98" s="1">
        <f t="shared" si="10"/>
        <v>3155154.8384936634</v>
      </c>
      <c r="S98" s="1">
        <f t="shared" si="11"/>
        <v>11425261.476374324</v>
      </c>
      <c r="T98" s="1">
        <f t="shared" si="12"/>
        <v>34201563.743791573</v>
      </c>
      <c r="U98" s="11"/>
      <c r="V98" s="11"/>
      <c r="W98" s="11"/>
      <c r="X98" s="12"/>
      <c r="Y98" s="12"/>
      <c r="Z98" s="12"/>
      <c r="AA98" s="12"/>
      <c r="AB98" s="12"/>
      <c r="AC98" s="12"/>
      <c r="AD98" s="12"/>
      <c r="AE98" s="12"/>
      <c r="AF98" s="12"/>
      <c r="AG98" s="12"/>
      <c r="AH98" s="12"/>
      <c r="AI98" s="12"/>
      <c r="AJ98" s="12"/>
      <c r="AK98" s="12"/>
      <c r="AL98" s="12"/>
      <c r="AM98" s="12"/>
      <c r="AN98" s="12"/>
      <c r="AO98" s="12"/>
      <c r="AP98" s="12"/>
      <c r="AQ98" s="12"/>
      <c r="AR98" s="12"/>
      <c r="AS98" s="12"/>
      <c r="AT98" s="12"/>
      <c r="AU98" s="12"/>
      <c r="AV98" s="12"/>
      <c r="AW98" s="12"/>
      <c r="AX98" s="12"/>
      <c r="AY98" s="12"/>
      <c r="AZ98" s="12"/>
      <c r="BA98" s="12"/>
      <c r="BB98" s="12"/>
      <c r="BC98" s="12"/>
      <c r="BD98" s="12"/>
      <c r="BE98" s="12"/>
      <c r="BF98" s="12"/>
      <c r="BG98" s="12"/>
      <c r="BH98" s="12"/>
      <c r="BI98" s="12"/>
      <c r="BJ98" s="12"/>
      <c r="BK98" s="12"/>
      <c r="BL98" s="12"/>
      <c r="BM98" s="12"/>
      <c r="BN98" s="12"/>
      <c r="BO98" s="12"/>
      <c r="BP98" s="12"/>
      <c r="BQ98" s="12"/>
      <c r="BR98" s="12"/>
      <c r="BS98" s="12"/>
      <c r="BT98" s="12"/>
      <c r="BU98" s="12"/>
      <c r="BV98" s="12"/>
      <c r="BW98" s="12"/>
      <c r="BX98" s="12"/>
      <c r="BY98" s="12"/>
      <c r="BZ98" s="12"/>
      <c r="CA98" s="12"/>
      <c r="CB98" s="12"/>
      <c r="CC98" s="12"/>
      <c r="CD98" s="12"/>
      <c r="CE98" s="12"/>
      <c r="CF98" s="12"/>
      <c r="CG98" s="12"/>
      <c r="CH98" s="12"/>
      <c r="CI98" s="12"/>
      <c r="CJ98" s="12"/>
      <c r="CK98" s="12"/>
      <c r="CL98" s="12"/>
      <c r="CM98" s="12"/>
      <c r="CN98" s="12"/>
      <c r="CO98" s="12"/>
      <c r="CP98" s="12"/>
      <c r="CQ98" s="12"/>
      <c r="CR98" s="12"/>
      <c r="CS98" s="12"/>
      <c r="CT98" s="12"/>
      <c r="CU98" s="12"/>
      <c r="CV98" s="12"/>
      <c r="CW98" s="12"/>
      <c r="CX98" s="12"/>
      <c r="CY98" s="12"/>
      <c r="CZ98" s="12"/>
      <c r="DA98" s="12"/>
      <c r="DB98" s="12"/>
      <c r="DC98" s="12"/>
      <c r="DD98" s="12"/>
      <c r="DE98" s="12"/>
      <c r="DF98" s="12"/>
      <c r="DG98" s="12"/>
      <c r="DH98" s="12"/>
      <c r="DI98" s="12"/>
      <c r="DJ98" s="12"/>
      <c r="DK98" s="12"/>
      <c r="DL98" s="12"/>
      <c r="DM98" s="12"/>
      <c r="DN98" s="12"/>
      <c r="DO98" s="12"/>
      <c r="DP98" s="12"/>
      <c r="DQ98" s="12"/>
      <c r="DR98" s="12"/>
      <c r="DS98" s="12"/>
      <c r="DT98" s="12"/>
      <c r="DU98" s="12"/>
      <c r="DV98" s="12"/>
      <c r="DW98" s="12"/>
      <c r="DX98" s="12"/>
      <c r="DY98" s="12"/>
      <c r="DZ98" s="12"/>
      <c r="EA98" s="12"/>
      <c r="EB98" s="12"/>
      <c r="EC98" s="12"/>
      <c r="ED98" s="12"/>
      <c r="EE98" s="12"/>
      <c r="EF98" s="12"/>
      <c r="EG98" s="12"/>
      <c r="EH98" s="12"/>
      <c r="EI98" s="12"/>
      <c r="EJ98" s="12"/>
      <c r="EK98" s="12"/>
      <c r="EL98" s="12"/>
      <c r="EM98" s="12"/>
      <c r="EN98" s="12"/>
      <c r="EO98" s="12"/>
      <c r="EP98" s="12"/>
      <c r="EQ98" s="12"/>
      <c r="ER98" s="12"/>
      <c r="ES98" s="12"/>
      <c r="ET98" s="12"/>
      <c r="EU98" s="12"/>
      <c r="EV98" s="12"/>
      <c r="EW98" s="12"/>
      <c r="EX98" s="12"/>
      <c r="EY98" s="12"/>
      <c r="EZ98" s="12"/>
      <c r="FA98" s="12"/>
      <c r="FB98" s="12"/>
      <c r="FC98" s="12"/>
      <c r="FD98" s="12"/>
      <c r="FE98" s="12"/>
      <c r="FF98" s="12"/>
      <c r="FG98" s="12"/>
      <c r="FH98" s="12"/>
      <c r="FI98" s="12"/>
      <c r="FJ98" s="12"/>
      <c r="FK98" s="12"/>
      <c r="FL98" s="12"/>
      <c r="FM98" s="12"/>
      <c r="FN98" s="12"/>
      <c r="FO98" s="12"/>
      <c r="FP98" s="12"/>
      <c r="FQ98" s="12"/>
      <c r="FR98" s="12"/>
      <c r="FS98" s="12"/>
      <c r="FT98" s="12"/>
      <c r="FU98" s="12"/>
      <c r="FV98" s="12"/>
      <c r="FW98" s="12"/>
      <c r="FX98" s="12"/>
      <c r="FY98" s="12"/>
      <c r="FZ98" s="12"/>
      <c r="GA98" s="12"/>
      <c r="GB98" s="12"/>
      <c r="GC98" s="12"/>
      <c r="GD98" s="12"/>
      <c r="GE98" s="12"/>
    </row>
    <row r="99" spans="1:187" ht="21" customHeight="1">
      <c r="A99" s="45"/>
      <c r="B99" s="9" t="s">
        <v>281</v>
      </c>
      <c r="C99" s="10" t="s">
        <v>144</v>
      </c>
      <c r="D99" s="10" t="s">
        <v>146</v>
      </c>
      <c r="E99" s="35">
        <v>2269.8229999999999</v>
      </c>
      <c r="F99" s="35">
        <f>3590.544-E99</f>
        <v>1320.721</v>
      </c>
      <c r="G99" s="35">
        <v>586.88300000000004</v>
      </c>
      <c r="H99" s="35">
        <f>2646.502-G99</f>
        <v>2059.6189999999997</v>
      </c>
      <c r="I99" s="35">
        <f t="shared" si="8"/>
        <v>6237.0459999999994</v>
      </c>
      <c r="J99" s="56">
        <v>5935.88</v>
      </c>
      <c r="K99" s="49">
        <v>4391.6288000000004</v>
      </c>
      <c r="L99" s="49">
        <v>4567.2939520000009</v>
      </c>
      <c r="M99" s="49">
        <v>1375.6219799999999</v>
      </c>
      <c r="N99" s="49">
        <v>1430.6468591999999</v>
      </c>
      <c r="O99" s="56">
        <f t="shared" si="14"/>
        <v>3016.0068200000005</v>
      </c>
      <c r="P99" s="1">
        <f t="shared" si="13"/>
        <v>6845801.6481928611</v>
      </c>
      <c r="Q99" s="1">
        <f t="shared" si="9"/>
        <v>3983303.5433172206</v>
      </c>
      <c r="R99" s="1">
        <f t="shared" si="10"/>
        <v>1840844.8557637429</v>
      </c>
      <c r="S99" s="1">
        <f t="shared" si="11"/>
        <v>6460297.9486256437</v>
      </c>
      <c r="T99" s="1">
        <f t="shared" si="12"/>
        <v>19130247.995899469</v>
      </c>
      <c r="U99" s="11"/>
      <c r="V99" s="11"/>
      <c r="W99" s="11"/>
      <c r="X99" s="12"/>
      <c r="Y99" s="12"/>
      <c r="Z99" s="12"/>
      <c r="AA99" s="12"/>
      <c r="AB99" s="12"/>
      <c r="AC99" s="12"/>
      <c r="AD99" s="12"/>
      <c r="AE99" s="12"/>
      <c r="AF99" s="12"/>
      <c r="AG99" s="12"/>
      <c r="AH99" s="12"/>
      <c r="AI99" s="12"/>
      <c r="AJ99" s="12"/>
      <c r="AK99" s="12"/>
      <c r="AL99" s="12"/>
      <c r="AM99" s="12"/>
      <c r="AN99" s="12"/>
      <c r="AO99" s="12"/>
      <c r="AP99" s="12"/>
      <c r="AQ99" s="12"/>
      <c r="AR99" s="12"/>
      <c r="AS99" s="12"/>
      <c r="AT99" s="12"/>
      <c r="AU99" s="12"/>
      <c r="AV99" s="12"/>
      <c r="AW99" s="12"/>
      <c r="AX99" s="12"/>
      <c r="AY99" s="12"/>
      <c r="AZ99" s="12"/>
      <c r="BA99" s="12"/>
      <c r="BB99" s="12"/>
      <c r="BC99" s="12"/>
      <c r="BD99" s="12"/>
      <c r="BE99" s="12"/>
      <c r="BF99" s="12"/>
      <c r="BG99" s="12"/>
      <c r="BH99" s="12"/>
      <c r="BI99" s="12"/>
      <c r="BJ99" s="12"/>
      <c r="BK99" s="12"/>
      <c r="BL99" s="12"/>
      <c r="BM99" s="12"/>
      <c r="BN99" s="12"/>
      <c r="BO99" s="12"/>
      <c r="BP99" s="12"/>
      <c r="BQ99" s="12"/>
      <c r="BR99" s="12"/>
      <c r="BS99" s="12"/>
      <c r="BT99" s="12"/>
      <c r="BU99" s="12"/>
      <c r="BV99" s="12"/>
      <c r="BW99" s="12"/>
      <c r="BX99" s="12"/>
      <c r="BY99" s="12"/>
      <c r="BZ99" s="12"/>
      <c r="CA99" s="12"/>
      <c r="CB99" s="12"/>
      <c r="CC99" s="12"/>
      <c r="CD99" s="12"/>
      <c r="CE99" s="12"/>
      <c r="CF99" s="12"/>
      <c r="CG99" s="12"/>
      <c r="CH99" s="12"/>
      <c r="CI99" s="12"/>
      <c r="CJ99" s="12"/>
      <c r="CK99" s="12"/>
      <c r="CL99" s="12"/>
      <c r="CM99" s="12"/>
      <c r="CN99" s="12"/>
      <c r="CO99" s="12"/>
      <c r="CP99" s="12"/>
      <c r="CQ99" s="12"/>
      <c r="CR99" s="12"/>
      <c r="CS99" s="12"/>
      <c r="CT99" s="12"/>
      <c r="CU99" s="12"/>
      <c r="CV99" s="12"/>
      <c r="CW99" s="12"/>
      <c r="CX99" s="12"/>
      <c r="CY99" s="12"/>
      <c r="CZ99" s="12"/>
      <c r="DA99" s="12"/>
      <c r="DB99" s="12"/>
      <c r="DC99" s="12"/>
      <c r="DD99" s="12"/>
      <c r="DE99" s="12"/>
      <c r="DF99" s="12"/>
      <c r="DG99" s="12"/>
      <c r="DH99" s="12"/>
      <c r="DI99" s="12"/>
      <c r="DJ99" s="12"/>
      <c r="DK99" s="12"/>
      <c r="DL99" s="12"/>
      <c r="DM99" s="12"/>
      <c r="DN99" s="12"/>
      <c r="DO99" s="12"/>
      <c r="DP99" s="12"/>
      <c r="DQ99" s="12"/>
      <c r="DR99" s="12"/>
      <c r="DS99" s="12"/>
      <c r="DT99" s="12"/>
      <c r="DU99" s="12"/>
      <c r="DV99" s="12"/>
      <c r="DW99" s="12"/>
      <c r="DX99" s="12"/>
      <c r="DY99" s="12"/>
      <c r="DZ99" s="12"/>
      <c r="EA99" s="12"/>
      <c r="EB99" s="12"/>
      <c r="EC99" s="12"/>
      <c r="ED99" s="12"/>
      <c r="EE99" s="12"/>
      <c r="EF99" s="12"/>
      <c r="EG99" s="12"/>
      <c r="EH99" s="12"/>
      <c r="EI99" s="12"/>
      <c r="EJ99" s="12"/>
      <c r="EK99" s="12"/>
      <c r="EL99" s="12"/>
      <c r="EM99" s="12"/>
      <c r="EN99" s="12"/>
      <c r="EO99" s="12"/>
      <c r="EP99" s="12"/>
      <c r="EQ99" s="12"/>
      <c r="ER99" s="12"/>
      <c r="ES99" s="12"/>
      <c r="ET99" s="12"/>
      <c r="EU99" s="12"/>
      <c r="EV99" s="12"/>
      <c r="EW99" s="12"/>
      <c r="EX99" s="12"/>
      <c r="EY99" s="12"/>
      <c r="EZ99" s="12"/>
      <c r="FA99" s="12"/>
      <c r="FB99" s="12"/>
      <c r="FC99" s="12"/>
      <c r="FD99" s="12"/>
      <c r="FE99" s="12"/>
      <c r="FF99" s="12"/>
      <c r="FG99" s="12"/>
      <c r="FH99" s="12"/>
      <c r="FI99" s="12"/>
      <c r="FJ99" s="12"/>
      <c r="FK99" s="12"/>
      <c r="FL99" s="12"/>
      <c r="FM99" s="12"/>
      <c r="FN99" s="12"/>
      <c r="FO99" s="12"/>
      <c r="FP99" s="12"/>
      <c r="FQ99" s="12"/>
      <c r="FR99" s="12"/>
      <c r="FS99" s="12"/>
      <c r="FT99" s="12"/>
      <c r="FU99" s="12"/>
      <c r="FV99" s="12"/>
      <c r="FW99" s="12"/>
      <c r="FX99" s="12"/>
      <c r="FY99" s="12"/>
      <c r="FZ99" s="12"/>
      <c r="GA99" s="12"/>
      <c r="GB99" s="12"/>
      <c r="GC99" s="12"/>
      <c r="GD99" s="12"/>
      <c r="GE99" s="12"/>
    </row>
    <row r="100" spans="1:187" ht="21" customHeight="1">
      <c r="A100" s="45"/>
      <c r="B100" s="9" t="s">
        <v>281</v>
      </c>
      <c r="C100" s="10" t="s">
        <v>144</v>
      </c>
      <c r="D100" s="10" t="s">
        <v>147</v>
      </c>
      <c r="E100" s="35">
        <v>5034.1459999999997</v>
      </c>
      <c r="F100" s="35">
        <f>8466.636-E100</f>
        <v>3432.4900000000007</v>
      </c>
      <c r="G100" s="35">
        <v>1543.15</v>
      </c>
      <c r="H100" s="35">
        <f>6647.439-G100</f>
        <v>5104.2890000000007</v>
      </c>
      <c r="I100" s="35">
        <f t="shared" si="8"/>
        <v>15114.075000000001</v>
      </c>
      <c r="J100" s="56">
        <v>14335.609999999999</v>
      </c>
      <c r="K100" s="49">
        <v>4927.82</v>
      </c>
      <c r="L100" s="49">
        <v>5124.9327999999996</v>
      </c>
      <c r="M100" s="49">
        <v>1375.6219799999999</v>
      </c>
      <c r="N100" s="49">
        <v>1430.6468591999999</v>
      </c>
      <c r="O100" s="56">
        <f t="shared" si="14"/>
        <v>3552.1980199999998</v>
      </c>
      <c r="P100" s="1">
        <f t="shared" si="13"/>
        <v>17882283.453590918</v>
      </c>
      <c r="Q100" s="1">
        <f t="shared" si="9"/>
        <v>12192884.181669801</v>
      </c>
      <c r="R100" s="1">
        <f t="shared" si="10"/>
        <v>5700837.3495455198</v>
      </c>
      <c r="S100" s="1">
        <f t="shared" si="11"/>
        <v>18856703.090480089</v>
      </c>
      <c r="T100" s="1">
        <f t="shared" si="12"/>
        <v>54632708.075286329</v>
      </c>
      <c r="U100" s="11"/>
      <c r="V100" s="11"/>
      <c r="W100" s="11"/>
      <c r="X100" s="12"/>
      <c r="Y100" s="12"/>
      <c r="Z100" s="12"/>
      <c r="AA100" s="12"/>
      <c r="AB100" s="12"/>
      <c r="AC100" s="12"/>
      <c r="AD100" s="12"/>
      <c r="AE100" s="12"/>
      <c r="AF100" s="12"/>
      <c r="AG100" s="12"/>
      <c r="AH100" s="12"/>
      <c r="AI100" s="12"/>
      <c r="AJ100" s="12"/>
      <c r="AK100" s="12"/>
      <c r="AL100" s="12"/>
      <c r="AM100" s="12"/>
      <c r="AN100" s="12"/>
      <c r="AO100" s="12"/>
      <c r="AP100" s="12"/>
      <c r="AQ100" s="12"/>
      <c r="AR100" s="12"/>
      <c r="AS100" s="12"/>
      <c r="AT100" s="12"/>
      <c r="AU100" s="12"/>
      <c r="AV100" s="12"/>
      <c r="AW100" s="12"/>
      <c r="AX100" s="12"/>
      <c r="AY100" s="12"/>
      <c r="AZ100" s="12"/>
      <c r="BA100" s="12"/>
      <c r="BB100" s="12"/>
      <c r="BC100" s="12"/>
      <c r="BD100" s="12"/>
      <c r="BE100" s="12"/>
      <c r="BF100" s="12"/>
      <c r="BG100" s="12"/>
      <c r="BH100" s="12"/>
      <c r="BI100" s="12"/>
      <c r="BJ100" s="12"/>
      <c r="BK100" s="12"/>
      <c r="BL100" s="12"/>
      <c r="BM100" s="12"/>
      <c r="BN100" s="12"/>
      <c r="BO100" s="12"/>
      <c r="BP100" s="12"/>
      <c r="BQ100" s="12"/>
      <c r="BR100" s="12"/>
      <c r="BS100" s="12"/>
      <c r="BT100" s="12"/>
      <c r="BU100" s="12"/>
      <c r="BV100" s="12"/>
      <c r="BW100" s="12"/>
      <c r="BX100" s="12"/>
      <c r="BY100" s="12"/>
      <c r="BZ100" s="12"/>
      <c r="CA100" s="12"/>
      <c r="CB100" s="12"/>
      <c r="CC100" s="12"/>
      <c r="CD100" s="12"/>
      <c r="CE100" s="12"/>
      <c r="CF100" s="12"/>
      <c r="CG100" s="12"/>
      <c r="CH100" s="12"/>
      <c r="CI100" s="12"/>
      <c r="CJ100" s="12"/>
      <c r="CK100" s="12"/>
      <c r="CL100" s="12"/>
      <c r="CM100" s="12"/>
      <c r="CN100" s="12"/>
      <c r="CO100" s="12"/>
      <c r="CP100" s="12"/>
      <c r="CQ100" s="12"/>
      <c r="CR100" s="12"/>
      <c r="CS100" s="12"/>
      <c r="CT100" s="12"/>
      <c r="CU100" s="12"/>
      <c r="CV100" s="12"/>
      <c r="CW100" s="12"/>
      <c r="CX100" s="12"/>
      <c r="CY100" s="12"/>
      <c r="CZ100" s="12"/>
      <c r="DA100" s="12"/>
      <c r="DB100" s="12"/>
      <c r="DC100" s="12"/>
      <c r="DD100" s="12"/>
      <c r="DE100" s="12"/>
      <c r="DF100" s="12"/>
      <c r="DG100" s="12"/>
      <c r="DH100" s="12"/>
      <c r="DI100" s="12"/>
      <c r="DJ100" s="12"/>
      <c r="DK100" s="12"/>
      <c r="DL100" s="12"/>
      <c r="DM100" s="12"/>
      <c r="DN100" s="12"/>
      <c r="DO100" s="12"/>
      <c r="DP100" s="12"/>
      <c r="DQ100" s="12"/>
      <c r="DR100" s="12"/>
      <c r="DS100" s="12"/>
      <c r="DT100" s="12"/>
      <c r="DU100" s="12"/>
      <c r="DV100" s="12"/>
      <c r="DW100" s="12"/>
      <c r="DX100" s="12"/>
      <c r="DY100" s="12"/>
      <c r="DZ100" s="12"/>
      <c r="EA100" s="12"/>
      <c r="EB100" s="12"/>
      <c r="EC100" s="12"/>
      <c r="ED100" s="12"/>
      <c r="EE100" s="12"/>
      <c r="EF100" s="12"/>
      <c r="EG100" s="12"/>
      <c r="EH100" s="12"/>
      <c r="EI100" s="12"/>
      <c r="EJ100" s="12"/>
      <c r="EK100" s="12"/>
      <c r="EL100" s="12"/>
      <c r="EM100" s="12"/>
      <c r="EN100" s="12"/>
      <c r="EO100" s="12"/>
      <c r="EP100" s="12"/>
      <c r="EQ100" s="12"/>
      <c r="ER100" s="12"/>
      <c r="ES100" s="12"/>
      <c r="ET100" s="12"/>
      <c r="EU100" s="12"/>
      <c r="EV100" s="12"/>
      <c r="EW100" s="12"/>
      <c r="EX100" s="12"/>
      <c r="EY100" s="12"/>
      <c r="EZ100" s="12"/>
      <c r="FA100" s="12"/>
      <c r="FB100" s="12"/>
      <c r="FC100" s="12"/>
      <c r="FD100" s="12"/>
      <c r="FE100" s="12"/>
      <c r="FF100" s="12"/>
      <c r="FG100" s="12"/>
      <c r="FH100" s="12"/>
      <c r="FI100" s="12"/>
      <c r="FJ100" s="12"/>
      <c r="FK100" s="12"/>
      <c r="FL100" s="12"/>
      <c r="FM100" s="12"/>
      <c r="FN100" s="12"/>
      <c r="FO100" s="12"/>
      <c r="FP100" s="12"/>
      <c r="FQ100" s="12"/>
      <c r="FR100" s="12"/>
      <c r="FS100" s="12"/>
      <c r="FT100" s="12"/>
      <c r="FU100" s="12"/>
      <c r="FV100" s="12"/>
      <c r="FW100" s="12"/>
      <c r="FX100" s="12"/>
      <c r="FY100" s="12"/>
      <c r="FZ100" s="12"/>
      <c r="GA100" s="12"/>
      <c r="GB100" s="12"/>
      <c r="GC100" s="12"/>
      <c r="GD100" s="12"/>
      <c r="GE100" s="12"/>
    </row>
    <row r="101" spans="1:187" ht="21" customHeight="1">
      <c r="A101" s="45"/>
      <c r="B101" s="9" t="s">
        <v>281</v>
      </c>
      <c r="C101" s="10" t="s">
        <v>144</v>
      </c>
      <c r="D101" s="10" t="s">
        <v>148</v>
      </c>
      <c r="E101" s="35">
        <v>32.369999999999997</v>
      </c>
      <c r="F101" s="35">
        <f>53.95-E101</f>
        <v>21.580000000000005</v>
      </c>
      <c r="G101" s="35">
        <v>10.79</v>
      </c>
      <c r="H101" s="35">
        <f>43.16-G101</f>
        <v>32.369999999999997</v>
      </c>
      <c r="I101" s="35">
        <f t="shared" si="8"/>
        <v>97.110000000000014</v>
      </c>
      <c r="J101" s="104">
        <v>1044.7</v>
      </c>
      <c r="K101" s="49">
        <v>8051.66</v>
      </c>
      <c r="L101" s="49">
        <v>8373.7263999999996</v>
      </c>
      <c r="M101" s="49">
        <v>1360.0566099999999</v>
      </c>
      <c r="N101" s="49">
        <v>1414.4588744</v>
      </c>
      <c r="O101" s="56">
        <f t="shared" si="14"/>
        <v>6691.6033900000002</v>
      </c>
      <c r="P101" s="1">
        <f t="shared" si="13"/>
        <v>216607.2017343</v>
      </c>
      <c r="Q101" s="1">
        <f t="shared" si="9"/>
        <v>144404.80115620003</v>
      </c>
      <c r="R101" s="1">
        <f t="shared" si="10"/>
        <v>75090.496601223989</v>
      </c>
      <c r="S101" s="1">
        <f t="shared" si="11"/>
        <v>225271.48980367195</v>
      </c>
      <c r="T101" s="1">
        <f t="shared" si="12"/>
        <v>661373.98929539602</v>
      </c>
      <c r="U101" s="11"/>
      <c r="V101" s="11"/>
      <c r="W101" s="11"/>
      <c r="X101" s="12"/>
      <c r="Y101" s="12"/>
      <c r="Z101" s="12"/>
      <c r="AA101" s="12"/>
      <c r="AB101" s="12"/>
      <c r="AC101" s="12"/>
      <c r="AD101" s="12"/>
      <c r="AE101" s="12"/>
      <c r="AF101" s="12"/>
      <c r="AG101" s="12"/>
      <c r="AH101" s="12"/>
      <c r="AI101" s="12"/>
      <c r="AJ101" s="12"/>
      <c r="AK101" s="12"/>
      <c r="AL101" s="12"/>
      <c r="AM101" s="12"/>
      <c r="AN101" s="12"/>
      <c r="AO101" s="12"/>
      <c r="AP101" s="12"/>
      <c r="AQ101" s="12"/>
      <c r="AR101" s="12"/>
      <c r="AS101" s="12"/>
      <c r="AT101" s="12"/>
      <c r="AU101" s="12"/>
      <c r="AV101" s="12"/>
      <c r="AW101" s="12"/>
      <c r="AX101" s="12"/>
      <c r="AY101" s="12"/>
      <c r="AZ101" s="12"/>
      <c r="BA101" s="12"/>
      <c r="BB101" s="12"/>
      <c r="BC101" s="12"/>
      <c r="BD101" s="12"/>
      <c r="BE101" s="12"/>
      <c r="BF101" s="12"/>
      <c r="BG101" s="12"/>
      <c r="BH101" s="12"/>
      <c r="BI101" s="12"/>
      <c r="BJ101" s="12"/>
      <c r="BK101" s="12"/>
      <c r="BL101" s="12"/>
      <c r="BM101" s="12"/>
      <c r="BN101" s="12"/>
      <c r="BO101" s="12"/>
      <c r="BP101" s="12"/>
      <c r="BQ101" s="12"/>
      <c r="BR101" s="12"/>
      <c r="BS101" s="12"/>
      <c r="BT101" s="12"/>
      <c r="BU101" s="12"/>
      <c r="BV101" s="12"/>
      <c r="BW101" s="12"/>
      <c r="BX101" s="12"/>
      <c r="BY101" s="12"/>
      <c r="BZ101" s="12"/>
      <c r="CA101" s="12"/>
      <c r="CB101" s="12"/>
      <c r="CC101" s="12"/>
      <c r="CD101" s="12"/>
      <c r="CE101" s="12"/>
      <c r="CF101" s="12"/>
      <c r="CG101" s="12"/>
      <c r="CH101" s="12"/>
      <c r="CI101" s="12"/>
      <c r="CJ101" s="12"/>
      <c r="CK101" s="12"/>
      <c r="CL101" s="12"/>
      <c r="CM101" s="12"/>
      <c r="CN101" s="12"/>
      <c r="CO101" s="12"/>
      <c r="CP101" s="12"/>
      <c r="CQ101" s="12"/>
      <c r="CR101" s="12"/>
      <c r="CS101" s="12"/>
      <c r="CT101" s="12"/>
      <c r="CU101" s="12"/>
      <c r="CV101" s="12"/>
      <c r="CW101" s="12"/>
      <c r="CX101" s="12"/>
      <c r="CY101" s="12"/>
      <c r="CZ101" s="12"/>
      <c r="DA101" s="12"/>
      <c r="DB101" s="12"/>
      <c r="DC101" s="12"/>
      <c r="DD101" s="12"/>
      <c r="DE101" s="12"/>
      <c r="DF101" s="12"/>
      <c r="DG101" s="12"/>
      <c r="DH101" s="12"/>
      <c r="DI101" s="12"/>
      <c r="DJ101" s="12"/>
      <c r="DK101" s="12"/>
      <c r="DL101" s="12"/>
      <c r="DM101" s="12"/>
      <c r="DN101" s="12"/>
      <c r="DO101" s="12"/>
      <c r="DP101" s="12"/>
      <c r="DQ101" s="12"/>
      <c r="DR101" s="12"/>
      <c r="DS101" s="12"/>
      <c r="DT101" s="12"/>
      <c r="DU101" s="12"/>
      <c r="DV101" s="12"/>
      <c r="DW101" s="12"/>
      <c r="DX101" s="12"/>
      <c r="DY101" s="12"/>
      <c r="DZ101" s="12"/>
      <c r="EA101" s="12"/>
      <c r="EB101" s="12"/>
      <c r="EC101" s="12"/>
      <c r="ED101" s="12"/>
      <c r="EE101" s="12"/>
      <c r="EF101" s="12"/>
      <c r="EG101" s="12"/>
      <c r="EH101" s="12"/>
      <c r="EI101" s="12"/>
      <c r="EJ101" s="12"/>
      <c r="EK101" s="12"/>
      <c r="EL101" s="12"/>
      <c r="EM101" s="12"/>
      <c r="EN101" s="12"/>
      <c r="EO101" s="12"/>
      <c r="EP101" s="12"/>
      <c r="EQ101" s="12"/>
      <c r="ER101" s="12"/>
      <c r="ES101" s="12"/>
      <c r="ET101" s="12"/>
      <c r="EU101" s="12"/>
      <c r="EV101" s="12"/>
      <c r="EW101" s="12"/>
      <c r="EX101" s="12"/>
      <c r="EY101" s="12"/>
      <c r="EZ101" s="12"/>
      <c r="FA101" s="12"/>
      <c r="FB101" s="12"/>
      <c r="FC101" s="12"/>
      <c r="FD101" s="12"/>
      <c r="FE101" s="12"/>
      <c r="FF101" s="12"/>
      <c r="FG101" s="12"/>
      <c r="FH101" s="12"/>
      <c r="FI101" s="12"/>
      <c r="FJ101" s="12"/>
      <c r="FK101" s="12"/>
      <c r="FL101" s="12"/>
      <c r="FM101" s="12"/>
      <c r="FN101" s="12"/>
      <c r="FO101" s="12"/>
      <c r="FP101" s="12"/>
      <c r="FQ101" s="12"/>
      <c r="FR101" s="12"/>
      <c r="FS101" s="12"/>
      <c r="FT101" s="12"/>
      <c r="FU101" s="12"/>
      <c r="FV101" s="12"/>
      <c r="FW101" s="12"/>
      <c r="FX101" s="12"/>
      <c r="FY101" s="12"/>
      <c r="FZ101" s="12"/>
      <c r="GA101" s="12"/>
      <c r="GB101" s="12"/>
      <c r="GC101" s="12"/>
      <c r="GD101" s="12"/>
      <c r="GE101" s="12"/>
    </row>
    <row r="102" spans="1:187" ht="21" customHeight="1">
      <c r="A102" s="45"/>
      <c r="B102" s="9" t="s">
        <v>281</v>
      </c>
      <c r="C102" s="10" t="s">
        <v>144</v>
      </c>
      <c r="D102" s="10" t="s">
        <v>149</v>
      </c>
      <c r="E102" s="35">
        <v>190.28200000000001</v>
      </c>
      <c r="F102" s="35">
        <f>317.305-E102</f>
        <v>127.023</v>
      </c>
      <c r="G102" s="35">
        <v>63.427999999999997</v>
      </c>
      <c r="H102" s="35">
        <f>253.712-G102</f>
        <v>190.28399999999999</v>
      </c>
      <c r="I102" s="35">
        <f t="shared" si="8"/>
        <v>571.01700000000005</v>
      </c>
      <c r="J102" s="104"/>
      <c r="K102" s="49">
        <v>8051.66</v>
      </c>
      <c r="L102" s="49">
        <v>8373.7263999999996</v>
      </c>
      <c r="M102" s="49">
        <v>1360.0566099999999</v>
      </c>
      <c r="N102" s="49">
        <v>1414.4588744</v>
      </c>
      <c r="O102" s="56">
        <f t="shared" si="14"/>
        <v>6691.6033900000002</v>
      </c>
      <c r="P102" s="1">
        <f t="shared" si="13"/>
        <v>1273291.67625598</v>
      </c>
      <c r="Q102" s="1">
        <f t="shared" si="9"/>
        <v>849987.53740797006</v>
      </c>
      <c r="R102" s="1">
        <f t="shared" si="10"/>
        <v>441412.42061375675</v>
      </c>
      <c r="S102" s="1">
        <f t="shared" si="11"/>
        <v>1324237.2618412701</v>
      </c>
      <c r="T102" s="1">
        <f t="shared" si="12"/>
        <v>3888928.8961189771</v>
      </c>
      <c r="U102" s="11"/>
      <c r="V102" s="11"/>
      <c r="W102" s="11"/>
      <c r="X102" s="12"/>
      <c r="Y102" s="12"/>
      <c r="Z102" s="12"/>
      <c r="AA102" s="12"/>
      <c r="AB102" s="12"/>
      <c r="AC102" s="12"/>
      <c r="AD102" s="12"/>
      <c r="AE102" s="12"/>
      <c r="AF102" s="12"/>
      <c r="AG102" s="12"/>
      <c r="AH102" s="12"/>
      <c r="AI102" s="12"/>
      <c r="AJ102" s="12"/>
      <c r="AK102" s="12"/>
      <c r="AL102" s="12"/>
      <c r="AM102" s="12"/>
      <c r="AN102" s="12"/>
      <c r="AO102" s="12"/>
      <c r="AP102" s="12"/>
      <c r="AQ102" s="12"/>
      <c r="AR102" s="12"/>
      <c r="AS102" s="12"/>
      <c r="AT102" s="12"/>
      <c r="AU102" s="12"/>
      <c r="AV102" s="12"/>
      <c r="AW102" s="12"/>
      <c r="AX102" s="12"/>
      <c r="AY102" s="12"/>
      <c r="AZ102" s="12"/>
      <c r="BA102" s="12"/>
      <c r="BB102" s="12"/>
      <c r="BC102" s="12"/>
      <c r="BD102" s="12"/>
      <c r="BE102" s="12"/>
      <c r="BF102" s="12"/>
      <c r="BG102" s="12"/>
      <c r="BH102" s="12"/>
      <c r="BI102" s="12"/>
      <c r="BJ102" s="12"/>
      <c r="BK102" s="12"/>
      <c r="BL102" s="12"/>
      <c r="BM102" s="12"/>
      <c r="BN102" s="12"/>
      <c r="BO102" s="12"/>
      <c r="BP102" s="12"/>
      <c r="BQ102" s="12"/>
      <c r="BR102" s="12"/>
      <c r="BS102" s="12"/>
      <c r="BT102" s="12"/>
      <c r="BU102" s="12"/>
      <c r="BV102" s="12"/>
      <c r="BW102" s="12"/>
      <c r="BX102" s="12"/>
      <c r="BY102" s="12"/>
      <c r="BZ102" s="12"/>
      <c r="CA102" s="12"/>
      <c r="CB102" s="12"/>
      <c r="CC102" s="12"/>
      <c r="CD102" s="12"/>
      <c r="CE102" s="12"/>
      <c r="CF102" s="12"/>
      <c r="CG102" s="12"/>
      <c r="CH102" s="12"/>
      <c r="CI102" s="12"/>
      <c r="CJ102" s="12"/>
      <c r="CK102" s="12"/>
      <c r="CL102" s="12"/>
      <c r="CM102" s="12"/>
      <c r="CN102" s="12"/>
      <c r="CO102" s="12"/>
      <c r="CP102" s="12"/>
      <c r="CQ102" s="12"/>
      <c r="CR102" s="12"/>
      <c r="CS102" s="12"/>
      <c r="CT102" s="12"/>
      <c r="CU102" s="12"/>
      <c r="CV102" s="12"/>
      <c r="CW102" s="12"/>
      <c r="CX102" s="12"/>
      <c r="CY102" s="12"/>
      <c r="CZ102" s="12"/>
      <c r="DA102" s="12"/>
      <c r="DB102" s="12"/>
      <c r="DC102" s="12"/>
      <c r="DD102" s="12"/>
      <c r="DE102" s="12"/>
      <c r="DF102" s="12"/>
      <c r="DG102" s="12"/>
      <c r="DH102" s="12"/>
      <c r="DI102" s="12"/>
      <c r="DJ102" s="12"/>
      <c r="DK102" s="12"/>
      <c r="DL102" s="12"/>
      <c r="DM102" s="12"/>
      <c r="DN102" s="12"/>
      <c r="DO102" s="12"/>
      <c r="DP102" s="12"/>
      <c r="DQ102" s="12"/>
      <c r="DR102" s="12"/>
      <c r="DS102" s="12"/>
      <c r="DT102" s="12"/>
      <c r="DU102" s="12"/>
      <c r="DV102" s="12"/>
      <c r="DW102" s="12"/>
      <c r="DX102" s="12"/>
      <c r="DY102" s="12"/>
      <c r="DZ102" s="12"/>
      <c r="EA102" s="12"/>
      <c r="EB102" s="12"/>
      <c r="EC102" s="12"/>
      <c r="ED102" s="12"/>
      <c r="EE102" s="12"/>
      <c r="EF102" s="12"/>
      <c r="EG102" s="12"/>
      <c r="EH102" s="12"/>
      <c r="EI102" s="12"/>
      <c r="EJ102" s="12"/>
      <c r="EK102" s="12"/>
      <c r="EL102" s="12"/>
      <c r="EM102" s="12"/>
      <c r="EN102" s="12"/>
      <c r="EO102" s="12"/>
      <c r="EP102" s="12"/>
      <c r="EQ102" s="12"/>
      <c r="ER102" s="12"/>
      <c r="ES102" s="12"/>
      <c r="ET102" s="12"/>
      <c r="EU102" s="12"/>
      <c r="EV102" s="12"/>
      <c r="EW102" s="12"/>
      <c r="EX102" s="12"/>
      <c r="EY102" s="12"/>
      <c r="EZ102" s="12"/>
      <c r="FA102" s="12"/>
      <c r="FB102" s="12"/>
      <c r="FC102" s="12"/>
      <c r="FD102" s="12"/>
      <c r="FE102" s="12"/>
      <c r="FF102" s="12"/>
      <c r="FG102" s="12"/>
      <c r="FH102" s="12"/>
      <c r="FI102" s="12"/>
      <c r="FJ102" s="12"/>
      <c r="FK102" s="12"/>
      <c r="FL102" s="12"/>
      <c r="FM102" s="12"/>
      <c r="FN102" s="12"/>
      <c r="FO102" s="12"/>
      <c r="FP102" s="12"/>
      <c r="FQ102" s="12"/>
      <c r="FR102" s="12"/>
      <c r="FS102" s="12"/>
      <c r="FT102" s="12"/>
      <c r="FU102" s="12"/>
      <c r="FV102" s="12"/>
      <c r="FW102" s="12"/>
      <c r="FX102" s="12"/>
      <c r="FY102" s="12"/>
      <c r="FZ102" s="12"/>
      <c r="GA102" s="12"/>
      <c r="GB102" s="12"/>
      <c r="GC102" s="12"/>
      <c r="GD102" s="12"/>
      <c r="GE102" s="12"/>
    </row>
    <row r="103" spans="1:187" ht="21" customHeight="1">
      <c r="A103" s="45"/>
      <c r="B103" s="9" t="s">
        <v>281</v>
      </c>
      <c r="C103" s="10" t="s">
        <v>144</v>
      </c>
      <c r="D103" s="10" t="s">
        <v>150</v>
      </c>
      <c r="E103" s="35">
        <v>120.273</v>
      </c>
      <c r="F103" s="35">
        <f>200.455-E103</f>
        <v>80.182000000000016</v>
      </c>
      <c r="G103" s="35">
        <v>40.091000000000001</v>
      </c>
      <c r="H103" s="35">
        <f>160.364-G103</f>
        <v>120.273</v>
      </c>
      <c r="I103" s="35">
        <f t="shared" si="8"/>
        <v>360.81900000000002</v>
      </c>
      <c r="J103" s="104"/>
      <c r="K103" s="49">
        <v>8051.66</v>
      </c>
      <c r="L103" s="49">
        <v>8373.7263999999996</v>
      </c>
      <c r="M103" s="49">
        <v>1360.0566099999999</v>
      </c>
      <c r="N103" s="49">
        <v>1414.4588744</v>
      </c>
      <c r="O103" s="56">
        <f t="shared" si="14"/>
        <v>6691.6033900000002</v>
      </c>
      <c r="P103" s="1">
        <f t="shared" si="13"/>
        <v>804819.21452547004</v>
      </c>
      <c r="Q103" s="1">
        <f t="shared" si="9"/>
        <v>536546.14301698015</v>
      </c>
      <c r="R103" s="1">
        <f t="shared" si="10"/>
        <v>279003.99436882959</v>
      </c>
      <c r="S103" s="1">
        <f t="shared" si="11"/>
        <v>837011.98310648871</v>
      </c>
      <c r="T103" s="1">
        <f t="shared" si="12"/>
        <v>2457381.3350177682</v>
      </c>
      <c r="U103" s="11"/>
      <c r="V103" s="11"/>
      <c r="W103" s="11"/>
      <c r="X103" s="12"/>
      <c r="Y103" s="12"/>
      <c r="Z103" s="12"/>
      <c r="AA103" s="12"/>
      <c r="AB103" s="12"/>
      <c r="AC103" s="12"/>
      <c r="AD103" s="12"/>
      <c r="AE103" s="12"/>
      <c r="AF103" s="12"/>
      <c r="AG103" s="12"/>
      <c r="AH103" s="12"/>
      <c r="AI103" s="12"/>
      <c r="AJ103" s="12"/>
      <c r="AK103" s="12"/>
      <c r="AL103" s="12"/>
      <c r="AM103" s="12"/>
      <c r="AN103" s="12"/>
      <c r="AO103" s="12"/>
      <c r="AP103" s="12"/>
      <c r="AQ103" s="12"/>
      <c r="AR103" s="12"/>
      <c r="AS103" s="12"/>
      <c r="AT103" s="12"/>
      <c r="AU103" s="12"/>
      <c r="AV103" s="12"/>
      <c r="AW103" s="12"/>
      <c r="AX103" s="12"/>
      <c r="AY103" s="12"/>
      <c r="AZ103" s="12"/>
      <c r="BA103" s="12"/>
      <c r="BB103" s="12"/>
      <c r="BC103" s="12"/>
      <c r="BD103" s="12"/>
      <c r="BE103" s="12"/>
      <c r="BF103" s="12"/>
      <c r="BG103" s="12"/>
      <c r="BH103" s="12"/>
      <c r="BI103" s="12"/>
      <c r="BJ103" s="12"/>
      <c r="BK103" s="12"/>
      <c r="BL103" s="12"/>
      <c r="BM103" s="12"/>
      <c r="BN103" s="12"/>
      <c r="BO103" s="12"/>
      <c r="BP103" s="12"/>
      <c r="BQ103" s="12"/>
      <c r="BR103" s="12"/>
      <c r="BS103" s="12"/>
      <c r="BT103" s="12"/>
      <c r="BU103" s="12"/>
      <c r="BV103" s="12"/>
      <c r="BW103" s="12"/>
      <c r="BX103" s="12"/>
      <c r="BY103" s="12"/>
      <c r="BZ103" s="12"/>
      <c r="CA103" s="12"/>
      <c r="CB103" s="12"/>
      <c r="CC103" s="12"/>
      <c r="CD103" s="12"/>
      <c r="CE103" s="12"/>
      <c r="CF103" s="12"/>
      <c r="CG103" s="12"/>
      <c r="CH103" s="12"/>
      <c r="CI103" s="12"/>
      <c r="CJ103" s="12"/>
      <c r="CK103" s="12"/>
      <c r="CL103" s="12"/>
      <c r="CM103" s="12"/>
      <c r="CN103" s="12"/>
      <c r="CO103" s="12"/>
      <c r="CP103" s="12"/>
      <c r="CQ103" s="12"/>
      <c r="CR103" s="12"/>
      <c r="CS103" s="12"/>
      <c r="CT103" s="12"/>
      <c r="CU103" s="12"/>
      <c r="CV103" s="12"/>
      <c r="CW103" s="12"/>
      <c r="CX103" s="12"/>
      <c r="CY103" s="12"/>
      <c r="CZ103" s="12"/>
      <c r="DA103" s="12"/>
      <c r="DB103" s="12"/>
      <c r="DC103" s="12"/>
      <c r="DD103" s="12"/>
      <c r="DE103" s="12"/>
      <c r="DF103" s="12"/>
      <c r="DG103" s="12"/>
      <c r="DH103" s="12"/>
      <c r="DI103" s="12"/>
      <c r="DJ103" s="12"/>
      <c r="DK103" s="12"/>
      <c r="DL103" s="12"/>
      <c r="DM103" s="12"/>
      <c r="DN103" s="12"/>
      <c r="DO103" s="12"/>
      <c r="DP103" s="12"/>
      <c r="DQ103" s="12"/>
      <c r="DR103" s="12"/>
      <c r="DS103" s="12"/>
      <c r="DT103" s="12"/>
      <c r="DU103" s="12"/>
      <c r="DV103" s="12"/>
      <c r="DW103" s="12"/>
      <c r="DX103" s="12"/>
      <c r="DY103" s="12"/>
      <c r="DZ103" s="12"/>
      <c r="EA103" s="12"/>
      <c r="EB103" s="12"/>
      <c r="EC103" s="12"/>
      <c r="ED103" s="12"/>
      <c r="EE103" s="12"/>
      <c r="EF103" s="12"/>
      <c r="EG103" s="12"/>
      <c r="EH103" s="12"/>
      <c r="EI103" s="12"/>
      <c r="EJ103" s="12"/>
      <c r="EK103" s="12"/>
      <c r="EL103" s="12"/>
      <c r="EM103" s="12"/>
      <c r="EN103" s="12"/>
      <c r="EO103" s="12"/>
      <c r="EP103" s="12"/>
      <c r="EQ103" s="12"/>
      <c r="ER103" s="12"/>
      <c r="ES103" s="12"/>
      <c r="ET103" s="12"/>
      <c r="EU103" s="12"/>
      <c r="EV103" s="12"/>
      <c r="EW103" s="12"/>
      <c r="EX103" s="12"/>
      <c r="EY103" s="12"/>
      <c r="EZ103" s="12"/>
      <c r="FA103" s="12"/>
      <c r="FB103" s="12"/>
      <c r="FC103" s="12"/>
      <c r="FD103" s="12"/>
      <c r="FE103" s="12"/>
      <c r="FF103" s="12"/>
      <c r="FG103" s="12"/>
      <c r="FH103" s="12"/>
      <c r="FI103" s="12"/>
      <c r="FJ103" s="12"/>
      <c r="FK103" s="12"/>
      <c r="FL103" s="12"/>
      <c r="FM103" s="12"/>
      <c r="FN103" s="12"/>
      <c r="FO103" s="12"/>
      <c r="FP103" s="12"/>
      <c r="FQ103" s="12"/>
      <c r="FR103" s="12"/>
      <c r="FS103" s="12"/>
      <c r="FT103" s="12"/>
      <c r="FU103" s="12"/>
      <c r="FV103" s="12"/>
      <c r="FW103" s="12"/>
      <c r="FX103" s="12"/>
      <c r="FY103" s="12"/>
      <c r="FZ103" s="12"/>
      <c r="GA103" s="12"/>
      <c r="GB103" s="12"/>
      <c r="GC103" s="12"/>
      <c r="GD103" s="12"/>
      <c r="GE103" s="12"/>
    </row>
    <row r="104" spans="1:187" ht="21" customHeight="1">
      <c r="A104" s="45"/>
      <c r="B104" s="9" t="s">
        <v>42</v>
      </c>
      <c r="C104" s="10" t="s">
        <v>41</v>
      </c>
      <c r="D104" s="10" t="s">
        <v>151</v>
      </c>
      <c r="E104" s="35">
        <v>504.57600000000002</v>
      </c>
      <c r="F104" s="35">
        <f>799.747-E104</f>
        <v>295.17099999999994</v>
      </c>
      <c r="G104" s="35">
        <v>132.08600000000001</v>
      </c>
      <c r="H104" s="35">
        <v>590.02499999999998</v>
      </c>
      <c r="I104" s="35">
        <f t="shared" si="8"/>
        <v>1521.8579999999999</v>
      </c>
      <c r="J104" s="56">
        <v>1419.3314999999998</v>
      </c>
      <c r="K104" s="49">
        <v>6745.72</v>
      </c>
      <c r="L104" s="49">
        <v>7015.55</v>
      </c>
      <c r="M104" s="49">
        <v>1592.6</v>
      </c>
      <c r="N104" s="49">
        <v>1656.31</v>
      </c>
      <c r="O104" s="56">
        <f t="shared" si="14"/>
        <v>5153.1200000000008</v>
      </c>
      <c r="P104" s="1">
        <f t="shared" si="13"/>
        <v>2600140.6771200006</v>
      </c>
      <c r="Q104" s="1">
        <f t="shared" si="9"/>
        <v>1521051.5835199999</v>
      </c>
      <c r="R104" s="1">
        <f t="shared" si="10"/>
        <v>707880.57464000001</v>
      </c>
      <c r="S104" s="1">
        <f t="shared" si="11"/>
        <v>3162085.5809999998</v>
      </c>
      <c r="T104" s="1">
        <f t="shared" si="12"/>
        <v>7991158.4162799995</v>
      </c>
      <c r="U104" s="11"/>
      <c r="V104" s="11"/>
      <c r="W104" s="11"/>
      <c r="X104" s="12"/>
      <c r="Y104" s="12"/>
      <c r="Z104" s="12"/>
      <c r="AA104" s="12"/>
      <c r="AB104" s="12"/>
      <c r="AC104" s="12"/>
      <c r="AD104" s="12"/>
      <c r="AE104" s="12"/>
      <c r="AF104" s="12"/>
      <c r="AG104" s="12"/>
      <c r="AH104" s="12"/>
      <c r="AI104" s="12"/>
      <c r="AJ104" s="12"/>
      <c r="AK104" s="12"/>
      <c r="AL104" s="12"/>
      <c r="AM104" s="12"/>
      <c r="AN104" s="12"/>
      <c r="AO104" s="12"/>
      <c r="AP104" s="12"/>
      <c r="AQ104" s="12"/>
      <c r="AR104" s="12"/>
      <c r="AS104" s="12"/>
      <c r="AT104" s="12"/>
      <c r="AU104" s="12"/>
      <c r="AV104" s="12"/>
      <c r="AW104" s="12"/>
      <c r="AX104" s="12"/>
      <c r="AY104" s="12"/>
      <c r="AZ104" s="12"/>
      <c r="BA104" s="12"/>
      <c r="BB104" s="12"/>
      <c r="BC104" s="12"/>
      <c r="BD104" s="12"/>
      <c r="BE104" s="12"/>
      <c r="BF104" s="12"/>
      <c r="BG104" s="12"/>
      <c r="BH104" s="12"/>
      <c r="BI104" s="12"/>
      <c r="BJ104" s="12"/>
      <c r="BK104" s="12"/>
      <c r="BL104" s="12"/>
      <c r="BM104" s="12"/>
      <c r="BN104" s="12"/>
      <c r="BO104" s="12"/>
      <c r="BP104" s="12"/>
      <c r="BQ104" s="12"/>
      <c r="BR104" s="12"/>
      <c r="BS104" s="12"/>
      <c r="BT104" s="12"/>
      <c r="BU104" s="12"/>
      <c r="BV104" s="12"/>
      <c r="BW104" s="12"/>
      <c r="BX104" s="12"/>
      <c r="BY104" s="12"/>
      <c r="BZ104" s="12"/>
      <c r="CA104" s="12"/>
      <c r="CB104" s="12"/>
      <c r="CC104" s="12"/>
      <c r="CD104" s="12"/>
      <c r="CE104" s="12"/>
      <c r="CF104" s="12"/>
      <c r="CG104" s="12"/>
      <c r="CH104" s="12"/>
      <c r="CI104" s="12"/>
      <c r="CJ104" s="12"/>
      <c r="CK104" s="12"/>
      <c r="CL104" s="12"/>
      <c r="CM104" s="12"/>
      <c r="CN104" s="12"/>
      <c r="CO104" s="12"/>
      <c r="CP104" s="12"/>
      <c r="CQ104" s="12"/>
      <c r="CR104" s="12"/>
      <c r="CS104" s="12"/>
      <c r="CT104" s="12"/>
      <c r="CU104" s="12"/>
      <c r="CV104" s="12"/>
      <c r="CW104" s="12"/>
      <c r="CX104" s="12"/>
      <c r="CY104" s="12"/>
      <c r="CZ104" s="12"/>
      <c r="DA104" s="12"/>
      <c r="DB104" s="12"/>
      <c r="DC104" s="12"/>
      <c r="DD104" s="12"/>
      <c r="DE104" s="12"/>
      <c r="DF104" s="12"/>
      <c r="DG104" s="12"/>
      <c r="DH104" s="12"/>
      <c r="DI104" s="12"/>
      <c r="DJ104" s="12"/>
      <c r="DK104" s="12"/>
      <c r="DL104" s="12"/>
      <c r="DM104" s="12"/>
      <c r="DN104" s="12"/>
      <c r="DO104" s="12"/>
      <c r="DP104" s="12"/>
      <c r="DQ104" s="12"/>
      <c r="DR104" s="12"/>
      <c r="DS104" s="12"/>
      <c r="DT104" s="12"/>
      <c r="DU104" s="12"/>
      <c r="DV104" s="12"/>
      <c r="DW104" s="12"/>
      <c r="DX104" s="12"/>
      <c r="DY104" s="12"/>
      <c r="DZ104" s="12"/>
      <c r="EA104" s="12"/>
      <c r="EB104" s="12"/>
      <c r="EC104" s="12"/>
      <c r="ED104" s="12"/>
      <c r="EE104" s="12"/>
      <c r="EF104" s="12"/>
      <c r="EG104" s="12"/>
      <c r="EH104" s="12"/>
      <c r="EI104" s="12"/>
      <c r="EJ104" s="12"/>
      <c r="EK104" s="12"/>
      <c r="EL104" s="12"/>
      <c r="EM104" s="12"/>
      <c r="EN104" s="12"/>
      <c r="EO104" s="12"/>
      <c r="EP104" s="12"/>
      <c r="EQ104" s="12"/>
      <c r="ER104" s="12"/>
      <c r="ES104" s="12"/>
      <c r="ET104" s="12"/>
      <c r="EU104" s="12"/>
      <c r="EV104" s="12"/>
      <c r="EW104" s="12"/>
      <c r="EX104" s="12"/>
      <c r="EY104" s="12"/>
      <c r="EZ104" s="12"/>
      <c r="FA104" s="12"/>
      <c r="FB104" s="12"/>
      <c r="FC104" s="12"/>
      <c r="FD104" s="12"/>
      <c r="FE104" s="12"/>
      <c r="FF104" s="12"/>
      <c r="FG104" s="12"/>
      <c r="FH104" s="12"/>
      <c r="FI104" s="12"/>
      <c r="FJ104" s="12"/>
      <c r="FK104" s="12"/>
      <c r="FL104" s="12"/>
      <c r="FM104" s="12"/>
      <c r="FN104" s="12"/>
      <c r="FO104" s="12"/>
      <c r="FP104" s="12"/>
      <c r="FQ104" s="12"/>
      <c r="FR104" s="12"/>
      <c r="FS104" s="12"/>
      <c r="FT104" s="12"/>
      <c r="FU104" s="12"/>
      <c r="FV104" s="12"/>
      <c r="FW104" s="12"/>
      <c r="FX104" s="12"/>
      <c r="FY104" s="12"/>
      <c r="FZ104" s="12"/>
      <c r="GA104" s="12"/>
      <c r="GB104" s="12"/>
      <c r="GC104" s="12"/>
      <c r="GD104" s="12"/>
      <c r="GE104" s="12"/>
    </row>
    <row r="105" spans="1:187" s="21" customFormat="1" ht="21" customHeight="1">
      <c r="A105" s="30"/>
      <c r="B105" s="20" t="s">
        <v>17</v>
      </c>
      <c r="C105" s="84" t="s">
        <v>152</v>
      </c>
      <c r="D105" s="20" t="s">
        <v>151</v>
      </c>
      <c r="E105" s="43">
        <v>4.5119999999999996</v>
      </c>
      <c r="F105" s="2">
        <v>1.504</v>
      </c>
      <c r="G105" s="2">
        <v>1.5740000000000001</v>
      </c>
      <c r="H105" s="2">
        <f>5.866-G105</f>
        <v>4.2919999999999998</v>
      </c>
      <c r="I105" s="35">
        <f t="shared" si="8"/>
        <v>11.882</v>
      </c>
      <c r="J105" s="56">
        <v>13.539981600000001</v>
      </c>
      <c r="K105" s="49">
        <v>3557.06</v>
      </c>
      <c r="L105" s="49">
        <v>3699.34</v>
      </c>
      <c r="M105" s="49">
        <v>1349.67</v>
      </c>
      <c r="N105" s="49">
        <v>1403.65</v>
      </c>
      <c r="O105" s="56">
        <f t="shared" si="14"/>
        <v>2207.39</v>
      </c>
      <c r="P105" s="1">
        <f t="shared" si="13"/>
        <v>9959.7436799999978</v>
      </c>
      <c r="Q105" s="1">
        <f t="shared" si="9"/>
        <v>3319.9145599999997</v>
      </c>
      <c r="R105" s="1">
        <f t="shared" si="10"/>
        <v>3613.41606</v>
      </c>
      <c r="S105" s="1">
        <f t="shared" si="11"/>
        <v>9853.1014799999994</v>
      </c>
      <c r="T105" s="1">
        <f t="shared" si="12"/>
        <v>26746.175779999998</v>
      </c>
      <c r="U105" s="1"/>
      <c r="V105" s="1"/>
      <c r="W105" s="1"/>
    </row>
    <row r="106" spans="1:187" s="21" customFormat="1" ht="21" customHeight="1">
      <c r="A106" s="30" t="s">
        <v>337</v>
      </c>
      <c r="B106" s="74">
        <v>2919003788</v>
      </c>
      <c r="C106" s="84" t="s">
        <v>354</v>
      </c>
      <c r="D106" s="20" t="s">
        <v>356</v>
      </c>
      <c r="E106" s="43">
        <f>25.240871*0.6</f>
        <v>15.144522599999998</v>
      </c>
      <c r="F106" s="43">
        <f>25.240871*0.4</f>
        <v>10.0963484</v>
      </c>
      <c r="G106" s="2">
        <f>19.049129*0.2</f>
        <v>3.8098258000000005</v>
      </c>
      <c r="H106" s="2">
        <f>19.049129*0.8</f>
        <v>15.239303200000002</v>
      </c>
      <c r="I106" s="35">
        <f t="shared" si="8"/>
        <v>44.29</v>
      </c>
      <c r="J106" s="56">
        <v>44.29</v>
      </c>
      <c r="K106" s="49">
        <v>3885.69</v>
      </c>
      <c r="L106" s="49">
        <v>4041.12</v>
      </c>
      <c r="M106" s="49">
        <v>1623.23</v>
      </c>
      <c r="N106" s="49">
        <v>1688.1592000000001</v>
      </c>
      <c r="O106" s="56">
        <f t="shared" si="14"/>
        <v>2262.46</v>
      </c>
      <c r="P106" s="1">
        <f t="shared" si="13"/>
        <v>34263.876601595999</v>
      </c>
      <c r="Q106" s="1">
        <f t="shared" si="9"/>
        <v>22842.584401063999</v>
      </c>
      <c r="R106" s="1">
        <f t="shared" si="10"/>
        <v>8964.3707622286402</v>
      </c>
      <c r="S106" s="1">
        <f t="shared" si="11"/>
        <v>35857.483048914561</v>
      </c>
      <c r="T106" s="1">
        <f t="shared" si="12"/>
        <v>101928.31481380321</v>
      </c>
      <c r="U106" s="1"/>
      <c r="V106" s="1"/>
      <c r="W106" s="1"/>
    </row>
    <row r="107" spans="1:187" s="21" customFormat="1" ht="21" customHeight="1">
      <c r="A107" s="30" t="s">
        <v>337</v>
      </c>
      <c r="B107" s="74">
        <v>2919003805</v>
      </c>
      <c r="C107" s="84" t="s">
        <v>355</v>
      </c>
      <c r="D107" s="20" t="s">
        <v>357</v>
      </c>
      <c r="E107" s="43">
        <f>29.3936544*0.6</f>
        <v>17.636192639999997</v>
      </c>
      <c r="F107" s="43">
        <f>29.3936544*0.4</f>
        <v>11.75746176</v>
      </c>
      <c r="G107" s="2">
        <f>24.0493536*0.8</f>
        <v>19.239482880000001</v>
      </c>
      <c r="H107" s="2">
        <f>24.0493536*0.2</f>
        <v>4.8098707200000002</v>
      </c>
      <c r="I107" s="35">
        <f t="shared" si="8"/>
        <v>53.443007999999999</v>
      </c>
      <c r="J107" s="56">
        <v>53.443007999999992</v>
      </c>
      <c r="K107" s="49">
        <v>3392.97</v>
      </c>
      <c r="L107" s="49">
        <v>3528.69</v>
      </c>
      <c r="M107" s="49">
        <v>1623.23</v>
      </c>
      <c r="N107" s="49">
        <v>1688.1592000000001</v>
      </c>
      <c r="O107" s="56">
        <f t="shared" si="14"/>
        <v>1769.7399999999998</v>
      </c>
      <c r="P107" s="1">
        <f t="shared" si="13"/>
        <v>31211.475562713593</v>
      </c>
      <c r="Q107" s="1">
        <f t="shared" si="9"/>
        <v>20807.650375142399</v>
      </c>
      <c r="R107" s="1">
        <f t="shared" si="10"/>
        <v>35410.860816712702</v>
      </c>
      <c r="S107" s="1">
        <f t="shared" si="11"/>
        <v>8852.7152041781756</v>
      </c>
      <c r="T107" s="1">
        <f t="shared" si="12"/>
        <v>96282.701958746882</v>
      </c>
      <c r="U107" s="1"/>
      <c r="V107" s="1"/>
      <c r="W107" s="1"/>
    </row>
    <row r="108" spans="1:187" ht="21" customHeight="1">
      <c r="A108" s="45"/>
      <c r="B108" s="101" t="s">
        <v>153</v>
      </c>
      <c r="C108" s="101"/>
      <c r="D108" s="101"/>
      <c r="E108" s="34"/>
      <c r="F108" s="34"/>
      <c r="G108" s="34"/>
      <c r="H108" s="34"/>
      <c r="I108" s="35">
        <f t="shared" si="8"/>
        <v>0</v>
      </c>
      <c r="J108" s="56"/>
      <c r="K108" s="49"/>
      <c r="L108" s="49"/>
      <c r="M108" s="49"/>
      <c r="N108" s="49">
        <v>0</v>
      </c>
      <c r="O108" s="56">
        <f t="shared" si="14"/>
        <v>0</v>
      </c>
      <c r="P108" s="1">
        <f t="shared" si="13"/>
        <v>0</v>
      </c>
      <c r="Q108" s="1">
        <f t="shared" si="9"/>
        <v>0</v>
      </c>
      <c r="R108" s="1">
        <f t="shared" si="10"/>
        <v>0</v>
      </c>
      <c r="S108" s="1">
        <f t="shared" si="11"/>
        <v>0</v>
      </c>
      <c r="T108" s="1">
        <f t="shared" si="12"/>
        <v>0</v>
      </c>
      <c r="U108" s="45"/>
      <c r="V108" s="45"/>
      <c r="W108" s="45"/>
    </row>
    <row r="109" spans="1:187" ht="21" customHeight="1">
      <c r="A109" s="45"/>
      <c r="B109" s="15" t="s">
        <v>19</v>
      </c>
      <c r="C109" s="83" t="s">
        <v>111</v>
      </c>
      <c r="D109" s="18" t="s">
        <v>307</v>
      </c>
      <c r="E109" s="41">
        <v>907.62900000000002</v>
      </c>
      <c r="F109" s="41">
        <f>1250.759-E109</f>
        <v>343.13</v>
      </c>
      <c r="G109" s="41">
        <v>285.39400000000001</v>
      </c>
      <c r="H109" s="41">
        <f>1276.721-G109</f>
        <v>991.327</v>
      </c>
      <c r="I109" s="35">
        <f t="shared" si="8"/>
        <v>2527.48</v>
      </c>
      <c r="J109" s="56">
        <v>3498.2710000000002</v>
      </c>
      <c r="K109" s="49">
        <v>2803.4344000000001</v>
      </c>
      <c r="L109" s="49">
        <v>2915.5717760000002</v>
      </c>
      <c r="M109" s="49">
        <v>1920.8973199999998</v>
      </c>
      <c r="N109" s="49">
        <v>1997.7332127999998</v>
      </c>
      <c r="O109" s="56">
        <f t="shared" si="14"/>
        <v>882.53708000000029</v>
      </c>
      <c r="P109" s="1">
        <f t="shared" si="13"/>
        <v>801016.24738332024</v>
      </c>
      <c r="Q109" s="1">
        <f t="shared" si="9"/>
        <v>302824.9482604001</v>
      </c>
      <c r="R109" s="1">
        <f t="shared" si="10"/>
        <v>261945.61890590092</v>
      </c>
      <c r="S109" s="1">
        <f t="shared" si="11"/>
        <v>909878.14934136684</v>
      </c>
      <c r="T109" s="1">
        <f t="shared" si="12"/>
        <v>2275664.9638909879</v>
      </c>
      <c r="U109" s="45"/>
      <c r="V109" s="45"/>
      <c r="W109" s="45"/>
    </row>
    <row r="110" spans="1:187" ht="21" customHeight="1">
      <c r="A110" s="45"/>
      <c r="B110" s="9" t="s">
        <v>279</v>
      </c>
      <c r="C110" s="10" t="s">
        <v>164</v>
      </c>
      <c r="D110" s="10" t="s">
        <v>160</v>
      </c>
      <c r="E110" s="35">
        <v>36.850999999999999</v>
      </c>
      <c r="F110" s="35">
        <f>74.688-E110</f>
        <v>37.837000000000003</v>
      </c>
      <c r="G110" s="35">
        <v>21.411999999999999</v>
      </c>
      <c r="H110" s="35">
        <f>83.089-G110</f>
        <v>61.677</v>
      </c>
      <c r="I110" s="35">
        <f t="shared" si="8"/>
        <v>157.77699999999999</v>
      </c>
      <c r="J110" s="56">
        <v>260.8</v>
      </c>
      <c r="K110" s="49">
        <v>6622.36</v>
      </c>
      <c r="L110" s="49">
        <v>6887.2543999999998</v>
      </c>
      <c r="M110" s="49">
        <v>2310.2597099999998</v>
      </c>
      <c r="N110" s="49">
        <v>2402.6700983999999</v>
      </c>
      <c r="O110" s="56">
        <f t="shared" si="14"/>
        <v>4312.1002900000003</v>
      </c>
      <c r="P110" s="1">
        <f t="shared" si="13"/>
        <v>158905.20778679001</v>
      </c>
      <c r="Q110" s="1">
        <f t="shared" si="9"/>
        <v>163156.93867273003</v>
      </c>
      <c r="R110" s="1">
        <f t="shared" si="10"/>
        <v>96023.919065859198</v>
      </c>
      <c r="S110" s="1">
        <f t="shared" si="11"/>
        <v>276595.70596978319</v>
      </c>
      <c r="T110" s="1">
        <f t="shared" si="12"/>
        <v>694681.77149516251</v>
      </c>
      <c r="U110" s="11"/>
      <c r="V110" s="11"/>
      <c r="W110" s="11"/>
      <c r="X110" s="12"/>
      <c r="Y110" s="12"/>
      <c r="Z110" s="12"/>
      <c r="AA110" s="12"/>
      <c r="AB110" s="12"/>
      <c r="AC110" s="12"/>
      <c r="AD110" s="12"/>
      <c r="AE110" s="12"/>
      <c r="AF110" s="12"/>
      <c r="AG110" s="12"/>
      <c r="AH110" s="12"/>
      <c r="AI110" s="12"/>
      <c r="AJ110" s="12"/>
      <c r="AK110" s="12"/>
      <c r="AL110" s="12"/>
      <c r="AM110" s="12"/>
      <c r="AN110" s="12"/>
      <c r="AO110" s="12"/>
      <c r="AP110" s="12"/>
      <c r="AQ110" s="12"/>
      <c r="AR110" s="12"/>
      <c r="AS110" s="12"/>
      <c r="AT110" s="12"/>
      <c r="AU110" s="12"/>
      <c r="AV110" s="12"/>
      <c r="AW110" s="12"/>
      <c r="AX110" s="12"/>
      <c r="AY110" s="12"/>
      <c r="AZ110" s="12"/>
      <c r="BA110" s="12"/>
      <c r="BB110" s="12"/>
      <c r="BC110" s="12"/>
      <c r="BD110" s="12"/>
      <c r="BE110" s="12"/>
      <c r="BF110" s="12"/>
      <c r="BG110" s="12"/>
      <c r="BH110" s="12"/>
      <c r="BI110" s="12"/>
      <c r="BJ110" s="12"/>
      <c r="BK110" s="12"/>
      <c r="BL110" s="12"/>
      <c r="BM110" s="12"/>
      <c r="BN110" s="12"/>
      <c r="BO110" s="12"/>
      <c r="BP110" s="12"/>
      <c r="BQ110" s="12"/>
      <c r="BR110" s="12"/>
      <c r="BS110" s="12"/>
      <c r="BT110" s="12"/>
      <c r="BU110" s="12"/>
      <c r="BV110" s="12"/>
      <c r="BW110" s="12"/>
      <c r="BX110" s="12"/>
      <c r="BY110" s="12"/>
      <c r="BZ110" s="12"/>
      <c r="CA110" s="12"/>
      <c r="CB110" s="12"/>
      <c r="CC110" s="12"/>
      <c r="CD110" s="12"/>
      <c r="CE110" s="12"/>
      <c r="CF110" s="12"/>
      <c r="CG110" s="12"/>
      <c r="CH110" s="12"/>
      <c r="CI110" s="12"/>
      <c r="CJ110" s="12"/>
      <c r="CK110" s="12"/>
      <c r="CL110" s="12"/>
      <c r="CM110" s="12"/>
      <c r="CN110" s="12"/>
      <c r="CO110" s="12"/>
      <c r="CP110" s="12"/>
      <c r="CQ110" s="12"/>
      <c r="CR110" s="12"/>
      <c r="CS110" s="12"/>
      <c r="CT110" s="12"/>
      <c r="CU110" s="12"/>
      <c r="CV110" s="12"/>
      <c r="CW110" s="12"/>
      <c r="CX110" s="12"/>
      <c r="CY110" s="12"/>
      <c r="CZ110" s="12"/>
      <c r="DA110" s="12"/>
      <c r="DB110" s="12"/>
      <c r="DC110" s="12"/>
      <c r="DD110" s="12"/>
      <c r="DE110" s="12"/>
      <c r="DF110" s="12"/>
      <c r="DG110" s="12"/>
      <c r="DH110" s="12"/>
      <c r="DI110" s="12"/>
      <c r="DJ110" s="12"/>
      <c r="DK110" s="12"/>
      <c r="DL110" s="12"/>
      <c r="DM110" s="12"/>
      <c r="DN110" s="12"/>
      <c r="DO110" s="12"/>
      <c r="DP110" s="12"/>
      <c r="DQ110" s="12"/>
      <c r="DR110" s="12"/>
      <c r="DS110" s="12"/>
      <c r="DT110" s="12"/>
      <c r="DU110" s="12"/>
      <c r="DV110" s="12"/>
      <c r="DW110" s="12"/>
      <c r="DX110" s="12"/>
      <c r="DY110" s="12"/>
      <c r="DZ110" s="12"/>
      <c r="EA110" s="12"/>
      <c r="EB110" s="12"/>
      <c r="EC110" s="12"/>
      <c r="ED110" s="12"/>
      <c r="EE110" s="12"/>
      <c r="EF110" s="12"/>
      <c r="EG110" s="12"/>
      <c r="EH110" s="12"/>
      <c r="EI110" s="12"/>
      <c r="EJ110" s="12"/>
      <c r="EK110" s="12"/>
      <c r="EL110" s="12"/>
      <c r="EM110" s="12"/>
      <c r="EN110" s="12"/>
      <c r="EO110" s="12"/>
      <c r="EP110" s="12"/>
      <c r="EQ110" s="12"/>
      <c r="ER110" s="12"/>
      <c r="ES110" s="12"/>
      <c r="ET110" s="12"/>
      <c r="EU110" s="12"/>
      <c r="EV110" s="12"/>
      <c r="EW110" s="12"/>
      <c r="EX110" s="12"/>
      <c r="EY110" s="12"/>
      <c r="EZ110" s="12"/>
      <c r="FA110" s="12"/>
      <c r="FB110" s="12"/>
      <c r="FC110" s="12"/>
      <c r="FD110" s="12"/>
      <c r="FE110" s="12"/>
      <c r="FF110" s="12"/>
      <c r="FG110" s="12"/>
      <c r="FH110" s="12"/>
      <c r="FI110" s="12"/>
      <c r="FJ110" s="12"/>
      <c r="FK110" s="12"/>
      <c r="FL110" s="12"/>
      <c r="FM110" s="12"/>
      <c r="FN110" s="12"/>
      <c r="FO110" s="12"/>
      <c r="FP110" s="12"/>
      <c r="FQ110" s="12"/>
      <c r="FR110" s="12"/>
      <c r="FS110" s="12"/>
      <c r="FT110" s="12"/>
      <c r="FU110" s="12"/>
      <c r="FV110" s="12"/>
      <c r="FW110" s="12"/>
      <c r="FX110" s="12"/>
      <c r="FY110" s="12"/>
      <c r="FZ110" s="12"/>
      <c r="GA110" s="12"/>
      <c r="GB110" s="12"/>
      <c r="GC110" s="12"/>
      <c r="GD110" s="12"/>
      <c r="GE110" s="12"/>
    </row>
    <row r="111" spans="1:187" ht="21" customHeight="1">
      <c r="A111" s="45"/>
      <c r="B111" s="9" t="s">
        <v>16</v>
      </c>
      <c r="C111" s="10" t="s">
        <v>162</v>
      </c>
      <c r="D111" s="10" t="s">
        <v>160</v>
      </c>
      <c r="E111" s="35">
        <v>87.527000000000001</v>
      </c>
      <c r="F111" s="35">
        <f>128.384-E111</f>
        <v>40.856999999999985</v>
      </c>
      <c r="G111" s="35">
        <v>14.358000000000001</v>
      </c>
      <c r="H111" s="35">
        <f>98.935-G111</f>
        <v>84.576999999999998</v>
      </c>
      <c r="I111" s="35">
        <f t="shared" si="8"/>
        <v>227.31899999999999</v>
      </c>
      <c r="J111" s="56">
        <v>220.71</v>
      </c>
      <c r="K111" s="49">
        <v>3551.8392000000003</v>
      </c>
      <c r="L111" s="49">
        <v>3693.9127680000006</v>
      </c>
      <c r="M111" s="49">
        <v>2310.2493399999998</v>
      </c>
      <c r="N111" s="49">
        <v>2402.6593136000001</v>
      </c>
      <c r="O111" s="56">
        <f t="shared" si="14"/>
        <v>1241.5898600000005</v>
      </c>
      <c r="P111" s="1">
        <f t="shared" si="13"/>
        <v>108672.63567622004</v>
      </c>
      <c r="Q111" s="1">
        <f t="shared" si="9"/>
        <v>50727.636910020003</v>
      </c>
      <c r="R111" s="1">
        <f t="shared" si="10"/>
        <v>18539.817098275209</v>
      </c>
      <c r="S111" s="1">
        <f t="shared" si="11"/>
        <v>109210.34341278883</v>
      </c>
      <c r="T111" s="1">
        <f t="shared" si="12"/>
        <v>287150.43309730408</v>
      </c>
      <c r="U111" s="11"/>
      <c r="V111" s="11"/>
      <c r="W111" s="11"/>
      <c r="X111" s="12"/>
      <c r="Y111" s="12"/>
      <c r="Z111" s="12"/>
      <c r="AA111" s="12"/>
      <c r="AB111" s="12"/>
      <c r="AC111" s="12"/>
      <c r="AD111" s="12"/>
      <c r="AE111" s="12"/>
      <c r="AF111" s="12"/>
      <c r="AG111" s="12"/>
      <c r="AH111" s="12"/>
      <c r="AI111" s="12"/>
      <c r="AJ111" s="12"/>
      <c r="AK111" s="12"/>
      <c r="AL111" s="12"/>
      <c r="AM111" s="12"/>
      <c r="AN111" s="12"/>
      <c r="AO111" s="12"/>
      <c r="AP111" s="12"/>
      <c r="AQ111" s="12"/>
      <c r="AR111" s="12"/>
      <c r="AS111" s="12"/>
      <c r="AT111" s="12"/>
      <c r="AU111" s="12"/>
      <c r="AV111" s="12"/>
      <c r="AW111" s="12"/>
      <c r="AX111" s="12"/>
      <c r="AY111" s="12"/>
      <c r="AZ111" s="12"/>
      <c r="BA111" s="12"/>
      <c r="BB111" s="12"/>
      <c r="BC111" s="12"/>
      <c r="BD111" s="12"/>
      <c r="BE111" s="12"/>
      <c r="BF111" s="12"/>
      <c r="BG111" s="12"/>
      <c r="BH111" s="12"/>
      <c r="BI111" s="12"/>
      <c r="BJ111" s="12"/>
      <c r="BK111" s="12"/>
      <c r="BL111" s="12"/>
      <c r="BM111" s="12"/>
      <c r="BN111" s="12"/>
      <c r="BO111" s="12"/>
      <c r="BP111" s="12"/>
      <c r="BQ111" s="12"/>
      <c r="BR111" s="12"/>
      <c r="BS111" s="12"/>
      <c r="BT111" s="12"/>
      <c r="BU111" s="12"/>
      <c r="BV111" s="12"/>
      <c r="BW111" s="12"/>
      <c r="BX111" s="12"/>
      <c r="BY111" s="12"/>
      <c r="BZ111" s="12"/>
      <c r="CA111" s="12"/>
      <c r="CB111" s="12"/>
      <c r="CC111" s="12"/>
      <c r="CD111" s="12"/>
      <c r="CE111" s="12"/>
      <c r="CF111" s="12"/>
      <c r="CG111" s="12"/>
      <c r="CH111" s="12"/>
      <c r="CI111" s="12"/>
      <c r="CJ111" s="12"/>
      <c r="CK111" s="12"/>
      <c r="CL111" s="12"/>
      <c r="CM111" s="12"/>
      <c r="CN111" s="12"/>
      <c r="CO111" s="12"/>
      <c r="CP111" s="12"/>
      <c r="CQ111" s="12"/>
      <c r="CR111" s="12"/>
      <c r="CS111" s="12"/>
      <c r="CT111" s="12"/>
      <c r="CU111" s="12"/>
      <c r="CV111" s="12"/>
      <c r="CW111" s="12"/>
      <c r="CX111" s="12"/>
      <c r="CY111" s="12"/>
      <c r="CZ111" s="12"/>
      <c r="DA111" s="12"/>
      <c r="DB111" s="12"/>
      <c r="DC111" s="12"/>
      <c r="DD111" s="12"/>
      <c r="DE111" s="12"/>
      <c r="DF111" s="12"/>
      <c r="DG111" s="12"/>
      <c r="DH111" s="12"/>
      <c r="DI111" s="12"/>
      <c r="DJ111" s="12"/>
      <c r="DK111" s="12"/>
      <c r="DL111" s="12"/>
      <c r="DM111" s="12"/>
      <c r="DN111" s="12"/>
      <c r="DO111" s="12"/>
      <c r="DP111" s="12"/>
      <c r="DQ111" s="12"/>
      <c r="DR111" s="12"/>
      <c r="DS111" s="12"/>
      <c r="DT111" s="12"/>
      <c r="DU111" s="12"/>
      <c r="DV111" s="12"/>
      <c r="DW111" s="12"/>
      <c r="DX111" s="12"/>
      <c r="DY111" s="12"/>
      <c r="DZ111" s="12"/>
      <c r="EA111" s="12"/>
      <c r="EB111" s="12"/>
      <c r="EC111" s="12"/>
      <c r="ED111" s="12"/>
      <c r="EE111" s="12"/>
      <c r="EF111" s="12"/>
      <c r="EG111" s="12"/>
      <c r="EH111" s="12"/>
      <c r="EI111" s="12"/>
      <c r="EJ111" s="12"/>
      <c r="EK111" s="12"/>
      <c r="EL111" s="12"/>
      <c r="EM111" s="12"/>
      <c r="EN111" s="12"/>
      <c r="EO111" s="12"/>
      <c r="EP111" s="12"/>
      <c r="EQ111" s="12"/>
      <c r="ER111" s="12"/>
      <c r="ES111" s="12"/>
      <c r="ET111" s="12"/>
      <c r="EU111" s="12"/>
      <c r="EV111" s="12"/>
      <c r="EW111" s="12"/>
      <c r="EX111" s="12"/>
      <c r="EY111" s="12"/>
      <c r="EZ111" s="12"/>
      <c r="FA111" s="12"/>
      <c r="FB111" s="12"/>
      <c r="FC111" s="12"/>
      <c r="FD111" s="12"/>
      <c r="FE111" s="12"/>
      <c r="FF111" s="12"/>
      <c r="FG111" s="12"/>
      <c r="FH111" s="12"/>
      <c r="FI111" s="12"/>
      <c r="FJ111" s="12"/>
      <c r="FK111" s="12"/>
      <c r="FL111" s="12"/>
      <c r="FM111" s="12"/>
      <c r="FN111" s="12"/>
      <c r="FO111" s="12"/>
      <c r="FP111" s="12"/>
      <c r="FQ111" s="12"/>
      <c r="FR111" s="12"/>
      <c r="FS111" s="12"/>
      <c r="FT111" s="12"/>
      <c r="FU111" s="12"/>
      <c r="FV111" s="12"/>
      <c r="FW111" s="12"/>
      <c r="FX111" s="12"/>
      <c r="FY111" s="12"/>
      <c r="FZ111" s="12"/>
      <c r="GA111" s="12"/>
      <c r="GB111" s="12"/>
      <c r="GC111" s="12"/>
      <c r="GD111" s="12"/>
      <c r="GE111" s="12"/>
    </row>
    <row r="112" spans="1:187" ht="21" customHeight="1">
      <c r="A112" s="45"/>
      <c r="B112" s="9" t="s">
        <v>393</v>
      </c>
      <c r="C112" s="10" t="s">
        <v>394</v>
      </c>
      <c r="D112" s="10" t="s">
        <v>160</v>
      </c>
      <c r="E112" s="35">
        <v>673.81100000000004</v>
      </c>
      <c r="F112" s="35">
        <f>1104.972-E112</f>
        <v>431.16099999999994</v>
      </c>
      <c r="G112" s="35">
        <v>227.3</v>
      </c>
      <c r="H112" s="35">
        <v>672.83</v>
      </c>
      <c r="I112" s="35">
        <f t="shared" si="8"/>
        <v>2005.1019999999999</v>
      </c>
      <c r="J112" s="56">
        <v>2045.76</v>
      </c>
      <c r="K112" s="49">
        <v>3620.9679999999998</v>
      </c>
      <c r="L112" s="49">
        <v>3765.80672</v>
      </c>
      <c r="M112" s="49">
        <v>2310.2597099999998</v>
      </c>
      <c r="N112" s="49">
        <v>2402.6700983999999</v>
      </c>
      <c r="O112" s="56"/>
      <c r="P112" s="1">
        <f t="shared" ref="P112" si="15">(K112-M112)*E112</f>
        <v>883169.66359319002</v>
      </c>
      <c r="Q112" s="1">
        <f t="shared" si="9"/>
        <v>565126.29702468996</v>
      </c>
      <c r="R112" s="1">
        <f t="shared" si="10"/>
        <v>309840.95408968005</v>
      </c>
      <c r="S112" s="1">
        <f t="shared" si="11"/>
        <v>917159.21311112819</v>
      </c>
      <c r="T112" s="1">
        <f t="shared" si="12"/>
        <v>2675296.1278186878</v>
      </c>
      <c r="U112" s="11"/>
      <c r="V112" s="11"/>
      <c r="W112" s="11"/>
      <c r="X112" s="12"/>
      <c r="Y112" s="12"/>
      <c r="Z112" s="12"/>
      <c r="AA112" s="12"/>
      <c r="AB112" s="12"/>
      <c r="AC112" s="12"/>
      <c r="AD112" s="12"/>
      <c r="AE112" s="12"/>
      <c r="AF112" s="12"/>
      <c r="AG112" s="12"/>
      <c r="AH112" s="12"/>
      <c r="AI112" s="12"/>
      <c r="AJ112" s="12"/>
      <c r="AK112" s="12"/>
      <c r="AL112" s="12"/>
      <c r="AM112" s="12"/>
      <c r="AN112" s="12"/>
      <c r="AO112" s="12"/>
      <c r="AP112" s="12"/>
      <c r="AQ112" s="12"/>
      <c r="AR112" s="12"/>
      <c r="AS112" s="12"/>
      <c r="AT112" s="12"/>
      <c r="AU112" s="12"/>
      <c r="AV112" s="12"/>
      <c r="AW112" s="12"/>
      <c r="AX112" s="12"/>
      <c r="AY112" s="12"/>
      <c r="AZ112" s="12"/>
      <c r="BA112" s="12"/>
      <c r="BB112" s="12"/>
      <c r="BC112" s="12"/>
      <c r="BD112" s="12"/>
      <c r="BE112" s="12"/>
      <c r="BF112" s="12"/>
      <c r="BG112" s="12"/>
      <c r="BH112" s="12"/>
      <c r="BI112" s="12"/>
      <c r="BJ112" s="12"/>
      <c r="BK112" s="12"/>
      <c r="BL112" s="12"/>
      <c r="BM112" s="12"/>
      <c r="BN112" s="12"/>
      <c r="BO112" s="12"/>
      <c r="BP112" s="12"/>
      <c r="BQ112" s="12"/>
      <c r="BR112" s="12"/>
      <c r="BS112" s="12"/>
      <c r="BT112" s="12"/>
      <c r="BU112" s="12"/>
      <c r="BV112" s="12"/>
      <c r="BW112" s="12"/>
      <c r="BX112" s="12"/>
      <c r="BY112" s="12"/>
      <c r="BZ112" s="12"/>
      <c r="CA112" s="12"/>
      <c r="CB112" s="12"/>
      <c r="CC112" s="12"/>
      <c r="CD112" s="12"/>
      <c r="CE112" s="12"/>
      <c r="CF112" s="12"/>
      <c r="CG112" s="12"/>
      <c r="CH112" s="12"/>
      <c r="CI112" s="12"/>
      <c r="CJ112" s="12"/>
      <c r="CK112" s="12"/>
      <c r="CL112" s="12"/>
      <c r="CM112" s="12"/>
      <c r="CN112" s="12"/>
      <c r="CO112" s="12"/>
      <c r="CP112" s="12"/>
      <c r="CQ112" s="12"/>
      <c r="CR112" s="12"/>
      <c r="CS112" s="12"/>
      <c r="CT112" s="12"/>
      <c r="CU112" s="12"/>
      <c r="CV112" s="12"/>
      <c r="CW112" s="12"/>
      <c r="CX112" s="12"/>
      <c r="CY112" s="12"/>
      <c r="CZ112" s="12"/>
      <c r="DA112" s="12"/>
      <c r="DB112" s="12"/>
      <c r="DC112" s="12"/>
      <c r="DD112" s="12"/>
      <c r="DE112" s="12"/>
      <c r="DF112" s="12"/>
      <c r="DG112" s="12"/>
      <c r="DH112" s="12"/>
      <c r="DI112" s="12"/>
      <c r="DJ112" s="12"/>
      <c r="DK112" s="12"/>
      <c r="DL112" s="12"/>
      <c r="DM112" s="12"/>
      <c r="DN112" s="12"/>
      <c r="DO112" s="12"/>
      <c r="DP112" s="12"/>
      <c r="DQ112" s="12"/>
      <c r="DR112" s="12"/>
      <c r="DS112" s="12"/>
      <c r="DT112" s="12"/>
      <c r="DU112" s="12"/>
      <c r="DV112" s="12"/>
      <c r="DW112" s="12"/>
      <c r="DX112" s="12"/>
      <c r="DY112" s="12"/>
      <c r="DZ112" s="12"/>
      <c r="EA112" s="12"/>
      <c r="EB112" s="12"/>
      <c r="EC112" s="12"/>
      <c r="ED112" s="12"/>
      <c r="EE112" s="12"/>
      <c r="EF112" s="12"/>
      <c r="EG112" s="12"/>
      <c r="EH112" s="12"/>
      <c r="EI112" s="12"/>
      <c r="EJ112" s="12"/>
      <c r="EK112" s="12"/>
      <c r="EL112" s="12"/>
      <c r="EM112" s="12"/>
      <c r="EN112" s="12"/>
      <c r="EO112" s="12"/>
      <c r="EP112" s="12"/>
      <c r="EQ112" s="12"/>
      <c r="ER112" s="12"/>
      <c r="ES112" s="12"/>
      <c r="ET112" s="12"/>
      <c r="EU112" s="12"/>
      <c r="EV112" s="12"/>
      <c r="EW112" s="12"/>
      <c r="EX112" s="12"/>
      <c r="EY112" s="12"/>
      <c r="EZ112" s="12"/>
      <c r="FA112" s="12"/>
      <c r="FB112" s="12"/>
      <c r="FC112" s="12"/>
      <c r="FD112" s="12"/>
      <c r="FE112" s="12"/>
      <c r="FF112" s="12"/>
      <c r="FG112" s="12"/>
      <c r="FH112" s="12"/>
      <c r="FI112" s="12"/>
      <c r="FJ112" s="12"/>
      <c r="FK112" s="12"/>
      <c r="FL112" s="12"/>
      <c r="FM112" s="12"/>
      <c r="FN112" s="12"/>
      <c r="FO112" s="12"/>
      <c r="FP112" s="12"/>
      <c r="FQ112" s="12"/>
      <c r="FR112" s="12"/>
      <c r="FS112" s="12"/>
      <c r="FT112" s="12"/>
      <c r="FU112" s="12"/>
      <c r="FV112" s="12"/>
      <c r="FW112" s="12"/>
      <c r="FX112" s="12"/>
      <c r="FY112" s="12"/>
      <c r="FZ112" s="12"/>
      <c r="GA112" s="12"/>
      <c r="GB112" s="12"/>
      <c r="GC112" s="12"/>
      <c r="GD112" s="12"/>
      <c r="GE112" s="12"/>
    </row>
    <row r="113" spans="1:187" ht="21" customHeight="1">
      <c r="A113" s="45"/>
      <c r="B113" s="9" t="s">
        <v>2</v>
      </c>
      <c r="C113" s="10" t="s">
        <v>68</v>
      </c>
      <c r="D113" s="10" t="s">
        <v>163</v>
      </c>
      <c r="E113" s="35">
        <v>14149.423000000001</v>
      </c>
      <c r="F113" s="35">
        <f>19302.424-E113</f>
        <v>5153.0009999999984</v>
      </c>
      <c r="G113" s="35">
        <v>346.16500000000002</v>
      </c>
      <c r="H113" s="35">
        <f>9445.861-G113</f>
        <v>9099.6959999999999</v>
      </c>
      <c r="I113" s="35">
        <f t="shared" si="8"/>
        <v>28748.285</v>
      </c>
      <c r="J113" s="56">
        <v>26944.46</v>
      </c>
      <c r="K113" s="49">
        <v>8245.2800000000007</v>
      </c>
      <c r="L113" s="49">
        <v>8575.0912000000008</v>
      </c>
      <c r="M113" s="49">
        <v>1957.8456299999998</v>
      </c>
      <c r="N113" s="49">
        <v>2036.1594551999999</v>
      </c>
      <c r="O113" s="56">
        <f t="shared" si="14"/>
        <v>6287.4343700000009</v>
      </c>
      <c r="P113" s="1">
        <f t="shared" si="13"/>
        <v>88963568.485868528</v>
      </c>
      <c r="Q113" s="1">
        <f t="shared" si="9"/>
        <v>32399155.596044365</v>
      </c>
      <c r="R113" s="1">
        <f t="shared" si="10"/>
        <v>2263549.3074386925</v>
      </c>
      <c r="S113" s="1">
        <f t="shared" si="11"/>
        <v>59502291.042429589</v>
      </c>
      <c r="T113" s="1">
        <f t="shared" si="12"/>
        <v>183128564.43178117</v>
      </c>
      <c r="U113" s="11"/>
      <c r="V113" s="11"/>
      <c r="W113" s="11"/>
      <c r="X113" s="12"/>
      <c r="Y113" s="12"/>
      <c r="Z113" s="12"/>
      <c r="AA113" s="12"/>
      <c r="AB113" s="12"/>
      <c r="AC113" s="12"/>
      <c r="AD113" s="12"/>
      <c r="AE113" s="12"/>
      <c r="AF113" s="12"/>
      <c r="AG113" s="12"/>
      <c r="AH113" s="12"/>
      <c r="AI113" s="12"/>
      <c r="AJ113" s="12"/>
      <c r="AK113" s="12"/>
      <c r="AL113" s="12"/>
      <c r="AM113" s="12"/>
      <c r="AN113" s="12"/>
      <c r="AO113" s="12"/>
      <c r="AP113" s="12"/>
      <c r="AQ113" s="12"/>
      <c r="AR113" s="12"/>
      <c r="AS113" s="12"/>
      <c r="AT113" s="12"/>
      <c r="AU113" s="12"/>
      <c r="AV113" s="12"/>
      <c r="AW113" s="12"/>
      <c r="AX113" s="12"/>
      <c r="AY113" s="12"/>
      <c r="AZ113" s="12"/>
      <c r="BA113" s="12"/>
      <c r="BB113" s="12"/>
      <c r="BC113" s="12"/>
      <c r="BD113" s="12"/>
      <c r="BE113" s="12"/>
      <c r="BF113" s="12"/>
      <c r="BG113" s="12"/>
      <c r="BH113" s="12"/>
      <c r="BI113" s="12"/>
      <c r="BJ113" s="12"/>
      <c r="BK113" s="12"/>
      <c r="BL113" s="12"/>
      <c r="BM113" s="12"/>
      <c r="BN113" s="12"/>
      <c r="BO113" s="12"/>
      <c r="BP113" s="12"/>
      <c r="BQ113" s="12"/>
      <c r="BR113" s="12"/>
      <c r="BS113" s="12"/>
      <c r="BT113" s="12"/>
      <c r="BU113" s="12"/>
      <c r="BV113" s="12"/>
      <c r="BW113" s="12"/>
      <c r="BX113" s="12"/>
      <c r="BY113" s="12"/>
      <c r="BZ113" s="12"/>
      <c r="CA113" s="12"/>
      <c r="CB113" s="12"/>
      <c r="CC113" s="12"/>
      <c r="CD113" s="12"/>
      <c r="CE113" s="12"/>
      <c r="CF113" s="12"/>
      <c r="CG113" s="12"/>
      <c r="CH113" s="12"/>
      <c r="CI113" s="12"/>
      <c r="CJ113" s="12"/>
      <c r="CK113" s="12"/>
      <c r="CL113" s="12"/>
      <c r="CM113" s="12"/>
      <c r="CN113" s="12"/>
      <c r="CO113" s="12"/>
      <c r="CP113" s="12"/>
      <c r="CQ113" s="12"/>
      <c r="CR113" s="12"/>
      <c r="CS113" s="12"/>
      <c r="CT113" s="12"/>
      <c r="CU113" s="12"/>
      <c r="CV113" s="12"/>
      <c r="CW113" s="12"/>
      <c r="CX113" s="12"/>
      <c r="CY113" s="12"/>
      <c r="CZ113" s="12"/>
      <c r="DA113" s="12"/>
      <c r="DB113" s="12"/>
      <c r="DC113" s="12"/>
      <c r="DD113" s="12"/>
      <c r="DE113" s="12"/>
      <c r="DF113" s="12"/>
      <c r="DG113" s="12"/>
      <c r="DH113" s="12"/>
      <c r="DI113" s="12"/>
      <c r="DJ113" s="12"/>
      <c r="DK113" s="12"/>
      <c r="DL113" s="12"/>
      <c r="DM113" s="12"/>
      <c r="DN113" s="12"/>
      <c r="DO113" s="12"/>
      <c r="DP113" s="12"/>
      <c r="DQ113" s="12"/>
      <c r="DR113" s="12"/>
      <c r="DS113" s="12"/>
      <c r="DT113" s="12"/>
      <c r="DU113" s="12"/>
      <c r="DV113" s="12"/>
      <c r="DW113" s="12"/>
      <c r="DX113" s="12"/>
      <c r="DY113" s="12"/>
      <c r="DZ113" s="12"/>
      <c r="EA113" s="12"/>
      <c r="EB113" s="12"/>
      <c r="EC113" s="12"/>
      <c r="ED113" s="12"/>
      <c r="EE113" s="12"/>
      <c r="EF113" s="12"/>
      <c r="EG113" s="12"/>
      <c r="EH113" s="12"/>
      <c r="EI113" s="12"/>
      <c r="EJ113" s="12"/>
      <c r="EK113" s="12"/>
      <c r="EL113" s="12"/>
      <c r="EM113" s="12"/>
      <c r="EN113" s="12"/>
      <c r="EO113" s="12"/>
      <c r="EP113" s="12"/>
      <c r="EQ113" s="12"/>
      <c r="ER113" s="12"/>
      <c r="ES113" s="12"/>
      <c r="ET113" s="12"/>
      <c r="EU113" s="12"/>
      <c r="EV113" s="12"/>
      <c r="EW113" s="12"/>
      <c r="EX113" s="12"/>
      <c r="EY113" s="12"/>
      <c r="EZ113" s="12"/>
      <c r="FA113" s="12"/>
      <c r="FB113" s="12"/>
      <c r="FC113" s="12"/>
      <c r="FD113" s="12"/>
      <c r="FE113" s="12"/>
      <c r="FF113" s="12"/>
      <c r="FG113" s="12"/>
      <c r="FH113" s="12"/>
      <c r="FI113" s="12"/>
      <c r="FJ113" s="12"/>
      <c r="FK113" s="12"/>
      <c r="FL113" s="12"/>
      <c r="FM113" s="12"/>
      <c r="FN113" s="12"/>
      <c r="FO113" s="12"/>
      <c r="FP113" s="12"/>
      <c r="FQ113" s="12"/>
      <c r="FR113" s="12"/>
      <c r="FS113" s="12"/>
      <c r="FT113" s="12"/>
      <c r="FU113" s="12"/>
      <c r="FV113" s="12"/>
      <c r="FW113" s="12"/>
      <c r="FX113" s="12"/>
      <c r="FY113" s="12"/>
      <c r="FZ113" s="12"/>
      <c r="GA113" s="12"/>
      <c r="GB113" s="12"/>
      <c r="GC113" s="12"/>
      <c r="GD113" s="12"/>
      <c r="GE113" s="12"/>
    </row>
    <row r="114" spans="1:187" ht="21" customHeight="1">
      <c r="A114" s="45"/>
      <c r="B114" s="9" t="s">
        <v>280</v>
      </c>
      <c r="C114" s="10" t="s">
        <v>159</v>
      </c>
      <c r="D114" s="10" t="s">
        <v>160</v>
      </c>
      <c r="E114" s="35">
        <v>11687.329</v>
      </c>
      <c r="F114" s="35">
        <f>18105.86-E114</f>
        <v>6418.5310000000009</v>
      </c>
      <c r="G114" s="35">
        <v>672.48400000000004</v>
      </c>
      <c r="H114" s="35">
        <f>11245.756-G114</f>
        <v>10573.271999999999</v>
      </c>
      <c r="I114" s="35">
        <f t="shared" si="8"/>
        <v>29351.616000000002</v>
      </c>
      <c r="J114" s="56">
        <v>31477.25</v>
      </c>
      <c r="K114" s="49">
        <v>2861.2271999999998</v>
      </c>
      <c r="L114" s="49">
        <v>2975.6762880000001</v>
      </c>
      <c r="M114" s="49">
        <v>1957.8456299999998</v>
      </c>
      <c r="N114" s="49">
        <v>2036.1594551999999</v>
      </c>
      <c r="O114" s="56">
        <f t="shared" si="14"/>
        <v>903.38157000000001</v>
      </c>
      <c r="P114" s="1">
        <f t="shared" si="13"/>
        <v>10558117.621126531</v>
      </c>
      <c r="Q114" s="1">
        <f t="shared" si="9"/>
        <v>5798382.6118736705</v>
      </c>
      <c r="R114" s="1">
        <f t="shared" si="10"/>
        <v>631810.0377886754</v>
      </c>
      <c r="S114" s="1">
        <f t="shared" si="11"/>
        <v>9933767.0217729229</v>
      </c>
      <c r="T114" s="1">
        <f t="shared" si="12"/>
        <v>26922077.292561799</v>
      </c>
      <c r="U114" s="11"/>
      <c r="V114" s="11"/>
      <c r="W114" s="11"/>
      <c r="X114" s="12"/>
      <c r="Y114" s="12"/>
      <c r="Z114" s="12"/>
      <c r="AA114" s="12"/>
      <c r="AB114" s="12"/>
      <c r="AC114" s="12"/>
      <c r="AD114" s="12"/>
      <c r="AE114" s="12"/>
      <c r="AF114" s="12"/>
      <c r="AG114" s="12"/>
      <c r="AH114" s="12"/>
      <c r="AI114" s="12"/>
      <c r="AJ114" s="12"/>
      <c r="AK114" s="12"/>
      <c r="AL114" s="12"/>
      <c r="AM114" s="12"/>
      <c r="AN114" s="12"/>
      <c r="AO114" s="12"/>
      <c r="AP114" s="12"/>
      <c r="AQ114" s="12"/>
      <c r="AR114" s="12"/>
      <c r="AS114" s="12"/>
      <c r="AT114" s="12"/>
      <c r="AU114" s="12"/>
      <c r="AV114" s="12"/>
      <c r="AW114" s="12"/>
      <c r="AX114" s="12"/>
      <c r="AY114" s="12"/>
      <c r="AZ114" s="12"/>
      <c r="BA114" s="12"/>
      <c r="BB114" s="12"/>
      <c r="BC114" s="12"/>
      <c r="BD114" s="12"/>
      <c r="BE114" s="12"/>
      <c r="BF114" s="12"/>
      <c r="BG114" s="12"/>
      <c r="BH114" s="12"/>
      <c r="BI114" s="12"/>
      <c r="BJ114" s="12"/>
      <c r="BK114" s="12"/>
      <c r="BL114" s="12"/>
      <c r="BM114" s="12"/>
      <c r="BN114" s="12"/>
      <c r="BO114" s="12"/>
      <c r="BP114" s="12"/>
      <c r="BQ114" s="12"/>
      <c r="BR114" s="12"/>
      <c r="BS114" s="12"/>
      <c r="BT114" s="12"/>
      <c r="BU114" s="12"/>
      <c r="BV114" s="12"/>
      <c r="BW114" s="12"/>
      <c r="BX114" s="12"/>
      <c r="BY114" s="12"/>
      <c r="BZ114" s="12"/>
      <c r="CA114" s="12"/>
      <c r="CB114" s="12"/>
      <c r="CC114" s="12"/>
      <c r="CD114" s="12"/>
      <c r="CE114" s="12"/>
      <c r="CF114" s="12"/>
      <c r="CG114" s="12"/>
      <c r="CH114" s="12"/>
      <c r="CI114" s="12"/>
      <c r="CJ114" s="12"/>
      <c r="CK114" s="12"/>
      <c r="CL114" s="12"/>
      <c r="CM114" s="12"/>
      <c r="CN114" s="12"/>
      <c r="CO114" s="12"/>
      <c r="CP114" s="12"/>
      <c r="CQ114" s="12"/>
      <c r="CR114" s="12"/>
      <c r="CS114" s="12"/>
      <c r="CT114" s="12"/>
      <c r="CU114" s="12"/>
      <c r="CV114" s="12"/>
      <c r="CW114" s="12"/>
      <c r="CX114" s="12"/>
      <c r="CY114" s="12"/>
      <c r="CZ114" s="12"/>
      <c r="DA114" s="12"/>
      <c r="DB114" s="12"/>
      <c r="DC114" s="12"/>
      <c r="DD114" s="12"/>
      <c r="DE114" s="12"/>
      <c r="DF114" s="12"/>
      <c r="DG114" s="12"/>
      <c r="DH114" s="12"/>
      <c r="DI114" s="12"/>
      <c r="DJ114" s="12"/>
      <c r="DK114" s="12"/>
      <c r="DL114" s="12"/>
      <c r="DM114" s="12"/>
      <c r="DN114" s="12"/>
      <c r="DO114" s="12"/>
      <c r="DP114" s="12"/>
      <c r="DQ114" s="12"/>
      <c r="DR114" s="12"/>
      <c r="DS114" s="12"/>
      <c r="DT114" s="12"/>
      <c r="DU114" s="12"/>
      <c r="DV114" s="12"/>
      <c r="DW114" s="12"/>
      <c r="DX114" s="12"/>
      <c r="DY114" s="12"/>
      <c r="DZ114" s="12"/>
      <c r="EA114" s="12"/>
      <c r="EB114" s="12"/>
      <c r="EC114" s="12"/>
      <c r="ED114" s="12"/>
      <c r="EE114" s="12"/>
      <c r="EF114" s="12"/>
      <c r="EG114" s="12"/>
      <c r="EH114" s="12"/>
      <c r="EI114" s="12"/>
      <c r="EJ114" s="12"/>
      <c r="EK114" s="12"/>
      <c r="EL114" s="12"/>
      <c r="EM114" s="12"/>
      <c r="EN114" s="12"/>
      <c r="EO114" s="12"/>
      <c r="EP114" s="12"/>
      <c r="EQ114" s="12"/>
      <c r="ER114" s="12"/>
      <c r="ES114" s="12"/>
      <c r="ET114" s="12"/>
      <c r="EU114" s="12"/>
      <c r="EV114" s="12"/>
      <c r="EW114" s="12"/>
      <c r="EX114" s="12"/>
      <c r="EY114" s="12"/>
      <c r="EZ114" s="12"/>
      <c r="FA114" s="12"/>
      <c r="FB114" s="12"/>
      <c r="FC114" s="12"/>
      <c r="FD114" s="12"/>
      <c r="FE114" s="12"/>
      <c r="FF114" s="12"/>
      <c r="FG114" s="12"/>
      <c r="FH114" s="12"/>
      <c r="FI114" s="12"/>
      <c r="FJ114" s="12"/>
      <c r="FK114" s="12"/>
      <c r="FL114" s="12"/>
      <c r="FM114" s="12"/>
      <c r="FN114" s="12"/>
      <c r="FO114" s="12"/>
      <c r="FP114" s="12"/>
      <c r="FQ114" s="12"/>
      <c r="FR114" s="12"/>
      <c r="FS114" s="12"/>
      <c r="FT114" s="12"/>
      <c r="FU114" s="12"/>
      <c r="FV114" s="12"/>
      <c r="FW114" s="12"/>
      <c r="FX114" s="12"/>
      <c r="FY114" s="12"/>
      <c r="FZ114" s="12"/>
      <c r="GA114" s="12"/>
      <c r="GB114" s="12"/>
      <c r="GC114" s="12"/>
      <c r="GD114" s="12"/>
      <c r="GE114" s="12"/>
    </row>
    <row r="115" spans="1:187" ht="21" customHeight="1">
      <c r="A115" s="45"/>
      <c r="B115" s="9" t="s">
        <v>280</v>
      </c>
      <c r="C115" s="10" t="s">
        <v>159</v>
      </c>
      <c r="D115" s="10" t="s">
        <v>155</v>
      </c>
      <c r="E115" s="35">
        <v>11324.012000000001</v>
      </c>
      <c r="F115" s="35">
        <f>17310.857-E115</f>
        <v>5986.8449999999993</v>
      </c>
      <c r="G115" s="35">
        <v>1064.5630000000001</v>
      </c>
      <c r="H115" s="35">
        <f>11874.3-G115</f>
        <v>10809.736999999999</v>
      </c>
      <c r="I115" s="35">
        <f t="shared" si="8"/>
        <v>29185.156999999999</v>
      </c>
      <c r="J115" s="56">
        <v>30175.199999999997</v>
      </c>
      <c r="K115" s="49">
        <v>2414.0479999999998</v>
      </c>
      <c r="L115" s="49">
        <v>2510.6099199999999</v>
      </c>
      <c r="M115" s="49">
        <v>1957.8456299999998</v>
      </c>
      <c r="N115" s="49">
        <v>2036.1594551999999</v>
      </c>
      <c r="O115" s="56">
        <f t="shared" si="14"/>
        <v>456.20236999999997</v>
      </c>
      <c r="P115" s="1">
        <f t="shared" si="13"/>
        <v>5166041.1123084398</v>
      </c>
      <c r="Q115" s="1">
        <f t="shared" si="9"/>
        <v>2731212.8778226497</v>
      </c>
      <c r="R115" s="1">
        <f t="shared" si="10"/>
        <v>505082.41015888238</v>
      </c>
      <c r="S115" s="1">
        <f t="shared" si="11"/>
        <v>5128684.744015757</v>
      </c>
      <c r="T115" s="1">
        <f t="shared" si="12"/>
        <v>13531021.144305728</v>
      </c>
      <c r="U115" s="11"/>
      <c r="V115" s="11"/>
      <c r="W115" s="11"/>
      <c r="X115" s="12"/>
      <c r="Y115" s="12"/>
      <c r="Z115" s="12"/>
      <c r="AA115" s="12"/>
      <c r="AB115" s="12"/>
      <c r="AC115" s="12"/>
      <c r="AD115" s="12"/>
      <c r="AE115" s="12"/>
      <c r="AF115" s="12"/>
      <c r="AG115" s="12"/>
      <c r="AH115" s="12"/>
      <c r="AI115" s="12"/>
      <c r="AJ115" s="12"/>
      <c r="AK115" s="12"/>
      <c r="AL115" s="12"/>
      <c r="AM115" s="12"/>
      <c r="AN115" s="12"/>
      <c r="AO115" s="12"/>
      <c r="AP115" s="12"/>
      <c r="AQ115" s="12"/>
      <c r="AR115" s="12"/>
      <c r="AS115" s="12"/>
      <c r="AT115" s="12"/>
      <c r="AU115" s="12"/>
      <c r="AV115" s="12"/>
      <c r="AW115" s="12"/>
      <c r="AX115" s="12"/>
      <c r="AY115" s="12"/>
      <c r="AZ115" s="12"/>
      <c r="BA115" s="12"/>
      <c r="BB115" s="12"/>
      <c r="BC115" s="12"/>
      <c r="BD115" s="12"/>
      <c r="BE115" s="12"/>
      <c r="BF115" s="12"/>
      <c r="BG115" s="12"/>
      <c r="BH115" s="12"/>
      <c r="BI115" s="12"/>
      <c r="BJ115" s="12"/>
      <c r="BK115" s="12"/>
      <c r="BL115" s="12"/>
      <c r="BM115" s="12"/>
      <c r="BN115" s="12"/>
      <c r="BO115" s="12"/>
      <c r="BP115" s="12"/>
      <c r="BQ115" s="12"/>
      <c r="BR115" s="12"/>
      <c r="BS115" s="12"/>
      <c r="BT115" s="12"/>
      <c r="BU115" s="12"/>
      <c r="BV115" s="12"/>
      <c r="BW115" s="12"/>
      <c r="BX115" s="12"/>
      <c r="BY115" s="12"/>
      <c r="BZ115" s="12"/>
      <c r="CA115" s="12"/>
      <c r="CB115" s="12"/>
      <c r="CC115" s="12"/>
      <c r="CD115" s="12"/>
      <c r="CE115" s="12"/>
      <c r="CF115" s="12"/>
      <c r="CG115" s="12"/>
      <c r="CH115" s="12"/>
      <c r="CI115" s="12"/>
      <c r="CJ115" s="12"/>
      <c r="CK115" s="12"/>
      <c r="CL115" s="12"/>
      <c r="CM115" s="12"/>
      <c r="CN115" s="12"/>
      <c r="CO115" s="12"/>
      <c r="CP115" s="12"/>
      <c r="CQ115" s="12"/>
      <c r="CR115" s="12"/>
      <c r="CS115" s="12"/>
      <c r="CT115" s="12"/>
      <c r="CU115" s="12"/>
      <c r="CV115" s="12"/>
      <c r="CW115" s="12"/>
      <c r="CX115" s="12"/>
      <c r="CY115" s="12"/>
      <c r="CZ115" s="12"/>
      <c r="DA115" s="12"/>
      <c r="DB115" s="12"/>
      <c r="DC115" s="12"/>
      <c r="DD115" s="12"/>
      <c r="DE115" s="12"/>
      <c r="DF115" s="12"/>
      <c r="DG115" s="12"/>
      <c r="DH115" s="12"/>
      <c r="DI115" s="12"/>
      <c r="DJ115" s="12"/>
      <c r="DK115" s="12"/>
      <c r="DL115" s="12"/>
      <c r="DM115" s="12"/>
      <c r="DN115" s="12"/>
      <c r="DO115" s="12"/>
      <c r="DP115" s="12"/>
      <c r="DQ115" s="12"/>
      <c r="DR115" s="12"/>
      <c r="DS115" s="12"/>
      <c r="DT115" s="12"/>
      <c r="DU115" s="12"/>
      <c r="DV115" s="12"/>
      <c r="DW115" s="12"/>
      <c r="DX115" s="12"/>
      <c r="DY115" s="12"/>
      <c r="DZ115" s="12"/>
      <c r="EA115" s="12"/>
      <c r="EB115" s="12"/>
      <c r="EC115" s="12"/>
      <c r="ED115" s="12"/>
      <c r="EE115" s="12"/>
      <c r="EF115" s="12"/>
      <c r="EG115" s="12"/>
      <c r="EH115" s="12"/>
      <c r="EI115" s="12"/>
      <c r="EJ115" s="12"/>
      <c r="EK115" s="12"/>
      <c r="EL115" s="12"/>
      <c r="EM115" s="12"/>
      <c r="EN115" s="12"/>
      <c r="EO115" s="12"/>
      <c r="EP115" s="12"/>
      <c r="EQ115" s="12"/>
      <c r="ER115" s="12"/>
      <c r="ES115" s="12"/>
      <c r="ET115" s="12"/>
      <c r="EU115" s="12"/>
      <c r="EV115" s="12"/>
      <c r="EW115" s="12"/>
      <c r="EX115" s="12"/>
      <c r="EY115" s="12"/>
      <c r="EZ115" s="12"/>
      <c r="FA115" s="12"/>
      <c r="FB115" s="12"/>
      <c r="FC115" s="12"/>
      <c r="FD115" s="12"/>
      <c r="FE115" s="12"/>
      <c r="FF115" s="12"/>
      <c r="FG115" s="12"/>
      <c r="FH115" s="12"/>
      <c r="FI115" s="12"/>
      <c r="FJ115" s="12"/>
      <c r="FK115" s="12"/>
      <c r="FL115" s="12"/>
      <c r="FM115" s="12"/>
      <c r="FN115" s="12"/>
      <c r="FO115" s="12"/>
      <c r="FP115" s="12"/>
      <c r="FQ115" s="12"/>
      <c r="FR115" s="12"/>
      <c r="FS115" s="12"/>
      <c r="FT115" s="12"/>
      <c r="FU115" s="12"/>
      <c r="FV115" s="12"/>
      <c r="FW115" s="12"/>
      <c r="FX115" s="12"/>
      <c r="FY115" s="12"/>
      <c r="FZ115" s="12"/>
      <c r="GA115" s="12"/>
      <c r="GB115" s="12"/>
      <c r="GC115" s="12"/>
      <c r="GD115" s="12"/>
      <c r="GE115" s="12"/>
    </row>
    <row r="116" spans="1:187" ht="21" customHeight="1">
      <c r="A116" s="45"/>
      <c r="B116" s="9" t="s">
        <v>28</v>
      </c>
      <c r="C116" s="10" t="s">
        <v>154</v>
      </c>
      <c r="D116" s="10" t="s">
        <v>155</v>
      </c>
      <c r="E116" s="35">
        <v>326.39600000000002</v>
      </c>
      <c r="F116" s="35">
        <f>502.467-E116</f>
        <v>176.07099999999997</v>
      </c>
      <c r="G116" s="35">
        <v>24.228000000000002</v>
      </c>
      <c r="H116" s="35">
        <f>393.457-G116</f>
        <v>369.22899999999998</v>
      </c>
      <c r="I116" s="35">
        <f t="shared" si="8"/>
        <v>895.92399999999998</v>
      </c>
      <c r="J116" s="56">
        <v>1156.6099999999999</v>
      </c>
      <c r="K116" s="49">
        <v>6592.3104000000003</v>
      </c>
      <c r="L116" s="49">
        <v>6856.0028160000002</v>
      </c>
      <c r="M116" s="49">
        <v>1957.8456299999998</v>
      </c>
      <c r="N116" s="49">
        <v>2036.1594551999999</v>
      </c>
      <c r="O116" s="56">
        <f t="shared" si="14"/>
        <v>4634.4647700000005</v>
      </c>
      <c r="P116" s="1">
        <f t="shared" si="13"/>
        <v>1512670.7630689202</v>
      </c>
      <c r="Q116" s="1">
        <f t="shared" si="9"/>
        <v>815994.84651866998</v>
      </c>
      <c r="R116" s="1">
        <f t="shared" si="10"/>
        <v>116775.16494546241</v>
      </c>
      <c r="S116" s="1">
        <f t="shared" si="11"/>
        <v>1779625.9442648233</v>
      </c>
      <c r="T116" s="1">
        <f t="shared" si="12"/>
        <v>4225066.7187978756</v>
      </c>
      <c r="U116" s="11"/>
      <c r="V116" s="11"/>
      <c r="W116" s="11"/>
      <c r="X116" s="12"/>
      <c r="Y116" s="12"/>
      <c r="Z116" s="12"/>
      <c r="AA116" s="12"/>
      <c r="AB116" s="12"/>
      <c r="AC116" s="12"/>
      <c r="AD116" s="12"/>
      <c r="AE116" s="12"/>
      <c r="AF116" s="12"/>
      <c r="AG116" s="12"/>
      <c r="AH116" s="12"/>
      <c r="AI116" s="12"/>
      <c r="AJ116" s="12"/>
      <c r="AK116" s="12"/>
      <c r="AL116" s="12"/>
      <c r="AM116" s="12"/>
      <c r="AN116" s="12"/>
      <c r="AO116" s="12"/>
      <c r="AP116" s="12"/>
      <c r="AQ116" s="12"/>
      <c r="AR116" s="12"/>
      <c r="AS116" s="12"/>
      <c r="AT116" s="12"/>
      <c r="AU116" s="12"/>
      <c r="AV116" s="12"/>
      <c r="AW116" s="12"/>
      <c r="AX116" s="12"/>
      <c r="AY116" s="12"/>
      <c r="AZ116" s="12"/>
      <c r="BA116" s="12"/>
      <c r="BB116" s="12"/>
      <c r="BC116" s="12"/>
      <c r="BD116" s="12"/>
      <c r="BE116" s="12"/>
      <c r="BF116" s="12"/>
      <c r="BG116" s="12"/>
      <c r="BH116" s="12"/>
      <c r="BI116" s="12"/>
      <c r="BJ116" s="12"/>
      <c r="BK116" s="12"/>
      <c r="BL116" s="12"/>
      <c r="BM116" s="12"/>
      <c r="BN116" s="12"/>
      <c r="BO116" s="12"/>
      <c r="BP116" s="12"/>
      <c r="BQ116" s="12"/>
      <c r="BR116" s="12"/>
      <c r="BS116" s="12"/>
      <c r="BT116" s="12"/>
      <c r="BU116" s="12"/>
      <c r="BV116" s="12"/>
      <c r="BW116" s="12"/>
      <c r="BX116" s="12"/>
      <c r="BY116" s="12"/>
      <c r="BZ116" s="12"/>
      <c r="CA116" s="12"/>
      <c r="CB116" s="12"/>
      <c r="CC116" s="12"/>
      <c r="CD116" s="12"/>
      <c r="CE116" s="12"/>
      <c r="CF116" s="12"/>
      <c r="CG116" s="12"/>
      <c r="CH116" s="12"/>
      <c r="CI116" s="12"/>
      <c r="CJ116" s="12"/>
      <c r="CK116" s="12"/>
      <c r="CL116" s="12"/>
      <c r="CM116" s="12"/>
      <c r="CN116" s="12"/>
      <c r="CO116" s="12"/>
      <c r="CP116" s="12"/>
      <c r="CQ116" s="12"/>
      <c r="CR116" s="12"/>
      <c r="CS116" s="12"/>
      <c r="CT116" s="12"/>
      <c r="CU116" s="12"/>
      <c r="CV116" s="12"/>
      <c r="CW116" s="12"/>
      <c r="CX116" s="12"/>
      <c r="CY116" s="12"/>
      <c r="CZ116" s="12"/>
      <c r="DA116" s="12"/>
      <c r="DB116" s="12"/>
      <c r="DC116" s="12"/>
      <c r="DD116" s="12"/>
      <c r="DE116" s="12"/>
      <c r="DF116" s="12"/>
      <c r="DG116" s="12"/>
      <c r="DH116" s="12"/>
      <c r="DI116" s="12"/>
      <c r="DJ116" s="12"/>
      <c r="DK116" s="12"/>
      <c r="DL116" s="12"/>
      <c r="DM116" s="12"/>
      <c r="DN116" s="12"/>
      <c r="DO116" s="12"/>
      <c r="DP116" s="12"/>
      <c r="DQ116" s="12"/>
      <c r="DR116" s="12"/>
      <c r="DS116" s="12"/>
      <c r="DT116" s="12"/>
      <c r="DU116" s="12"/>
      <c r="DV116" s="12"/>
      <c r="DW116" s="12"/>
      <c r="DX116" s="12"/>
      <c r="DY116" s="12"/>
      <c r="DZ116" s="12"/>
      <c r="EA116" s="12"/>
      <c r="EB116" s="12"/>
      <c r="EC116" s="12"/>
      <c r="ED116" s="12"/>
      <c r="EE116" s="12"/>
      <c r="EF116" s="12"/>
      <c r="EG116" s="12"/>
      <c r="EH116" s="12"/>
      <c r="EI116" s="12"/>
      <c r="EJ116" s="12"/>
      <c r="EK116" s="12"/>
      <c r="EL116" s="12"/>
      <c r="EM116" s="12"/>
      <c r="EN116" s="12"/>
      <c r="EO116" s="12"/>
      <c r="EP116" s="12"/>
      <c r="EQ116" s="12"/>
      <c r="ER116" s="12"/>
      <c r="ES116" s="12"/>
      <c r="ET116" s="12"/>
      <c r="EU116" s="12"/>
      <c r="EV116" s="12"/>
      <c r="EW116" s="12"/>
      <c r="EX116" s="12"/>
      <c r="EY116" s="12"/>
      <c r="EZ116" s="12"/>
      <c r="FA116" s="12"/>
      <c r="FB116" s="12"/>
      <c r="FC116" s="12"/>
      <c r="FD116" s="12"/>
      <c r="FE116" s="12"/>
      <c r="FF116" s="12"/>
      <c r="FG116" s="12"/>
      <c r="FH116" s="12"/>
      <c r="FI116" s="12"/>
      <c r="FJ116" s="12"/>
      <c r="FK116" s="12"/>
      <c r="FL116" s="12"/>
      <c r="FM116" s="12"/>
      <c r="FN116" s="12"/>
      <c r="FO116" s="12"/>
      <c r="FP116" s="12"/>
      <c r="FQ116" s="12"/>
      <c r="FR116" s="12"/>
      <c r="FS116" s="12"/>
      <c r="FT116" s="12"/>
      <c r="FU116" s="12"/>
      <c r="FV116" s="12"/>
      <c r="FW116" s="12"/>
      <c r="FX116" s="12"/>
      <c r="FY116" s="12"/>
      <c r="FZ116" s="12"/>
      <c r="GA116" s="12"/>
      <c r="GB116" s="12"/>
      <c r="GC116" s="12"/>
      <c r="GD116" s="12"/>
      <c r="GE116" s="12"/>
    </row>
    <row r="117" spans="1:187" ht="21" customHeight="1">
      <c r="A117" s="45"/>
      <c r="B117" s="9" t="s">
        <v>28</v>
      </c>
      <c r="C117" s="10" t="s">
        <v>154</v>
      </c>
      <c r="D117" s="10" t="s">
        <v>156</v>
      </c>
      <c r="E117" s="35">
        <v>800.14400000000001</v>
      </c>
      <c r="F117" s="35">
        <f>1143.36-E117</f>
        <v>343.21599999999989</v>
      </c>
      <c r="G117" s="35">
        <v>106.825</v>
      </c>
      <c r="H117" s="35">
        <f>871.144-G117</f>
        <v>764.31899999999996</v>
      </c>
      <c r="I117" s="35">
        <f t="shared" si="8"/>
        <v>2014.5039999999999</v>
      </c>
      <c r="J117" s="56">
        <v>2133.04</v>
      </c>
      <c r="K117" s="49">
        <v>6592.3104000000003</v>
      </c>
      <c r="L117" s="49">
        <v>6856.0028160000002</v>
      </c>
      <c r="M117" s="49">
        <v>1957.8456299999998</v>
      </c>
      <c r="N117" s="49">
        <v>2036.1594551999999</v>
      </c>
      <c r="O117" s="56">
        <f t="shared" si="14"/>
        <v>4634.4647700000005</v>
      </c>
      <c r="P117" s="1">
        <f t="shared" si="13"/>
        <v>3708239.1789268805</v>
      </c>
      <c r="Q117" s="1">
        <f t="shared" si="9"/>
        <v>1590622.4605003197</v>
      </c>
      <c r="R117" s="1">
        <f t="shared" si="10"/>
        <v>514879.76701746008</v>
      </c>
      <c r="S117" s="1">
        <f t="shared" si="11"/>
        <v>3683897.8576832954</v>
      </c>
      <c r="T117" s="1">
        <f t="shared" si="12"/>
        <v>9497639.2641279548</v>
      </c>
      <c r="U117" s="11"/>
      <c r="V117" s="11"/>
      <c r="W117" s="11"/>
      <c r="X117" s="12"/>
      <c r="Y117" s="12"/>
      <c r="Z117" s="12"/>
      <c r="AA117" s="12"/>
      <c r="AB117" s="12"/>
      <c r="AC117" s="12"/>
      <c r="AD117" s="12"/>
      <c r="AE117" s="12"/>
      <c r="AF117" s="12"/>
      <c r="AG117" s="12"/>
      <c r="AH117" s="12"/>
      <c r="AI117" s="12"/>
      <c r="AJ117" s="12"/>
      <c r="AK117" s="12"/>
      <c r="AL117" s="12"/>
      <c r="AM117" s="12"/>
      <c r="AN117" s="12"/>
      <c r="AO117" s="12"/>
      <c r="AP117" s="12"/>
      <c r="AQ117" s="12"/>
      <c r="AR117" s="12"/>
      <c r="AS117" s="12"/>
      <c r="AT117" s="12"/>
      <c r="AU117" s="12"/>
      <c r="AV117" s="12"/>
      <c r="AW117" s="12"/>
      <c r="AX117" s="12"/>
      <c r="AY117" s="12"/>
      <c r="AZ117" s="12"/>
      <c r="BA117" s="12"/>
      <c r="BB117" s="12"/>
      <c r="BC117" s="12"/>
      <c r="BD117" s="12"/>
      <c r="BE117" s="12"/>
      <c r="BF117" s="12"/>
      <c r="BG117" s="12"/>
      <c r="BH117" s="12"/>
      <c r="BI117" s="12"/>
      <c r="BJ117" s="12"/>
      <c r="BK117" s="12"/>
      <c r="BL117" s="12"/>
      <c r="BM117" s="12"/>
      <c r="BN117" s="12"/>
      <c r="BO117" s="12"/>
      <c r="BP117" s="12"/>
      <c r="BQ117" s="12"/>
      <c r="BR117" s="12"/>
      <c r="BS117" s="12"/>
      <c r="BT117" s="12"/>
      <c r="BU117" s="12"/>
      <c r="BV117" s="12"/>
      <c r="BW117" s="12"/>
      <c r="BX117" s="12"/>
      <c r="BY117" s="12"/>
      <c r="BZ117" s="12"/>
      <c r="CA117" s="12"/>
      <c r="CB117" s="12"/>
      <c r="CC117" s="12"/>
      <c r="CD117" s="12"/>
      <c r="CE117" s="12"/>
      <c r="CF117" s="12"/>
      <c r="CG117" s="12"/>
      <c r="CH117" s="12"/>
      <c r="CI117" s="12"/>
      <c r="CJ117" s="12"/>
      <c r="CK117" s="12"/>
      <c r="CL117" s="12"/>
      <c r="CM117" s="12"/>
      <c r="CN117" s="12"/>
      <c r="CO117" s="12"/>
      <c r="CP117" s="12"/>
      <c r="CQ117" s="12"/>
      <c r="CR117" s="12"/>
      <c r="CS117" s="12"/>
      <c r="CT117" s="12"/>
      <c r="CU117" s="12"/>
      <c r="CV117" s="12"/>
      <c r="CW117" s="12"/>
      <c r="CX117" s="12"/>
      <c r="CY117" s="12"/>
      <c r="CZ117" s="12"/>
      <c r="DA117" s="12"/>
      <c r="DB117" s="12"/>
      <c r="DC117" s="12"/>
      <c r="DD117" s="12"/>
      <c r="DE117" s="12"/>
      <c r="DF117" s="12"/>
      <c r="DG117" s="12"/>
      <c r="DH117" s="12"/>
      <c r="DI117" s="12"/>
      <c r="DJ117" s="12"/>
      <c r="DK117" s="12"/>
      <c r="DL117" s="12"/>
      <c r="DM117" s="12"/>
      <c r="DN117" s="12"/>
      <c r="DO117" s="12"/>
      <c r="DP117" s="12"/>
      <c r="DQ117" s="12"/>
      <c r="DR117" s="12"/>
      <c r="DS117" s="12"/>
      <c r="DT117" s="12"/>
      <c r="DU117" s="12"/>
      <c r="DV117" s="12"/>
      <c r="DW117" s="12"/>
      <c r="DX117" s="12"/>
      <c r="DY117" s="12"/>
      <c r="DZ117" s="12"/>
      <c r="EA117" s="12"/>
      <c r="EB117" s="12"/>
      <c r="EC117" s="12"/>
      <c r="ED117" s="12"/>
      <c r="EE117" s="12"/>
      <c r="EF117" s="12"/>
      <c r="EG117" s="12"/>
      <c r="EH117" s="12"/>
      <c r="EI117" s="12"/>
      <c r="EJ117" s="12"/>
      <c r="EK117" s="12"/>
      <c r="EL117" s="12"/>
      <c r="EM117" s="12"/>
      <c r="EN117" s="12"/>
      <c r="EO117" s="12"/>
      <c r="EP117" s="12"/>
      <c r="EQ117" s="12"/>
      <c r="ER117" s="12"/>
      <c r="ES117" s="12"/>
      <c r="ET117" s="12"/>
      <c r="EU117" s="12"/>
      <c r="EV117" s="12"/>
      <c r="EW117" s="12"/>
      <c r="EX117" s="12"/>
      <c r="EY117" s="12"/>
      <c r="EZ117" s="12"/>
      <c r="FA117" s="12"/>
      <c r="FB117" s="12"/>
      <c r="FC117" s="12"/>
      <c r="FD117" s="12"/>
      <c r="FE117" s="12"/>
      <c r="FF117" s="12"/>
      <c r="FG117" s="12"/>
      <c r="FH117" s="12"/>
      <c r="FI117" s="12"/>
      <c r="FJ117" s="12"/>
      <c r="FK117" s="12"/>
      <c r="FL117" s="12"/>
      <c r="FM117" s="12"/>
      <c r="FN117" s="12"/>
      <c r="FO117" s="12"/>
      <c r="FP117" s="12"/>
      <c r="FQ117" s="12"/>
      <c r="FR117" s="12"/>
      <c r="FS117" s="12"/>
      <c r="FT117" s="12"/>
      <c r="FU117" s="12"/>
      <c r="FV117" s="12"/>
      <c r="FW117" s="12"/>
      <c r="FX117" s="12"/>
      <c r="FY117" s="12"/>
      <c r="FZ117" s="12"/>
      <c r="GA117" s="12"/>
      <c r="GB117" s="12"/>
      <c r="GC117" s="12"/>
      <c r="GD117" s="12"/>
      <c r="GE117" s="12"/>
    </row>
    <row r="118" spans="1:187" ht="21" customHeight="1">
      <c r="A118" s="45"/>
      <c r="B118" s="9" t="s">
        <v>28</v>
      </c>
      <c r="C118" s="10" t="s">
        <v>154</v>
      </c>
      <c r="D118" s="10" t="s">
        <v>157</v>
      </c>
      <c r="E118" s="35">
        <v>61.305</v>
      </c>
      <c r="F118" s="35">
        <f>86.354-E118</f>
        <v>25.048999999999999</v>
      </c>
      <c r="G118" s="35">
        <v>7.4930000000000003</v>
      </c>
      <c r="H118" s="35">
        <f>68.798-G118</f>
        <v>61.305</v>
      </c>
      <c r="I118" s="35">
        <f t="shared" si="8"/>
        <v>155.15199999999999</v>
      </c>
      <c r="J118" s="56">
        <v>0</v>
      </c>
      <c r="K118" s="49">
        <v>6592.3104000000003</v>
      </c>
      <c r="L118" s="49">
        <v>6856.0028160000002</v>
      </c>
      <c r="M118" s="49">
        <v>1957.8456299999998</v>
      </c>
      <c r="N118" s="49">
        <v>2036.1594551999999</v>
      </c>
      <c r="O118" s="56">
        <f t="shared" si="14"/>
        <v>4634.4647700000005</v>
      </c>
      <c r="P118" s="1">
        <f t="shared" si="13"/>
        <v>284115.86272485001</v>
      </c>
      <c r="Q118" s="1">
        <f t="shared" si="9"/>
        <v>116088.70802373001</v>
      </c>
      <c r="R118" s="1">
        <f t="shared" si="10"/>
        <v>36115.086302474403</v>
      </c>
      <c r="S118" s="1">
        <f t="shared" si="11"/>
        <v>295480.49723384401</v>
      </c>
      <c r="T118" s="1">
        <f t="shared" si="12"/>
        <v>731800.15428489842</v>
      </c>
      <c r="U118" s="11"/>
      <c r="V118" s="11"/>
      <c r="W118" s="11"/>
      <c r="X118" s="12"/>
      <c r="Y118" s="12"/>
      <c r="Z118" s="12"/>
      <c r="AA118" s="12"/>
      <c r="AB118" s="12"/>
      <c r="AC118" s="12"/>
      <c r="AD118" s="12"/>
      <c r="AE118" s="12"/>
      <c r="AF118" s="12"/>
      <c r="AG118" s="12"/>
      <c r="AH118" s="12"/>
      <c r="AI118" s="12"/>
      <c r="AJ118" s="12"/>
      <c r="AK118" s="12"/>
      <c r="AL118" s="12"/>
      <c r="AM118" s="12"/>
      <c r="AN118" s="12"/>
      <c r="AO118" s="12"/>
      <c r="AP118" s="12"/>
      <c r="AQ118" s="12"/>
      <c r="AR118" s="12"/>
      <c r="AS118" s="12"/>
      <c r="AT118" s="12"/>
      <c r="AU118" s="12"/>
      <c r="AV118" s="12"/>
      <c r="AW118" s="12"/>
      <c r="AX118" s="12"/>
      <c r="AY118" s="12"/>
      <c r="AZ118" s="12"/>
      <c r="BA118" s="12"/>
      <c r="BB118" s="12"/>
      <c r="BC118" s="12"/>
      <c r="BD118" s="12"/>
      <c r="BE118" s="12"/>
      <c r="BF118" s="12"/>
      <c r="BG118" s="12"/>
      <c r="BH118" s="12"/>
      <c r="BI118" s="12"/>
      <c r="BJ118" s="12"/>
      <c r="BK118" s="12"/>
      <c r="BL118" s="12"/>
      <c r="BM118" s="12"/>
      <c r="BN118" s="12"/>
      <c r="BO118" s="12"/>
      <c r="BP118" s="12"/>
      <c r="BQ118" s="12"/>
      <c r="BR118" s="12"/>
      <c r="BS118" s="12"/>
      <c r="BT118" s="12"/>
      <c r="BU118" s="12"/>
      <c r="BV118" s="12"/>
      <c r="BW118" s="12"/>
      <c r="BX118" s="12"/>
      <c r="BY118" s="12"/>
      <c r="BZ118" s="12"/>
      <c r="CA118" s="12"/>
      <c r="CB118" s="12"/>
      <c r="CC118" s="12"/>
      <c r="CD118" s="12"/>
      <c r="CE118" s="12"/>
      <c r="CF118" s="12"/>
      <c r="CG118" s="12"/>
      <c r="CH118" s="12"/>
      <c r="CI118" s="12"/>
      <c r="CJ118" s="12"/>
      <c r="CK118" s="12"/>
      <c r="CL118" s="12"/>
      <c r="CM118" s="12"/>
      <c r="CN118" s="12"/>
      <c r="CO118" s="12"/>
      <c r="CP118" s="12"/>
      <c r="CQ118" s="12"/>
      <c r="CR118" s="12"/>
      <c r="CS118" s="12"/>
      <c r="CT118" s="12"/>
      <c r="CU118" s="12"/>
      <c r="CV118" s="12"/>
      <c r="CW118" s="12"/>
      <c r="CX118" s="12"/>
      <c r="CY118" s="12"/>
      <c r="CZ118" s="12"/>
      <c r="DA118" s="12"/>
      <c r="DB118" s="12"/>
      <c r="DC118" s="12"/>
      <c r="DD118" s="12"/>
      <c r="DE118" s="12"/>
      <c r="DF118" s="12"/>
      <c r="DG118" s="12"/>
      <c r="DH118" s="12"/>
      <c r="DI118" s="12"/>
      <c r="DJ118" s="12"/>
      <c r="DK118" s="12"/>
      <c r="DL118" s="12"/>
      <c r="DM118" s="12"/>
      <c r="DN118" s="12"/>
      <c r="DO118" s="12"/>
      <c r="DP118" s="12"/>
      <c r="DQ118" s="12"/>
      <c r="DR118" s="12"/>
      <c r="DS118" s="12"/>
      <c r="DT118" s="12"/>
      <c r="DU118" s="12"/>
      <c r="DV118" s="12"/>
      <c r="DW118" s="12"/>
      <c r="DX118" s="12"/>
      <c r="DY118" s="12"/>
      <c r="DZ118" s="12"/>
      <c r="EA118" s="12"/>
      <c r="EB118" s="12"/>
      <c r="EC118" s="12"/>
      <c r="ED118" s="12"/>
      <c r="EE118" s="12"/>
      <c r="EF118" s="12"/>
      <c r="EG118" s="12"/>
      <c r="EH118" s="12"/>
      <c r="EI118" s="12"/>
      <c r="EJ118" s="12"/>
      <c r="EK118" s="12"/>
      <c r="EL118" s="12"/>
      <c r="EM118" s="12"/>
      <c r="EN118" s="12"/>
      <c r="EO118" s="12"/>
      <c r="EP118" s="12"/>
      <c r="EQ118" s="12"/>
      <c r="ER118" s="12"/>
      <c r="ES118" s="12"/>
      <c r="ET118" s="12"/>
      <c r="EU118" s="12"/>
      <c r="EV118" s="12"/>
      <c r="EW118" s="12"/>
      <c r="EX118" s="12"/>
      <c r="EY118" s="12"/>
      <c r="EZ118" s="12"/>
      <c r="FA118" s="12"/>
      <c r="FB118" s="12"/>
      <c r="FC118" s="12"/>
      <c r="FD118" s="12"/>
      <c r="FE118" s="12"/>
      <c r="FF118" s="12"/>
      <c r="FG118" s="12"/>
      <c r="FH118" s="12"/>
      <c r="FI118" s="12"/>
      <c r="FJ118" s="12"/>
      <c r="FK118" s="12"/>
      <c r="FL118" s="12"/>
      <c r="FM118" s="12"/>
      <c r="FN118" s="12"/>
      <c r="FO118" s="12"/>
      <c r="FP118" s="12"/>
      <c r="FQ118" s="12"/>
      <c r="FR118" s="12"/>
      <c r="FS118" s="12"/>
      <c r="FT118" s="12"/>
      <c r="FU118" s="12"/>
      <c r="FV118" s="12"/>
      <c r="FW118" s="12"/>
      <c r="FX118" s="12"/>
      <c r="FY118" s="12"/>
      <c r="FZ118" s="12"/>
      <c r="GA118" s="12"/>
      <c r="GB118" s="12"/>
      <c r="GC118" s="12"/>
      <c r="GD118" s="12"/>
      <c r="GE118" s="12"/>
    </row>
    <row r="119" spans="1:187" ht="21" customHeight="1">
      <c r="A119" s="45"/>
      <c r="B119" s="9" t="s">
        <v>397</v>
      </c>
      <c r="C119" s="10" t="s">
        <v>398</v>
      </c>
      <c r="D119" s="10" t="s">
        <v>158</v>
      </c>
      <c r="E119" s="35">
        <v>2688.52</v>
      </c>
      <c r="F119" s="35">
        <f>3901.316-E119</f>
        <v>1212.7959999999998</v>
      </c>
      <c r="G119" s="35">
        <v>321.04300000000001</v>
      </c>
      <c r="H119" s="35">
        <f>2759.806-G119</f>
        <v>2438.7629999999999</v>
      </c>
      <c r="I119" s="35">
        <f t="shared" si="8"/>
        <v>6661.1219999999994</v>
      </c>
      <c r="J119" s="56">
        <v>7115.8</v>
      </c>
      <c r="K119" s="49">
        <v>4802.24</v>
      </c>
      <c r="L119" s="49">
        <v>4994.3296</v>
      </c>
      <c r="M119" s="49">
        <v>2310.2597099999998</v>
      </c>
      <c r="N119" s="49">
        <v>2402.6700983999999</v>
      </c>
      <c r="O119" s="56">
        <f t="shared" si="14"/>
        <v>2491.98029</v>
      </c>
      <c r="P119" s="1">
        <f t="shared" si="13"/>
        <v>6699738.8492708001</v>
      </c>
      <c r="Q119" s="1">
        <f t="shared" si="9"/>
        <v>3022263.7277908395</v>
      </c>
      <c r="R119" s="1">
        <f t="shared" si="10"/>
        <v>832034.1413721689</v>
      </c>
      <c r="S119" s="1">
        <f t="shared" si="11"/>
        <v>6320443.3011005204</v>
      </c>
      <c r="T119" s="1">
        <f t="shared" si="12"/>
        <v>16874480.019534327</v>
      </c>
      <c r="U119" s="11"/>
      <c r="V119" s="11"/>
      <c r="W119" s="11"/>
      <c r="X119" s="12"/>
      <c r="Y119" s="12"/>
      <c r="Z119" s="12"/>
      <c r="AA119" s="12"/>
      <c r="AB119" s="12"/>
      <c r="AC119" s="12"/>
      <c r="AD119" s="12"/>
      <c r="AE119" s="12"/>
      <c r="AF119" s="12"/>
      <c r="AG119" s="12"/>
      <c r="AH119" s="12"/>
      <c r="AI119" s="12"/>
      <c r="AJ119" s="12"/>
      <c r="AK119" s="12"/>
      <c r="AL119" s="12"/>
      <c r="AM119" s="12"/>
      <c r="AN119" s="12"/>
      <c r="AO119" s="12"/>
      <c r="AP119" s="12"/>
      <c r="AQ119" s="12"/>
      <c r="AR119" s="12"/>
      <c r="AS119" s="12"/>
      <c r="AT119" s="12"/>
      <c r="AU119" s="12"/>
      <c r="AV119" s="12"/>
      <c r="AW119" s="12"/>
      <c r="AX119" s="12"/>
      <c r="AY119" s="12"/>
      <c r="AZ119" s="12"/>
      <c r="BA119" s="12"/>
      <c r="BB119" s="12"/>
      <c r="BC119" s="12"/>
      <c r="BD119" s="12"/>
      <c r="BE119" s="12"/>
      <c r="BF119" s="12"/>
      <c r="BG119" s="12"/>
      <c r="BH119" s="12"/>
      <c r="BI119" s="12"/>
      <c r="BJ119" s="12"/>
      <c r="BK119" s="12"/>
      <c r="BL119" s="12"/>
      <c r="BM119" s="12"/>
      <c r="BN119" s="12"/>
      <c r="BO119" s="12"/>
      <c r="BP119" s="12"/>
      <c r="BQ119" s="12"/>
      <c r="BR119" s="12"/>
      <c r="BS119" s="12"/>
      <c r="BT119" s="12"/>
      <c r="BU119" s="12"/>
      <c r="BV119" s="12"/>
      <c r="BW119" s="12"/>
      <c r="BX119" s="12"/>
      <c r="BY119" s="12"/>
      <c r="BZ119" s="12"/>
      <c r="CA119" s="12"/>
      <c r="CB119" s="12"/>
      <c r="CC119" s="12"/>
      <c r="CD119" s="12"/>
      <c r="CE119" s="12"/>
      <c r="CF119" s="12"/>
      <c r="CG119" s="12"/>
      <c r="CH119" s="12"/>
      <c r="CI119" s="12"/>
      <c r="CJ119" s="12"/>
      <c r="CK119" s="12"/>
      <c r="CL119" s="12"/>
      <c r="CM119" s="12"/>
      <c r="CN119" s="12"/>
      <c r="CO119" s="12"/>
      <c r="CP119" s="12"/>
      <c r="CQ119" s="12"/>
      <c r="CR119" s="12"/>
      <c r="CS119" s="12"/>
      <c r="CT119" s="12"/>
      <c r="CU119" s="12"/>
      <c r="CV119" s="12"/>
      <c r="CW119" s="12"/>
      <c r="CX119" s="12"/>
      <c r="CY119" s="12"/>
      <c r="CZ119" s="12"/>
      <c r="DA119" s="12"/>
      <c r="DB119" s="12"/>
      <c r="DC119" s="12"/>
      <c r="DD119" s="12"/>
      <c r="DE119" s="12"/>
      <c r="DF119" s="12"/>
      <c r="DG119" s="12"/>
      <c r="DH119" s="12"/>
      <c r="DI119" s="12"/>
      <c r="DJ119" s="12"/>
      <c r="DK119" s="12"/>
      <c r="DL119" s="12"/>
      <c r="DM119" s="12"/>
      <c r="DN119" s="12"/>
      <c r="DO119" s="12"/>
      <c r="DP119" s="12"/>
      <c r="DQ119" s="12"/>
      <c r="DR119" s="12"/>
      <c r="DS119" s="12"/>
      <c r="DT119" s="12"/>
      <c r="DU119" s="12"/>
      <c r="DV119" s="12"/>
      <c r="DW119" s="12"/>
      <c r="DX119" s="12"/>
      <c r="DY119" s="12"/>
      <c r="DZ119" s="12"/>
      <c r="EA119" s="12"/>
      <c r="EB119" s="12"/>
      <c r="EC119" s="12"/>
      <c r="ED119" s="12"/>
      <c r="EE119" s="12"/>
      <c r="EF119" s="12"/>
      <c r="EG119" s="12"/>
      <c r="EH119" s="12"/>
      <c r="EI119" s="12"/>
      <c r="EJ119" s="12"/>
      <c r="EK119" s="12"/>
      <c r="EL119" s="12"/>
      <c r="EM119" s="12"/>
      <c r="EN119" s="12"/>
      <c r="EO119" s="12"/>
      <c r="EP119" s="12"/>
      <c r="EQ119" s="12"/>
      <c r="ER119" s="12"/>
      <c r="ES119" s="12"/>
      <c r="ET119" s="12"/>
      <c r="EU119" s="12"/>
      <c r="EV119" s="12"/>
      <c r="EW119" s="12"/>
      <c r="EX119" s="12"/>
      <c r="EY119" s="12"/>
      <c r="EZ119" s="12"/>
      <c r="FA119" s="12"/>
      <c r="FB119" s="12"/>
      <c r="FC119" s="12"/>
      <c r="FD119" s="12"/>
      <c r="FE119" s="12"/>
      <c r="FF119" s="12"/>
      <c r="FG119" s="12"/>
      <c r="FH119" s="12"/>
      <c r="FI119" s="12"/>
      <c r="FJ119" s="12"/>
      <c r="FK119" s="12"/>
      <c r="FL119" s="12"/>
      <c r="FM119" s="12"/>
      <c r="FN119" s="12"/>
      <c r="FO119" s="12"/>
      <c r="FP119" s="12"/>
      <c r="FQ119" s="12"/>
      <c r="FR119" s="12"/>
      <c r="FS119" s="12"/>
      <c r="FT119" s="12"/>
      <c r="FU119" s="12"/>
      <c r="FV119" s="12"/>
      <c r="FW119" s="12"/>
      <c r="FX119" s="12"/>
      <c r="FY119" s="12"/>
      <c r="FZ119" s="12"/>
      <c r="GA119" s="12"/>
      <c r="GB119" s="12"/>
      <c r="GC119" s="12"/>
      <c r="GD119" s="12"/>
      <c r="GE119" s="12"/>
    </row>
    <row r="120" spans="1:187" ht="21" customHeight="1">
      <c r="A120" s="45"/>
      <c r="B120" s="9" t="s">
        <v>28</v>
      </c>
      <c r="C120" s="10" t="s">
        <v>154</v>
      </c>
      <c r="D120" s="10" t="s">
        <v>299</v>
      </c>
      <c r="E120" s="35">
        <v>8.7780000000000005</v>
      </c>
      <c r="F120" s="35">
        <f>12.931-E120</f>
        <v>4.1529999999999987</v>
      </c>
      <c r="G120" s="35">
        <v>1.073</v>
      </c>
      <c r="H120" s="35">
        <f>9.851-G120</f>
        <v>8.7780000000000005</v>
      </c>
      <c r="I120" s="35">
        <f t="shared" si="8"/>
        <v>22.782</v>
      </c>
      <c r="J120" s="56">
        <v>22.87</v>
      </c>
      <c r="K120" s="49">
        <v>7320.1024000000007</v>
      </c>
      <c r="L120" s="49">
        <f>K120*1.04</f>
        <v>7612.9064960000005</v>
      </c>
      <c r="M120" s="49">
        <v>1957.8456299999998</v>
      </c>
      <c r="N120" s="49">
        <v>2036.1594551999999</v>
      </c>
      <c r="O120" s="56">
        <f t="shared" si="14"/>
        <v>5362.2567700000009</v>
      </c>
      <c r="P120" s="1">
        <f t="shared" si="13"/>
        <v>47069.889927060009</v>
      </c>
      <c r="Q120" s="1">
        <f t="shared" si="9"/>
        <v>22269.452365809997</v>
      </c>
      <c r="R120" s="1">
        <f t="shared" si="10"/>
        <v>5983.8495747784009</v>
      </c>
      <c r="S120" s="1">
        <f t="shared" si="11"/>
        <v>48952.685524142413</v>
      </c>
      <c r="T120" s="1">
        <f t="shared" si="12"/>
        <v>124275.87739179083</v>
      </c>
      <c r="U120" s="11"/>
      <c r="V120" s="11"/>
      <c r="W120" s="11"/>
      <c r="X120" s="12"/>
      <c r="Y120" s="12"/>
      <c r="Z120" s="12"/>
      <c r="AA120" s="12"/>
      <c r="AB120" s="12"/>
      <c r="AC120" s="12"/>
      <c r="AD120" s="12"/>
      <c r="AE120" s="12"/>
      <c r="AF120" s="12"/>
      <c r="AG120" s="12"/>
      <c r="AH120" s="12"/>
      <c r="AI120" s="12"/>
      <c r="AJ120" s="12"/>
      <c r="AK120" s="12"/>
      <c r="AL120" s="12"/>
      <c r="AM120" s="12"/>
      <c r="AN120" s="12"/>
      <c r="AO120" s="12"/>
      <c r="AP120" s="12"/>
      <c r="AQ120" s="12"/>
      <c r="AR120" s="12"/>
      <c r="AS120" s="12"/>
      <c r="AT120" s="12"/>
      <c r="AU120" s="12"/>
      <c r="AV120" s="12"/>
      <c r="AW120" s="12"/>
      <c r="AX120" s="12"/>
      <c r="AY120" s="12"/>
      <c r="AZ120" s="12"/>
      <c r="BA120" s="12"/>
      <c r="BB120" s="12"/>
      <c r="BC120" s="12"/>
      <c r="BD120" s="12"/>
      <c r="BE120" s="12"/>
      <c r="BF120" s="12"/>
      <c r="BG120" s="12"/>
      <c r="BH120" s="12"/>
      <c r="BI120" s="12"/>
      <c r="BJ120" s="12"/>
      <c r="BK120" s="12"/>
      <c r="BL120" s="12"/>
      <c r="BM120" s="12"/>
      <c r="BN120" s="12"/>
      <c r="BO120" s="12"/>
      <c r="BP120" s="12"/>
      <c r="BQ120" s="12"/>
      <c r="BR120" s="12"/>
      <c r="BS120" s="12"/>
      <c r="BT120" s="12"/>
      <c r="BU120" s="12"/>
      <c r="BV120" s="12"/>
      <c r="BW120" s="12"/>
      <c r="BX120" s="12"/>
      <c r="BY120" s="12"/>
      <c r="BZ120" s="12"/>
      <c r="CA120" s="12"/>
      <c r="CB120" s="12"/>
      <c r="CC120" s="12"/>
      <c r="CD120" s="12"/>
      <c r="CE120" s="12"/>
      <c r="CF120" s="12"/>
      <c r="CG120" s="12"/>
      <c r="CH120" s="12"/>
      <c r="CI120" s="12"/>
      <c r="CJ120" s="12"/>
      <c r="CK120" s="12"/>
      <c r="CL120" s="12"/>
      <c r="CM120" s="12"/>
      <c r="CN120" s="12"/>
      <c r="CO120" s="12"/>
      <c r="CP120" s="12"/>
      <c r="CQ120" s="12"/>
      <c r="CR120" s="12"/>
      <c r="CS120" s="12"/>
      <c r="CT120" s="12"/>
      <c r="CU120" s="12"/>
      <c r="CV120" s="12"/>
      <c r="CW120" s="12"/>
      <c r="CX120" s="12"/>
      <c r="CY120" s="12"/>
      <c r="CZ120" s="12"/>
      <c r="DA120" s="12"/>
      <c r="DB120" s="12"/>
      <c r="DC120" s="12"/>
      <c r="DD120" s="12"/>
      <c r="DE120" s="12"/>
      <c r="DF120" s="12"/>
      <c r="DG120" s="12"/>
      <c r="DH120" s="12"/>
      <c r="DI120" s="12"/>
      <c r="DJ120" s="12"/>
      <c r="DK120" s="12"/>
      <c r="DL120" s="12"/>
      <c r="DM120" s="12"/>
      <c r="DN120" s="12"/>
      <c r="DO120" s="12"/>
      <c r="DP120" s="12"/>
      <c r="DQ120" s="12"/>
      <c r="DR120" s="12"/>
      <c r="DS120" s="12"/>
      <c r="DT120" s="12"/>
      <c r="DU120" s="12"/>
      <c r="DV120" s="12"/>
      <c r="DW120" s="12"/>
      <c r="DX120" s="12"/>
      <c r="DY120" s="12"/>
      <c r="DZ120" s="12"/>
      <c r="EA120" s="12"/>
      <c r="EB120" s="12"/>
      <c r="EC120" s="12"/>
      <c r="ED120" s="12"/>
      <c r="EE120" s="12"/>
      <c r="EF120" s="12"/>
      <c r="EG120" s="12"/>
      <c r="EH120" s="12"/>
      <c r="EI120" s="12"/>
      <c r="EJ120" s="12"/>
      <c r="EK120" s="12"/>
      <c r="EL120" s="12"/>
      <c r="EM120" s="12"/>
      <c r="EN120" s="12"/>
      <c r="EO120" s="12"/>
      <c r="EP120" s="12"/>
      <c r="EQ120" s="12"/>
      <c r="ER120" s="12"/>
      <c r="ES120" s="12"/>
      <c r="ET120" s="12"/>
      <c r="EU120" s="12"/>
      <c r="EV120" s="12"/>
      <c r="EW120" s="12"/>
      <c r="EX120" s="12"/>
      <c r="EY120" s="12"/>
      <c r="EZ120" s="12"/>
      <c r="FA120" s="12"/>
      <c r="FB120" s="12"/>
      <c r="FC120" s="12"/>
      <c r="FD120" s="12"/>
      <c r="FE120" s="12"/>
      <c r="FF120" s="12"/>
      <c r="FG120" s="12"/>
      <c r="FH120" s="12"/>
      <c r="FI120" s="12"/>
      <c r="FJ120" s="12"/>
      <c r="FK120" s="12"/>
      <c r="FL120" s="12"/>
      <c r="FM120" s="12"/>
      <c r="FN120" s="12"/>
      <c r="FO120" s="12"/>
      <c r="FP120" s="12"/>
      <c r="FQ120" s="12"/>
      <c r="FR120" s="12"/>
      <c r="FS120" s="12"/>
      <c r="FT120" s="12"/>
      <c r="FU120" s="12"/>
      <c r="FV120" s="12"/>
      <c r="FW120" s="12"/>
      <c r="FX120" s="12"/>
      <c r="FY120" s="12"/>
      <c r="FZ120" s="12"/>
      <c r="GA120" s="12"/>
      <c r="GB120" s="12"/>
      <c r="GC120" s="12"/>
      <c r="GD120" s="12"/>
      <c r="GE120" s="12"/>
    </row>
    <row r="121" spans="1:187" ht="21" customHeight="1">
      <c r="A121" s="45"/>
      <c r="B121" s="9" t="s">
        <v>28</v>
      </c>
      <c r="C121" s="10" t="s">
        <v>154</v>
      </c>
      <c r="D121" s="10" t="s">
        <v>161</v>
      </c>
      <c r="E121" s="35">
        <v>143.04300000000001</v>
      </c>
      <c r="F121" s="35">
        <f>210.719-E121</f>
        <v>67.675999999999988</v>
      </c>
      <c r="G121" s="35">
        <v>17.483000000000001</v>
      </c>
      <c r="H121" s="35">
        <f>160.526-G121</f>
        <v>143.04300000000001</v>
      </c>
      <c r="I121" s="35">
        <f t="shared" si="8"/>
        <v>371.245</v>
      </c>
      <c r="J121" s="56">
        <v>383.41</v>
      </c>
      <c r="K121" s="49">
        <v>7320.1024000000007</v>
      </c>
      <c r="L121" s="49">
        <v>7612.9064960000005</v>
      </c>
      <c r="M121" s="49">
        <v>1957.8456299999998</v>
      </c>
      <c r="N121" s="49">
        <v>2036.1594551999999</v>
      </c>
      <c r="O121" s="56">
        <f t="shared" si="14"/>
        <v>5362.2567700000009</v>
      </c>
      <c r="P121" s="1">
        <f t="shared" si="13"/>
        <v>767033.29515111016</v>
      </c>
      <c r="Q121" s="1">
        <f t="shared" si="9"/>
        <v>362896.08916651999</v>
      </c>
      <c r="R121" s="1">
        <f t="shared" si="10"/>
        <v>97498.268514306415</v>
      </c>
      <c r="S121" s="1">
        <f t="shared" si="11"/>
        <v>797714.6269571546</v>
      </c>
      <c r="T121" s="1">
        <f t="shared" si="12"/>
        <v>2025142.2797890913</v>
      </c>
      <c r="U121" s="11"/>
      <c r="V121" s="11"/>
      <c r="W121" s="11"/>
      <c r="X121" s="12"/>
      <c r="Y121" s="12"/>
      <c r="Z121" s="12"/>
      <c r="AA121" s="12"/>
      <c r="AB121" s="12"/>
      <c r="AC121" s="12"/>
      <c r="AD121" s="12"/>
      <c r="AE121" s="12"/>
      <c r="AF121" s="12"/>
      <c r="AG121" s="12"/>
      <c r="AH121" s="12"/>
      <c r="AI121" s="12"/>
      <c r="AJ121" s="12"/>
      <c r="AK121" s="12"/>
      <c r="AL121" s="12"/>
      <c r="AM121" s="12"/>
      <c r="AN121" s="12"/>
      <c r="AO121" s="12"/>
      <c r="AP121" s="12"/>
      <c r="AQ121" s="12"/>
      <c r="AR121" s="12"/>
      <c r="AS121" s="12"/>
      <c r="AT121" s="12"/>
      <c r="AU121" s="12"/>
      <c r="AV121" s="12"/>
      <c r="AW121" s="12"/>
      <c r="AX121" s="12"/>
      <c r="AY121" s="12"/>
      <c r="AZ121" s="12"/>
      <c r="BA121" s="12"/>
      <c r="BB121" s="12"/>
      <c r="BC121" s="12"/>
      <c r="BD121" s="12"/>
      <c r="BE121" s="12"/>
      <c r="BF121" s="12"/>
      <c r="BG121" s="12"/>
      <c r="BH121" s="12"/>
      <c r="BI121" s="12"/>
      <c r="BJ121" s="12"/>
      <c r="BK121" s="12"/>
      <c r="BL121" s="12"/>
      <c r="BM121" s="12"/>
      <c r="BN121" s="12"/>
      <c r="BO121" s="12"/>
      <c r="BP121" s="12"/>
      <c r="BQ121" s="12"/>
      <c r="BR121" s="12"/>
      <c r="BS121" s="12"/>
      <c r="BT121" s="12"/>
      <c r="BU121" s="12"/>
      <c r="BV121" s="12"/>
      <c r="BW121" s="12"/>
      <c r="BX121" s="12"/>
      <c r="BY121" s="12"/>
      <c r="BZ121" s="12"/>
      <c r="CA121" s="12"/>
      <c r="CB121" s="12"/>
      <c r="CC121" s="12"/>
      <c r="CD121" s="12"/>
      <c r="CE121" s="12"/>
      <c r="CF121" s="12"/>
      <c r="CG121" s="12"/>
      <c r="CH121" s="12"/>
      <c r="CI121" s="12"/>
      <c r="CJ121" s="12"/>
      <c r="CK121" s="12"/>
      <c r="CL121" s="12"/>
      <c r="CM121" s="12"/>
      <c r="CN121" s="12"/>
      <c r="CO121" s="12"/>
      <c r="CP121" s="12"/>
      <c r="CQ121" s="12"/>
      <c r="CR121" s="12"/>
      <c r="CS121" s="12"/>
      <c r="CT121" s="12"/>
      <c r="CU121" s="12"/>
      <c r="CV121" s="12"/>
      <c r="CW121" s="12"/>
      <c r="CX121" s="12"/>
      <c r="CY121" s="12"/>
      <c r="CZ121" s="12"/>
      <c r="DA121" s="12"/>
      <c r="DB121" s="12"/>
      <c r="DC121" s="12"/>
      <c r="DD121" s="12"/>
      <c r="DE121" s="12"/>
      <c r="DF121" s="12"/>
      <c r="DG121" s="12"/>
      <c r="DH121" s="12"/>
      <c r="DI121" s="12"/>
      <c r="DJ121" s="12"/>
      <c r="DK121" s="12"/>
      <c r="DL121" s="12"/>
      <c r="DM121" s="12"/>
      <c r="DN121" s="12"/>
      <c r="DO121" s="12"/>
      <c r="DP121" s="12"/>
      <c r="DQ121" s="12"/>
      <c r="DR121" s="12"/>
      <c r="DS121" s="12"/>
      <c r="DT121" s="12"/>
      <c r="DU121" s="12"/>
      <c r="DV121" s="12"/>
      <c r="DW121" s="12"/>
      <c r="DX121" s="12"/>
      <c r="DY121" s="12"/>
      <c r="DZ121" s="12"/>
      <c r="EA121" s="12"/>
      <c r="EB121" s="12"/>
      <c r="EC121" s="12"/>
      <c r="ED121" s="12"/>
      <c r="EE121" s="12"/>
      <c r="EF121" s="12"/>
      <c r="EG121" s="12"/>
      <c r="EH121" s="12"/>
      <c r="EI121" s="12"/>
      <c r="EJ121" s="12"/>
      <c r="EK121" s="12"/>
      <c r="EL121" s="12"/>
      <c r="EM121" s="12"/>
      <c r="EN121" s="12"/>
      <c r="EO121" s="12"/>
      <c r="EP121" s="12"/>
      <c r="EQ121" s="12"/>
      <c r="ER121" s="12"/>
      <c r="ES121" s="12"/>
      <c r="ET121" s="12"/>
      <c r="EU121" s="12"/>
      <c r="EV121" s="12"/>
      <c r="EW121" s="12"/>
      <c r="EX121" s="12"/>
      <c r="EY121" s="12"/>
      <c r="EZ121" s="12"/>
      <c r="FA121" s="12"/>
      <c r="FB121" s="12"/>
      <c r="FC121" s="12"/>
      <c r="FD121" s="12"/>
      <c r="FE121" s="12"/>
      <c r="FF121" s="12"/>
      <c r="FG121" s="12"/>
      <c r="FH121" s="12"/>
      <c r="FI121" s="12"/>
      <c r="FJ121" s="12"/>
      <c r="FK121" s="12"/>
      <c r="FL121" s="12"/>
      <c r="FM121" s="12"/>
      <c r="FN121" s="12"/>
      <c r="FO121" s="12"/>
      <c r="FP121" s="12"/>
      <c r="FQ121" s="12"/>
      <c r="FR121" s="12"/>
      <c r="FS121" s="12"/>
      <c r="FT121" s="12"/>
      <c r="FU121" s="12"/>
      <c r="FV121" s="12"/>
      <c r="FW121" s="12"/>
      <c r="FX121" s="12"/>
      <c r="FY121" s="12"/>
      <c r="FZ121" s="12"/>
      <c r="GA121" s="12"/>
      <c r="GB121" s="12"/>
      <c r="GC121" s="12"/>
      <c r="GD121" s="12"/>
      <c r="GE121" s="12"/>
    </row>
    <row r="122" spans="1:187" ht="21" customHeight="1">
      <c r="A122" s="45"/>
      <c r="B122" s="9" t="s">
        <v>28</v>
      </c>
      <c r="C122" s="10" t="s">
        <v>154</v>
      </c>
      <c r="D122" s="10" t="s">
        <v>410</v>
      </c>
      <c r="E122" s="35">
        <v>335.642</v>
      </c>
      <c r="F122" s="35">
        <f>741.661-E122</f>
        <v>406.01899999999995</v>
      </c>
      <c r="G122" s="35">
        <v>48.347000000000001</v>
      </c>
      <c r="H122" s="35">
        <v>503.46300000000002</v>
      </c>
      <c r="I122" s="35">
        <f t="shared" si="8"/>
        <v>1293.471</v>
      </c>
      <c r="J122" s="56">
        <v>1330.3</v>
      </c>
      <c r="K122" s="49">
        <v>5549.5336000000007</v>
      </c>
      <c r="L122" s="49">
        <v>5771.5149440000005</v>
      </c>
      <c r="M122" s="49">
        <v>1957.8456299999998</v>
      </c>
      <c r="N122" s="49">
        <v>2036.1594551999999</v>
      </c>
      <c r="O122" s="56"/>
      <c r="P122" s="1">
        <f t="shared" ref="P122" si="16">(K122-M122)*E122</f>
        <v>1205521.3336267404</v>
      </c>
      <c r="Q122" s="1">
        <f t="shared" si="9"/>
        <v>1458293.5578914301</v>
      </c>
      <c r="R122" s="1">
        <f t="shared" si="10"/>
        <v>180593.23181701364</v>
      </c>
      <c r="S122" s="1">
        <f t="shared" si="11"/>
        <v>1880613.2804577148</v>
      </c>
      <c r="T122" s="1">
        <f t="shared" si="12"/>
        <v>4725021.4037928991</v>
      </c>
      <c r="U122" s="11"/>
      <c r="V122" s="11"/>
      <c r="W122" s="11"/>
      <c r="X122" s="12"/>
      <c r="Y122" s="12"/>
      <c r="Z122" s="12"/>
      <c r="AA122" s="12"/>
      <c r="AB122" s="12"/>
      <c r="AC122" s="12"/>
      <c r="AD122" s="12"/>
      <c r="AE122" s="12"/>
      <c r="AF122" s="12"/>
      <c r="AG122" s="12"/>
      <c r="AH122" s="12"/>
      <c r="AI122" s="12"/>
      <c r="AJ122" s="12"/>
      <c r="AK122" s="12"/>
      <c r="AL122" s="12"/>
      <c r="AM122" s="12"/>
      <c r="AN122" s="12"/>
      <c r="AO122" s="12"/>
      <c r="AP122" s="12"/>
      <c r="AQ122" s="12"/>
      <c r="AR122" s="12"/>
      <c r="AS122" s="12"/>
      <c r="AT122" s="12"/>
      <c r="AU122" s="12"/>
      <c r="AV122" s="12"/>
      <c r="AW122" s="12"/>
      <c r="AX122" s="12"/>
      <c r="AY122" s="12"/>
      <c r="AZ122" s="12"/>
      <c r="BA122" s="12"/>
      <c r="BB122" s="12"/>
      <c r="BC122" s="12"/>
      <c r="BD122" s="12"/>
      <c r="BE122" s="12"/>
      <c r="BF122" s="12"/>
      <c r="BG122" s="12"/>
      <c r="BH122" s="12"/>
      <c r="BI122" s="12"/>
      <c r="BJ122" s="12"/>
      <c r="BK122" s="12"/>
      <c r="BL122" s="12"/>
      <c r="BM122" s="12"/>
      <c r="BN122" s="12"/>
      <c r="BO122" s="12"/>
      <c r="BP122" s="12"/>
      <c r="BQ122" s="12"/>
      <c r="BR122" s="12"/>
      <c r="BS122" s="12"/>
      <c r="BT122" s="12"/>
      <c r="BU122" s="12"/>
      <c r="BV122" s="12"/>
      <c r="BW122" s="12"/>
      <c r="BX122" s="12"/>
      <c r="BY122" s="12"/>
      <c r="BZ122" s="12"/>
      <c r="CA122" s="12"/>
      <c r="CB122" s="12"/>
      <c r="CC122" s="12"/>
      <c r="CD122" s="12"/>
      <c r="CE122" s="12"/>
      <c r="CF122" s="12"/>
      <c r="CG122" s="12"/>
      <c r="CH122" s="12"/>
      <c r="CI122" s="12"/>
      <c r="CJ122" s="12"/>
      <c r="CK122" s="12"/>
      <c r="CL122" s="12"/>
      <c r="CM122" s="12"/>
      <c r="CN122" s="12"/>
      <c r="CO122" s="12"/>
      <c r="CP122" s="12"/>
      <c r="CQ122" s="12"/>
      <c r="CR122" s="12"/>
      <c r="CS122" s="12"/>
      <c r="CT122" s="12"/>
      <c r="CU122" s="12"/>
      <c r="CV122" s="12"/>
      <c r="CW122" s="12"/>
      <c r="CX122" s="12"/>
      <c r="CY122" s="12"/>
      <c r="CZ122" s="12"/>
      <c r="DA122" s="12"/>
      <c r="DB122" s="12"/>
      <c r="DC122" s="12"/>
      <c r="DD122" s="12"/>
      <c r="DE122" s="12"/>
      <c r="DF122" s="12"/>
      <c r="DG122" s="12"/>
      <c r="DH122" s="12"/>
      <c r="DI122" s="12"/>
      <c r="DJ122" s="12"/>
      <c r="DK122" s="12"/>
      <c r="DL122" s="12"/>
      <c r="DM122" s="12"/>
      <c r="DN122" s="12"/>
      <c r="DO122" s="12"/>
      <c r="DP122" s="12"/>
      <c r="DQ122" s="12"/>
      <c r="DR122" s="12"/>
      <c r="DS122" s="12"/>
      <c r="DT122" s="12"/>
      <c r="DU122" s="12"/>
      <c r="DV122" s="12"/>
      <c r="DW122" s="12"/>
      <c r="DX122" s="12"/>
      <c r="DY122" s="12"/>
      <c r="DZ122" s="12"/>
      <c r="EA122" s="12"/>
      <c r="EB122" s="12"/>
      <c r="EC122" s="12"/>
      <c r="ED122" s="12"/>
      <c r="EE122" s="12"/>
      <c r="EF122" s="12"/>
      <c r="EG122" s="12"/>
      <c r="EH122" s="12"/>
      <c r="EI122" s="12"/>
      <c r="EJ122" s="12"/>
      <c r="EK122" s="12"/>
      <c r="EL122" s="12"/>
      <c r="EM122" s="12"/>
      <c r="EN122" s="12"/>
      <c r="EO122" s="12"/>
      <c r="EP122" s="12"/>
      <c r="EQ122" s="12"/>
      <c r="ER122" s="12"/>
      <c r="ES122" s="12"/>
      <c r="ET122" s="12"/>
      <c r="EU122" s="12"/>
      <c r="EV122" s="12"/>
      <c r="EW122" s="12"/>
      <c r="EX122" s="12"/>
      <c r="EY122" s="12"/>
      <c r="EZ122" s="12"/>
      <c r="FA122" s="12"/>
      <c r="FB122" s="12"/>
      <c r="FC122" s="12"/>
      <c r="FD122" s="12"/>
      <c r="FE122" s="12"/>
      <c r="FF122" s="12"/>
      <c r="FG122" s="12"/>
      <c r="FH122" s="12"/>
      <c r="FI122" s="12"/>
      <c r="FJ122" s="12"/>
      <c r="FK122" s="12"/>
      <c r="FL122" s="12"/>
      <c r="FM122" s="12"/>
      <c r="FN122" s="12"/>
      <c r="FO122" s="12"/>
      <c r="FP122" s="12"/>
      <c r="FQ122" s="12"/>
      <c r="FR122" s="12"/>
      <c r="FS122" s="12"/>
      <c r="FT122" s="12"/>
      <c r="FU122" s="12"/>
      <c r="FV122" s="12"/>
      <c r="FW122" s="12"/>
      <c r="FX122" s="12"/>
      <c r="FY122" s="12"/>
      <c r="FZ122" s="12"/>
      <c r="GA122" s="12"/>
      <c r="GB122" s="12"/>
      <c r="GC122" s="12"/>
      <c r="GD122" s="12"/>
      <c r="GE122" s="12"/>
    </row>
    <row r="123" spans="1:187" ht="21" customHeight="1">
      <c r="A123" s="30" t="s">
        <v>337</v>
      </c>
      <c r="B123" s="9" t="s">
        <v>361</v>
      </c>
      <c r="C123" s="10" t="s">
        <v>358</v>
      </c>
      <c r="D123" s="10" t="s">
        <v>160</v>
      </c>
      <c r="E123" s="35">
        <f>61.039*0.4</f>
        <v>24.415600000000001</v>
      </c>
      <c r="F123" s="35">
        <f>61.039*0.6</f>
        <v>36.623399999999997</v>
      </c>
      <c r="G123" s="35">
        <f>49.941*0.2</f>
        <v>9.9882000000000009</v>
      </c>
      <c r="H123" s="35">
        <f>49.941*0.8</f>
        <v>39.952800000000003</v>
      </c>
      <c r="I123" s="35">
        <f t="shared" si="8"/>
        <v>110.98000000000002</v>
      </c>
      <c r="J123" s="56">
        <v>110.97999999999999</v>
      </c>
      <c r="K123" s="49">
        <v>3352.1647199999998</v>
      </c>
      <c r="L123" s="49">
        <v>3486.2513088000001</v>
      </c>
      <c r="M123" s="49">
        <v>2310.2908200000002</v>
      </c>
      <c r="N123" s="49">
        <v>2402.7024528000002</v>
      </c>
      <c r="O123" s="56">
        <f t="shared" si="14"/>
        <v>1041.8738999999996</v>
      </c>
      <c r="P123" s="1">
        <f t="shared" si="13"/>
        <v>25437.976392839992</v>
      </c>
      <c r="Q123" s="1">
        <f t="shared" si="9"/>
        <v>38156.96458925998</v>
      </c>
      <c r="R123" s="1">
        <f t="shared" si="10"/>
        <v>10822.702683499199</v>
      </c>
      <c r="S123" s="1">
        <f t="shared" si="11"/>
        <v>43290.810733996797</v>
      </c>
      <c r="T123" s="1">
        <f t="shared" si="12"/>
        <v>117708.45439959597</v>
      </c>
      <c r="U123" s="11"/>
      <c r="V123" s="11"/>
      <c r="W123" s="11"/>
      <c r="X123" s="12"/>
      <c r="Y123" s="12"/>
      <c r="Z123" s="12"/>
      <c r="AA123" s="12"/>
      <c r="AB123" s="12"/>
      <c r="AC123" s="12"/>
      <c r="AD123" s="12"/>
      <c r="AE123" s="12"/>
      <c r="AF123" s="12"/>
      <c r="AG123" s="12"/>
      <c r="AH123" s="12"/>
      <c r="AI123" s="12"/>
      <c r="AJ123" s="12"/>
      <c r="AK123" s="12"/>
      <c r="AL123" s="12"/>
      <c r="AM123" s="12"/>
      <c r="AN123" s="12"/>
      <c r="AO123" s="12"/>
      <c r="AP123" s="12"/>
      <c r="AQ123" s="12"/>
      <c r="AR123" s="12"/>
      <c r="AS123" s="12"/>
      <c r="AT123" s="12"/>
      <c r="AU123" s="12"/>
      <c r="AV123" s="12"/>
      <c r="AW123" s="12"/>
      <c r="AX123" s="12"/>
      <c r="AY123" s="12"/>
      <c r="AZ123" s="12"/>
      <c r="BA123" s="12"/>
      <c r="BB123" s="12"/>
      <c r="BC123" s="12"/>
      <c r="BD123" s="12"/>
      <c r="BE123" s="12"/>
      <c r="BF123" s="12"/>
      <c r="BG123" s="12"/>
      <c r="BH123" s="12"/>
      <c r="BI123" s="12"/>
      <c r="BJ123" s="12"/>
      <c r="BK123" s="12"/>
      <c r="BL123" s="12"/>
      <c r="BM123" s="12"/>
      <c r="BN123" s="12"/>
      <c r="BO123" s="12"/>
      <c r="BP123" s="12"/>
      <c r="BQ123" s="12"/>
      <c r="BR123" s="12"/>
      <c r="BS123" s="12"/>
      <c r="BT123" s="12"/>
      <c r="BU123" s="12"/>
      <c r="BV123" s="12"/>
      <c r="BW123" s="12"/>
      <c r="BX123" s="12"/>
      <c r="BY123" s="12"/>
      <c r="BZ123" s="12"/>
      <c r="CA123" s="12"/>
      <c r="CB123" s="12"/>
      <c r="CC123" s="12"/>
      <c r="CD123" s="12"/>
      <c r="CE123" s="12"/>
      <c r="CF123" s="12"/>
      <c r="CG123" s="12"/>
      <c r="CH123" s="12"/>
      <c r="CI123" s="12"/>
      <c r="CJ123" s="12"/>
      <c r="CK123" s="12"/>
      <c r="CL123" s="12"/>
      <c r="CM123" s="12"/>
      <c r="CN123" s="12"/>
      <c r="CO123" s="12"/>
      <c r="CP123" s="12"/>
      <c r="CQ123" s="12"/>
      <c r="CR123" s="12"/>
      <c r="CS123" s="12"/>
      <c r="CT123" s="12"/>
      <c r="CU123" s="12"/>
      <c r="CV123" s="12"/>
      <c r="CW123" s="12"/>
      <c r="CX123" s="12"/>
      <c r="CY123" s="12"/>
      <c r="CZ123" s="12"/>
      <c r="DA123" s="12"/>
      <c r="DB123" s="12"/>
      <c r="DC123" s="12"/>
      <c r="DD123" s="12"/>
      <c r="DE123" s="12"/>
      <c r="DF123" s="12"/>
      <c r="DG123" s="12"/>
      <c r="DH123" s="12"/>
      <c r="DI123" s="12"/>
      <c r="DJ123" s="12"/>
      <c r="DK123" s="12"/>
      <c r="DL123" s="12"/>
      <c r="DM123" s="12"/>
      <c r="DN123" s="12"/>
      <c r="DO123" s="12"/>
      <c r="DP123" s="12"/>
      <c r="DQ123" s="12"/>
      <c r="DR123" s="12"/>
      <c r="DS123" s="12"/>
      <c r="DT123" s="12"/>
      <c r="DU123" s="12"/>
      <c r="DV123" s="12"/>
      <c r="DW123" s="12"/>
      <c r="DX123" s="12"/>
      <c r="DY123" s="12"/>
      <c r="DZ123" s="12"/>
      <c r="EA123" s="12"/>
      <c r="EB123" s="12"/>
      <c r="EC123" s="12"/>
      <c r="ED123" s="12"/>
      <c r="EE123" s="12"/>
      <c r="EF123" s="12"/>
      <c r="EG123" s="12"/>
      <c r="EH123" s="12"/>
      <c r="EI123" s="12"/>
      <c r="EJ123" s="12"/>
      <c r="EK123" s="12"/>
      <c r="EL123" s="12"/>
      <c r="EM123" s="12"/>
      <c r="EN123" s="12"/>
      <c r="EO123" s="12"/>
      <c r="EP123" s="12"/>
      <c r="EQ123" s="12"/>
      <c r="ER123" s="12"/>
      <c r="ES123" s="12"/>
      <c r="ET123" s="12"/>
      <c r="EU123" s="12"/>
      <c r="EV123" s="12"/>
      <c r="EW123" s="12"/>
      <c r="EX123" s="12"/>
      <c r="EY123" s="12"/>
      <c r="EZ123" s="12"/>
      <c r="FA123" s="12"/>
      <c r="FB123" s="12"/>
      <c r="FC123" s="12"/>
      <c r="FD123" s="12"/>
      <c r="FE123" s="12"/>
      <c r="FF123" s="12"/>
      <c r="FG123" s="12"/>
      <c r="FH123" s="12"/>
      <c r="FI123" s="12"/>
      <c r="FJ123" s="12"/>
      <c r="FK123" s="12"/>
      <c r="FL123" s="12"/>
      <c r="FM123" s="12"/>
      <c r="FN123" s="12"/>
      <c r="FO123" s="12"/>
      <c r="FP123" s="12"/>
      <c r="FQ123" s="12"/>
      <c r="FR123" s="12"/>
      <c r="FS123" s="12"/>
      <c r="FT123" s="12"/>
      <c r="FU123" s="12"/>
      <c r="FV123" s="12"/>
      <c r="FW123" s="12"/>
      <c r="FX123" s="12"/>
      <c r="FY123" s="12"/>
      <c r="FZ123" s="12"/>
      <c r="GA123" s="12"/>
      <c r="GB123" s="12"/>
      <c r="GC123" s="12"/>
      <c r="GD123" s="12"/>
      <c r="GE123" s="12"/>
    </row>
    <row r="124" spans="1:187" ht="21" customHeight="1">
      <c r="A124" s="30" t="s">
        <v>337</v>
      </c>
      <c r="B124" s="9" t="s">
        <v>362</v>
      </c>
      <c r="C124" s="10" t="s">
        <v>359</v>
      </c>
      <c r="D124" s="10" t="s">
        <v>163</v>
      </c>
      <c r="E124" s="35">
        <f>67.6*0.4</f>
        <v>27.04</v>
      </c>
      <c r="F124" s="35">
        <f>67.6*0.6</f>
        <v>40.559999999999995</v>
      </c>
      <c r="G124" s="35">
        <f>62.4*0.2</f>
        <v>12.48</v>
      </c>
      <c r="H124" s="35">
        <f>62.4*0.8</f>
        <v>49.92</v>
      </c>
      <c r="I124" s="35">
        <f t="shared" si="8"/>
        <v>130</v>
      </c>
      <c r="J124" s="56">
        <v>130</v>
      </c>
      <c r="K124" s="49">
        <v>2222.7161699999997</v>
      </c>
      <c r="L124" s="49">
        <v>2311.6248167999997</v>
      </c>
      <c r="M124" s="49">
        <v>1846.31628</v>
      </c>
      <c r="N124" s="49">
        <v>1920.1689312000001</v>
      </c>
      <c r="O124" s="56">
        <f t="shared" si="14"/>
        <v>376.39988999999969</v>
      </c>
      <c r="P124" s="1">
        <f t="shared" si="13"/>
        <v>10177.85302559999</v>
      </c>
      <c r="Q124" s="1">
        <f t="shared" si="9"/>
        <v>15266.779538399986</v>
      </c>
      <c r="R124" s="1">
        <f t="shared" si="10"/>
        <v>4885.369452287996</v>
      </c>
      <c r="S124" s="1">
        <f t="shared" si="11"/>
        <v>19541.477809151984</v>
      </c>
      <c r="T124" s="1">
        <f t="shared" si="12"/>
        <v>49871.479825439957</v>
      </c>
      <c r="U124" s="11"/>
      <c r="V124" s="11"/>
      <c r="W124" s="11"/>
      <c r="X124" s="12"/>
      <c r="Y124" s="12"/>
      <c r="Z124" s="12"/>
      <c r="AA124" s="12"/>
      <c r="AB124" s="12"/>
      <c r="AC124" s="12"/>
      <c r="AD124" s="12"/>
      <c r="AE124" s="12"/>
      <c r="AF124" s="12"/>
      <c r="AG124" s="12"/>
      <c r="AH124" s="12"/>
      <c r="AI124" s="12"/>
      <c r="AJ124" s="12"/>
      <c r="AK124" s="12"/>
      <c r="AL124" s="12"/>
      <c r="AM124" s="12"/>
      <c r="AN124" s="12"/>
      <c r="AO124" s="12"/>
      <c r="AP124" s="12"/>
      <c r="AQ124" s="12"/>
      <c r="AR124" s="12"/>
      <c r="AS124" s="12"/>
      <c r="AT124" s="12"/>
      <c r="AU124" s="12"/>
      <c r="AV124" s="12"/>
      <c r="AW124" s="12"/>
      <c r="AX124" s="12"/>
      <c r="AY124" s="12"/>
      <c r="AZ124" s="12"/>
      <c r="BA124" s="12"/>
      <c r="BB124" s="12"/>
      <c r="BC124" s="12"/>
      <c r="BD124" s="12"/>
      <c r="BE124" s="12"/>
      <c r="BF124" s="12"/>
      <c r="BG124" s="12"/>
      <c r="BH124" s="12"/>
      <c r="BI124" s="12"/>
      <c r="BJ124" s="12"/>
      <c r="BK124" s="12"/>
      <c r="BL124" s="12"/>
      <c r="BM124" s="12"/>
      <c r="BN124" s="12"/>
      <c r="BO124" s="12"/>
      <c r="BP124" s="12"/>
      <c r="BQ124" s="12"/>
      <c r="BR124" s="12"/>
      <c r="BS124" s="12"/>
      <c r="BT124" s="12"/>
      <c r="BU124" s="12"/>
      <c r="BV124" s="12"/>
      <c r="BW124" s="12"/>
      <c r="BX124" s="12"/>
      <c r="BY124" s="12"/>
      <c r="BZ124" s="12"/>
      <c r="CA124" s="12"/>
      <c r="CB124" s="12"/>
      <c r="CC124" s="12"/>
      <c r="CD124" s="12"/>
      <c r="CE124" s="12"/>
      <c r="CF124" s="12"/>
      <c r="CG124" s="12"/>
      <c r="CH124" s="12"/>
      <c r="CI124" s="12"/>
      <c r="CJ124" s="12"/>
      <c r="CK124" s="12"/>
      <c r="CL124" s="12"/>
      <c r="CM124" s="12"/>
      <c r="CN124" s="12"/>
      <c r="CO124" s="12"/>
      <c r="CP124" s="12"/>
      <c r="CQ124" s="12"/>
      <c r="CR124" s="12"/>
      <c r="CS124" s="12"/>
      <c r="CT124" s="12"/>
      <c r="CU124" s="12"/>
      <c r="CV124" s="12"/>
      <c r="CW124" s="12"/>
      <c r="CX124" s="12"/>
      <c r="CY124" s="12"/>
      <c r="CZ124" s="12"/>
      <c r="DA124" s="12"/>
      <c r="DB124" s="12"/>
      <c r="DC124" s="12"/>
      <c r="DD124" s="12"/>
      <c r="DE124" s="12"/>
      <c r="DF124" s="12"/>
      <c r="DG124" s="12"/>
      <c r="DH124" s="12"/>
      <c r="DI124" s="12"/>
      <c r="DJ124" s="12"/>
      <c r="DK124" s="12"/>
      <c r="DL124" s="12"/>
      <c r="DM124" s="12"/>
      <c r="DN124" s="12"/>
      <c r="DO124" s="12"/>
      <c r="DP124" s="12"/>
      <c r="DQ124" s="12"/>
      <c r="DR124" s="12"/>
      <c r="DS124" s="12"/>
      <c r="DT124" s="12"/>
      <c r="DU124" s="12"/>
      <c r="DV124" s="12"/>
      <c r="DW124" s="12"/>
      <c r="DX124" s="12"/>
      <c r="DY124" s="12"/>
      <c r="DZ124" s="12"/>
      <c r="EA124" s="12"/>
      <c r="EB124" s="12"/>
      <c r="EC124" s="12"/>
      <c r="ED124" s="12"/>
      <c r="EE124" s="12"/>
      <c r="EF124" s="12"/>
      <c r="EG124" s="12"/>
      <c r="EH124" s="12"/>
      <c r="EI124" s="12"/>
      <c r="EJ124" s="12"/>
      <c r="EK124" s="12"/>
      <c r="EL124" s="12"/>
      <c r="EM124" s="12"/>
      <c r="EN124" s="12"/>
      <c r="EO124" s="12"/>
      <c r="EP124" s="12"/>
      <c r="EQ124" s="12"/>
      <c r="ER124" s="12"/>
      <c r="ES124" s="12"/>
      <c r="ET124" s="12"/>
      <c r="EU124" s="12"/>
      <c r="EV124" s="12"/>
      <c r="EW124" s="12"/>
      <c r="EX124" s="12"/>
      <c r="EY124" s="12"/>
      <c r="EZ124" s="12"/>
      <c r="FA124" s="12"/>
      <c r="FB124" s="12"/>
      <c r="FC124" s="12"/>
      <c r="FD124" s="12"/>
      <c r="FE124" s="12"/>
      <c r="FF124" s="12"/>
      <c r="FG124" s="12"/>
      <c r="FH124" s="12"/>
      <c r="FI124" s="12"/>
      <c r="FJ124" s="12"/>
      <c r="FK124" s="12"/>
      <c r="FL124" s="12"/>
      <c r="FM124" s="12"/>
      <c r="FN124" s="12"/>
      <c r="FO124" s="12"/>
      <c r="FP124" s="12"/>
      <c r="FQ124" s="12"/>
      <c r="FR124" s="12"/>
      <c r="FS124" s="12"/>
      <c r="FT124" s="12"/>
      <c r="FU124" s="12"/>
      <c r="FV124" s="12"/>
      <c r="FW124" s="12"/>
      <c r="FX124" s="12"/>
      <c r="FY124" s="12"/>
      <c r="FZ124" s="12"/>
      <c r="GA124" s="12"/>
      <c r="GB124" s="12"/>
      <c r="GC124" s="12"/>
      <c r="GD124" s="12"/>
      <c r="GE124" s="12"/>
    </row>
    <row r="125" spans="1:187" ht="21" customHeight="1">
      <c r="A125" s="30" t="s">
        <v>337</v>
      </c>
      <c r="B125" s="9" t="s">
        <v>363</v>
      </c>
      <c r="C125" s="10" t="s">
        <v>430</v>
      </c>
      <c r="D125" s="10" t="s">
        <v>161</v>
      </c>
      <c r="E125" s="35">
        <f>258.5658*0.6</f>
        <v>155.13948000000002</v>
      </c>
      <c r="F125" s="35">
        <f>258.5658*0.4</f>
        <v>103.42632000000002</v>
      </c>
      <c r="G125" s="35">
        <f>229.2942*0.2</f>
        <v>45.858840000000001</v>
      </c>
      <c r="H125" s="35">
        <f>229.2942*0.8</f>
        <v>183.43536</v>
      </c>
      <c r="I125" s="35">
        <f t="shared" si="8"/>
        <v>487.86</v>
      </c>
      <c r="J125" s="56">
        <v>487.86</v>
      </c>
      <c r="K125" s="49">
        <v>4204.1460208471108</v>
      </c>
      <c r="L125" s="49">
        <v>4372.3118616809952</v>
      </c>
      <c r="M125" s="49">
        <v>2310.2597099999998</v>
      </c>
      <c r="N125" s="49">
        <v>2402.6700983999999</v>
      </c>
      <c r="O125" s="56">
        <f t="shared" si="14"/>
        <v>1893.886310847111</v>
      </c>
      <c r="P125" s="1">
        <f t="shared" si="13"/>
        <v>293816.53744393919</v>
      </c>
      <c r="Q125" s="1">
        <f t="shared" si="9"/>
        <v>195877.69162929279</v>
      </c>
      <c r="R125" s="1">
        <f t="shared" si="10"/>
        <v>90325.486479621046</v>
      </c>
      <c r="S125" s="1">
        <f t="shared" si="11"/>
        <v>361301.94591848418</v>
      </c>
      <c r="T125" s="1">
        <f t="shared" si="12"/>
        <v>941321.66147133731</v>
      </c>
      <c r="U125" s="11"/>
      <c r="V125" s="11"/>
      <c r="W125" s="11"/>
      <c r="X125" s="12"/>
      <c r="Y125" s="12"/>
      <c r="Z125" s="12"/>
      <c r="AA125" s="12"/>
      <c r="AB125" s="12"/>
      <c r="AC125" s="12"/>
      <c r="AD125" s="12"/>
      <c r="AE125" s="12"/>
      <c r="AF125" s="12"/>
      <c r="AG125" s="12"/>
      <c r="AH125" s="12"/>
      <c r="AI125" s="12"/>
      <c r="AJ125" s="12"/>
      <c r="AK125" s="12"/>
      <c r="AL125" s="12"/>
      <c r="AM125" s="12"/>
      <c r="AN125" s="12"/>
      <c r="AO125" s="12"/>
      <c r="AP125" s="12"/>
      <c r="AQ125" s="12"/>
      <c r="AR125" s="12"/>
      <c r="AS125" s="12"/>
      <c r="AT125" s="12"/>
      <c r="AU125" s="12"/>
      <c r="AV125" s="12"/>
      <c r="AW125" s="12"/>
      <c r="AX125" s="12"/>
      <c r="AY125" s="12"/>
      <c r="AZ125" s="12"/>
      <c r="BA125" s="12"/>
      <c r="BB125" s="12"/>
      <c r="BC125" s="12"/>
      <c r="BD125" s="12"/>
      <c r="BE125" s="12"/>
      <c r="BF125" s="12"/>
      <c r="BG125" s="12"/>
      <c r="BH125" s="12"/>
      <c r="BI125" s="12"/>
      <c r="BJ125" s="12"/>
      <c r="BK125" s="12"/>
      <c r="BL125" s="12"/>
      <c r="BM125" s="12"/>
      <c r="BN125" s="12"/>
      <c r="BO125" s="12"/>
      <c r="BP125" s="12"/>
      <c r="BQ125" s="12"/>
      <c r="BR125" s="12"/>
      <c r="BS125" s="12"/>
      <c r="BT125" s="12"/>
      <c r="BU125" s="12"/>
      <c r="BV125" s="12"/>
      <c r="BW125" s="12"/>
      <c r="BX125" s="12"/>
      <c r="BY125" s="12"/>
      <c r="BZ125" s="12"/>
      <c r="CA125" s="12"/>
      <c r="CB125" s="12"/>
      <c r="CC125" s="12"/>
      <c r="CD125" s="12"/>
      <c r="CE125" s="12"/>
      <c r="CF125" s="12"/>
      <c r="CG125" s="12"/>
      <c r="CH125" s="12"/>
      <c r="CI125" s="12"/>
      <c r="CJ125" s="12"/>
      <c r="CK125" s="12"/>
      <c r="CL125" s="12"/>
      <c r="CM125" s="12"/>
      <c r="CN125" s="12"/>
      <c r="CO125" s="12"/>
      <c r="CP125" s="12"/>
      <c r="CQ125" s="12"/>
      <c r="CR125" s="12"/>
      <c r="CS125" s="12"/>
      <c r="CT125" s="12"/>
      <c r="CU125" s="12"/>
      <c r="CV125" s="12"/>
      <c r="CW125" s="12"/>
      <c r="CX125" s="12"/>
      <c r="CY125" s="12"/>
      <c r="CZ125" s="12"/>
      <c r="DA125" s="12"/>
      <c r="DB125" s="12"/>
      <c r="DC125" s="12"/>
      <c r="DD125" s="12"/>
      <c r="DE125" s="12"/>
      <c r="DF125" s="12"/>
      <c r="DG125" s="12"/>
      <c r="DH125" s="12"/>
      <c r="DI125" s="12"/>
      <c r="DJ125" s="12"/>
      <c r="DK125" s="12"/>
      <c r="DL125" s="12"/>
      <c r="DM125" s="12"/>
      <c r="DN125" s="12"/>
      <c r="DO125" s="12"/>
      <c r="DP125" s="12"/>
      <c r="DQ125" s="12"/>
      <c r="DR125" s="12"/>
      <c r="DS125" s="12"/>
      <c r="DT125" s="12"/>
      <c r="DU125" s="12"/>
      <c r="DV125" s="12"/>
      <c r="DW125" s="12"/>
      <c r="DX125" s="12"/>
      <c r="DY125" s="12"/>
      <c r="DZ125" s="12"/>
      <c r="EA125" s="12"/>
      <c r="EB125" s="12"/>
      <c r="EC125" s="12"/>
      <c r="ED125" s="12"/>
      <c r="EE125" s="12"/>
      <c r="EF125" s="12"/>
      <c r="EG125" s="12"/>
      <c r="EH125" s="12"/>
      <c r="EI125" s="12"/>
      <c r="EJ125" s="12"/>
      <c r="EK125" s="12"/>
      <c r="EL125" s="12"/>
      <c r="EM125" s="12"/>
      <c r="EN125" s="12"/>
      <c r="EO125" s="12"/>
      <c r="EP125" s="12"/>
      <c r="EQ125" s="12"/>
      <c r="ER125" s="12"/>
      <c r="ES125" s="12"/>
      <c r="ET125" s="12"/>
      <c r="EU125" s="12"/>
      <c r="EV125" s="12"/>
      <c r="EW125" s="12"/>
      <c r="EX125" s="12"/>
      <c r="EY125" s="12"/>
      <c r="EZ125" s="12"/>
      <c r="FA125" s="12"/>
      <c r="FB125" s="12"/>
      <c r="FC125" s="12"/>
      <c r="FD125" s="12"/>
      <c r="FE125" s="12"/>
      <c r="FF125" s="12"/>
      <c r="FG125" s="12"/>
      <c r="FH125" s="12"/>
      <c r="FI125" s="12"/>
      <c r="FJ125" s="12"/>
      <c r="FK125" s="12"/>
      <c r="FL125" s="12"/>
      <c r="FM125" s="12"/>
      <c r="FN125" s="12"/>
      <c r="FO125" s="12"/>
      <c r="FP125" s="12"/>
      <c r="FQ125" s="12"/>
      <c r="FR125" s="12"/>
      <c r="FS125" s="12"/>
      <c r="FT125" s="12"/>
      <c r="FU125" s="12"/>
      <c r="FV125" s="12"/>
      <c r="FW125" s="12"/>
      <c r="FX125" s="12"/>
      <c r="FY125" s="12"/>
      <c r="FZ125" s="12"/>
      <c r="GA125" s="12"/>
      <c r="GB125" s="12"/>
      <c r="GC125" s="12"/>
      <c r="GD125" s="12"/>
      <c r="GE125" s="12"/>
    </row>
    <row r="126" spans="1:187" ht="21" customHeight="1">
      <c r="A126" s="30" t="s">
        <v>337</v>
      </c>
      <c r="B126" s="9" t="s">
        <v>364</v>
      </c>
      <c r="C126" s="10" t="s">
        <v>360</v>
      </c>
      <c r="D126" s="10" t="s">
        <v>365</v>
      </c>
      <c r="E126" s="35">
        <f>388.84352*0.6</f>
        <v>233.30611199999998</v>
      </c>
      <c r="F126" s="35">
        <f>388.84352*0.4</f>
        <v>155.53740800000003</v>
      </c>
      <c r="G126" s="35">
        <f>261.39648*0.2</f>
        <v>52.279296000000002</v>
      </c>
      <c r="H126" s="35">
        <f>261.39648*0.8</f>
        <v>209.11718400000001</v>
      </c>
      <c r="I126" s="35">
        <f t="shared" si="8"/>
        <v>650.24</v>
      </c>
      <c r="J126" s="56">
        <v>650.24</v>
      </c>
      <c r="K126" s="49">
        <v>3158.63</v>
      </c>
      <c r="L126" s="49">
        <v>3284.9752000000003</v>
      </c>
      <c r="M126" s="49">
        <v>2310.2908200000002</v>
      </c>
      <c r="N126" s="49">
        <v>2402.7024528000002</v>
      </c>
      <c r="O126" s="56">
        <f t="shared" si="14"/>
        <v>848.33917999999994</v>
      </c>
      <c r="P126" s="1">
        <f t="shared" si="13"/>
        <v>197922.71574306814</v>
      </c>
      <c r="Q126" s="1">
        <f t="shared" si="9"/>
        <v>131948.47716204546</v>
      </c>
      <c r="R126" s="1">
        <f t="shared" si="10"/>
        <v>46124.59810360198</v>
      </c>
      <c r="S126" s="1">
        <f t="shared" si="11"/>
        <v>184498.39241440792</v>
      </c>
      <c r="T126" s="1">
        <f t="shared" si="12"/>
        <v>560494.18342312344</v>
      </c>
      <c r="U126" s="11"/>
      <c r="V126" s="11"/>
      <c r="W126" s="11"/>
      <c r="X126" s="12"/>
      <c r="Y126" s="12"/>
      <c r="Z126" s="12"/>
      <c r="AA126" s="12"/>
      <c r="AB126" s="12"/>
      <c r="AC126" s="12"/>
      <c r="AD126" s="12"/>
      <c r="AE126" s="12"/>
      <c r="AF126" s="12"/>
      <c r="AG126" s="12"/>
      <c r="AH126" s="12"/>
      <c r="AI126" s="12"/>
      <c r="AJ126" s="12"/>
      <c r="AK126" s="12"/>
      <c r="AL126" s="12"/>
      <c r="AM126" s="12"/>
      <c r="AN126" s="12"/>
      <c r="AO126" s="12"/>
      <c r="AP126" s="12"/>
      <c r="AQ126" s="12"/>
      <c r="AR126" s="12"/>
      <c r="AS126" s="12"/>
      <c r="AT126" s="12"/>
      <c r="AU126" s="12"/>
      <c r="AV126" s="12"/>
      <c r="AW126" s="12"/>
      <c r="AX126" s="12"/>
      <c r="AY126" s="12"/>
      <c r="AZ126" s="12"/>
      <c r="BA126" s="12"/>
      <c r="BB126" s="12"/>
      <c r="BC126" s="12"/>
      <c r="BD126" s="12"/>
      <c r="BE126" s="12"/>
      <c r="BF126" s="12"/>
      <c r="BG126" s="12"/>
      <c r="BH126" s="12"/>
      <c r="BI126" s="12"/>
      <c r="BJ126" s="12"/>
      <c r="BK126" s="12"/>
      <c r="BL126" s="12"/>
      <c r="BM126" s="12"/>
      <c r="BN126" s="12"/>
      <c r="BO126" s="12"/>
      <c r="BP126" s="12"/>
      <c r="BQ126" s="12"/>
      <c r="BR126" s="12"/>
      <c r="BS126" s="12"/>
      <c r="BT126" s="12"/>
      <c r="BU126" s="12"/>
      <c r="BV126" s="12"/>
      <c r="BW126" s="12"/>
      <c r="BX126" s="12"/>
      <c r="BY126" s="12"/>
      <c r="BZ126" s="12"/>
      <c r="CA126" s="12"/>
      <c r="CB126" s="12"/>
      <c r="CC126" s="12"/>
      <c r="CD126" s="12"/>
      <c r="CE126" s="12"/>
      <c r="CF126" s="12"/>
      <c r="CG126" s="12"/>
      <c r="CH126" s="12"/>
      <c r="CI126" s="12"/>
      <c r="CJ126" s="12"/>
      <c r="CK126" s="12"/>
      <c r="CL126" s="12"/>
      <c r="CM126" s="12"/>
      <c r="CN126" s="12"/>
      <c r="CO126" s="12"/>
      <c r="CP126" s="12"/>
      <c r="CQ126" s="12"/>
      <c r="CR126" s="12"/>
      <c r="CS126" s="12"/>
      <c r="CT126" s="12"/>
      <c r="CU126" s="12"/>
      <c r="CV126" s="12"/>
      <c r="CW126" s="12"/>
      <c r="CX126" s="12"/>
      <c r="CY126" s="12"/>
      <c r="CZ126" s="12"/>
      <c r="DA126" s="12"/>
      <c r="DB126" s="12"/>
      <c r="DC126" s="12"/>
      <c r="DD126" s="12"/>
      <c r="DE126" s="12"/>
      <c r="DF126" s="12"/>
      <c r="DG126" s="12"/>
      <c r="DH126" s="12"/>
      <c r="DI126" s="12"/>
      <c r="DJ126" s="12"/>
      <c r="DK126" s="12"/>
      <c r="DL126" s="12"/>
      <c r="DM126" s="12"/>
      <c r="DN126" s="12"/>
      <c r="DO126" s="12"/>
      <c r="DP126" s="12"/>
      <c r="DQ126" s="12"/>
      <c r="DR126" s="12"/>
      <c r="DS126" s="12"/>
      <c r="DT126" s="12"/>
      <c r="DU126" s="12"/>
      <c r="DV126" s="12"/>
      <c r="DW126" s="12"/>
      <c r="DX126" s="12"/>
      <c r="DY126" s="12"/>
      <c r="DZ126" s="12"/>
      <c r="EA126" s="12"/>
      <c r="EB126" s="12"/>
      <c r="EC126" s="12"/>
      <c r="ED126" s="12"/>
      <c r="EE126" s="12"/>
      <c r="EF126" s="12"/>
      <c r="EG126" s="12"/>
      <c r="EH126" s="12"/>
      <c r="EI126" s="12"/>
      <c r="EJ126" s="12"/>
      <c r="EK126" s="12"/>
      <c r="EL126" s="12"/>
      <c r="EM126" s="12"/>
      <c r="EN126" s="12"/>
      <c r="EO126" s="12"/>
      <c r="EP126" s="12"/>
      <c r="EQ126" s="12"/>
      <c r="ER126" s="12"/>
      <c r="ES126" s="12"/>
      <c r="ET126" s="12"/>
      <c r="EU126" s="12"/>
      <c r="EV126" s="12"/>
      <c r="EW126" s="12"/>
      <c r="EX126" s="12"/>
      <c r="EY126" s="12"/>
      <c r="EZ126" s="12"/>
      <c r="FA126" s="12"/>
      <c r="FB126" s="12"/>
      <c r="FC126" s="12"/>
      <c r="FD126" s="12"/>
      <c r="FE126" s="12"/>
      <c r="FF126" s="12"/>
      <c r="FG126" s="12"/>
      <c r="FH126" s="12"/>
      <c r="FI126" s="12"/>
      <c r="FJ126" s="12"/>
      <c r="FK126" s="12"/>
      <c r="FL126" s="12"/>
      <c r="FM126" s="12"/>
      <c r="FN126" s="12"/>
      <c r="FO126" s="12"/>
      <c r="FP126" s="12"/>
      <c r="FQ126" s="12"/>
      <c r="FR126" s="12"/>
      <c r="FS126" s="12"/>
      <c r="FT126" s="12"/>
      <c r="FU126" s="12"/>
      <c r="FV126" s="12"/>
      <c r="FW126" s="12"/>
      <c r="FX126" s="12"/>
      <c r="FY126" s="12"/>
      <c r="FZ126" s="12"/>
      <c r="GA126" s="12"/>
      <c r="GB126" s="12"/>
      <c r="GC126" s="12"/>
      <c r="GD126" s="12"/>
      <c r="GE126" s="12"/>
    </row>
    <row r="127" spans="1:187" ht="21" customHeight="1">
      <c r="A127" s="45"/>
      <c r="B127" s="101" t="s">
        <v>165</v>
      </c>
      <c r="C127" s="101"/>
      <c r="D127" s="101"/>
      <c r="E127" s="34"/>
      <c r="F127" s="34"/>
      <c r="G127" s="34"/>
      <c r="H127" s="34"/>
      <c r="I127" s="35">
        <f t="shared" si="8"/>
        <v>0</v>
      </c>
      <c r="J127" s="56"/>
      <c r="K127" s="49"/>
      <c r="L127" s="49"/>
      <c r="M127" s="49"/>
      <c r="N127" s="49"/>
      <c r="O127" s="56">
        <f t="shared" si="14"/>
        <v>0</v>
      </c>
      <c r="P127" s="1">
        <f t="shared" si="13"/>
        <v>0</v>
      </c>
      <c r="Q127" s="1">
        <f t="shared" si="9"/>
        <v>0</v>
      </c>
      <c r="R127" s="1">
        <f t="shared" si="10"/>
        <v>0</v>
      </c>
      <c r="S127" s="1">
        <f t="shared" si="11"/>
        <v>0</v>
      </c>
      <c r="T127" s="1">
        <f t="shared" si="12"/>
        <v>0</v>
      </c>
      <c r="U127" s="45"/>
      <c r="V127" s="45"/>
      <c r="W127" s="45"/>
    </row>
    <row r="128" spans="1:187" ht="21" customHeight="1">
      <c r="A128" s="45"/>
      <c r="B128" s="9" t="s">
        <v>20</v>
      </c>
      <c r="C128" s="10" t="s">
        <v>175</v>
      </c>
      <c r="D128" s="10" t="s">
        <v>176</v>
      </c>
      <c r="E128" s="35">
        <v>2403.3229999999999</v>
      </c>
      <c r="F128" s="35">
        <f>3490.923-E128</f>
        <v>1087.5999999999999</v>
      </c>
      <c r="G128" s="35">
        <v>377.45100000000002</v>
      </c>
      <c r="H128" s="35">
        <f>2163.852-G128</f>
        <v>1786.4009999999998</v>
      </c>
      <c r="I128" s="35">
        <f t="shared" si="8"/>
        <v>5654.7749999999996</v>
      </c>
      <c r="J128" s="56">
        <v>5725.9</v>
      </c>
      <c r="K128" s="49">
        <v>3732.58</v>
      </c>
      <c r="L128" s="49">
        <v>3881.8832000000002</v>
      </c>
      <c r="M128" s="49">
        <v>2185.0500000000002</v>
      </c>
      <c r="N128" s="49">
        <v>2272.4520000000002</v>
      </c>
      <c r="O128" s="56">
        <f t="shared" si="14"/>
        <v>1547.5299999999997</v>
      </c>
      <c r="P128" s="1">
        <f t="shared" si="13"/>
        <v>3719214.4421899994</v>
      </c>
      <c r="Q128" s="1">
        <f t="shared" si="9"/>
        <v>1683093.6279999996</v>
      </c>
      <c r="R128" s="1">
        <f t="shared" si="10"/>
        <v>607481.41587120004</v>
      </c>
      <c r="S128" s="1">
        <f t="shared" si="11"/>
        <v>2875089.5051111998</v>
      </c>
      <c r="T128" s="1">
        <f t="shared" si="12"/>
        <v>8884878.9911723994</v>
      </c>
      <c r="U128" s="11"/>
      <c r="V128" s="11"/>
      <c r="W128" s="11"/>
      <c r="X128" s="12"/>
      <c r="Y128" s="12"/>
      <c r="Z128" s="12"/>
      <c r="AA128" s="12"/>
      <c r="AB128" s="12"/>
      <c r="AC128" s="12"/>
      <c r="AD128" s="12"/>
      <c r="AE128" s="12"/>
      <c r="AF128" s="12"/>
      <c r="AG128" s="12"/>
      <c r="AH128" s="12"/>
      <c r="AI128" s="12"/>
      <c r="AJ128" s="12"/>
      <c r="AK128" s="12"/>
      <c r="AL128" s="12"/>
      <c r="AM128" s="12"/>
      <c r="AN128" s="12"/>
      <c r="AO128" s="12"/>
      <c r="AP128" s="12"/>
      <c r="AQ128" s="12"/>
      <c r="AR128" s="12"/>
      <c r="AS128" s="12"/>
      <c r="AT128" s="12"/>
      <c r="AU128" s="12"/>
      <c r="AV128" s="12"/>
      <c r="AW128" s="12"/>
      <c r="AX128" s="12"/>
      <c r="AY128" s="12"/>
      <c r="AZ128" s="12"/>
      <c r="BA128" s="12"/>
      <c r="BB128" s="12"/>
      <c r="BC128" s="12"/>
      <c r="BD128" s="12"/>
      <c r="BE128" s="12"/>
      <c r="BF128" s="12"/>
      <c r="BG128" s="12"/>
      <c r="BH128" s="12"/>
      <c r="BI128" s="12"/>
      <c r="BJ128" s="12"/>
      <c r="BK128" s="12"/>
      <c r="BL128" s="12"/>
      <c r="BM128" s="12"/>
      <c r="BN128" s="12"/>
      <c r="BO128" s="12"/>
      <c r="BP128" s="12"/>
      <c r="BQ128" s="12"/>
      <c r="BR128" s="12"/>
      <c r="BS128" s="12"/>
      <c r="BT128" s="12"/>
      <c r="BU128" s="12"/>
      <c r="BV128" s="12"/>
      <c r="BW128" s="12"/>
      <c r="BX128" s="12"/>
      <c r="BY128" s="12"/>
      <c r="BZ128" s="12"/>
      <c r="CA128" s="12"/>
      <c r="CB128" s="12"/>
      <c r="CC128" s="12"/>
      <c r="CD128" s="12"/>
      <c r="CE128" s="12"/>
      <c r="CF128" s="12"/>
      <c r="CG128" s="12"/>
      <c r="CH128" s="12"/>
      <c r="CI128" s="12"/>
      <c r="CJ128" s="12"/>
      <c r="CK128" s="12"/>
      <c r="CL128" s="12"/>
      <c r="CM128" s="12"/>
      <c r="CN128" s="12"/>
      <c r="CO128" s="12"/>
      <c r="CP128" s="12"/>
      <c r="CQ128" s="12"/>
      <c r="CR128" s="12"/>
      <c r="CS128" s="12"/>
      <c r="CT128" s="12"/>
      <c r="CU128" s="12"/>
      <c r="CV128" s="12"/>
      <c r="CW128" s="12"/>
      <c r="CX128" s="12"/>
      <c r="CY128" s="12"/>
      <c r="CZ128" s="12"/>
      <c r="DA128" s="12"/>
      <c r="DB128" s="12"/>
      <c r="DC128" s="12"/>
      <c r="DD128" s="12"/>
      <c r="DE128" s="12"/>
      <c r="DF128" s="12"/>
      <c r="DG128" s="12"/>
      <c r="DH128" s="12"/>
      <c r="DI128" s="12"/>
      <c r="DJ128" s="12"/>
      <c r="DK128" s="12"/>
      <c r="DL128" s="12"/>
      <c r="DM128" s="12"/>
      <c r="DN128" s="12"/>
      <c r="DO128" s="12"/>
      <c r="DP128" s="12"/>
      <c r="DQ128" s="12"/>
      <c r="DR128" s="12"/>
      <c r="DS128" s="12"/>
      <c r="DT128" s="12"/>
      <c r="DU128" s="12"/>
      <c r="DV128" s="12"/>
      <c r="DW128" s="12"/>
      <c r="DX128" s="12"/>
      <c r="DY128" s="12"/>
      <c r="DZ128" s="12"/>
      <c r="EA128" s="12"/>
      <c r="EB128" s="12"/>
      <c r="EC128" s="12"/>
      <c r="ED128" s="12"/>
      <c r="EE128" s="12"/>
      <c r="EF128" s="12"/>
      <c r="EG128" s="12"/>
      <c r="EH128" s="12"/>
      <c r="EI128" s="12"/>
      <c r="EJ128" s="12"/>
      <c r="EK128" s="12"/>
      <c r="EL128" s="12"/>
      <c r="EM128" s="12"/>
      <c r="EN128" s="12"/>
      <c r="EO128" s="12"/>
      <c r="EP128" s="12"/>
      <c r="EQ128" s="12"/>
      <c r="ER128" s="12"/>
      <c r="ES128" s="12"/>
      <c r="ET128" s="12"/>
      <c r="EU128" s="12"/>
      <c r="EV128" s="12"/>
      <c r="EW128" s="12"/>
      <c r="EX128" s="12"/>
      <c r="EY128" s="12"/>
      <c r="EZ128" s="12"/>
      <c r="FA128" s="12"/>
      <c r="FB128" s="12"/>
      <c r="FC128" s="12"/>
      <c r="FD128" s="12"/>
      <c r="FE128" s="12"/>
      <c r="FF128" s="12"/>
      <c r="FG128" s="12"/>
      <c r="FH128" s="12"/>
      <c r="FI128" s="12"/>
      <c r="FJ128" s="12"/>
      <c r="FK128" s="12"/>
      <c r="FL128" s="12"/>
      <c r="FM128" s="12"/>
      <c r="FN128" s="12"/>
      <c r="FO128" s="12"/>
      <c r="FP128" s="12"/>
      <c r="FQ128" s="12"/>
      <c r="FR128" s="12"/>
      <c r="FS128" s="12"/>
      <c r="FT128" s="12"/>
      <c r="FU128" s="12"/>
      <c r="FV128" s="12"/>
      <c r="FW128" s="12"/>
      <c r="FX128" s="12"/>
      <c r="FY128" s="12"/>
      <c r="FZ128" s="12"/>
      <c r="GA128" s="12"/>
      <c r="GB128" s="12"/>
      <c r="GC128" s="12"/>
      <c r="GD128" s="12"/>
      <c r="GE128" s="12"/>
    </row>
    <row r="129" spans="1:187" ht="21" customHeight="1">
      <c r="A129" s="45"/>
      <c r="B129" s="9" t="s">
        <v>23</v>
      </c>
      <c r="C129" s="10" t="s">
        <v>173</v>
      </c>
      <c r="D129" s="10" t="s">
        <v>168</v>
      </c>
      <c r="E129" s="35">
        <v>409.23899999999998</v>
      </c>
      <c r="F129" s="35">
        <f>682.063-E129</f>
        <v>272.82400000000001</v>
      </c>
      <c r="G129" s="35">
        <v>136.41300000000001</v>
      </c>
      <c r="H129" s="35">
        <f>545.652-G129</f>
        <v>409.23900000000003</v>
      </c>
      <c r="I129" s="35">
        <f t="shared" si="8"/>
        <v>1227.7150000000001</v>
      </c>
      <c r="J129" s="56">
        <v>1227.7</v>
      </c>
      <c r="K129" s="49">
        <v>6126.37</v>
      </c>
      <c r="L129" s="49">
        <v>6371.4247999999998</v>
      </c>
      <c r="M129" s="49">
        <v>2185.0500000000002</v>
      </c>
      <c r="N129" s="49">
        <v>2272.4520000000002</v>
      </c>
      <c r="O129" s="56">
        <f t="shared" si="14"/>
        <v>3941.3199999999997</v>
      </c>
      <c r="P129" s="1">
        <f t="shared" si="13"/>
        <v>1612941.8554799997</v>
      </c>
      <c r="Q129" s="1">
        <f t="shared" si="9"/>
        <v>1075286.68768</v>
      </c>
      <c r="R129" s="1">
        <f t="shared" si="10"/>
        <v>559153.17656639998</v>
      </c>
      <c r="S129" s="1">
        <f t="shared" si="11"/>
        <v>1677459.5296992001</v>
      </c>
      <c r="T129" s="1">
        <f t="shared" si="12"/>
        <v>4924841.2494256003</v>
      </c>
      <c r="U129" s="11"/>
      <c r="V129" s="11"/>
      <c r="W129" s="11"/>
      <c r="X129" s="12"/>
      <c r="Y129" s="12"/>
      <c r="Z129" s="12"/>
      <c r="AA129" s="12"/>
      <c r="AB129" s="12"/>
      <c r="AC129" s="12"/>
      <c r="AD129" s="12"/>
      <c r="AE129" s="12"/>
      <c r="AF129" s="12"/>
      <c r="AG129" s="12"/>
      <c r="AH129" s="12"/>
      <c r="AI129" s="12"/>
      <c r="AJ129" s="12"/>
      <c r="AK129" s="12"/>
      <c r="AL129" s="12"/>
      <c r="AM129" s="12"/>
      <c r="AN129" s="12"/>
      <c r="AO129" s="12"/>
      <c r="AP129" s="12"/>
      <c r="AQ129" s="12"/>
      <c r="AR129" s="12"/>
      <c r="AS129" s="12"/>
      <c r="AT129" s="12"/>
      <c r="AU129" s="12"/>
      <c r="AV129" s="12"/>
      <c r="AW129" s="12"/>
      <c r="AX129" s="12"/>
      <c r="AY129" s="12"/>
      <c r="AZ129" s="12"/>
      <c r="BA129" s="12"/>
      <c r="BB129" s="12"/>
      <c r="BC129" s="12"/>
      <c r="BD129" s="12"/>
      <c r="BE129" s="12"/>
      <c r="BF129" s="12"/>
      <c r="BG129" s="12"/>
      <c r="BH129" s="12"/>
      <c r="BI129" s="12"/>
      <c r="BJ129" s="12"/>
      <c r="BK129" s="12"/>
      <c r="BL129" s="12"/>
      <c r="BM129" s="12"/>
      <c r="BN129" s="12"/>
      <c r="BO129" s="12"/>
      <c r="BP129" s="12"/>
      <c r="BQ129" s="12"/>
      <c r="BR129" s="12"/>
      <c r="BS129" s="12"/>
      <c r="BT129" s="12"/>
      <c r="BU129" s="12"/>
      <c r="BV129" s="12"/>
      <c r="BW129" s="12"/>
      <c r="BX129" s="12"/>
      <c r="BY129" s="12"/>
      <c r="BZ129" s="12"/>
      <c r="CA129" s="12"/>
      <c r="CB129" s="12"/>
      <c r="CC129" s="12"/>
      <c r="CD129" s="12"/>
      <c r="CE129" s="12"/>
      <c r="CF129" s="12"/>
      <c r="CG129" s="12"/>
      <c r="CH129" s="12"/>
      <c r="CI129" s="12"/>
      <c r="CJ129" s="12"/>
      <c r="CK129" s="12"/>
      <c r="CL129" s="12"/>
      <c r="CM129" s="12"/>
      <c r="CN129" s="12"/>
      <c r="CO129" s="12"/>
      <c r="CP129" s="12"/>
      <c r="CQ129" s="12"/>
      <c r="CR129" s="12"/>
      <c r="CS129" s="12"/>
      <c r="CT129" s="12"/>
      <c r="CU129" s="12"/>
      <c r="CV129" s="12"/>
      <c r="CW129" s="12"/>
      <c r="CX129" s="12"/>
      <c r="CY129" s="12"/>
      <c r="CZ129" s="12"/>
      <c r="DA129" s="12"/>
      <c r="DB129" s="12"/>
      <c r="DC129" s="12"/>
      <c r="DD129" s="12"/>
      <c r="DE129" s="12"/>
      <c r="DF129" s="12"/>
      <c r="DG129" s="12"/>
      <c r="DH129" s="12"/>
      <c r="DI129" s="12"/>
      <c r="DJ129" s="12"/>
      <c r="DK129" s="12"/>
      <c r="DL129" s="12"/>
      <c r="DM129" s="12"/>
      <c r="DN129" s="12"/>
      <c r="DO129" s="12"/>
      <c r="DP129" s="12"/>
      <c r="DQ129" s="12"/>
      <c r="DR129" s="12"/>
      <c r="DS129" s="12"/>
      <c r="DT129" s="12"/>
      <c r="DU129" s="12"/>
      <c r="DV129" s="12"/>
      <c r="DW129" s="12"/>
      <c r="DX129" s="12"/>
      <c r="DY129" s="12"/>
      <c r="DZ129" s="12"/>
      <c r="EA129" s="12"/>
      <c r="EB129" s="12"/>
      <c r="EC129" s="12"/>
      <c r="ED129" s="12"/>
      <c r="EE129" s="12"/>
      <c r="EF129" s="12"/>
      <c r="EG129" s="12"/>
      <c r="EH129" s="12"/>
      <c r="EI129" s="12"/>
      <c r="EJ129" s="12"/>
      <c r="EK129" s="12"/>
      <c r="EL129" s="12"/>
      <c r="EM129" s="12"/>
      <c r="EN129" s="12"/>
      <c r="EO129" s="12"/>
      <c r="EP129" s="12"/>
      <c r="EQ129" s="12"/>
      <c r="ER129" s="12"/>
      <c r="ES129" s="12"/>
      <c r="ET129" s="12"/>
      <c r="EU129" s="12"/>
      <c r="EV129" s="12"/>
      <c r="EW129" s="12"/>
      <c r="EX129" s="12"/>
      <c r="EY129" s="12"/>
      <c r="EZ129" s="12"/>
      <c r="FA129" s="12"/>
      <c r="FB129" s="12"/>
      <c r="FC129" s="12"/>
      <c r="FD129" s="12"/>
      <c r="FE129" s="12"/>
      <c r="FF129" s="12"/>
      <c r="FG129" s="12"/>
      <c r="FH129" s="12"/>
      <c r="FI129" s="12"/>
      <c r="FJ129" s="12"/>
      <c r="FK129" s="12"/>
      <c r="FL129" s="12"/>
      <c r="FM129" s="12"/>
      <c r="FN129" s="12"/>
      <c r="FO129" s="12"/>
      <c r="FP129" s="12"/>
      <c r="FQ129" s="12"/>
      <c r="FR129" s="12"/>
      <c r="FS129" s="12"/>
      <c r="FT129" s="12"/>
      <c r="FU129" s="12"/>
      <c r="FV129" s="12"/>
      <c r="FW129" s="12"/>
      <c r="FX129" s="12"/>
      <c r="FY129" s="12"/>
      <c r="FZ129" s="12"/>
      <c r="GA129" s="12"/>
      <c r="GB129" s="12"/>
      <c r="GC129" s="12"/>
      <c r="GD129" s="12"/>
      <c r="GE129" s="12"/>
    </row>
    <row r="130" spans="1:187" ht="21" customHeight="1">
      <c r="A130" s="45"/>
      <c r="B130" s="9" t="s">
        <v>23</v>
      </c>
      <c r="C130" s="10" t="s">
        <v>173</v>
      </c>
      <c r="D130" s="10" t="s">
        <v>166</v>
      </c>
      <c r="E130" s="35">
        <v>243.75</v>
      </c>
      <c r="F130" s="35">
        <f>328.372-E130</f>
        <v>84.622000000000014</v>
      </c>
      <c r="G130" s="35">
        <v>14.686999999999999</v>
      </c>
      <c r="H130" s="35">
        <f>170.398-G130</f>
        <v>155.71099999999998</v>
      </c>
      <c r="I130" s="35">
        <f t="shared" si="8"/>
        <v>498.77</v>
      </c>
      <c r="J130" s="56">
        <v>513.29999999999995</v>
      </c>
      <c r="K130" s="49">
        <v>8307.4500000000007</v>
      </c>
      <c r="L130" s="49">
        <v>8639.75</v>
      </c>
      <c r="M130" s="49">
        <v>2185.0500000000002</v>
      </c>
      <c r="N130" s="49">
        <v>2272.4520000000002</v>
      </c>
      <c r="O130" s="56">
        <f t="shared" si="14"/>
        <v>6122.4000000000005</v>
      </c>
      <c r="P130" s="1">
        <f t="shared" si="13"/>
        <v>1492335.0000000002</v>
      </c>
      <c r="Q130" s="1">
        <f t="shared" si="9"/>
        <v>518089.73280000011</v>
      </c>
      <c r="R130" s="1">
        <f t="shared" si="10"/>
        <v>93516.505725999988</v>
      </c>
      <c r="S130" s="1">
        <f t="shared" si="11"/>
        <v>991458.33887799992</v>
      </c>
      <c r="T130" s="1">
        <f t="shared" si="12"/>
        <v>3095399.5774039999</v>
      </c>
      <c r="U130" s="11"/>
      <c r="V130" s="11"/>
      <c r="W130" s="11"/>
      <c r="X130" s="12"/>
      <c r="Y130" s="12"/>
      <c r="Z130" s="12"/>
      <c r="AA130" s="12"/>
      <c r="AB130" s="12"/>
      <c r="AC130" s="12"/>
      <c r="AD130" s="12"/>
      <c r="AE130" s="12"/>
      <c r="AF130" s="12"/>
      <c r="AG130" s="12"/>
      <c r="AH130" s="12"/>
      <c r="AI130" s="12"/>
      <c r="AJ130" s="12"/>
      <c r="AK130" s="12"/>
      <c r="AL130" s="12"/>
      <c r="AM130" s="12"/>
      <c r="AN130" s="12"/>
      <c r="AO130" s="12"/>
      <c r="AP130" s="12"/>
      <c r="AQ130" s="12"/>
      <c r="AR130" s="12"/>
      <c r="AS130" s="12"/>
      <c r="AT130" s="12"/>
      <c r="AU130" s="12"/>
      <c r="AV130" s="12"/>
      <c r="AW130" s="12"/>
      <c r="AX130" s="12"/>
      <c r="AY130" s="12"/>
      <c r="AZ130" s="12"/>
      <c r="BA130" s="12"/>
      <c r="BB130" s="12"/>
      <c r="BC130" s="12"/>
      <c r="BD130" s="12"/>
      <c r="BE130" s="12"/>
      <c r="BF130" s="12"/>
      <c r="BG130" s="12"/>
      <c r="BH130" s="12"/>
      <c r="BI130" s="12"/>
      <c r="BJ130" s="12"/>
      <c r="BK130" s="12"/>
      <c r="BL130" s="12"/>
      <c r="BM130" s="12"/>
      <c r="BN130" s="12"/>
      <c r="BO130" s="12"/>
      <c r="BP130" s="12"/>
      <c r="BQ130" s="12"/>
      <c r="BR130" s="12"/>
      <c r="BS130" s="12"/>
      <c r="BT130" s="12"/>
      <c r="BU130" s="12"/>
      <c r="BV130" s="12"/>
      <c r="BW130" s="12"/>
      <c r="BX130" s="12"/>
      <c r="BY130" s="12"/>
      <c r="BZ130" s="12"/>
      <c r="CA130" s="12"/>
      <c r="CB130" s="12"/>
      <c r="CC130" s="12"/>
      <c r="CD130" s="12"/>
      <c r="CE130" s="12"/>
      <c r="CF130" s="12"/>
      <c r="CG130" s="12"/>
      <c r="CH130" s="12"/>
      <c r="CI130" s="12"/>
      <c r="CJ130" s="12"/>
      <c r="CK130" s="12"/>
      <c r="CL130" s="12"/>
      <c r="CM130" s="12"/>
      <c r="CN130" s="12"/>
      <c r="CO130" s="12"/>
      <c r="CP130" s="12"/>
      <c r="CQ130" s="12"/>
      <c r="CR130" s="12"/>
      <c r="CS130" s="12"/>
      <c r="CT130" s="12"/>
      <c r="CU130" s="12"/>
      <c r="CV130" s="12"/>
      <c r="CW130" s="12"/>
      <c r="CX130" s="12"/>
      <c r="CY130" s="12"/>
      <c r="CZ130" s="12"/>
      <c r="DA130" s="12"/>
      <c r="DB130" s="12"/>
      <c r="DC130" s="12"/>
      <c r="DD130" s="12"/>
      <c r="DE130" s="12"/>
      <c r="DF130" s="12"/>
      <c r="DG130" s="12"/>
      <c r="DH130" s="12"/>
      <c r="DI130" s="12"/>
      <c r="DJ130" s="12"/>
      <c r="DK130" s="12"/>
      <c r="DL130" s="12"/>
      <c r="DM130" s="12"/>
      <c r="DN130" s="12"/>
      <c r="DO130" s="12"/>
      <c r="DP130" s="12"/>
      <c r="DQ130" s="12"/>
      <c r="DR130" s="12"/>
      <c r="DS130" s="12"/>
      <c r="DT130" s="12"/>
      <c r="DU130" s="12"/>
      <c r="DV130" s="12"/>
      <c r="DW130" s="12"/>
      <c r="DX130" s="12"/>
      <c r="DY130" s="12"/>
      <c r="DZ130" s="12"/>
      <c r="EA130" s="12"/>
      <c r="EB130" s="12"/>
      <c r="EC130" s="12"/>
      <c r="ED130" s="12"/>
      <c r="EE130" s="12"/>
      <c r="EF130" s="12"/>
      <c r="EG130" s="12"/>
      <c r="EH130" s="12"/>
      <c r="EI130" s="12"/>
      <c r="EJ130" s="12"/>
      <c r="EK130" s="12"/>
      <c r="EL130" s="12"/>
      <c r="EM130" s="12"/>
      <c r="EN130" s="12"/>
      <c r="EO130" s="12"/>
      <c r="EP130" s="12"/>
      <c r="EQ130" s="12"/>
      <c r="ER130" s="12"/>
      <c r="ES130" s="12"/>
      <c r="ET130" s="12"/>
      <c r="EU130" s="12"/>
      <c r="EV130" s="12"/>
      <c r="EW130" s="12"/>
      <c r="EX130" s="12"/>
      <c r="EY130" s="12"/>
      <c r="EZ130" s="12"/>
      <c r="FA130" s="12"/>
      <c r="FB130" s="12"/>
      <c r="FC130" s="12"/>
      <c r="FD130" s="12"/>
      <c r="FE130" s="12"/>
      <c r="FF130" s="12"/>
      <c r="FG130" s="12"/>
      <c r="FH130" s="12"/>
      <c r="FI130" s="12"/>
      <c r="FJ130" s="12"/>
      <c r="FK130" s="12"/>
      <c r="FL130" s="12"/>
      <c r="FM130" s="12"/>
      <c r="FN130" s="12"/>
      <c r="FO130" s="12"/>
      <c r="FP130" s="12"/>
      <c r="FQ130" s="12"/>
      <c r="FR130" s="12"/>
      <c r="FS130" s="12"/>
      <c r="FT130" s="12"/>
      <c r="FU130" s="12"/>
      <c r="FV130" s="12"/>
      <c r="FW130" s="12"/>
      <c r="FX130" s="12"/>
      <c r="FY130" s="12"/>
      <c r="FZ130" s="12"/>
      <c r="GA130" s="12"/>
      <c r="GB130" s="12"/>
      <c r="GC130" s="12"/>
      <c r="GD130" s="12"/>
      <c r="GE130" s="12"/>
    </row>
    <row r="131" spans="1:187" ht="21" customHeight="1">
      <c r="A131" s="45"/>
      <c r="B131" s="9" t="s">
        <v>387</v>
      </c>
      <c r="C131" s="10" t="s">
        <v>388</v>
      </c>
      <c r="D131" s="10" t="s">
        <v>389</v>
      </c>
      <c r="E131" s="35">
        <v>1372.38</v>
      </c>
      <c r="F131" s="35">
        <f>2096.847-E131</f>
        <v>724.4670000000001</v>
      </c>
      <c r="G131" s="35">
        <v>188.2</v>
      </c>
      <c r="H131" s="35">
        <v>1474.8</v>
      </c>
      <c r="I131" s="35">
        <f t="shared" si="8"/>
        <v>3759.8469999999998</v>
      </c>
      <c r="J131" s="56">
        <v>4157.41</v>
      </c>
      <c r="K131" s="49">
        <v>6648.78</v>
      </c>
      <c r="L131" s="49">
        <v>6914.73</v>
      </c>
      <c r="M131" s="49">
        <v>2185.0500000000002</v>
      </c>
      <c r="N131" s="49">
        <v>2272.4520000000002</v>
      </c>
      <c r="O131" s="56">
        <f>K131-M131</f>
        <v>4463.7299999999996</v>
      </c>
      <c r="P131" s="1">
        <f>(K131-M131)*E131</f>
        <v>6125933.7774</v>
      </c>
      <c r="Q131" s="1">
        <f t="shared" si="9"/>
        <v>3233825.0819100002</v>
      </c>
      <c r="R131" s="1">
        <f t="shared" si="10"/>
        <v>873676.71959999984</v>
      </c>
      <c r="S131" s="1">
        <f t="shared" si="11"/>
        <v>6846431.5943999989</v>
      </c>
      <c r="T131" s="1">
        <f t="shared" si="12"/>
        <v>17079867.17331</v>
      </c>
      <c r="U131" s="11"/>
      <c r="V131" s="11"/>
      <c r="W131" s="11"/>
      <c r="X131" s="12"/>
      <c r="Y131" s="12"/>
      <c r="Z131" s="12"/>
      <c r="AA131" s="12"/>
      <c r="AB131" s="12"/>
      <c r="AC131" s="12"/>
      <c r="AD131" s="12"/>
      <c r="AE131" s="12"/>
      <c r="AF131" s="12"/>
      <c r="AG131" s="12"/>
      <c r="AH131" s="12"/>
      <c r="AI131" s="12"/>
      <c r="AJ131" s="12"/>
      <c r="AK131" s="12"/>
      <c r="AL131" s="12"/>
      <c r="AM131" s="12"/>
      <c r="AN131" s="12"/>
      <c r="AO131" s="12"/>
      <c r="AP131" s="12"/>
      <c r="AQ131" s="12"/>
      <c r="AR131" s="12"/>
      <c r="AS131" s="12"/>
      <c r="AT131" s="12"/>
      <c r="AU131" s="12"/>
      <c r="AV131" s="12"/>
      <c r="AW131" s="12"/>
      <c r="AX131" s="12"/>
      <c r="AY131" s="12"/>
      <c r="AZ131" s="12"/>
      <c r="BA131" s="12"/>
      <c r="BB131" s="12"/>
      <c r="BC131" s="12"/>
      <c r="BD131" s="12"/>
      <c r="BE131" s="12"/>
      <c r="BF131" s="12"/>
      <c r="BG131" s="12"/>
      <c r="BH131" s="12"/>
      <c r="BI131" s="12"/>
      <c r="BJ131" s="12"/>
      <c r="BK131" s="12"/>
      <c r="BL131" s="12"/>
      <c r="BM131" s="12"/>
      <c r="BN131" s="12"/>
      <c r="BO131" s="12"/>
      <c r="BP131" s="12"/>
      <c r="BQ131" s="12"/>
      <c r="BR131" s="12"/>
      <c r="BS131" s="12"/>
      <c r="BT131" s="12"/>
      <c r="BU131" s="12"/>
      <c r="BV131" s="12"/>
      <c r="BW131" s="12"/>
      <c r="BX131" s="12"/>
      <c r="BY131" s="12"/>
      <c r="BZ131" s="12"/>
      <c r="CA131" s="12"/>
      <c r="CB131" s="12"/>
      <c r="CC131" s="12"/>
      <c r="CD131" s="12"/>
      <c r="CE131" s="12"/>
      <c r="CF131" s="12"/>
      <c r="CG131" s="12"/>
      <c r="CH131" s="12"/>
      <c r="CI131" s="12"/>
      <c r="CJ131" s="12"/>
      <c r="CK131" s="12"/>
      <c r="CL131" s="12"/>
      <c r="CM131" s="12"/>
      <c r="CN131" s="12"/>
      <c r="CO131" s="12"/>
      <c r="CP131" s="12"/>
      <c r="CQ131" s="12"/>
      <c r="CR131" s="12"/>
      <c r="CS131" s="12"/>
      <c r="CT131" s="12"/>
      <c r="CU131" s="12"/>
      <c r="CV131" s="12"/>
      <c r="CW131" s="12"/>
      <c r="CX131" s="12"/>
      <c r="CY131" s="12"/>
      <c r="CZ131" s="12"/>
      <c r="DA131" s="12"/>
      <c r="DB131" s="12"/>
      <c r="DC131" s="12"/>
      <c r="DD131" s="12"/>
      <c r="DE131" s="12"/>
      <c r="DF131" s="12"/>
      <c r="DG131" s="12"/>
      <c r="DH131" s="12"/>
      <c r="DI131" s="12"/>
      <c r="DJ131" s="12"/>
      <c r="DK131" s="12"/>
      <c r="DL131" s="12"/>
      <c r="DM131" s="12"/>
      <c r="DN131" s="12"/>
      <c r="DO131" s="12"/>
      <c r="DP131" s="12"/>
      <c r="DQ131" s="12"/>
      <c r="DR131" s="12"/>
      <c r="DS131" s="12"/>
      <c r="DT131" s="12"/>
      <c r="DU131" s="12"/>
      <c r="DV131" s="12"/>
      <c r="DW131" s="12"/>
      <c r="DX131" s="12"/>
      <c r="DY131" s="12"/>
      <c r="DZ131" s="12"/>
      <c r="EA131" s="12"/>
      <c r="EB131" s="12"/>
      <c r="EC131" s="12"/>
      <c r="ED131" s="12"/>
      <c r="EE131" s="12"/>
      <c r="EF131" s="12"/>
      <c r="EG131" s="12"/>
      <c r="EH131" s="12"/>
      <c r="EI131" s="12"/>
      <c r="EJ131" s="12"/>
      <c r="EK131" s="12"/>
      <c r="EL131" s="12"/>
      <c r="EM131" s="12"/>
      <c r="EN131" s="12"/>
      <c r="EO131" s="12"/>
      <c r="EP131" s="12"/>
      <c r="EQ131" s="12"/>
      <c r="ER131" s="12"/>
      <c r="ES131" s="12"/>
      <c r="ET131" s="12"/>
      <c r="EU131" s="12"/>
      <c r="EV131" s="12"/>
      <c r="EW131" s="12"/>
      <c r="EX131" s="12"/>
      <c r="EY131" s="12"/>
      <c r="EZ131" s="12"/>
      <c r="FA131" s="12"/>
      <c r="FB131" s="12"/>
      <c r="FC131" s="12"/>
      <c r="FD131" s="12"/>
      <c r="FE131" s="12"/>
      <c r="FF131" s="12"/>
      <c r="FG131" s="12"/>
      <c r="FH131" s="12"/>
      <c r="FI131" s="12"/>
      <c r="FJ131" s="12"/>
      <c r="FK131" s="12"/>
      <c r="FL131" s="12"/>
      <c r="FM131" s="12"/>
      <c r="FN131" s="12"/>
      <c r="FO131" s="12"/>
      <c r="FP131" s="12"/>
      <c r="FQ131" s="12"/>
      <c r="FR131" s="12"/>
      <c r="FS131" s="12"/>
      <c r="FT131" s="12"/>
      <c r="FU131" s="12"/>
      <c r="FV131" s="12"/>
      <c r="FW131" s="12"/>
      <c r="FX131" s="12"/>
      <c r="FY131" s="12"/>
      <c r="FZ131" s="12"/>
      <c r="GA131" s="12"/>
      <c r="GB131" s="12"/>
      <c r="GC131" s="12"/>
      <c r="GD131" s="12"/>
      <c r="GE131" s="12"/>
    </row>
    <row r="132" spans="1:187" ht="21" customHeight="1">
      <c r="A132" s="45"/>
      <c r="B132" s="9" t="s">
        <v>387</v>
      </c>
      <c r="C132" s="10" t="s">
        <v>388</v>
      </c>
      <c r="D132" s="10" t="s">
        <v>390</v>
      </c>
      <c r="E132" s="35">
        <v>66.92</v>
      </c>
      <c r="F132" s="35">
        <f>111.451-E132</f>
        <v>44.530999999999992</v>
      </c>
      <c r="G132" s="35">
        <v>5.8</v>
      </c>
      <c r="H132" s="35">
        <v>75.2</v>
      </c>
      <c r="I132" s="35">
        <f t="shared" si="8"/>
        <v>192.45099999999999</v>
      </c>
      <c r="J132" s="56">
        <v>188.3</v>
      </c>
      <c r="K132" s="49">
        <v>6648.78</v>
      </c>
      <c r="L132" s="49">
        <v>6914.73</v>
      </c>
      <c r="M132" s="49">
        <v>2143.83</v>
      </c>
      <c r="N132" s="49">
        <v>2229.5832</v>
      </c>
      <c r="O132" s="56"/>
      <c r="P132" s="1">
        <f t="shared" ref="P132:P134" si="17">(K132-M132)*E132</f>
        <v>301471.25400000002</v>
      </c>
      <c r="Q132" s="1">
        <f t="shared" si="9"/>
        <v>200609.92844999995</v>
      </c>
      <c r="R132" s="1">
        <f t="shared" si="10"/>
        <v>27173.851439999995</v>
      </c>
      <c r="S132" s="1">
        <f t="shared" si="11"/>
        <v>352323.03936</v>
      </c>
      <c r="T132" s="1">
        <f t="shared" si="12"/>
        <v>881578.0732499999</v>
      </c>
      <c r="U132" s="11"/>
      <c r="V132" s="11"/>
      <c r="W132" s="11"/>
      <c r="X132" s="12"/>
      <c r="Y132" s="12"/>
      <c r="Z132" s="12"/>
      <c r="AA132" s="12"/>
      <c r="AB132" s="12"/>
      <c r="AC132" s="12"/>
      <c r="AD132" s="12"/>
      <c r="AE132" s="12"/>
      <c r="AF132" s="12"/>
      <c r="AG132" s="12"/>
      <c r="AH132" s="12"/>
      <c r="AI132" s="12"/>
      <c r="AJ132" s="12"/>
      <c r="AK132" s="12"/>
      <c r="AL132" s="12"/>
      <c r="AM132" s="12"/>
      <c r="AN132" s="12"/>
      <c r="AO132" s="12"/>
      <c r="AP132" s="12"/>
      <c r="AQ132" s="12"/>
      <c r="AR132" s="12"/>
      <c r="AS132" s="12"/>
      <c r="AT132" s="12"/>
      <c r="AU132" s="12"/>
      <c r="AV132" s="12"/>
      <c r="AW132" s="12"/>
      <c r="AX132" s="12"/>
      <c r="AY132" s="12"/>
      <c r="AZ132" s="12"/>
      <c r="BA132" s="12"/>
      <c r="BB132" s="12"/>
      <c r="BC132" s="12"/>
      <c r="BD132" s="12"/>
      <c r="BE132" s="12"/>
      <c r="BF132" s="12"/>
      <c r="BG132" s="12"/>
      <c r="BH132" s="12"/>
      <c r="BI132" s="12"/>
      <c r="BJ132" s="12"/>
      <c r="BK132" s="12"/>
      <c r="BL132" s="12"/>
      <c r="BM132" s="12"/>
      <c r="BN132" s="12"/>
      <c r="BO132" s="12"/>
      <c r="BP132" s="12"/>
      <c r="BQ132" s="12"/>
      <c r="BR132" s="12"/>
      <c r="BS132" s="12"/>
      <c r="BT132" s="12"/>
      <c r="BU132" s="12"/>
      <c r="BV132" s="12"/>
      <c r="BW132" s="12"/>
      <c r="BX132" s="12"/>
      <c r="BY132" s="12"/>
      <c r="BZ132" s="12"/>
      <c r="CA132" s="12"/>
      <c r="CB132" s="12"/>
      <c r="CC132" s="12"/>
      <c r="CD132" s="12"/>
      <c r="CE132" s="12"/>
      <c r="CF132" s="12"/>
      <c r="CG132" s="12"/>
      <c r="CH132" s="12"/>
      <c r="CI132" s="12"/>
      <c r="CJ132" s="12"/>
      <c r="CK132" s="12"/>
      <c r="CL132" s="12"/>
      <c r="CM132" s="12"/>
      <c r="CN132" s="12"/>
      <c r="CO132" s="12"/>
      <c r="CP132" s="12"/>
      <c r="CQ132" s="12"/>
      <c r="CR132" s="12"/>
      <c r="CS132" s="12"/>
      <c r="CT132" s="12"/>
      <c r="CU132" s="12"/>
      <c r="CV132" s="12"/>
      <c r="CW132" s="12"/>
      <c r="CX132" s="12"/>
      <c r="CY132" s="12"/>
      <c r="CZ132" s="12"/>
      <c r="DA132" s="12"/>
      <c r="DB132" s="12"/>
      <c r="DC132" s="12"/>
      <c r="DD132" s="12"/>
      <c r="DE132" s="12"/>
      <c r="DF132" s="12"/>
      <c r="DG132" s="12"/>
      <c r="DH132" s="12"/>
      <c r="DI132" s="12"/>
      <c r="DJ132" s="12"/>
      <c r="DK132" s="12"/>
      <c r="DL132" s="12"/>
      <c r="DM132" s="12"/>
      <c r="DN132" s="12"/>
      <c r="DO132" s="12"/>
      <c r="DP132" s="12"/>
      <c r="DQ132" s="12"/>
      <c r="DR132" s="12"/>
      <c r="DS132" s="12"/>
      <c r="DT132" s="12"/>
      <c r="DU132" s="12"/>
      <c r="DV132" s="12"/>
      <c r="DW132" s="12"/>
      <c r="DX132" s="12"/>
      <c r="DY132" s="12"/>
      <c r="DZ132" s="12"/>
      <c r="EA132" s="12"/>
      <c r="EB132" s="12"/>
      <c r="EC132" s="12"/>
      <c r="ED132" s="12"/>
      <c r="EE132" s="12"/>
      <c r="EF132" s="12"/>
      <c r="EG132" s="12"/>
      <c r="EH132" s="12"/>
      <c r="EI132" s="12"/>
      <c r="EJ132" s="12"/>
      <c r="EK132" s="12"/>
      <c r="EL132" s="12"/>
      <c r="EM132" s="12"/>
      <c r="EN132" s="12"/>
      <c r="EO132" s="12"/>
      <c r="EP132" s="12"/>
      <c r="EQ132" s="12"/>
      <c r="ER132" s="12"/>
      <c r="ES132" s="12"/>
      <c r="ET132" s="12"/>
      <c r="EU132" s="12"/>
      <c r="EV132" s="12"/>
      <c r="EW132" s="12"/>
      <c r="EX132" s="12"/>
      <c r="EY132" s="12"/>
      <c r="EZ132" s="12"/>
      <c r="FA132" s="12"/>
      <c r="FB132" s="12"/>
      <c r="FC132" s="12"/>
      <c r="FD132" s="12"/>
      <c r="FE132" s="12"/>
      <c r="FF132" s="12"/>
      <c r="FG132" s="12"/>
      <c r="FH132" s="12"/>
      <c r="FI132" s="12"/>
      <c r="FJ132" s="12"/>
      <c r="FK132" s="12"/>
      <c r="FL132" s="12"/>
      <c r="FM132" s="12"/>
      <c r="FN132" s="12"/>
      <c r="FO132" s="12"/>
      <c r="FP132" s="12"/>
      <c r="FQ132" s="12"/>
      <c r="FR132" s="12"/>
      <c r="FS132" s="12"/>
      <c r="FT132" s="12"/>
      <c r="FU132" s="12"/>
      <c r="FV132" s="12"/>
      <c r="FW132" s="12"/>
      <c r="FX132" s="12"/>
      <c r="FY132" s="12"/>
      <c r="FZ132" s="12"/>
      <c r="GA132" s="12"/>
      <c r="GB132" s="12"/>
      <c r="GC132" s="12"/>
      <c r="GD132" s="12"/>
      <c r="GE132" s="12"/>
    </row>
    <row r="133" spans="1:187" ht="21" customHeight="1">
      <c r="A133" s="45"/>
      <c r="B133" s="9" t="s">
        <v>277</v>
      </c>
      <c r="C133" s="10" t="s">
        <v>172</v>
      </c>
      <c r="D133" s="10" t="s">
        <v>427</v>
      </c>
      <c r="E133" s="61">
        <f>902.5548*0.6</f>
        <v>541.53287999999998</v>
      </c>
      <c r="F133" s="61">
        <f>902.5548*0.4</f>
        <v>361.02192000000002</v>
      </c>
      <c r="G133" s="61">
        <f>720.7452*0.2</f>
        <v>144.14903999999999</v>
      </c>
      <c r="H133" s="61">
        <f>720.7452*0.8</f>
        <v>576.59615999999994</v>
      </c>
      <c r="I133" s="35">
        <f t="shared" si="8"/>
        <v>1623.2999999999997</v>
      </c>
      <c r="J133" s="56">
        <v>1623.3</v>
      </c>
      <c r="K133" s="49">
        <v>3748.71</v>
      </c>
      <c r="L133" s="49">
        <v>3898.6584000000003</v>
      </c>
      <c r="M133" s="49">
        <v>1820.88</v>
      </c>
      <c r="N133" s="49">
        <v>1893.71</v>
      </c>
      <c r="O133" s="56"/>
      <c r="P133" s="1">
        <f t="shared" si="17"/>
        <v>1043983.3320504</v>
      </c>
      <c r="Q133" s="1">
        <f t="shared" si="9"/>
        <v>695988.88803360006</v>
      </c>
      <c r="R133" s="1">
        <f t="shared" si="10"/>
        <v>289011.38710953598</v>
      </c>
      <c r="S133" s="1">
        <f t="shared" si="11"/>
        <v>1156045.5484381439</v>
      </c>
      <c r="T133" s="1">
        <f t="shared" si="12"/>
        <v>3185029.15563168</v>
      </c>
      <c r="U133" s="11"/>
      <c r="V133" s="11"/>
      <c r="W133" s="11"/>
      <c r="X133" s="12"/>
      <c r="Y133" s="12"/>
      <c r="Z133" s="12"/>
      <c r="AA133" s="12"/>
      <c r="AB133" s="12"/>
      <c r="AC133" s="12"/>
      <c r="AD133" s="12"/>
      <c r="AE133" s="12"/>
      <c r="AF133" s="12"/>
      <c r="AG133" s="12"/>
      <c r="AH133" s="12"/>
      <c r="AI133" s="12"/>
      <c r="AJ133" s="12"/>
      <c r="AK133" s="12"/>
      <c r="AL133" s="12"/>
      <c r="AM133" s="12"/>
      <c r="AN133" s="12"/>
      <c r="AO133" s="12"/>
      <c r="AP133" s="12"/>
      <c r="AQ133" s="12"/>
      <c r="AR133" s="12"/>
      <c r="AS133" s="12"/>
      <c r="AT133" s="12"/>
      <c r="AU133" s="12"/>
      <c r="AV133" s="12"/>
      <c r="AW133" s="12"/>
      <c r="AX133" s="12"/>
      <c r="AY133" s="12"/>
      <c r="AZ133" s="12"/>
      <c r="BA133" s="12"/>
      <c r="BB133" s="12"/>
      <c r="BC133" s="12"/>
      <c r="BD133" s="12"/>
      <c r="BE133" s="12"/>
      <c r="BF133" s="12"/>
      <c r="BG133" s="12"/>
      <c r="BH133" s="12"/>
      <c r="BI133" s="12"/>
      <c r="BJ133" s="12"/>
      <c r="BK133" s="12"/>
      <c r="BL133" s="12"/>
      <c r="BM133" s="12"/>
      <c r="BN133" s="12"/>
      <c r="BO133" s="12"/>
      <c r="BP133" s="12"/>
      <c r="BQ133" s="12"/>
      <c r="BR133" s="12"/>
      <c r="BS133" s="12"/>
      <c r="BT133" s="12"/>
      <c r="BU133" s="12"/>
      <c r="BV133" s="12"/>
      <c r="BW133" s="12"/>
      <c r="BX133" s="12"/>
      <c r="BY133" s="12"/>
      <c r="BZ133" s="12"/>
      <c r="CA133" s="12"/>
      <c r="CB133" s="12"/>
      <c r="CC133" s="12"/>
      <c r="CD133" s="12"/>
      <c r="CE133" s="12"/>
      <c r="CF133" s="12"/>
      <c r="CG133" s="12"/>
      <c r="CH133" s="12"/>
      <c r="CI133" s="12"/>
      <c r="CJ133" s="12"/>
      <c r="CK133" s="12"/>
      <c r="CL133" s="12"/>
      <c r="CM133" s="12"/>
      <c r="CN133" s="12"/>
      <c r="CO133" s="12"/>
      <c r="CP133" s="12"/>
      <c r="CQ133" s="12"/>
      <c r="CR133" s="12"/>
      <c r="CS133" s="12"/>
      <c r="CT133" s="12"/>
      <c r="CU133" s="12"/>
      <c r="CV133" s="12"/>
      <c r="CW133" s="12"/>
      <c r="CX133" s="12"/>
      <c r="CY133" s="12"/>
      <c r="CZ133" s="12"/>
      <c r="DA133" s="12"/>
      <c r="DB133" s="12"/>
      <c r="DC133" s="12"/>
      <c r="DD133" s="12"/>
      <c r="DE133" s="12"/>
      <c r="DF133" s="12"/>
      <c r="DG133" s="12"/>
      <c r="DH133" s="12"/>
      <c r="DI133" s="12"/>
      <c r="DJ133" s="12"/>
      <c r="DK133" s="12"/>
      <c r="DL133" s="12"/>
      <c r="DM133" s="12"/>
      <c r="DN133" s="12"/>
      <c r="DO133" s="12"/>
      <c r="DP133" s="12"/>
      <c r="DQ133" s="12"/>
      <c r="DR133" s="12"/>
      <c r="DS133" s="12"/>
      <c r="DT133" s="12"/>
      <c r="DU133" s="12"/>
      <c r="DV133" s="12"/>
      <c r="DW133" s="12"/>
      <c r="DX133" s="12"/>
      <c r="DY133" s="12"/>
      <c r="DZ133" s="12"/>
      <c r="EA133" s="12"/>
      <c r="EB133" s="12"/>
      <c r="EC133" s="12"/>
      <c r="ED133" s="12"/>
      <c r="EE133" s="12"/>
      <c r="EF133" s="12"/>
      <c r="EG133" s="12"/>
      <c r="EH133" s="12"/>
      <c r="EI133" s="12"/>
      <c r="EJ133" s="12"/>
      <c r="EK133" s="12"/>
      <c r="EL133" s="12"/>
      <c r="EM133" s="12"/>
      <c r="EN133" s="12"/>
      <c r="EO133" s="12"/>
      <c r="EP133" s="12"/>
      <c r="EQ133" s="12"/>
      <c r="ER133" s="12"/>
      <c r="ES133" s="12"/>
      <c r="ET133" s="12"/>
      <c r="EU133" s="12"/>
      <c r="EV133" s="12"/>
      <c r="EW133" s="12"/>
      <c r="EX133" s="12"/>
      <c r="EY133" s="12"/>
      <c r="EZ133" s="12"/>
      <c r="FA133" s="12"/>
      <c r="FB133" s="12"/>
      <c r="FC133" s="12"/>
      <c r="FD133" s="12"/>
      <c r="FE133" s="12"/>
      <c r="FF133" s="12"/>
      <c r="FG133" s="12"/>
      <c r="FH133" s="12"/>
      <c r="FI133" s="12"/>
      <c r="FJ133" s="12"/>
      <c r="FK133" s="12"/>
      <c r="FL133" s="12"/>
      <c r="FM133" s="12"/>
      <c r="FN133" s="12"/>
      <c r="FO133" s="12"/>
      <c r="FP133" s="12"/>
      <c r="FQ133" s="12"/>
      <c r="FR133" s="12"/>
      <c r="FS133" s="12"/>
      <c r="FT133" s="12"/>
      <c r="FU133" s="12"/>
      <c r="FV133" s="12"/>
      <c r="FW133" s="12"/>
      <c r="FX133" s="12"/>
      <c r="FY133" s="12"/>
      <c r="FZ133" s="12"/>
      <c r="GA133" s="12"/>
      <c r="GB133" s="12"/>
      <c r="GC133" s="12"/>
      <c r="GD133" s="12"/>
      <c r="GE133" s="12"/>
    </row>
    <row r="134" spans="1:187" ht="21" customHeight="1">
      <c r="A134" s="45"/>
      <c r="B134" s="9" t="s">
        <v>277</v>
      </c>
      <c r="C134" s="10" t="s">
        <v>172</v>
      </c>
      <c r="D134" s="10" t="s">
        <v>422</v>
      </c>
      <c r="E134" s="61">
        <f>181.9232*0.6</f>
        <v>109.15392</v>
      </c>
      <c r="F134" s="61">
        <f>181.9232*0.4</f>
        <v>72.769280000000009</v>
      </c>
      <c r="G134" s="61">
        <f>145.2768*0.2</f>
        <v>29.055360000000004</v>
      </c>
      <c r="H134" s="61">
        <f>145.2768*0.8</f>
        <v>116.22144000000002</v>
      </c>
      <c r="I134" s="35">
        <f t="shared" ref="I134" si="18">SUM(E134:H134)</f>
        <v>327.20000000000005</v>
      </c>
      <c r="J134" s="56">
        <v>327.2</v>
      </c>
      <c r="K134" s="49">
        <v>9126.41</v>
      </c>
      <c r="L134" s="49">
        <v>9491.4663999999993</v>
      </c>
      <c r="M134" s="49">
        <v>1820.88</v>
      </c>
      <c r="N134" s="49">
        <v>1893.71</v>
      </c>
      <c r="O134" s="56"/>
      <c r="P134" s="1">
        <f t="shared" si="17"/>
        <v>797427.23717759992</v>
      </c>
      <c r="Q134" s="1">
        <f t="shared" si="9"/>
        <v>531618.15811840002</v>
      </c>
      <c r="R134" s="1">
        <f t="shared" si="10"/>
        <v>220755.54739430401</v>
      </c>
      <c r="S134" s="1">
        <f t="shared" si="11"/>
        <v>883022.18957721605</v>
      </c>
      <c r="T134" s="1">
        <f t="shared" si="12"/>
        <v>2432823.1322675198</v>
      </c>
      <c r="U134" s="11"/>
      <c r="V134" s="11"/>
      <c r="W134" s="11"/>
      <c r="X134" s="12"/>
      <c r="Y134" s="12"/>
      <c r="Z134" s="12"/>
      <c r="AA134" s="12"/>
      <c r="AB134" s="12"/>
      <c r="AC134" s="12"/>
      <c r="AD134" s="12"/>
      <c r="AE134" s="12"/>
      <c r="AF134" s="12"/>
      <c r="AG134" s="12"/>
      <c r="AH134" s="12"/>
      <c r="AI134" s="12"/>
      <c r="AJ134" s="12"/>
      <c r="AK134" s="12"/>
      <c r="AL134" s="12"/>
      <c r="AM134" s="12"/>
      <c r="AN134" s="12"/>
      <c r="AO134" s="12"/>
      <c r="AP134" s="12"/>
      <c r="AQ134" s="12"/>
      <c r="AR134" s="12"/>
      <c r="AS134" s="12"/>
      <c r="AT134" s="12"/>
      <c r="AU134" s="12"/>
      <c r="AV134" s="12"/>
      <c r="AW134" s="12"/>
      <c r="AX134" s="12"/>
      <c r="AY134" s="12"/>
      <c r="AZ134" s="12"/>
      <c r="BA134" s="12"/>
      <c r="BB134" s="12"/>
      <c r="BC134" s="12"/>
      <c r="BD134" s="12"/>
      <c r="BE134" s="12"/>
      <c r="BF134" s="12"/>
      <c r="BG134" s="12"/>
      <c r="BH134" s="12"/>
      <c r="BI134" s="12"/>
      <c r="BJ134" s="12"/>
      <c r="BK134" s="12"/>
      <c r="BL134" s="12"/>
      <c r="BM134" s="12"/>
      <c r="BN134" s="12"/>
      <c r="BO134" s="12"/>
      <c r="BP134" s="12"/>
      <c r="BQ134" s="12"/>
      <c r="BR134" s="12"/>
      <c r="BS134" s="12"/>
      <c r="BT134" s="12"/>
      <c r="BU134" s="12"/>
      <c r="BV134" s="12"/>
      <c r="BW134" s="12"/>
      <c r="BX134" s="12"/>
      <c r="BY134" s="12"/>
      <c r="BZ134" s="12"/>
      <c r="CA134" s="12"/>
      <c r="CB134" s="12"/>
      <c r="CC134" s="12"/>
      <c r="CD134" s="12"/>
      <c r="CE134" s="12"/>
      <c r="CF134" s="12"/>
      <c r="CG134" s="12"/>
      <c r="CH134" s="12"/>
      <c r="CI134" s="12"/>
      <c r="CJ134" s="12"/>
      <c r="CK134" s="12"/>
      <c r="CL134" s="12"/>
      <c r="CM134" s="12"/>
      <c r="CN134" s="12"/>
      <c r="CO134" s="12"/>
      <c r="CP134" s="12"/>
      <c r="CQ134" s="12"/>
      <c r="CR134" s="12"/>
      <c r="CS134" s="12"/>
      <c r="CT134" s="12"/>
      <c r="CU134" s="12"/>
      <c r="CV134" s="12"/>
      <c r="CW134" s="12"/>
      <c r="CX134" s="12"/>
      <c r="CY134" s="12"/>
      <c r="CZ134" s="12"/>
      <c r="DA134" s="12"/>
      <c r="DB134" s="12"/>
      <c r="DC134" s="12"/>
      <c r="DD134" s="12"/>
      <c r="DE134" s="12"/>
      <c r="DF134" s="12"/>
      <c r="DG134" s="12"/>
      <c r="DH134" s="12"/>
      <c r="DI134" s="12"/>
      <c r="DJ134" s="12"/>
      <c r="DK134" s="12"/>
      <c r="DL134" s="12"/>
      <c r="DM134" s="12"/>
      <c r="DN134" s="12"/>
      <c r="DO134" s="12"/>
      <c r="DP134" s="12"/>
      <c r="DQ134" s="12"/>
      <c r="DR134" s="12"/>
      <c r="DS134" s="12"/>
      <c r="DT134" s="12"/>
      <c r="DU134" s="12"/>
      <c r="DV134" s="12"/>
      <c r="DW134" s="12"/>
      <c r="DX134" s="12"/>
      <c r="DY134" s="12"/>
      <c r="DZ134" s="12"/>
      <c r="EA134" s="12"/>
      <c r="EB134" s="12"/>
      <c r="EC134" s="12"/>
      <c r="ED134" s="12"/>
      <c r="EE134" s="12"/>
      <c r="EF134" s="12"/>
      <c r="EG134" s="12"/>
      <c r="EH134" s="12"/>
      <c r="EI134" s="12"/>
      <c r="EJ134" s="12"/>
      <c r="EK134" s="12"/>
      <c r="EL134" s="12"/>
      <c r="EM134" s="12"/>
      <c r="EN134" s="12"/>
      <c r="EO134" s="12"/>
      <c r="EP134" s="12"/>
      <c r="EQ134" s="12"/>
      <c r="ER134" s="12"/>
      <c r="ES134" s="12"/>
      <c r="ET134" s="12"/>
      <c r="EU134" s="12"/>
      <c r="EV134" s="12"/>
      <c r="EW134" s="12"/>
      <c r="EX134" s="12"/>
      <c r="EY134" s="12"/>
      <c r="EZ134" s="12"/>
      <c r="FA134" s="12"/>
      <c r="FB134" s="12"/>
      <c r="FC134" s="12"/>
      <c r="FD134" s="12"/>
      <c r="FE134" s="12"/>
      <c r="FF134" s="12"/>
      <c r="FG134" s="12"/>
      <c r="FH134" s="12"/>
      <c r="FI134" s="12"/>
      <c r="FJ134" s="12"/>
      <c r="FK134" s="12"/>
      <c r="FL134" s="12"/>
      <c r="FM134" s="12"/>
      <c r="FN134" s="12"/>
      <c r="FO134" s="12"/>
      <c r="FP134" s="12"/>
      <c r="FQ134" s="12"/>
      <c r="FR134" s="12"/>
      <c r="FS134" s="12"/>
      <c r="FT134" s="12"/>
      <c r="FU134" s="12"/>
      <c r="FV134" s="12"/>
      <c r="FW134" s="12"/>
      <c r="FX134" s="12"/>
      <c r="FY134" s="12"/>
      <c r="FZ134" s="12"/>
      <c r="GA134" s="12"/>
      <c r="GB134" s="12"/>
      <c r="GC134" s="12"/>
      <c r="GD134" s="12"/>
      <c r="GE134" s="12"/>
    </row>
    <row r="135" spans="1:187" ht="21" customHeight="1">
      <c r="A135" s="45"/>
      <c r="B135" s="9" t="s">
        <v>277</v>
      </c>
      <c r="C135" s="10" t="s">
        <v>172</v>
      </c>
      <c r="D135" s="10" t="s">
        <v>423</v>
      </c>
      <c r="E135" s="61">
        <f>378.4692*0.6</f>
        <v>227.08151999999998</v>
      </c>
      <c r="F135" s="61">
        <f>378.4692*0.4</f>
        <v>151.38768000000002</v>
      </c>
      <c r="G135" s="61">
        <f>302.2308*0.2</f>
        <v>60.446159999999999</v>
      </c>
      <c r="H135" s="61">
        <f>302.2308*0.8</f>
        <v>241.78464</v>
      </c>
      <c r="I135" s="35">
        <f t="shared" si="8"/>
        <v>680.7</v>
      </c>
      <c r="J135" s="56">
        <v>680.7</v>
      </c>
      <c r="K135" s="49">
        <v>6024.08</v>
      </c>
      <c r="L135" s="49">
        <v>6265.0432000000001</v>
      </c>
      <c r="M135" s="49">
        <v>1820.88</v>
      </c>
      <c r="N135" s="49">
        <v>1893.71</v>
      </c>
      <c r="O135" s="56">
        <f t="shared" si="14"/>
        <v>4203.2</v>
      </c>
      <c r="P135" s="1">
        <f t="shared" si="13"/>
        <v>954469.04486399994</v>
      </c>
      <c r="Q135" s="1">
        <f t="shared" si="9"/>
        <v>636312.69657600007</v>
      </c>
      <c r="R135" s="1">
        <f t="shared" si="10"/>
        <v>264230.30602051201</v>
      </c>
      <c r="S135" s="1">
        <f t="shared" si="11"/>
        <v>1056921.2240820481</v>
      </c>
      <c r="T135" s="1">
        <f t="shared" si="12"/>
        <v>2911933.2715425603</v>
      </c>
      <c r="U135" s="11"/>
      <c r="V135" s="11"/>
      <c r="W135" s="11"/>
      <c r="X135" s="12"/>
      <c r="Y135" s="12"/>
      <c r="Z135" s="12"/>
      <c r="AA135" s="12"/>
      <c r="AB135" s="12"/>
      <c r="AC135" s="12"/>
      <c r="AD135" s="12"/>
      <c r="AE135" s="12"/>
      <c r="AF135" s="12"/>
      <c r="AG135" s="12"/>
      <c r="AH135" s="12"/>
      <c r="AI135" s="12"/>
      <c r="AJ135" s="12"/>
      <c r="AK135" s="12"/>
      <c r="AL135" s="12"/>
      <c r="AM135" s="12"/>
      <c r="AN135" s="12"/>
      <c r="AO135" s="12"/>
      <c r="AP135" s="12"/>
      <c r="AQ135" s="12"/>
      <c r="AR135" s="12"/>
      <c r="AS135" s="12"/>
      <c r="AT135" s="12"/>
      <c r="AU135" s="12"/>
      <c r="AV135" s="12"/>
      <c r="AW135" s="12"/>
      <c r="AX135" s="12"/>
      <c r="AY135" s="12"/>
      <c r="AZ135" s="12"/>
      <c r="BA135" s="12"/>
      <c r="BB135" s="12"/>
      <c r="BC135" s="12"/>
      <c r="BD135" s="12"/>
      <c r="BE135" s="12"/>
      <c r="BF135" s="12"/>
      <c r="BG135" s="12"/>
      <c r="BH135" s="12"/>
      <c r="BI135" s="12"/>
      <c r="BJ135" s="12"/>
      <c r="BK135" s="12"/>
      <c r="BL135" s="12"/>
      <c r="BM135" s="12"/>
      <c r="BN135" s="12"/>
      <c r="BO135" s="12"/>
      <c r="BP135" s="12"/>
      <c r="BQ135" s="12"/>
      <c r="BR135" s="12"/>
      <c r="BS135" s="12"/>
      <c r="BT135" s="12"/>
      <c r="BU135" s="12"/>
      <c r="BV135" s="12"/>
      <c r="BW135" s="12"/>
      <c r="BX135" s="12"/>
      <c r="BY135" s="12"/>
      <c r="BZ135" s="12"/>
      <c r="CA135" s="12"/>
      <c r="CB135" s="12"/>
      <c r="CC135" s="12"/>
      <c r="CD135" s="12"/>
      <c r="CE135" s="12"/>
      <c r="CF135" s="12"/>
      <c r="CG135" s="12"/>
      <c r="CH135" s="12"/>
      <c r="CI135" s="12"/>
      <c r="CJ135" s="12"/>
      <c r="CK135" s="12"/>
      <c r="CL135" s="12"/>
      <c r="CM135" s="12"/>
      <c r="CN135" s="12"/>
      <c r="CO135" s="12"/>
      <c r="CP135" s="12"/>
      <c r="CQ135" s="12"/>
      <c r="CR135" s="12"/>
      <c r="CS135" s="12"/>
      <c r="CT135" s="12"/>
      <c r="CU135" s="12"/>
      <c r="CV135" s="12"/>
      <c r="CW135" s="12"/>
      <c r="CX135" s="12"/>
      <c r="CY135" s="12"/>
      <c r="CZ135" s="12"/>
      <c r="DA135" s="12"/>
      <c r="DB135" s="12"/>
      <c r="DC135" s="12"/>
      <c r="DD135" s="12"/>
      <c r="DE135" s="12"/>
      <c r="DF135" s="12"/>
      <c r="DG135" s="12"/>
      <c r="DH135" s="12"/>
      <c r="DI135" s="12"/>
      <c r="DJ135" s="12"/>
      <c r="DK135" s="12"/>
      <c r="DL135" s="12"/>
      <c r="DM135" s="12"/>
      <c r="DN135" s="12"/>
      <c r="DO135" s="12"/>
      <c r="DP135" s="12"/>
      <c r="DQ135" s="12"/>
      <c r="DR135" s="12"/>
      <c r="DS135" s="12"/>
      <c r="DT135" s="12"/>
      <c r="DU135" s="12"/>
      <c r="DV135" s="12"/>
      <c r="DW135" s="12"/>
      <c r="DX135" s="12"/>
      <c r="DY135" s="12"/>
      <c r="DZ135" s="12"/>
      <c r="EA135" s="12"/>
      <c r="EB135" s="12"/>
      <c r="EC135" s="12"/>
      <c r="ED135" s="12"/>
      <c r="EE135" s="12"/>
      <c r="EF135" s="12"/>
      <c r="EG135" s="12"/>
      <c r="EH135" s="12"/>
      <c r="EI135" s="12"/>
      <c r="EJ135" s="12"/>
      <c r="EK135" s="12"/>
      <c r="EL135" s="12"/>
      <c r="EM135" s="12"/>
      <c r="EN135" s="12"/>
      <c r="EO135" s="12"/>
      <c r="EP135" s="12"/>
      <c r="EQ135" s="12"/>
      <c r="ER135" s="12"/>
      <c r="ES135" s="12"/>
      <c r="ET135" s="12"/>
      <c r="EU135" s="12"/>
      <c r="EV135" s="12"/>
      <c r="EW135" s="12"/>
      <c r="EX135" s="12"/>
      <c r="EY135" s="12"/>
      <c r="EZ135" s="12"/>
      <c r="FA135" s="12"/>
      <c r="FB135" s="12"/>
      <c r="FC135" s="12"/>
      <c r="FD135" s="12"/>
      <c r="FE135" s="12"/>
      <c r="FF135" s="12"/>
      <c r="FG135" s="12"/>
      <c r="FH135" s="12"/>
      <c r="FI135" s="12"/>
      <c r="FJ135" s="12"/>
      <c r="FK135" s="12"/>
      <c r="FL135" s="12"/>
      <c r="FM135" s="12"/>
      <c r="FN135" s="12"/>
      <c r="FO135" s="12"/>
      <c r="FP135" s="12"/>
      <c r="FQ135" s="12"/>
      <c r="FR135" s="12"/>
      <c r="FS135" s="12"/>
      <c r="FT135" s="12"/>
      <c r="FU135" s="12"/>
      <c r="FV135" s="12"/>
      <c r="FW135" s="12"/>
      <c r="FX135" s="12"/>
      <c r="FY135" s="12"/>
      <c r="FZ135" s="12"/>
      <c r="GA135" s="12"/>
      <c r="GB135" s="12"/>
      <c r="GC135" s="12"/>
      <c r="GD135" s="12"/>
      <c r="GE135" s="12"/>
    </row>
    <row r="136" spans="1:187" ht="21" customHeight="1">
      <c r="A136" s="45"/>
      <c r="B136" s="9" t="s">
        <v>277</v>
      </c>
      <c r="C136" s="10" t="s">
        <v>172</v>
      </c>
      <c r="D136" s="10" t="s">
        <v>309</v>
      </c>
      <c r="E136" s="35">
        <f>642.308+556.683</f>
        <v>1198.991</v>
      </c>
      <c r="F136" s="35">
        <f>(642.308+1355.937)-E136</f>
        <v>799.25399999999991</v>
      </c>
      <c r="G136" s="35">
        <v>399.66699999999997</v>
      </c>
      <c r="H136" s="35">
        <f>1598.668-G136</f>
        <v>1199.001</v>
      </c>
      <c r="I136" s="35">
        <f t="shared" si="8"/>
        <v>3596.9129999999996</v>
      </c>
      <c r="J136" s="56">
        <v>3605.6</v>
      </c>
      <c r="K136" s="49">
        <v>3739.65</v>
      </c>
      <c r="L136" s="49">
        <v>3889.2360000000003</v>
      </c>
      <c r="M136" s="49">
        <v>1397.3</v>
      </c>
      <c r="N136" s="49">
        <v>1453.192</v>
      </c>
      <c r="O136" s="56">
        <f t="shared" si="14"/>
        <v>2342.3500000000004</v>
      </c>
      <c r="P136" s="1">
        <f t="shared" si="13"/>
        <v>2808456.5688500004</v>
      </c>
      <c r="Q136" s="1">
        <f t="shared" si="9"/>
        <v>1872132.6069</v>
      </c>
      <c r="R136" s="1">
        <f t="shared" si="10"/>
        <v>973606.39734800009</v>
      </c>
      <c r="S136" s="1">
        <f t="shared" si="11"/>
        <v>2920819.1920440001</v>
      </c>
      <c r="T136" s="1">
        <f t="shared" si="12"/>
        <v>8575014.7651420012</v>
      </c>
      <c r="U136" s="11"/>
      <c r="V136" s="11"/>
      <c r="W136" s="11"/>
      <c r="X136" s="12"/>
      <c r="Y136" s="12"/>
      <c r="Z136" s="12"/>
      <c r="AA136" s="12"/>
      <c r="AB136" s="12"/>
      <c r="AC136" s="12"/>
      <c r="AD136" s="12"/>
      <c r="AE136" s="12"/>
      <c r="AF136" s="12"/>
      <c r="AG136" s="12"/>
      <c r="AH136" s="12"/>
      <c r="AI136" s="12"/>
      <c r="AJ136" s="12"/>
      <c r="AK136" s="12"/>
      <c r="AL136" s="12"/>
      <c r="AM136" s="12"/>
      <c r="AN136" s="12"/>
      <c r="AO136" s="12"/>
      <c r="AP136" s="12"/>
      <c r="AQ136" s="12"/>
      <c r="AR136" s="12"/>
      <c r="AS136" s="12"/>
      <c r="AT136" s="12"/>
      <c r="AU136" s="12"/>
      <c r="AV136" s="12"/>
      <c r="AW136" s="12"/>
      <c r="AX136" s="12"/>
      <c r="AY136" s="12"/>
      <c r="AZ136" s="12"/>
      <c r="BA136" s="12"/>
      <c r="BB136" s="12"/>
      <c r="BC136" s="12"/>
      <c r="BD136" s="12"/>
      <c r="BE136" s="12"/>
      <c r="BF136" s="12"/>
      <c r="BG136" s="12"/>
      <c r="BH136" s="12"/>
      <c r="BI136" s="12"/>
      <c r="BJ136" s="12"/>
      <c r="BK136" s="12"/>
      <c r="BL136" s="12"/>
      <c r="BM136" s="12"/>
      <c r="BN136" s="12"/>
      <c r="BO136" s="12"/>
      <c r="BP136" s="12"/>
      <c r="BQ136" s="12"/>
      <c r="BR136" s="12"/>
      <c r="BS136" s="12"/>
      <c r="BT136" s="12"/>
      <c r="BU136" s="12"/>
      <c r="BV136" s="12"/>
      <c r="BW136" s="12"/>
      <c r="BX136" s="12"/>
      <c r="BY136" s="12"/>
      <c r="BZ136" s="12"/>
      <c r="CA136" s="12"/>
      <c r="CB136" s="12"/>
      <c r="CC136" s="12"/>
      <c r="CD136" s="12"/>
      <c r="CE136" s="12"/>
      <c r="CF136" s="12"/>
      <c r="CG136" s="12"/>
      <c r="CH136" s="12"/>
      <c r="CI136" s="12"/>
      <c r="CJ136" s="12"/>
      <c r="CK136" s="12"/>
      <c r="CL136" s="12"/>
      <c r="CM136" s="12"/>
      <c r="CN136" s="12"/>
      <c r="CO136" s="12"/>
      <c r="CP136" s="12"/>
      <c r="CQ136" s="12"/>
      <c r="CR136" s="12"/>
      <c r="CS136" s="12"/>
      <c r="CT136" s="12"/>
      <c r="CU136" s="12"/>
      <c r="CV136" s="12"/>
      <c r="CW136" s="12"/>
      <c r="CX136" s="12"/>
      <c r="CY136" s="12"/>
      <c r="CZ136" s="12"/>
      <c r="DA136" s="12"/>
      <c r="DB136" s="12"/>
      <c r="DC136" s="12"/>
      <c r="DD136" s="12"/>
      <c r="DE136" s="12"/>
      <c r="DF136" s="12"/>
      <c r="DG136" s="12"/>
      <c r="DH136" s="12"/>
      <c r="DI136" s="12"/>
      <c r="DJ136" s="12"/>
      <c r="DK136" s="12"/>
      <c r="DL136" s="12"/>
      <c r="DM136" s="12"/>
      <c r="DN136" s="12"/>
      <c r="DO136" s="12"/>
      <c r="DP136" s="12"/>
      <c r="DQ136" s="12"/>
      <c r="DR136" s="12"/>
      <c r="DS136" s="12"/>
      <c r="DT136" s="12"/>
      <c r="DU136" s="12"/>
      <c r="DV136" s="12"/>
      <c r="DW136" s="12"/>
      <c r="DX136" s="12"/>
      <c r="DY136" s="12"/>
      <c r="DZ136" s="12"/>
      <c r="EA136" s="12"/>
      <c r="EB136" s="12"/>
      <c r="EC136" s="12"/>
      <c r="ED136" s="12"/>
      <c r="EE136" s="12"/>
      <c r="EF136" s="12"/>
      <c r="EG136" s="12"/>
      <c r="EH136" s="12"/>
      <c r="EI136" s="12"/>
      <c r="EJ136" s="12"/>
      <c r="EK136" s="12"/>
      <c r="EL136" s="12"/>
      <c r="EM136" s="12"/>
      <c r="EN136" s="12"/>
      <c r="EO136" s="12"/>
      <c r="EP136" s="12"/>
      <c r="EQ136" s="12"/>
      <c r="ER136" s="12"/>
      <c r="ES136" s="12"/>
      <c r="ET136" s="12"/>
      <c r="EU136" s="12"/>
      <c r="EV136" s="12"/>
      <c r="EW136" s="12"/>
      <c r="EX136" s="12"/>
      <c r="EY136" s="12"/>
      <c r="EZ136" s="12"/>
      <c r="FA136" s="12"/>
      <c r="FB136" s="12"/>
      <c r="FC136" s="12"/>
      <c r="FD136" s="12"/>
      <c r="FE136" s="12"/>
      <c r="FF136" s="12"/>
      <c r="FG136" s="12"/>
      <c r="FH136" s="12"/>
      <c r="FI136" s="12"/>
      <c r="FJ136" s="12"/>
      <c r="FK136" s="12"/>
      <c r="FL136" s="12"/>
      <c r="FM136" s="12"/>
      <c r="FN136" s="12"/>
      <c r="FO136" s="12"/>
      <c r="FP136" s="12"/>
      <c r="FQ136" s="12"/>
      <c r="FR136" s="12"/>
      <c r="FS136" s="12"/>
      <c r="FT136" s="12"/>
      <c r="FU136" s="12"/>
      <c r="FV136" s="12"/>
      <c r="FW136" s="12"/>
      <c r="FX136" s="12"/>
      <c r="FY136" s="12"/>
      <c r="FZ136" s="12"/>
      <c r="GA136" s="12"/>
      <c r="GB136" s="12"/>
      <c r="GC136" s="12"/>
      <c r="GD136" s="12"/>
      <c r="GE136" s="12"/>
    </row>
    <row r="137" spans="1:187" ht="21" customHeight="1">
      <c r="A137" s="45"/>
      <c r="B137" s="9" t="s">
        <v>277</v>
      </c>
      <c r="C137" s="10" t="s">
        <v>172</v>
      </c>
      <c r="D137" s="10" t="s">
        <v>308</v>
      </c>
      <c r="E137" s="35">
        <f>200.529+173.802</f>
        <v>374.33100000000002</v>
      </c>
      <c r="F137" s="35">
        <f>(200.529+423.356)-E137</f>
        <v>249.55399999999997</v>
      </c>
      <c r="G137" s="35">
        <v>124.777</v>
      </c>
      <c r="H137" s="35">
        <f>499.108-G137</f>
        <v>374.33100000000002</v>
      </c>
      <c r="I137" s="35">
        <f t="shared" si="8"/>
        <v>1122.9929999999999</v>
      </c>
      <c r="J137" s="56">
        <v>1123</v>
      </c>
      <c r="K137" s="49">
        <v>6140.76</v>
      </c>
      <c r="L137" s="49">
        <v>6386.3904000000002</v>
      </c>
      <c r="M137" s="49">
        <v>1820.88</v>
      </c>
      <c r="N137" s="49">
        <v>1893.71</v>
      </c>
      <c r="O137" s="56">
        <f t="shared" si="14"/>
        <v>4319.88</v>
      </c>
      <c r="P137" s="1">
        <f t="shared" si="13"/>
        <v>1617065.00028</v>
      </c>
      <c r="Q137" s="1">
        <f t="shared" si="9"/>
        <v>1078043.3335199999</v>
      </c>
      <c r="R137" s="1">
        <f t="shared" si="10"/>
        <v>560583.1822708</v>
      </c>
      <c r="S137" s="1">
        <f t="shared" si="11"/>
        <v>1681749.5468124002</v>
      </c>
      <c r="T137" s="1">
        <f t="shared" si="12"/>
        <v>4937441.0628832001</v>
      </c>
      <c r="U137" s="11"/>
      <c r="V137" s="11"/>
      <c r="W137" s="11"/>
      <c r="X137" s="12"/>
      <c r="Y137" s="12"/>
      <c r="Z137" s="12"/>
      <c r="AA137" s="12"/>
      <c r="AB137" s="12"/>
      <c r="AC137" s="12"/>
      <c r="AD137" s="12"/>
      <c r="AE137" s="12"/>
      <c r="AF137" s="12"/>
      <c r="AG137" s="12"/>
      <c r="AH137" s="12"/>
      <c r="AI137" s="12"/>
      <c r="AJ137" s="12"/>
      <c r="AK137" s="12"/>
      <c r="AL137" s="12"/>
      <c r="AM137" s="12"/>
      <c r="AN137" s="12"/>
      <c r="AO137" s="12"/>
      <c r="AP137" s="12"/>
      <c r="AQ137" s="12"/>
      <c r="AR137" s="12"/>
      <c r="AS137" s="12"/>
      <c r="AT137" s="12"/>
      <c r="AU137" s="12"/>
      <c r="AV137" s="12"/>
      <c r="AW137" s="12"/>
      <c r="AX137" s="12"/>
      <c r="AY137" s="12"/>
      <c r="AZ137" s="12"/>
      <c r="BA137" s="12"/>
      <c r="BB137" s="12"/>
      <c r="BC137" s="12"/>
      <c r="BD137" s="12"/>
      <c r="BE137" s="12"/>
      <c r="BF137" s="12"/>
      <c r="BG137" s="12"/>
      <c r="BH137" s="12"/>
      <c r="BI137" s="12"/>
      <c r="BJ137" s="12"/>
      <c r="BK137" s="12"/>
      <c r="BL137" s="12"/>
      <c r="BM137" s="12"/>
      <c r="BN137" s="12"/>
      <c r="BO137" s="12"/>
      <c r="BP137" s="12"/>
      <c r="BQ137" s="12"/>
      <c r="BR137" s="12"/>
      <c r="BS137" s="12"/>
      <c r="BT137" s="12"/>
      <c r="BU137" s="12"/>
      <c r="BV137" s="12"/>
      <c r="BW137" s="12"/>
      <c r="BX137" s="12"/>
      <c r="BY137" s="12"/>
      <c r="BZ137" s="12"/>
      <c r="CA137" s="12"/>
      <c r="CB137" s="12"/>
      <c r="CC137" s="12"/>
      <c r="CD137" s="12"/>
      <c r="CE137" s="12"/>
      <c r="CF137" s="12"/>
      <c r="CG137" s="12"/>
      <c r="CH137" s="12"/>
      <c r="CI137" s="12"/>
      <c r="CJ137" s="12"/>
      <c r="CK137" s="12"/>
      <c r="CL137" s="12"/>
      <c r="CM137" s="12"/>
      <c r="CN137" s="12"/>
      <c r="CO137" s="12"/>
      <c r="CP137" s="12"/>
      <c r="CQ137" s="12"/>
      <c r="CR137" s="12"/>
      <c r="CS137" s="12"/>
      <c r="CT137" s="12"/>
      <c r="CU137" s="12"/>
      <c r="CV137" s="12"/>
      <c r="CW137" s="12"/>
      <c r="CX137" s="12"/>
      <c r="CY137" s="12"/>
      <c r="CZ137" s="12"/>
      <c r="DA137" s="12"/>
      <c r="DB137" s="12"/>
      <c r="DC137" s="12"/>
      <c r="DD137" s="12"/>
      <c r="DE137" s="12"/>
      <c r="DF137" s="12"/>
      <c r="DG137" s="12"/>
      <c r="DH137" s="12"/>
      <c r="DI137" s="12"/>
      <c r="DJ137" s="12"/>
      <c r="DK137" s="12"/>
      <c r="DL137" s="12"/>
      <c r="DM137" s="12"/>
      <c r="DN137" s="12"/>
      <c r="DO137" s="12"/>
      <c r="DP137" s="12"/>
      <c r="DQ137" s="12"/>
      <c r="DR137" s="12"/>
      <c r="DS137" s="12"/>
      <c r="DT137" s="12"/>
      <c r="DU137" s="12"/>
      <c r="DV137" s="12"/>
      <c r="DW137" s="12"/>
      <c r="DX137" s="12"/>
      <c r="DY137" s="12"/>
      <c r="DZ137" s="12"/>
      <c r="EA137" s="12"/>
      <c r="EB137" s="12"/>
      <c r="EC137" s="12"/>
      <c r="ED137" s="12"/>
      <c r="EE137" s="12"/>
      <c r="EF137" s="12"/>
      <c r="EG137" s="12"/>
      <c r="EH137" s="12"/>
      <c r="EI137" s="12"/>
      <c r="EJ137" s="12"/>
      <c r="EK137" s="12"/>
      <c r="EL137" s="12"/>
      <c r="EM137" s="12"/>
      <c r="EN137" s="12"/>
      <c r="EO137" s="12"/>
      <c r="EP137" s="12"/>
      <c r="EQ137" s="12"/>
      <c r="ER137" s="12"/>
      <c r="ES137" s="12"/>
      <c r="ET137" s="12"/>
      <c r="EU137" s="12"/>
      <c r="EV137" s="12"/>
      <c r="EW137" s="12"/>
      <c r="EX137" s="12"/>
      <c r="EY137" s="12"/>
      <c r="EZ137" s="12"/>
      <c r="FA137" s="12"/>
      <c r="FB137" s="12"/>
      <c r="FC137" s="12"/>
      <c r="FD137" s="12"/>
      <c r="FE137" s="12"/>
      <c r="FF137" s="12"/>
      <c r="FG137" s="12"/>
      <c r="FH137" s="12"/>
      <c r="FI137" s="12"/>
      <c r="FJ137" s="12"/>
      <c r="FK137" s="12"/>
      <c r="FL137" s="12"/>
      <c r="FM137" s="12"/>
      <c r="FN137" s="12"/>
      <c r="FO137" s="12"/>
      <c r="FP137" s="12"/>
      <c r="FQ137" s="12"/>
      <c r="FR137" s="12"/>
      <c r="FS137" s="12"/>
      <c r="FT137" s="12"/>
      <c r="FU137" s="12"/>
      <c r="FV137" s="12"/>
      <c r="FW137" s="12"/>
      <c r="FX137" s="12"/>
      <c r="FY137" s="12"/>
      <c r="FZ137" s="12"/>
      <c r="GA137" s="12"/>
      <c r="GB137" s="12"/>
      <c r="GC137" s="12"/>
      <c r="GD137" s="12"/>
      <c r="GE137" s="12"/>
    </row>
    <row r="138" spans="1:187" ht="21" customHeight="1">
      <c r="A138" s="45"/>
      <c r="B138" s="9" t="s">
        <v>278</v>
      </c>
      <c r="C138" s="10" t="s">
        <v>167</v>
      </c>
      <c r="D138" s="10" t="s">
        <v>168</v>
      </c>
      <c r="E138" s="35">
        <v>6665.7049999999999</v>
      </c>
      <c r="F138" s="35">
        <f>9991.06-E138</f>
        <v>3325.3549999999996</v>
      </c>
      <c r="G138" s="35">
        <v>1143.3</v>
      </c>
      <c r="H138" s="35">
        <f>6955.636-G138</f>
        <v>5812.3360000000002</v>
      </c>
      <c r="I138" s="35">
        <f t="shared" si="8"/>
        <v>16946.696</v>
      </c>
      <c r="J138" s="56">
        <v>17338.61</v>
      </c>
      <c r="K138" s="49">
        <v>2345.1999999999998</v>
      </c>
      <c r="L138" s="49">
        <v>2439.0079999999998</v>
      </c>
      <c r="M138" s="49">
        <v>1816.8</v>
      </c>
      <c r="N138" s="49">
        <v>1889.48</v>
      </c>
      <c r="O138" s="56">
        <f t="shared" si="14"/>
        <v>528.39999999999986</v>
      </c>
      <c r="P138" s="1">
        <f t="shared" si="13"/>
        <v>3522158.5219999989</v>
      </c>
      <c r="Q138" s="1">
        <f t="shared" ref="Q138:Q201" si="19">(K138-M138)*F138</f>
        <v>1757117.5819999992</v>
      </c>
      <c r="R138" s="1">
        <f t="shared" ref="R138:R201" si="20">(L138-N138)*G138</f>
        <v>628275.36239999975</v>
      </c>
      <c r="S138" s="1">
        <f t="shared" ref="S138:S201" si="21">(H138*(L138-N138))</f>
        <v>3194041.3774079988</v>
      </c>
      <c r="T138" s="1">
        <f t="shared" ref="T138:T201" si="22">SUM(P138:S138)</f>
        <v>9101592.8438079972</v>
      </c>
      <c r="U138" s="11"/>
      <c r="V138" s="11"/>
      <c r="W138" s="11"/>
      <c r="X138" s="12"/>
      <c r="Y138" s="12"/>
      <c r="Z138" s="12"/>
      <c r="AA138" s="12"/>
      <c r="AB138" s="12"/>
      <c r="AC138" s="12"/>
      <c r="AD138" s="12"/>
      <c r="AE138" s="12"/>
      <c r="AF138" s="12"/>
      <c r="AG138" s="12"/>
      <c r="AH138" s="12"/>
      <c r="AI138" s="12"/>
      <c r="AJ138" s="12"/>
      <c r="AK138" s="12"/>
      <c r="AL138" s="12"/>
      <c r="AM138" s="12"/>
      <c r="AN138" s="12"/>
      <c r="AO138" s="12"/>
      <c r="AP138" s="12"/>
      <c r="AQ138" s="12"/>
      <c r="AR138" s="12"/>
      <c r="AS138" s="12"/>
      <c r="AT138" s="12"/>
      <c r="AU138" s="12"/>
      <c r="AV138" s="12"/>
      <c r="AW138" s="12"/>
      <c r="AX138" s="12"/>
      <c r="AY138" s="12"/>
      <c r="AZ138" s="12"/>
      <c r="BA138" s="12"/>
      <c r="BB138" s="12"/>
      <c r="BC138" s="12"/>
      <c r="BD138" s="12"/>
      <c r="BE138" s="12"/>
      <c r="BF138" s="12"/>
      <c r="BG138" s="12"/>
      <c r="BH138" s="12"/>
      <c r="BI138" s="12"/>
      <c r="BJ138" s="12"/>
      <c r="BK138" s="12"/>
      <c r="BL138" s="12"/>
      <c r="BM138" s="12"/>
      <c r="BN138" s="12"/>
      <c r="BO138" s="12"/>
      <c r="BP138" s="12"/>
      <c r="BQ138" s="12"/>
      <c r="BR138" s="12"/>
      <c r="BS138" s="12"/>
      <c r="BT138" s="12"/>
      <c r="BU138" s="12"/>
      <c r="BV138" s="12"/>
      <c r="BW138" s="12"/>
      <c r="BX138" s="12"/>
      <c r="BY138" s="12"/>
      <c r="BZ138" s="12"/>
      <c r="CA138" s="12"/>
      <c r="CB138" s="12"/>
      <c r="CC138" s="12"/>
      <c r="CD138" s="12"/>
      <c r="CE138" s="12"/>
      <c r="CF138" s="12"/>
      <c r="CG138" s="12"/>
      <c r="CH138" s="12"/>
      <c r="CI138" s="12"/>
      <c r="CJ138" s="12"/>
      <c r="CK138" s="12"/>
      <c r="CL138" s="12"/>
      <c r="CM138" s="12"/>
      <c r="CN138" s="12"/>
      <c r="CO138" s="12"/>
      <c r="CP138" s="12"/>
      <c r="CQ138" s="12"/>
      <c r="CR138" s="12"/>
      <c r="CS138" s="12"/>
      <c r="CT138" s="12"/>
      <c r="CU138" s="12"/>
      <c r="CV138" s="12"/>
      <c r="CW138" s="12"/>
      <c r="CX138" s="12"/>
      <c r="CY138" s="12"/>
      <c r="CZ138" s="12"/>
      <c r="DA138" s="12"/>
      <c r="DB138" s="12"/>
      <c r="DC138" s="12"/>
      <c r="DD138" s="12"/>
      <c r="DE138" s="12"/>
      <c r="DF138" s="12"/>
      <c r="DG138" s="12"/>
      <c r="DH138" s="12"/>
      <c r="DI138" s="12"/>
      <c r="DJ138" s="12"/>
      <c r="DK138" s="12"/>
      <c r="DL138" s="12"/>
      <c r="DM138" s="12"/>
      <c r="DN138" s="12"/>
      <c r="DO138" s="12"/>
      <c r="DP138" s="12"/>
      <c r="DQ138" s="12"/>
      <c r="DR138" s="12"/>
      <c r="DS138" s="12"/>
      <c r="DT138" s="12"/>
      <c r="DU138" s="12"/>
      <c r="DV138" s="12"/>
      <c r="DW138" s="12"/>
      <c r="DX138" s="12"/>
      <c r="DY138" s="12"/>
      <c r="DZ138" s="12"/>
      <c r="EA138" s="12"/>
      <c r="EB138" s="12"/>
      <c r="EC138" s="12"/>
      <c r="ED138" s="12"/>
      <c r="EE138" s="12"/>
      <c r="EF138" s="12"/>
      <c r="EG138" s="12"/>
      <c r="EH138" s="12"/>
      <c r="EI138" s="12"/>
      <c r="EJ138" s="12"/>
      <c r="EK138" s="12"/>
      <c r="EL138" s="12"/>
      <c r="EM138" s="12"/>
      <c r="EN138" s="12"/>
      <c r="EO138" s="12"/>
      <c r="EP138" s="12"/>
      <c r="EQ138" s="12"/>
      <c r="ER138" s="12"/>
      <c r="ES138" s="12"/>
      <c r="ET138" s="12"/>
      <c r="EU138" s="12"/>
      <c r="EV138" s="12"/>
      <c r="EW138" s="12"/>
      <c r="EX138" s="12"/>
      <c r="EY138" s="12"/>
      <c r="EZ138" s="12"/>
      <c r="FA138" s="12"/>
      <c r="FB138" s="12"/>
      <c r="FC138" s="12"/>
      <c r="FD138" s="12"/>
      <c r="FE138" s="12"/>
      <c r="FF138" s="12"/>
      <c r="FG138" s="12"/>
      <c r="FH138" s="12"/>
      <c r="FI138" s="12"/>
      <c r="FJ138" s="12"/>
      <c r="FK138" s="12"/>
      <c r="FL138" s="12"/>
      <c r="FM138" s="12"/>
      <c r="FN138" s="12"/>
      <c r="FO138" s="12"/>
      <c r="FP138" s="12"/>
      <c r="FQ138" s="12"/>
      <c r="FR138" s="12"/>
      <c r="FS138" s="12"/>
      <c r="FT138" s="12"/>
      <c r="FU138" s="12"/>
      <c r="FV138" s="12"/>
      <c r="FW138" s="12"/>
      <c r="FX138" s="12"/>
      <c r="FY138" s="12"/>
      <c r="FZ138" s="12"/>
      <c r="GA138" s="12"/>
      <c r="GB138" s="12"/>
      <c r="GC138" s="12"/>
      <c r="GD138" s="12"/>
      <c r="GE138" s="12"/>
    </row>
    <row r="139" spans="1:187" ht="21" customHeight="1">
      <c r="A139" s="45"/>
      <c r="B139" s="9" t="s">
        <v>278</v>
      </c>
      <c r="C139" s="10" t="s">
        <v>167</v>
      </c>
      <c r="D139" s="10" t="s">
        <v>169</v>
      </c>
      <c r="E139" s="35">
        <v>3872.3339999999998</v>
      </c>
      <c r="F139" s="35">
        <f>5648.207-E139</f>
        <v>1775.8730000000005</v>
      </c>
      <c r="G139" s="35">
        <v>587.77499999999998</v>
      </c>
      <c r="H139" s="35">
        <f>3776.44-G139</f>
        <v>3188.665</v>
      </c>
      <c r="I139" s="35">
        <f t="shared" ref="I139:I204" si="23">SUM(E139:H139)</f>
        <v>9424.6470000000008</v>
      </c>
      <c r="J139" s="56">
        <v>9954.2900000000009</v>
      </c>
      <c r="K139" s="49">
        <v>2673.82</v>
      </c>
      <c r="L139" s="49">
        <v>2780.7728000000002</v>
      </c>
      <c r="M139" s="49">
        <v>1816.8</v>
      </c>
      <c r="N139" s="49">
        <v>1889.48</v>
      </c>
      <c r="O139" s="56">
        <f t="shared" si="14"/>
        <v>857.02000000000021</v>
      </c>
      <c r="P139" s="1">
        <f t="shared" si="13"/>
        <v>3318667.6846800009</v>
      </c>
      <c r="Q139" s="1">
        <f t="shared" si="19"/>
        <v>1521958.6784600008</v>
      </c>
      <c r="R139" s="1">
        <f t="shared" si="20"/>
        <v>523879.62552000006</v>
      </c>
      <c r="S139" s="1">
        <f t="shared" si="21"/>
        <v>2842034.1561120003</v>
      </c>
      <c r="T139" s="1">
        <f t="shared" si="22"/>
        <v>8206540.1447720025</v>
      </c>
      <c r="U139" s="11"/>
      <c r="V139" s="11"/>
      <c r="W139" s="11"/>
      <c r="X139" s="12"/>
      <c r="Y139" s="12"/>
      <c r="Z139" s="12"/>
      <c r="AA139" s="12"/>
      <c r="AB139" s="12"/>
      <c r="AC139" s="12"/>
      <c r="AD139" s="12"/>
      <c r="AE139" s="12"/>
      <c r="AF139" s="12"/>
      <c r="AG139" s="12"/>
      <c r="AH139" s="12"/>
      <c r="AI139" s="12"/>
      <c r="AJ139" s="12"/>
      <c r="AK139" s="12"/>
      <c r="AL139" s="12"/>
      <c r="AM139" s="12"/>
      <c r="AN139" s="12"/>
      <c r="AO139" s="12"/>
      <c r="AP139" s="12"/>
      <c r="AQ139" s="12"/>
      <c r="AR139" s="12"/>
      <c r="AS139" s="12"/>
      <c r="AT139" s="12"/>
      <c r="AU139" s="12"/>
      <c r="AV139" s="12"/>
      <c r="AW139" s="12"/>
      <c r="AX139" s="12"/>
      <c r="AY139" s="12"/>
      <c r="AZ139" s="12"/>
      <c r="BA139" s="12"/>
      <c r="BB139" s="12"/>
      <c r="BC139" s="12"/>
      <c r="BD139" s="12"/>
      <c r="BE139" s="12"/>
      <c r="BF139" s="12"/>
      <c r="BG139" s="12"/>
      <c r="BH139" s="12"/>
      <c r="BI139" s="12"/>
      <c r="BJ139" s="12"/>
      <c r="BK139" s="12"/>
      <c r="BL139" s="12"/>
      <c r="BM139" s="12"/>
      <c r="BN139" s="12"/>
      <c r="BO139" s="12"/>
      <c r="BP139" s="12"/>
      <c r="BQ139" s="12"/>
      <c r="BR139" s="12"/>
      <c r="BS139" s="12"/>
      <c r="BT139" s="12"/>
      <c r="BU139" s="12"/>
      <c r="BV139" s="12"/>
      <c r="BW139" s="12"/>
      <c r="BX139" s="12"/>
      <c r="BY139" s="12"/>
      <c r="BZ139" s="12"/>
      <c r="CA139" s="12"/>
      <c r="CB139" s="12"/>
      <c r="CC139" s="12"/>
      <c r="CD139" s="12"/>
      <c r="CE139" s="12"/>
      <c r="CF139" s="12"/>
      <c r="CG139" s="12"/>
      <c r="CH139" s="12"/>
      <c r="CI139" s="12"/>
      <c r="CJ139" s="12"/>
      <c r="CK139" s="12"/>
      <c r="CL139" s="12"/>
      <c r="CM139" s="12"/>
      <c r="CN139" s="12"/>
      <c r="CO139" s="12"/>
      <c r="CP139" s="12"/>
      <c r="CQ139" s="12"/>
      <c r="CR139" s="12"/>
      <c r="CS139" s="12"/>
      <c r="CT139" s="12"/>
      <c r="CU139" s="12"/>
      <c r="CV139" s="12"/>
      <c r="CW139" s="12"/>
      <c r="CX139" s="12"/>
      <c r="CY139" s="12"/>
      <c r="CZ139" s="12"/>
      <c r="DA139" s="12"/>
      <c r="DB139" s="12"/>
      <c r="DC139" s="12"/>
      <c r="DD139" s="12"/>
      <c r="DE139" s="12"/>
      <c r="DF139" s="12"/>
      <c r="DG139" s="12"/>
      <c r="DH139" s="12"/>
      <c r="DI139" s="12"/>
      <c r="DJ139" s="12"/>
      <c r="DK139" s="12"/>
      <c r="DL139" s="12"/>
      <c r="DM139" s="12"/>
      <c r="DN139" s="12"/>
      <c r="DO139" s="12"/>
      <c r="DP139" s="12"/>
      <c r="DQ139" s="12"/>
      <c r="DR139" s="12"/>
      <c r="DS139" s="12"/>
      <c r="DT139" s="12"/>
      <c r="DU139" s="12"/>
      <c r="DV139" s="12"/>
      <c r="DW139" s="12"/>
      <c r="DX139" s="12"/>
      <c r="DY139" s="12"/>
      <c r="DZ139" s="12"/>
      <c r="EA139" s="12"/>
      <c r="EB139" s="12"/>
      <c r="EC139" s="12"/>
      <c r="ED139" s="12"/>
      <c r="EE139" s="12"/>
      <c r="EF139" s="12"/>
      <c r="EG139" s="12"/>
      <c r="EH139" s="12"/>
      <c r="EI139" s="12"/>
      <c r="EJ139" s="12"/>
      <c r="EK139" s="12"/>
      <c r="EL139" s="12"/>
      <c r="EM139" s="12"/>
      <c r="EN139" s="12"/>
      <c r="EO139" s="12"/>
      <c r="EP139" s="12"/>
      <c r="EQ139" s="12"/>
      <c r="ER139" s="12"/>
      <c r="ES139" s="12"/>
      <c r="ET139" s="12"/>
      <c r="EU139" s="12"/>
      <c r="EV139" s="12"/>
      <c r="EW139" s="12"/>
      <c r="EX139" s="12"/>
      <c r="EY139" s="12"/>
      <c r="EZ139" s="12"/>
      <c r="FA139" s="12"/>
      <c r="FB139" s="12"/>
      <c r="FC139" s="12"/>
      <c r="FD139" s="12"/>
      <c r="FE139" s="12"/>
      <c r="FF139" s="12"/>
      <c r="FG139" s="12"/>
      <c r="FH139" s="12"/>
      <c r="FI139" s="12"/>
      <c r="FJ139" s="12"/>
      <c r="FK139" s="12"/>
      <c r="FL139" s="12"/>
      <c r="FM139" s="12"/>
      <c r="FN139" s="12"/>
      <c r="FO139" s="12"/>
      <c r="FP139" s="12"/>
      <c r="FQ139" s="12"/>
      <c r="FR139" s="12"/>
      <c r="FS139" s="12"/>
      <c r="FT139" s="12"/>
      <c r="FU139" s="12"/>
      <c r="FV139" s="12"/>
      <c r="FW139" s="12"/>
      <c r="FX139" s="12"/>
      <c r="FY139" s="12"/>
      <c r="FZ139" s="12"/>
      <c r="GA139" s="12"/>
      <c r="GB139" s="12"/>
      <c r="GC139" s="12"/>
      <c r="GD139" s="12"/>
      <c r="GE139" s="12"/>
    </row>
    <row r="140" spans="1:187" ht="21" customHeight="1">
      <c r="A140" s="45"/>
      <c r="B140" s="9" t="s">
        <v>3</v>
      </c>
      <c r="C140" s="10" t="s">
        <v>174</v>
      </c>
      <c r="D140" s="10" t="s">
        <v>171</v>
      </c>
      <c r="E140" s="35">
        <v>85.286000000000001</v>
      </c>
      <c r="F140" s="35">
        <f>114.638-E140</f>
        <v>29.352000000000004</v>
      </c>
      <c r="G140" s="35">
        <v>14.039</v>
      </c>
      <c r="H140" s="35">
        <f>70.639-G140</f>
        <v>56.599999999999994</v>
      </c>
      <c r="I140" s="35">
        <f t="shared" si="23"/>
        <v>185.27699999999999</v>
      </c>
      <c r="J140" s="56">
        <v>199.2</v>
      </c>
      <c r="K140" s="49">
        <v>3247.99</v>
      </c>
      <c r="L140" s="49">
        <v>3377.9096</v>
      </c>
      <c r="M140" s="49">
        <v>1834.28</v>
      </c>
      <c r="N140" s="49">
        <v>1907.6512</v>
      </c>
      <c r="O140" s="56">
        <f t="shared" si="14"/>
        <v>1413.7099999999998</v>
      </c>
      <c r="P140" s="1">
        <f t="shared" si="13"/>
        <v>120569.67105999998</v>
      </c>
      <c r="Q140" s="1">
        <f t="shared" si="19"/>
        <v>41495.215920000002</v>
      </c>
      <c r="R140" s="1">
        <f t="shared" si="20"/>
        <v>20640.957677599999</v>
      </c>
      <c r="S140" s="1">
        <f t="shared" si="21"/>
        <v>83216.625439999989</v>
      </c>
      <c r="T140" s="1">
        <f t="shared" si="22"/>
        <v>265922.47009759996</v>
      </c>
      <c r="U140" s="11"/>
      <c r="V140" s="11"/>
      <c r="W140" s="11"/>
      <c r="X140" s="12"/>
      <c r="Y140" s="12"/>
      <c r="Z140" s="12"/>
      <c r="AA140" s="12"/>
      <c r="AB140" s="12"/>
      <c r="AC140" s="12"/>
      <c r="AD140" s="12"/>
      <c r="AE140" s="12"/>
      <c r="AF140" s="12"/>
      <c r="AG140" s="12"/>
      <c r="AH140" s="12"/>
      <c r="AI140" s="12"/>
      <c r="AJ140" s="12"/>
      <c r="AK140" s="12"/>
      <c r="AL140" s="12"/>
      <c r="AM140" s="12"/>
      <c r="AN140" s="12"/>
      <c r="AO140" s="12"/>
      <c r="AP140" s="12"/>
      <c r="AQ140" s="12"/>
      <c r="AR140" s="12"/>
      <c r="AS140" s="12"/>
      <c r="AT140" s="12"/>
      <c r="AU140" s="12"/>
      <c r="AV140" s="12"/>
      <c r="AW140" s="12"/>
      <c r="AX140" s="12"/>
      <c r="AY140" s="12"/>
      <c r="AZ140" s="12"/>
      <c r="BA140" s="12"/>
      <c r="BB140" s="12"/>
      <c r="BC140" s="12"/>
      <c r="BD140" s="12"/>
      <c r="BE140" s="12"/>
      <c r="BF140" s="12"/>
      <c r="BG140" s="12"/>
      <c r="BH140" s="12"/>
      <c r="BI140" s="12"/>
      <c r="BJ140" s="12"/>
      <c r="BK140" s="12"/>
      <c r="BL140" s="12"/>
      <c r="BM140" s="12"/>
      <c r="BN140" s="12"/>
      <c r="BO140" s="12"/>
      <c r="BP140" s="12"/>
      <c r="BQ140" s="12"/>
      <c r="BR140" s="12"/>
      <c r="BS140" s="12"/>
      <c r="BT140" s="12"/>
      <c r="BU140" s="12"/>
      <c r="BV140" s="12"/>
      <c r="BW140" s="12"/>
      <c r="BX140" s="12"/>
      <c r="BY140" s="12"/>
      <c r="BZ140" s="12"/>
      <c r="CA140" s="12"/>
      <c r="CB140" s="12"/>
      <c r="CC140" s="12"/>
      <c r="CD140" s="12"/>
      <c r="CE140" s="12"/>
      <c r="CF140" s="12"/>
      <c r="CG140" s="12"/>
      <c r="CH140" s="12"/>
      <c r="CI140" s="12"/>
      <c r="CJ140" s="12"/>
      <c r="CK140" s="12"/>
      <c r="CL140" s="12"/>
      <c r="CM140" s="12"/>
      <c r="CN140" s="12"/>
      <c r="CO140" s="12"/>
      <c r="CP140" s="12"/>
      <c r="CQ140" s="12"/>
      <c r="CR140" s="12"/>
      <c r="CS140" s="12"/>
      <c r="CT140" s="12"/>
      <c r="CU140" s="12"/>
      <c r="CV140" s="12"/>
      <c r="CW140" s="12"/>
      <c r="CX140" s="12"/>
      <c r="CY140" s="12"/>
      <c r="CZ140" s="12"/>
      <c r="DA140" s="12"/>
      <c r="DB140" s="12"/>
      <c r="DC140" s="12"/>
      <c r="DD140" s="12"/>
      <c r="DE140" s="12"/>
      <c r="DF140" s="12"/>
      <c r="DG140" s="12"/>
      <c r="DH140" s="12"/>
      <c r="DI140" s="12"/>
      <c r="DJ140" s="12"/>
      <c r="DK140" s="12"/>
      <c r="DL140" s="12"/>
      <c r="DM140" s="12"/>
      <c r="DN140" s="12"/>
      <c r="DO140" s="12"/>
      <c r="DP140" s="12"/>
      <c r="DQ140" s="12"/>
      <c r="DR140" s="12"/>
      <c r="DS140" s="12"/>
      <c r="DT140" s="12"/>
      <c r="DU140" s="12"/>
      <c r="DV140" s="12"/>
      <c r="DW140" s="12"/>
      <c r="DX140" s="12"/>
      <c r="DY140" s="12"/>
      <c r="DZ140" s="12"/>
      <c r="EA140" s="12"/>
      <c r="EB140" s="12"/>
      <c r="EC140" s="12"/>
      <c r="ED140" s="12"/>
      <c r="EE140" s="12"/>
      <c r="EF140" s="12"/>
      <c r="EG140" s="12"/>
      <c r="EH140" s="12"/>
      <c r="EI140" s="12"/>
      <c r="EJ140" s="12"/>
      <c r="EK140" s="12"/>
      <c r="EL140" s="12"/>
      <c r="EM140" s="12"/>
      <c r="EN140" s="12"/>
      <c r="EO140" s="12"/>
      <c r="EP140" s="12"/>
      <c r="EQ140" s="12"/>
      <c r="ER140" s="12"/>
      <c r="ES140" s="12"/>
      <c r="ET140" s="12"/>
      <c r="EU140" s="12"/>
      <c r="EV140" s="12"/>
      <c r="EW140" s="12"/>
      <c r="EX140" s="12"/>
      <c r="EY140" s="12"/>
      <c r="EZ140" s="12"/>
      <c r="FA140" s="12"/>
      <c r="FB140" s="12"/>
      <c r="FC140" s="12"/>
      <c r="FD140" s="12"/>
      <c r="FE140" s="12"/>
      <c r="FF140" s="12"/>
      <c r="FG140" s="12"/>
      <c r="FH140" s="12"/>
      <c r="FI140" s="12"/>
      <c r="FJ140" s="12"/>
      <c r="FK140" s="12"/>
      <c r="FL140" s="12"/>
      <c r="FM140" s="12"/>
      <c r="FN140" s="12"/>
      <c r="FO140" s="12"/>
      <c r="FP140" s="12"/>
      <c r="FQ140" s="12"/>
      <c r="FR140" s="12"/>
      <c r="FS140" s="12"/>
      <c r="FT140" s="12"/>
      <c r="FU140" s="12"/>
      <c r="FV140" s="12"/>
      <c r="FW140" s="12"/>
      <c r="FX140" s="12"/>
      <c r="FY140" s="12"/>
      <c r="FZ140" s="12"/>
      <c r="GA140" s="12"/>
      <c r="GB140" s="12"/>
      <c r="GC140" s="12"/>
      <c r="GD140" s="12"/>
      <c r="GE140" s="12"/>
    </row>
    <row r="141" spans="1:187" ht="21" customHeight="1">
      <c r="A141" s="45"/>
      <c r="B141" s="9" t="s">
        <v>276</v>
      </c>
      <c r="C141" s="10" t="s">
        <v>404</v>
      </c>
      <c r="D141" s="10" t="s">
        <v>424</v>
      </c>
      <c r="E141" s="61">
        <f>389.04*0.6</f>
        <v>233.42400000000001</v>
      </c>
      <c r="F141" s="61">
        <f>389.04*0.4</f>
        <v>155.61600000000001</v>
      </c>
      <c r="G141" s="61">
        <f>259.36*0.2</f>
        <v>51.872000000000007</v>
      </c>
      <c r="H141" s="61">
        <f>259.36*0.8</f>
        <v>207.48800000000003</v>
      </c>
      <c r="I141" s="35">
        <f t="shared" si="23"/>
        <v>648.40000000000009</v>
      </c>
      <c r="J141" s="56">
        <v>648.4</v>
      </c>
      <c r="K141" s="49">
        <v>9632.14</v>
      </c>
      <c r="L141" s="49">
        <v>10017.4256</v>
      </c>
      <c r="M141" s="49">
        <v>2143.83</v>
      </c>
      <c r="N141" s="49">
        <v>2229.5832</v>
      </c>
      <c r="O141" s="56">
        <f t="shared" si="14"/>
        <v>7488.3099999999995</v>
      </c>
      <c r="P141" s="1">
        <f t="shared" si="13"/>
        <v>1747951.2734399999</v>
      </c>
      <c r="Q141" s="1">
        <f t="shared" si="19"/>
        <v>1165300.8489600001</v>
      </c>
      <c r="R141" s="1">
        <f t="shared" si="20"/>
        <v>403970.96097280009</v>
      </c>
      <c r="S141" s="1">
        <f t="shared" si="21"/>
        <v>1615883.8438912004</v>
      </c>
      <c r="T141" s="1">
        <f t="shared" si="22"/>
        <v>4933106.9272640003</v>
      </c>
      <c r="U141" s="11"/>
      <c r="V141" s="11"/>
      <c r="W141" s="11"/>
      <c r="X141" s="12"/>
      <c r="Y141" s="12"/>
      <c r="Z141" s="12"/>
      <c r="AA141" s="12"/>
      <c r="AB141" s="12"/>
      <c r="AC141" s="12"/>
      <c r="AD141" s="12"/>
      <c r="AE141" s="12"/>
      <c r="AF141" s="12"/>
      <c r="AG141" s="12"/>
      <c r="AH141" s="12"/>
      <c r="AI141" s="12"/>
      <c r="AJ141" s="12"/>
      <c r="AK141" s="12"/>
      <c r="AL141" s="12"/>
      <c r="AM141" s="12"/>
      <c r="AN141" s="12"/>
      <c r="AO141" s="12"/>
      <c r="AP141" s="12"/>
      <c r="AQ141" s="12"/>
      <c r="AR141" s="12"/>
      <c r="AS141" s="12"/>
      <c r="AT141" s="12"/>
      <c r="AU141" s="12"/>
      <c r="AV141" s="12"/>
      <c r="AW141" s="12"/>
      <c r="AX141" s="12"/>
      <c r="AY141" s="12"/>
      <c r="AZ141" s="12"/>
      <c r="BA141" s="12"/>
      <c r="BB141" s="12"/>
      <c r="BC141" s="12"/>
      <c r="BD141" s="12"/>
      <c r="BE141" s="12"/>
      <c r="BF141" s="12"/>
      <c r="BG141" s="12"/>
      <c r="BH141" s="12"/>
      <c r="BI141" s="12"/>
      <c r="BJ141" s="12"/>
      <c r="BK141" s="12"/>
      <c r="BL141" s="12"/>
      <c r="BM141" s="12"/>
      <c r="BN141" s="12"/>
      <c r="BO141" s="12"/>
      <c r="BP141" s="12"/>
      <c r="BQ141" s="12"/>
      <c r="BR141" s="12"/>
      <c r="BS141" s="12"/>
      <c r="BT141" s="12"/>
      <c r="BU141" s="12"/>
      <c r="BV141" s="12"/>
      <c r="BW141" s="12"/>
      <c r="BX141" s="12"/>
      <c r="BY141" s="12"/>
      <c r="BZ141" s="12"/>
      <c r="CA141" s="12"/>
      <c r="CB141" s="12"/>
      <c r="CC141" s="12"/>
      <c r="CD141" s="12"/>
      <c r="CE141" s="12"/>
      <c r="CF141" s="12"/>
      <c r="CG141" s="12"/>
      <c r="CH141" s="12"/>
      <c r="CI141" s="12"/>
      <c r="CJ141" s="12"/>
      <c r="CK141" s="12"/>
      <c r="CL141" s="12"/>
      <c r="CM141" s="12"/>
      <c r="CN141" s="12"/>
      <c r="CO141" s="12"/>
      <c r="CP141" s="12"/>
      <c r="CQ141" s="12"/>
      <c r="CR141" s="12"/>
      <c r="CS141" s="12"/>
      <c r="CT141" s="12"/>
      <c r="CU141" s="12"/>
      <c r="CV141" s="12"/>
      <c r="CW141" s="12"/>
      <c r="CX141" s="12"/>
      <c r="CY141" s="12"/>
      <c r="CZ141" s="12"/>
      <c r="DA141" s="12"/>
      <c r="DB141" s="12"/>
      <c r="DC141" s="12"/>
      <c r="DD141" s="12"/>
      <c r="DE141" s="12"/>
      <c r="DF141" s="12"/>
      <c r="DG141" s="12"/>
      <c r="DH141" s="12"/>
      <c r="DI141" s="12"/>
      <c r="DJ141" s="12"/>
      <c r="DK141" s="12"/>
      <c r="DL141" s="12"/>
      <c r="DM141" s="12"/>
      <c r="DN141" s="12"/>
      <c r="DO141" s="12"/>
      <c r="DP141" s="12"/>
      <c r="DQ141" s="12"/>
      <c r="DR141" s="12"/>
      <c r="DS141" s="12"/>
      <c r="DT141" s="12"/>
      <c r="DU141" s="12"/>
      <c r="DV141" s="12"/>
      <c r="DW141" s="12"/>
      <c r="DX141" s="12"/>
      <c r="DY141" s="12"/>
      <c r="DZ141" s="12"/>
      <c r="EA141" s="12"/>
      <c r="EB141" s="12"/>
      <c r="EC141" s="12"/>
      <c r="ED141" s="12"/>
      <c r="EE141" s="12"/>
      <c r="EF141" s="12"/>
      <c r="EG141" s="12"/>
      <c r="EH141" s="12"/>
      <c r="EI141" s="12"/>
      <c r="EJ141" s="12"/>
      <c r="EK141" s="12"/>
      <c r="EL141" s="12"/>
      <c r="EM141" s="12"/>
      <c r="EN141" s="12"/>
      <c r="EO141" s="12"/>
      <c r="EP141" s="12"/>
      <c r="EQ141" s="12"/>
      <c r="ER141" s="12"/>
      <c r="ES141" s="12"/>
      <c r="ET141" s="12"/>
      <c r="EU141" s="12"/>
      <c r="EV141" s="12"/>
      <c r="EW141" s="12"/>
      <c r="EX141" s="12"/>
      <c r="EY141" s="12"/>
      <c r="EZ141" s="12"/>
      <c r="FA141" s="12"/>
      <c r="FB141" s="12"/>
      <c r="FC141" s="12"/>
      <c r="FD141" s="12"/>
      <c r="FE141" s="12"/>
      <c r="FF141" s="12"/>
      <c r="FG141" s="12"/>
      <c r="FH141" s="12"/>
      <c r="FI141" s="12"/>
      <c r="FJ141" s="12"/>
      <c r="FK141" s="12"/>
      <c r="FL141" s="12"/>
      <c r="FM141" s="12"/>
      <c r="FN141" s="12"/>
      <c r="FO141" s="12"/>
      <c r="FP141" s="12"/>
      <c r="FQ141" s="12"/>
      <c r="FR141" s="12"/>
      <c r="FS141" s="12"/>
      <c r="FT141" s="12"/>
      <c r="FU141" s="12"/>
      <c r="FV141" s="12"/>
      <c r="FW141" s="12"/>
      <c r="FX141" s="12"/>
      <c r="FY141" s="12"/>
      <c r="FZ141" s="12"/>
      <c r="GA141" s="12"/>
      <c r="GB141" s="12"/>
      <c r="GC141" s="12"/>
      <c r="GD141" s="12"/>
      <c r="GE141" s="12"/>
    </row>
    <row r="142" spans="1:187" ht="21" customHeight="1">
      <c r="A142" s="45"/>
      <c r="B142" s="9" t="s">
        <v>265</v>
      </c>
      <c r="C142" s="10" t="s">
        <v>88</v>
      </c>
      <c r="D142" s="10" t="s">
        <v>170</v>
      </c>
      <c r="E142" s="35">
        <v>1968.194</v>
      </c>
      <c r="F142" s="35">
        <f>2741.589-E142</f>
        <v>773.39499999999998</v>
      </c>
      <c r="G142" s="35">
        <v>198.244</v>
      </c>
      <c r="H142" s="35">
        <f>1762.231-G142</f>
        <v>1563.9870000000001</v>
      </c>
      <c r="I142" s="35">
        <f t="shared" si="23"/>
        <v>4503.82</v>
      </c>
      <c r="J142" s="56">
        <v>4871.83</v>
      </c>
      <c r="K142" s="49">
        <v>5098.4024000000009</v>
      </c>
      <c r="L142" s="49">
        <v>5302.3384960000012</v>
      </c>
      <c r="M142" s="49">
        <v>2185.05233</v>
      </c>
      <c r="N142" s="49">
        <v>2272.4544231999998</v>
      </c>
      <c r="O142" s="56">
        <f t="shared" si="14"/>
        <v>2913.3500700000009</v>
      </c>
      <c r="P142" s="1">
        <f t="shared" si="13"/>
        <v>5734038.1276735812</v>
      </c>
      <c r="Q142" s="1">
        <f t="shared" si="19"/>
        <v>2253170.3773876508</v>
      </c>
      <c r="R142" s="1">
        <f t="shared" si="20"/>
        <v>600656.33812816348</v>
      </c>
      <c r="S142" s="1">
        <f t="shared" si="21"/>
        <v>4738699.3013662556</v>
      </c>
      <c r="T142" s="1">
        <f t="shared" si="22"/>
        <v>13326564.144555651</v>
      </c>
      <c r="U142" s="11"/>
      <c r="V142" s="11"/>
      <c r="W142" s="11"/>
      <c r="X142" s="12"/>
      <c r="Y142" s="12"/>
      <c r="Z142" s="12"/>
      <c r="AA142" s="12"/>
      <c r="AB142" s="12"/>
      <c r="AC142" s="12"/>
      <c r="AD142" s="12"/>
      <c r="AE142" s="12"/>
      <c r="AF142" s="12"/>
      <c r="AG142" s="12"/>
      <c r="AH142" s="12"/>
      <c r="AI142" s="12"/>
      <c r="AJ142" s="12"/>
      <c r="AK142" s="12"/>
      <c r="AL142" s="12"/>
      <c r="AM142" s="12"/>
      <c r="AN142" s="12"/>
      <c r="AO142" s="12"/>
      <c r="AP142" s="12"/>
      <c r="AQ142" s="12"/>
      <c r="AR142" s="12"/>
      <c r="AS142" s="12"/>
      <c r="AT142" s="12"/>
      <c r="AU142" s="12"/>
      <c r="AV142" s="12"/>
      <c r="AW142" s="12"/>
      <c r="AX142" s="12"/>
      <c r="AY142" s="12"/>
      <c r="AZ142" s="12"/>
      <c r="BA142" s="12"/>
      <c r="BB142" s="12"/>
      <c r="BC142" s="12"/>
      <c r="BD142" s="12"/>
      <c r="BE142" s="12"/>
      <c r="BF142" s="12"/>
      <c r="BG142" s="12"/>
      <c r="BH142" s="12"/>
      <c r="BI142" s="12"/>
      <c r="BJ142" s="12"/>
      <c r="BK142" s="12"/>
      <c r="BL142" s="12"/>
      <c r="BM142" s="12"/>
      <c r="BN142" s="12"/>
      <c r="BO142" s="12"/>
      <c r="BP142" s="12"/>
      <c r="BQ142" s="12"/>
      <c r="BR142" s="12"/>
      <c r="BS142" s="12"/>
      <c r="BT142" s="12"/>
      <c r="BU142" s="12"/>
      <c r="BV142" s="12"/>
      <c r="BW142" s="12"/>
      <c r="BX142" s="12"/>
      <c r="BY142" s="12"/>
      <c r="BZ142" s="12"/>
      <c r="CA142" s="12"/>
      <c r="CB142" s="12"/>
      <c r="CC142" s="12"/>
      <c r="CD142" s="12"/>
      <c r="CE142" s="12"/>
      <c r="CF142" s="12"/>
      <c r="CG142" s="12"/>
      <c r="CH142" s="12"/>
      <c r="CI142" s="12"/>
      <c r="CJ142" s="12"/>
      <c r="CK142" s="12"/>
      <c r="CL142" s="12"/>
      <c r="CM142" s="12"/>
      <c r="CN142" s="12"/>
      <c r="CO142" s="12"/>
      <c r="CP142" s="12"/>
      <c r="CQ142" s="12"/>
      <c r="CR142" s="12"/>
      <c r="CS142" s="12"/>
      <c r="CT142" s="12"/>
      <c r="CU142" s="12"/>
      <c r="CV142" s="12"/>
      <c r="CW142" s="12"/>
      <c r="CX142" s="12"/>
      <c r="CY142" s="12"/>
      <c r="CZ142" s="12"/>
      <c r="DA142" s="12"/>
      <c r="DB142" s="12"/>
      <c r="DC142" s="12"/>
      <c r="DD142" s="12"/>
      <c r="DE142" s="12"/>
      <c r="DF142" s="12"/>
      <c r="DG142" s="12"/>
      <c r="DH142" s="12"/>
      <c r="DI142" s="12"/>
      <c r="DJ142" s="12"/>
      <c r="DK142" s="12"/>
      <c r="DL142" s="12"/>
      <c r="DM142" s="12"/>
      <c r="DN142" s="12"/>
      <c r="DO142" s="12"/>
      <c r="DP142" s="12"/>
      <c r="DQ142" s="12"/>
      <c r="DR142" s="12"/>
      <c r="DS142" s="12"/>
      <c r="DT142" s="12"/>
      <c r="DU142" s="12"/>
      <c r="DV142" s="12"/>
      <c r="DW142" s="12"/>
      <c r="DX142" s="12"/>
      <c r="DY142" s="12"/>
      <c r="DZ142" s="12"/>
      <c r="EA142" s="12"/>
      <c r="EB142" s="12"/>
      <c r="EC142" s="12"/>
      <c r="ED142" s="12"/>
      <c r="EE142" s="12"/>
      <c r="EF142" s="12"/>
      <c r="EG142" s="12"/>
      <c r="EH142" s="12"/>
      <c r="EI142" s="12"/>
      <c r="EJ142" s="12"/>
      <c r="EK142" s="12"/>
      <c r="EL142" s="12"/>
      <c r="EM142" s="12"/>
      <c r="EN142" s="12"/>
      <c r="EO142" s="12"/>
      <c r="EP142" s="12"/>
      <c r="EQ142" s="12"/>
      <c r="ER142" s="12"/>
      <c r="ES142" s="12"/>
      <c r="ET142" s="12"/>
      <c r="EU142" s="12"/>
      <c r="EV142" s="12"/>
      <c r="EW142" s="12"/>
      <c r="EX142" s="12"/>
      <c r="EY142" s="12"/>
      <c r="EZ142" s="12"/>
      <c r="FA142" s="12"/>
      <c r="FB142" s="12"/>
      <c r="FC142" s="12"/>
      <c r="FD142" s="12"/>
      <c r="FE142" s="12"/>
      <c r="FF142" s="12"/>
      <c r="FG142" s="12"/>
      <c r="FH142" s="12"/>
      <c r="FI142" s="12"/>
      <c r="FJ142" s="12"/>
      <c r="FK142" s="12"/>
      <c r="FL142" s="12"/>
      <c r="FM142" s="12"/>
      <c r="FN142" s="12"/>
      <c r="FO142" s="12"/>
      <c r="FP142" s="12"/>
      <c r="FQ142" s="12"/>
      <c r="FR142" s="12"/>
      <c r="FS142" s="12"/>
      <c r="FT142" s="12"/>
      <c r="FU142" s="12"/>
      <c r="FV142" s="12"/>
      <c r="FW142" s="12"/>
      <c r="FX142" s="12"/>
      <c r="FY142" s="12"/>
      <c r="FZ142" s="12"/>
      <c r="GA142" s="12"/>
      <c r="GB142" s="12"/>
      <c r="GC142" s="12"/>
      <c r="GD142" s="12"/>
      <c r="GE142" s="12"/>
    </row>
    <row r="143" spans="1:187" ht="21" customHeight="1">
      <c r="A143" s="45"/>
      <c r="B143" s="9" t="s">
        <v>2</v>
      </c>
      <c r="C143" s="10" t="s">
        <v>68</v>
      </c>
      <c r="D143" s="10" t="s">
        <v>176</v>
      </c>
      <c r="E143" s="35">
        <v>747.04</v>
      </c>
      <c r="F143" s="35">
        <f>1146.944-E143</f>
        <v>399.904</v>
      </c>
      <c r="G143" s="35">
        <v>132.57</v>
      </c>
      <c r="H143" s="35">
        <f>650.592-G143</f>
        <v>518.02199999999993</v>
      </c>
      <c r="I143" s="35">
        <f t="shared" si="23"/>
        <v>1797.5359999999998</v>
      </c>
      <c r="J143" s="56">
        <v>1959.5</v>
      </c>
      <c r="K143" s="49">
        <v>2539.46</v>
      </c>
      <c r="L143" s="49">
        <v>2641.0383999999999</v>
      </c>
      <c r="M143" s="49">
        <v>1723.51</v>
      </c>
      <c r="N143" s="49">
        <v>1792.4503999999999</v>
      </c>
      <c r="O143" s="56">
        <f t="shared" ref="O143:O209" si="24">K143-M143</f>
        <v>815.95</v>
      </c>
      <c r="P143" s="1">
        <f t="shared" ref="P143:P208" si="25">(K143-M143)*E143</f>
        <v>609547.28800000006</v>
      </c>
      <c r="Q143" s="1">
        <f t="shared" si="19"/>
        <v>326301.66880000004</v>
      </c>
      <c r="R143" s="1">
        <f t="shared" si="20"/>
        <v>112497.31115999998</v>
      </c>
      <c r="S143" s="1">
        <f t="shared" si="21"/>
        <v>439587.25293599995</v>
      </c>
      <c r="T143" s="1">
        <f t="shared" si="22"/>
        <v>1487933.5208960001</v>
      </c>
      <c r="U143" s="11"/>
      <c r="V143" s="11"/>
      <c r="W143" s="11"/>
      <c r="X143" s="12"/>
      <c r="Y143" s="12"/>
      <c r="Z143" s="12"/>
      <c r="AA143" s="12"/>
      <c r="AB143" s="12"/>
      <c r="AC143" s="12"/>
      <c r="AD143" s="12"/>
      <c r="AE143" s="12"/>
      <c r="AF143" s="12"/>
      <c r="AG143" s="12"/>
      <c r="AH143" s="12"/>
      <c r="AI143" s="12"/>
      <c r="AJ143" s="12"/>
      <c r="AK143" s="12"/>
      <c r="AL143" s="12"/>
      <c r="AM143" s="12"/>
      <c r="AN143" s="12"/>
      <c r="AO143" s="12"/>
      <c r="AP143" s="12"/>
      <c r="AQ143" s="12"/>
      <c r="AR143" s="12"/>
      <c r="AS143" s="12"/>
      <c r="AT143" s="12"/>
      <c r="AU143" s="12"/>
      <c r="AV143" s="12"/>
      <c r="AW143" s="12"/>
      <c r="AX143" s="12"/>
      <c r="AY143" s="12"/>
      <c r="AZ143" s="12"/>
      <c r="BA143" s="12"/>
      <c r="BB143" s="12"/>
      <c r="BC143" s="12"/>
      <c r="BD143" s="12"/>
      <c r="BE143" s="12"/>
      <c r="BF143" s="12"/>
      <c r="BG143" s="12"/>
      <c r="BH143" s="12"/>
      <c r="BI143" s="12"/>
      <c r="BJ143" s="12"/>
      <c r="BK143" s="12"/>
      <c r="BL143" s="12"/>
      <c r="BM143" s="12"/>
      <c r="BN143" s="12"/>
      <c r="BO143" s="12"/>
      <c r="BP143" s="12"/>
      <c r="BQ143" s="12"/>
      <c r="BR143" s="12"/>
      <c r="BS143" s="12"/>
      <c r="BT143" s="12"/>
      <c r="BU143" s="12"/>
      <c r="BV143" s="12"/>
      <c r="BW143" s="12"/>
      <c r="BX143" s="12"/>
      <c r="BY143" s="12"/>
      <c r="BZ143" s="12"/>
      <c r="CA143" s="12"/>
      <c r="CB143" s="12"/>
      <c r="CC143" s="12"/>
      <c r="CD143" s="12"/>
      <c r="CE143" s="12"/>
      <c r="CF143" s="12"/>
      <c r="CG143" s="12"/>
      <c r="CH143" s="12"/>
      <c r="CI143" s="12"/>
      <c r="CJ143" s="12"/>
      <c r="CK143" s="12"/>
      <c r="CL143" s="12"/>
      <c r="CM143" s="12"/>
      <c r="CN143" s="12"/>
      <c r="CO143" s="12"/>
      <c r="CP143" s="12"/>
      <c r="CQ143" s="12"/>
      <c r="CR143" s="12"/>
      <c r="CS143" s="12"/>
      <c r="CT143" s="12"/>
      <c r="CU143" s="12"/>
      <c r="CV143" s="12"/>
      <c r="CW143" s="12"/>
      <c r="CX143" s="12"/>
      <c r="CY143" s="12"/>
      <c r="CZ143" s="12"/>
      <c r="DA143" s="12"/>
      <c r="DB143" s="12"/>
      <c r="DC143" s="12"/>
      <c r="DD143" s="12"/>
      <c r="DE143" s="12"/>
      <c r="DF143" s="12"/>
      <c r="DG143" s="12"/>
      <c r="DH143" s="12"/>
      <c r="DI143" s="12"/>
      <c r="DJ143" s="12"/>
      <c r="DK143" s="12"/>
      <c r="DL143" s="12"/>
      <c r="DM143" s="12"/>
      <c r="DN143" s="12"/>
      <c r="DO143" s="12"/>
      <c r="DP143" s="12"/>
      <c r="DQ143" s="12"/>
      <c r="DR143" s="12"/>
      <c r="DS143" s="12"/>
      <c r="DT143" s="12"/>
      <c r="DU143" s="12"/>
      <c r="DV143" s="12"/>
      <c r="DW143" s="12"/>
      <c r="DX143" s="12"/>
      <c r="DY143" s="12"/>
      <c r="DZ143" s="12"/>
      <c r="EA143" s="12"/>
      <c r="EB143" s="12"/>
      <c r="EC143" s="12"/>
      <c r="ED143" s="12"/>
      <c r="EE143" s="12"/>
      <c r="EF143" s="12"/>
      <c r="EG143" s="12"/>
      <c r="EH143" s="12"/>
      <c r="EI143" s="12"/>
      <c r="EJ143" s="12"/>
      <c r="EK143" s="12"/>
      <c r="EL143" s="12"/>
      <c r="EM143" s="12"/>
      <c r="EN143" s="12"/>
      <c r="EO143" s="12"/>
      <c r="EP143" s="12"/>
      <c r="EQ143" s="12"/>
      <c r="ER143" s="12"/>
      <c r="ES143" s="12"/>
      <c r="ET143" s="12"/>
      <c r="EU143" s="12"/>
      <c r="EV143" s="12"/>
      <c r="EW143" s="12"/>
      <c r="EX143" s="12"/>
      <c r="EY143" s="12"/>
      <c r="EZ143" s="12"/>
      <c r="FA143" s="12"/>
      <c r="FB143" s="12"/>
      <c r="FC143" s="12"/>
      <c r="FD143" s="12"/>
      <c r="FE143" s="12"/>
      <c r="FF143" s="12"/>
      <c r="FG143" s="12"/>
      <c r="FH143" s="12"/>
      <c r="FI143" s="12"/>
      <c r="FJ143" s="12"/>
      <c r="FK143" s="12"/>
      <c r="FL143" s="12"/>
      <c r="FM143" s="12"/>
      <c r="FN143" s="12"/>
      <c r="FO143" s="12"/>
      <c r="FP143" s="12"/>
      <c r="FQ143" s="12"/>
      <c r="FR143" s="12"/>
      <c r="FS143" s="12"/>
      <c r="FT143" s="12"/>
      <c r="FU143" s="12"/>
      <c r="FV143" s="12"/>
      <c r="FW143" s="12"/>
      <c r="FX143" s="12"/>
      <c r="FY143" s="12"/>
      <c r="FZ143" s="12"/>
      <c r="GA143" s="12"/>
      <c r="GB143" s="12"/>
      <c r="GC143" s="12"/>
      <c r="GD143" s="12"/>
      <c r="GE143" s="12"/>
    </row>
    <row r="144" spans="1:187" ht="21" customHeight="1">
      <c r="A144" s="45"/>
      <c r="B144" s="9" t="s">
        <v>2</v>
      </c>
      <c r="C144" s="10" t="s">
        <v>68</v>
      </c>
      <c r="D144" s="10" t="s">
        <v>178</v>
      </c>
      <c r="E144" s="35">
        <v>1003.718</v>
      </c>
      <c r="F144" s="35">
        <f>1662.824-E144</f>
        <v>659.10600000000011</v>
      </c>
      <c r="G144" s="35">
        <v>323.637</v>
      </c>
      <c r="H144" s="35">
        <f>1308.899-G144</f>
        <v>985.26199999999994</v>
      </c>
      <c r="I144" s="35">
        <f t="shared" si="23"/>
        <v>2971.723</v>
      </c>
      <c r="J144" s="56">
        <v>2960.7460000000001</v>
      </c>
      <c r="K144" s="49">
        <v>13327.58</v>
      </c>
      <c r="L144" s="49">
        <v>13860.683200000001</v>
      </c>
      <c r="M144" s="49">
        <v>1257.49</v>
      </c>
      <c r="N144" s="49">
        <v>1307.7896000000001</v>
      </c>
      <c r="O144" s="56">
        <f t="shared" si="24"/>
        <v>12070.09</v>
      </c>
      <c r="P144" s="1">
        <f t="shared" si="25"/>
        <v>12114966.594620001</v>
      </c>
      <c r="Q144" s="1">
        <f t="shared" si="19"/>
        <v>7955468.7395400014</v>
      </c>
      <c r="R144" s="1">
        <f t="shared" si="20"/>
        <v>4062580.8260232005</v>
      </c>
      <c r="S144" s="1">
        <f t="shared" si="21"/>
        <v>12367889.0541232</v>
      </c>
      <c r="T144" s="1">
        <f t="shared" si="22"/>
        <v>36500905.214306399</v>
      </c>
      <c r="U144" s="11"/>
      <c r="V144" s="11"/>
      <c r="W144" s="11"/>
      <c r="X144" s="12"/>
      <c r="Y144" s="12"/>
      <c r="Z144" s="12"/>
      <c r="AA144" s="12"/>
      <c r="AB144" s="12"/>
      <c r="AC144" s="12"/>
      <c r="AD144" s="12"/>
      <c r="AE144" s="12"/>
      <c r="AF144" s="12"/>
      <c r="AG144" s="12"/>
      <c r="AH144" s="12"/>
      <c r="AI144" s="12"/>
      <c r="AJ144" s="12"/>
      <c r="AK144" s="12"/>
      <c r="AL144" s="12"/>
      <c r="AM144" s="12"/>
      <c r="AN144" s="12"/>
      <c r="AO144" s="12"/>
      <c r="AP144" s="12"/>
      <c r="AQ144" s="12"/>
      <c r="AR144" s="12"/>
      <c r="AS144" s="12"/>
      <c r="AT144" s="12"/>
      <c r="AU144" s="12"/>
      <c r="AV144" s="12"/>
      <c r="AW144" s="12"/>
      <c r="AX144" s="12"/>
      <c r="AY144" s="12"/>
      <c r="AZ144" s="12"/>
      <c r="BA144" s="12"/>
      <c r="BB144" s="12"/>
      <c r="BC144" s="12"/>
      <c r="BD144" s="12"/>
      <c r="BE144" s="12"/>
      <c r="BF144" s="12"/>
      <c r="BG144" s="12"/>
      <c r="BH144" s="12"/>
      <c r="BI144" s="12"/>
      <c r="BJ144" s="12"/>
      <c r="BK144" s="12"/>
      <c r="BL144" s="12"/>
      <c r="BM144" s="12"/>
      <c r="BN144" s="12"/>
      <c r="BO144" s="12"/>
      <c r="BP144" s="12"/>
      <c r="BQ144" s="12"/>
      <c r="BR144" s="12"/>
      <c r="BS144" s="12"/>
      <c r="BT144" s="12"/>
      <c r="BU144" s="12"/>
      <c r="BV144" s="12"/>
      <c r="BW144" s="12"/>
      <c r="BX144" s="12"/>
      <c r="BY144" s="12"/>
      <c r="BZ144" s="12"/>
      <c r="CA144" s="12"/>
      <c r="CB144" s="12"/>
      <c r="CC144" s="12"/>
      <c r="CD144" s="12"/>
      <c r="CE144" s="12"/>
      <c r="CF144" s="12"/>
      <c r="CG144" s="12"/>
      <c r="CH144" s="12"/>
      <c r="CI144" s="12"/>
      <c r="CJ144" s="12"/>
      <c r="CK144" s="12"/>
      <c r="CL144" s="12"/>
      <c r="CM144" s="12"/>
      <c r="CN144" s="12"/>
      <c r="CO144" s="12"/>
      <c r="CP144" s="12"/>
      <c r="CQ144" s="12"/>
      <c r="CR144" s="12"/>
      <c r="CS144" s="12"/>
      <c r="CT144" s="12"/>
      <c r="CU144" s="12"/>
      <c r="CV144" s="12"/>
      <c r="CW144" s="12"/>
      <c r="CX144" s="12"/>
      <c r="CY144" s="12"/>
      <c r="CZ144" s="12"/>
      <c r="DA144" s="12"/>
      <c r="DB144" s="12"/>
      <c r="DC144" s="12"/>
      <c r="DD144" s="12"/>
      <c r="DE144" s="12"/>
      <c r="DF144" s="12"/>
      <c r="DG144" s="12"/>
      <c r="DH144" s="12"/>
      <c r="DI144" s="12"/>
      <c r="DJ144" s="12"/>
      <c r="DK144" s="12"/>
      <c r="DL144" s="12"/>
      <c r="DM144" s="12"/>
      <c r="DN144" s="12"/>
      <c r="DO144" s="12"/>
      <c r="DP144" s="12"/>
      <c r="DQ144" s="12"/>
      <c r="DR144" s="12"/>
      <c r="DS144" s="12"/>
      <c r="DT144" s="12"/>
      <c r="DU144" s="12"/>
      <c r="DV144" s="12"/>
      <c r="DW144" s="12"/>
      <c r="DX144" s="12"/>
      <c r="DY144" s="12"/>
      <c r="DZ144" s="12"/>
      <c r="EA144" s="12"/>
      <c r="EB144" s="12"/>
      <c r="EC144" s="12"/>
      <c r="ED144" s="12"/>
      <c r="EE144" s="12"/>
      <c r="EF144" s="12"/>
      <c r="EG144" s="12"/>
      <c r="EH144" s="12"/>
      <c r="EI144" s="12"/>
      <c r="EJ144" s="12"/>
      <c r="EK144" s="12"/>
      <c r="EL144" s="12"/>
      <c r="EM144" s="12"/>
      <c r="EN144" s="12"/>
      <c r="EO144" s="12"/>
      <c r="EP144" s="12"/>
      <c r="EQ144" s="12"/>
      <c r="ER144" s="12"/>
      <c r="ES144" s="12"/>
      <c r="ET144" s="12"/>
      <c r="EU144" s="12"/>
      <c r="EV144" s="12"/>
      <c r="EW144" s="12"/>
      <c r="EX144" s="12"/>
      <c r="EY144" s="12"/>
      <c r="EZ144" s="12"/>
      <c r="FA144" s="12"/>
      <c r="FB144" s="12"/>
      <c r="FC144" s="12"/>
      <c r="FD144" s="12"/>
      <c r="FE144" s="12"/>
      <c r="FF144" s="12"/>
      <c r="FG144" s="12"/>
      <c r="FH144" s="12"/>
      <c r="FI144" s="12"/>
      <c r="FJ144" s="12"/>
      <c r="FK144" s="12"/>
      <c r="FL144" s="12"/>
      <c r="FM144" s="12"/>
      <c r="FN144" s="12"/>
      <c r="FO144" s="12"/>
      <c r="FP144" s="12"/>
      <c r="FQ144" s="12"/>
      <c r="FR144" s="12"/>
      <c r="FS144" s="12"/>
      <c r="FT144" s="12"/>
      <c r="FU144" s="12"/>
      <c r="FV144" s="12"/>
      <c r="FW144" s="12"/>
      <c r="FX144" s="12"/>
      <c r="FY144" s="12"/>
      <c r="FZ144" s="12"/>
      <c r="GA144" s="12"/>
      <c r="GB144" s="12"/>
      <c r="GC144" s="12"/>
      <c r="GD144" s="12"/>
      <c r="GE144" s="12"/>
    </row>
    <row r="145" spans="1:187" ht="21" customHeight="1">
      <c r="A145" s="45"/>
      <c r="B145" s="9" t="s">
        <v>1</v>
      </c>
      <c r="C145" s="10" t="s">
        <v>177</v>
      </c>
      <c r="D145" s="10" t="s">
        <v>171</v>
      </c>
      <c r="E145" s="35">
        <v>9231.1939999999995</v>
      </c>
      <c r="F145" s="35">
        <f>14623.143-E145</f>
        <v>5391.9490000000005</v>
      </c>
      <c r="G145" s="35">
        <v>1897.14</v>
      </c>
      <c r="H145" s="35">
        <f>9971.595-G145</f>
        <v>8074.454999999999</v>
      </c>
      <c r="I145" s="35">
        <f t="shared" si="23"/>
        <v>24594.737999999998</v>
      </c>
      <c r="J145" s="56">
        <v>25700.7</v>
      </c>
      <c r="K145" s="49">
        <v>4315.34</v>
      </c>
      <c r="L145" s="49">
        <v>4487.9536000000007</v>
      </c>
      <c r="M145" s="49">
        <v>1851.75</v>
      </c>
      <c r="N145" s="49">
        <v>1925.8200000000002</v>
      </c>
      <c r="O145" s="56">
        <f t="shared" si="24"/>
        <v>2463.59</v>
      </c>
      <c r="P145" s="1">
        <f t="shared" si="25"/>
        <v>22741877.226459999</v>
      </c>
      <c r="Q145" s="1">
        <f t="shared" si="19"/>
        <v>13283551.636910003</v>
      </c>
      <c r="R145" s="1">
        <f t="shared" si="20"/>
        <v>4860726.1379040014</v>
      </c>
      <c r="S145" s="1">
        <f t="shared" si="21"/>
        <v>20687832.457188003</v>
      </c>
      <c r="T145" s="1">
        <f t="shared" si="22"/>
        <v>61573987.458462007</v>
      </c>
      <c r="U145" s="17"/>
      <c r="V145" s="11"/>
      <c r="W145" s="11"/>
      <c r="X145" s="12"/>
      <c r="Y145" s="12"/>
      <c r="Z145" s="12"/>
      <c r="AA145" s="12"/>
      <c r="AB145" s="12"/>
      <c r="AC145" s="12"/>
      <c r="AD145" s="12"/>
      <c r="AE145" s="12"/>
      <c r="AF145" s="12"/>
      <c r="AG145" s="12"/>
      <c r="AH145" s="12"/>
      <c r="AI145" s="12"/>
      <c r="AJ145" s="12"/>
      <c r="AK145" s="12"/>
      <c r="AL145" s="12"/>
      <c r="AM145" s="12"/>
      <c r="AN145" s="12"/>
      <c r="AO145" s="12"/>
      <c r="AP145" s="12"/>
      <c r="AQ145" s="12"/>
      <c r="AR145" s="12"/>
      <c r="AS145" s="12"/>
      <c r="AT145" s="12"/>
      <c r="AU145" s="12"/>
      <c r="AV145" s="12"/>
      <c r="AW145" s="12"/>
      <c r="AX145" s="12"/>
      <c r="AY145" s="12"/>
      <c r="AZ145" s="12"/>
      <c r="BA145" s="12"/>
      <c r="BB145" s="12"/>
      <c r="BC145" s="12"/>
      <c r="BD145" s="12"/>
      <c r="BE145" s="12"/>
      <c r="BF145" s="12"/>
      <c r="BG145" s="12"/>
      <c r="BH145" s="12"/>
      <c r="BI145" s="12"/>
      <c r="BJ145" s="12"/>
      <c r="BK145" s="12"/>
      <c r="BL145" s="12"/>
      <c r="BM145" s="12"/>
      <c r="BN145" s="12"/>
      <c r="BO145" s="12"/>
      <c r="BP145" s="12"/>
      <c r="BQ145" s="12"/>
      <c r="BR145" s="12"/>
      <c r="BS145" s="12"/>
      <c r="BT145" s="12"/>
      <c r="BU145" s="12"/>
      <c r="BV145" s="12"/>
      <c r="BW145" s="12"/>
      <c r="BX145" s="12"/>
      <c r="BY145" s="12"/>
      <c r="BZ145" s="12"/>
      <c r="CA145" s="12"/>
      <c r="CB145" s="12"/>
      <c r="CC145" s="12"/>
      <c r="CD145" s="12"/>
      <c r="CE145" s="12"/>
      <c r="CF145" s="12"/>
      <c r="CG145" s="12"/>
      <c r="CH145" s="12"/>
      <c r="CI145" s="12"/>
      <c r="CJ145" s="12"/>
      <c r="CK145" s="12"/>
      <c r="CL145" s="12"/>
      <c r="CM145" s="12"/>
      <c r="CN145" s="12"/>
      <c r="CO145" s="12"/>
      <c r="CP145" s="12"/>
      <c r="CQ145" s="12"/>
      <c r="CR145" s="12"/>
      <c r="CS145" s="12"/>
      <c r="CT145" s="12"/>
      <c r="CU145" s="12"/>
      <c r="CV145" s="12"/>
      <c r="CW145" s="12"/>
      <c r="CX145" s="12"/>
      <c r="CY145" s="12"/>
      <c r="CZ145" s="12"/>
      <c r="DA145" s="12"/>
      <c r="DB145" s="12"/>
      <c r="DC145" s="12"/>
      <c r="DD145" s="12"/>
      <c r="DE145" s="12"/>
      <c r="DF145" s="12"/>
      <c r="DG145" s="12"/>
      <c r="DH145" s="12"/>
      <c r="DI145" s="12"/>
      <c r="DJ145" s="12"/>
      <c r="DK145" s="12"/>
      <c r="DL145" s="12"/>
      <c r="DM145" s="12"/>
      <c r="DN145" s="12"/>
      <c r="DO145" s="12"/>
      <c r="DP145" s="12"/>
      <c r="DQ145" s="12"/>
      <c r="DR145" s="12"/>
      <c r="DS145" s="12"/>
      <c r="DT145" s="12"/>
      <c r="DU145" s="12"/>
      <c r="DV145" s="12"/>
      <c r="DW145" s="12"/>
      <c r="DX145" s="12"/>
      <c r="DY145" s="12"/>
      <c r="DZ145" s="12"/>
      <c r="EA145" s="12"/>
      <c r="EB145" s="12"/>
      <c r="EC145" s="12"/>
      <c r="ED145" s="12"/>
      <c r="EE145" s="12"/>
      <c r="EF145" s="12"/>
      <c r="EG145" s="12"/>
      <c r="EH145" s="12"/>
      <c r="EI145" s="12"/>
      <c r="EJ145" s="12"/>
      <c r="EK145" s="12"/>
      <c r="EL145" s="12"/>
      <c r="EM145" s="12"/>
      <c r="EN145" s="12"/>
      <c r="EO145" s="12"/>
      <c r="EP145" s="12"/>
      <c r="EQ145" s="12"/>
      <c r="ER145" s="12"/>
      <c r="ES145" s="12"/>
      <c r="ET145" s="12"/>
      <c r="EU145" s="12"/>
      <c r="EV145" s="12"/>
      <c r="EW145" s="12"/>
      <c r="EX145" s="12"/>
      <c r="EY145" s="12"/>
      <c r="EZ145" s="12"/>
      <c r="FA145" s="12"/>
      <c r="FB145" s="12"/>
      <c r="FC145" s="12"/>
      <c r="FD145" s="12"/>
      <c r="FE145" s="12"/>
      <c r="FF145" s="12"/>
      <c r="FG145" s="12"/>
      <c r="FH145" s="12"/>
      <c r="FI145" s="12"/>
      <c r="FJ145" s="12"/>
      <c r="FK145" s="12"/>
      <c r="FL145" s="12"/>
      <c r="FM145" s="12"/>
      <c r="FN145" s="12"/>
      <c r="FO145" s="12"/>
      <c r="FP145" s="12"/>
      <c r="FQ145" s="12"/>
      <c r="FR145" s="12"/>
      <c r="FS145" s="12"/>
      <c r="FT145" s="12"/>
      <c r="FU145" s="12"/>
      <c r="FV145" s="12"/>
      <c r="FW145" s="12"/>
      <c r="FX145" s="12"/>
      <c r="FY145" s="12"/>
      <c r="FZ145" s="12"/>
      <c r="GA145" s="12"/>
      <c r="GB145" s="12"/>
      <c r="GC145" s="12"/>
      <c r="GD145" s="12"/>
      <c r="GE145" s="12"/>
    </row>
    <row r="146" spans="1:187" ht="21" customHeight="1">
      <c r="A146" s="45"/>
      <c r="B146" s="9" t="s">
        <v>1</v>
      </c>
      <c r="C146" s="10" t="s">
        <v>177</v>
      </c>
      <c r="D146" s="10" t="s">
        <v>166</v>
      </c>
      <c r="E146" s="35">
        <v>2067.942</v>
      </c>
      <c r="F146" s="35">
        <f>2893.78-E146</f>
        <v>825.83800000000019</v>
      </c>
      <c r="G146" s="35">
        <v>217.488</v>
      </c>
      <c r="H146" s="35">
        <f>1716.406-G146</f>
        <v>1498.9179999999999</v>
      </c>
      <c r="I146" s="35">
        <f t="shared" si="23"/>
        <v>4610.1859999999997</v>
      </c>
      <c r="J146" s="56">
        <v>4917.88</v>
      </c>
      <c r="K146" s="49">
        <v>5178.0600000000004</v>
      </c>
      <c r="L146" s="49">
        <v>5385.1824000000006</v>
      </c>
      <c r="M146" s="49">
        <v>1851.75</v>
      </c>
      <c r="N146" s="49">
        <v>1925.8200000000002</v>
      </c>
      <c r="O146" s="56">
        <f t="shared" si="24"/>
        <v>3326.3100000000004</v>
      </c>
      <c r="P146" s="1">
        <f t="shared" si="25"/>
        <v>6878616.1540200012</v>
      </c>
      <c r="Q146" s="1">
        <f t="shared" si="19"/>
        <v>2746993.197780001</v>
      </c>
      <c r="R146" s="1">
        <f t="shared" si="20"/>
        <v>752369.80965120008</v>
      </c>
      <c r="S146" s="1">
        <f t="shared" si="21"/>
        <v>5185300.5698832003</v>
      </c>
      <c r="T146" s="1">
        <f t="shared" si="22"/>
        <v>15563279.731334403</v>
      </c>
      <c r="U146" s="11"/>
      <c r="V146" s="11"/>
      <c r="W146" s="11"/>
      <c r="X146" s="12"/>
      <c r="Y146" s="12"/>
      <c r="Z146" s="12"/>
      <c r="AA146" s="12"/>
      <c r="AB146" s="12"/>
      <c r="AC146" s="12"/>
      <c r="AD146" s="12"/>
      <c r="AE146" s="12"/>
      <c r="AF146" s="12"/>
      <c r="AG146" s="12"/>
      <c r="AH146" s="12"/>
      <c r="AI146" s="12"/>
      <c r="AJ146" s="12"/>
      <c r="AK146" s="12"/>
      <c r="AL146" s="12"/>
      <c r="AM146" s="12"/>
      <c r="AN146" s="12"/>
      <c r="AO146" s="12"/>
      <c r="AP146" s="12"/>
      <c r="AQ146" s="12"/>
      <c r="AR146" s="12"/>
      <c r="AS146" s="12"/>
      <c r="AT146" s="12"/>
      <c r="AU146" s="12"/>
      <c r="AV146" s="12"/>
      <c r="AW146" s="12"/>
      <c r="AX146" s="12"/>
      <c r="AY146" s="12"/>
      <c r="AZ146" s="12"/>
      <c r="BA146" s="12"/>
      <c r="BB146" s="12"/>
      <c r="BC146" s="12"/>
      <c r="BD146" s="12"/>
      <c r="BE146" s="12"/>
      <c r="BF146" s="12"/>
      <c r="BG146" s="12"/>
      <c r="BH146" s="12"/>
      <c r="BI146" s="12"/>
      <c r="BJ146" s="12"/>
      <c r="BK146" s="12"/>
      <c r="BL146" s="12"/>
      <c r="BM146" s="12"/>
      <c r="BN146" s="12"/>
      <c r="BO146" s="12"/>
      <c r="BP146" s="12"/>
      <c r="BQ146" s="12"/>
      <c r="BR146" s="12"/>
      <c r="BS146" s="12"/>
      <c r="BT146" s="12"/>
      <c r="BU146" s="12"/>
      <c r="BV146" s="12"/>
      <c r="BW146" s="12"/>
      <c r="BX146" s="12"/>
      <c r="BY146" s="12"/>
      <c r="BZ146" s="12"/>
      <c r="CA146" s="12"/>
      <c r="CB146" s="12"/>
      <c r="CC146" s="12"/>
      <c r="CD146" s="12"/>
      <c r="CE146" s="12"/>
      <c r="CF146" s="12"/>
      <c r="CG146" s="12"/>
      <c r="CH146" s="12"/>
      <c r="CI146" s="12"/>
      <c r="CJ146" s="12"/>
      <c r="CK146" s="12"/>
      <c r="CL146" s="12"/>
      <c r="CM146" s="12"/>
      <c r="CN146" s="12"/>
      <c r="CO146" s="12"/>
      <c r="CP146" s="12"/>
      <c r="CQ146" s="12"/>
      <c r="CR146" s="12"/>
      <c r="CS146" s="12"/>
      <c r="CT146" s="12"/>
      <c r="CU146" s="12"/>
      <c r="CV146" s="12"/>
      <c r="CW146" s="12"/>
      <c r="CX146" s="12"/>
      <c r="CY146" s="12"/>
      <c r="CZ146" s="12"/>
      <c r="DA146" s="12"/>
      <c r="DB146" s="12"/>
      <c r="DC146" s="12"/>
      <c r="DD146" s="12"/>
      <c r="DE146" s="12"/>
      <c r="DF146" s="12"/>
      <c r="DG146" s="12"/>
      <c r="DH146" s="12"/>
      <c r="DI146" s="12"/>
      <c r="DJ146" s="12"/>
      <c r="DK146" s="12"/>
      <c r="DL146" s="12"/>
      <c r="DM146" s="12"/>
      <c r="DN146" s="12"/>
      <c r="DO146" s="12"/>
      <c r="DP146" s="12"/>
      <c r="DQ146" s="12"/>
      <c r="DR146" s="12"/>
      <c r="DS146" s="12"/>
      <c r="DT146" s="12"/>
      <c r="DU146" s="12"/>
      <c r="DV146" s="12"/>
      <c r="DW146" s="12"/>
      <c r="DX146" s="12"/>
      <c r="DY146" s="12"/>
      <c r="DZ146" s="12"/>
      <c r="EA146" s="12"/>
      <c r="EB146" s="12"/>
      <c r="EC146" s="12"/>
      <c r="ED146" s="12"/>
      <c r="EE146" s="12"/>
      <c r="EF146" s="12"/>
      <c r="EG146" s="12"/>
      <c r="EH146" s="12"/>
      <c r="EI146" s="12"/>
      <c r="EJ146" s="12"/>
      <c r="EK146" s="12"/>
      <c r="EL146" s="12"/>
      <c r="EM146" s="12"/>
      <c r="EN146" s="12"/>
      <c r="EO146" s="12"/>
      <c r="EP146" s="12"/>
      <c r="EQ146" s="12"/>
      <c r="ER146" s="12"/>
      <c r="ES146" s="12"/>
      <c r="ET146" s="12"/>
      <c r="EU146" s="12"/>
      <c r="EV146" s="12"/>
      <c r="EW146" s="12"/>
      <c r="EX146" s="12"/>
      <c r="EY146" s="12"/>
      <c r="EZ146" s="12"/>
      <c r="FA146" s="12"/>
      <c r="FB146" s="12"/>
      <c r="FC146" s="12"/>
      <c r="FD146" s="12"/>
      <c r="FE146" s="12"/>
      <c r="FF146" s="12"/>
      <c r="FG146" s="12"/>
      <c r="FH146" s="12"/>
      <c r="FI146" s="12"/>
      <c r="FJ146" s="12"/>
      <c r="FK146" s="12"/>
      <c r="FL146" s="12"/>
      <c r="FM146" s="12"/>
      <c r="FN146" s="12"/>
      <c r="FO146" s="12"/>
      <c r="FP146" s="12"/>
      <c r="FQ146" s="12"/>
      <c r="FR146" s="12"/>
      <c r="FS146" s="12"/>
      <c r="FT146" s="12"/>
      <c r="FU146" s="12"/>
      <c r="FV146" s="12"/>
      <c r="FW146" s="12"/>
      <c r="FX146" s="12"/>
      <c r="FY146" s="12"/>
      <c r="FZ146" s="12"/>
      <c r="GA146" s="12"/>
      <c r="GB146" s="12"/>
      <c r="GC146" s="12"/>
      <c r="GD146" s="12"/>
      <c r="GE146" s="12"/>
    </row>
    <row r="147" spans="1:187" ht="21" customHeight="1">
      <c r="A147" s="45"/>
      <c r="B147" s="9" t="s">
        <v>1</v>
      </c>
      <c r="C147" s="10" t="s">
        <v>177</v>
      </c>
      <c r="D147" s="10" t="s">
        <v>169</v>
      </c>
      <c r="E147" s="35">
        <v>1392.646</v>
      </c>
      <c r="F147" s="35">
        <f>2159.573-E147</f>
        <v>766.92699999999991</v>
      </c>
      <c r="G147" s="35">
        <v>312.33999999999997</v>
      </c>
      <c r="H147" s="35">
        <f>1673.02-G147</f>
        <v>1360.68</v>
      </c>
      <c r="I147" s="35">
        <f t="shared" si="23"/>
        <v>3832.5929999999998</v>
      </c>
      <c r="J147" s="56">
        <v>4105.8100000000004</v>
      </c>
      <c r="K147" s="49">
        <v>5178.0600000000004</v>
      </c>
      <c r="L147" s="49">
        <v>5385.1824000000006</v>
      </c>
      <c r="M147" s="49">
        <v>1851.75</v>
      </c>
      <c r="N147" s="49">
        <v>1925.8200000000002</v>
      </c>
      <c r="O147" s="56">
        <f t="shared" si="24"/>
        <v>3326.3100000000004</v>
      </c>
      <c r="P147" s="1">
        <f t="shared" si="25"/>
        <v>4632372.3162600007</v>
      </c>
      <c r="Q147" s="1">
        <f t="shared" si="19"/>
        <v>2551036.94937</v>
      </c>
      <c r="R147" s="1">
        <f t="shared" si="20"/>
        <v>1080497.252016</v>
      </c>
      <c r="S147" s="1">
        <f t="shared" si="21"/>
        <v>4707085.2304320009</v>
      </c>
      <c r="T147" s="1">
        <f t="shared" si="22"/>
        <v>12970991.748078004</v>
      </c>
      <c r="U147" s="11"/>
      <c r="V147" s="11"/>
      <c r="W147" s="11"/>
      <c r="X147" s="12"/>
      <c r="Y147" s="12"/>
      <c r="Z147" s="12"/>
      <c r="AA147" s="12"/>
      <c r="AB147" s="12"/>
      <c r="AC147" s="12"/>
      <c r="AD147" s="12"/>
      <c r="AE147" s="12"/>
      <c r="AF147" s="12"/>
      <c r="AG147" s="12"/>
      <c r="AH147" s="12"/>
      <c r="AI147" s="12"/>
      <c r="AJ147" s="12"/>
      <c r="AK147" s="12"/>
      <c r="AL147" s="12"/>
      <c r="AM147" s="12"/>
      <c r="AN147" s="12"/>
      <c r="AO147" s="12"/>
      <c r="AP147" s="12"/>
      <c r="AQ147" s="12"/>
      <c r="AR147" s="12"/>
      <c r="AS147" s="12"/>
      <c r="AT147" s="12"/>
      <c r="AU147" s="12"/>
      <c r="AV147" s="12"/>
      <c r="AW147" s="12"/>
      <c r="AX147" s="12"/>
      <c r="AY147" s="12"/>
      <c r="AZ147" s="12"/>
      <c r="BA147" s="12"/>
      <c r="BB147" s="12"/>
      <c r="BC147" s="12"/>
      <c r="BD147" s="12"/>
      <c r="BE147" s="12"/>
      <c r="BF147" s="12"/>
      <c r="BG147" s="12"/>
      <c r="BH147" s="12"/>
      <c r="BI147" s="12"/>
      <c r="BJ147" s="12"/>
      <c r="BK147" s="12"/>
      <c r="BL147" s="12"/>
      <c r="BM147" s="12"/>
      <c r="BN147" s="12"/>
      <c r="BO147" s="12"/>
      <c r="BP147" s="12"/>
      <c r="BQ147" s="12"/>
      <c r="BR147" s="12"/>
      <c r="BS147" s="12"/>
      <c r="BT147" s="12"/>
      <c r="BU147" s="12"/>
      <c r="BV147" s="12"/>
      <c r="BW147" s="12"/>
      <c r="BX147" s="12"/>
      <c r="BY147" s="12"/>
      <c r="BZ147" s="12"/>
      <c r="CA147" s="12"/>
      <c r="CB147" s="12"/>
      <c r="CC147" s="12"/>
      <c r="CD147" s="12"/>
      <c r="CE147" s="12"/>
      <c r="CF147" s="12"/>
      <c r="CG147" s="12"/>
      <c r="CH147" s="12"/>
      <c r="CI147" s="12"/>
      <c r="CJ147" s="12"/>
      <c r="CK147" s="12"/>
      <c r="CL147" s="12"/>
      <c r="CM147" s="12"/>
      <c r="CN147" s="12"/>
      <c r="CO147" s="12"/>
      <c r="CP147" s="12"/>
      <c r="CQ147" s="12"/>
      <c r="CR147" s="12"/>
      <c r="CS147" s="12"/>
      <c r="CT147" s="12"/>
      <c r="CU147" s="12"/>
      <c r="CV147" s="12"/>
      <c r="CW147" s="12"/>
      <c r="CX147" s="12"/>
      <c r="CY147" s="12"/>
      <c r="CZ147" s="12"/>
      <c r="DA147" s="12"/>
      <c r="DB147" s="12"/>
      <c r="DC147" s="12"/>
      <c r="DD147" s="12"/>
      <c r="DE147" s="12"/>
      <c r="DF147" s="12"/>
      <c r="DG147" s="12"/>
      <c r="DH147" s="12"/>
      <c r="DI147" s="12"/>
      <c r="DJ147" s="12"/>
      <c r="DK147" s="12"/>
      <c r="DL147" s="12"/>
      <c r="DM147" s="12"/>
      <c r="DN147" s="12"/>
      <c r="DO147" s="12"/>
      <c r="DP147" s="12"/>
      <c r="DQ147" s="12"/>
      <c r="DR147" s="12"/>
      <c r="DS147" s="12"/>
      <c r="DT147" s="12"/>
      <c r="DU147" s="12"/>
      <c r="DV147" s="12"/>
      <c r="DW147" s="12"/>
      <c r="DX147" s="12"/>
      <c r="DY147" s="12"/>
      <c r="DZ147" s="12"/>
      <c r="EA147" s="12"/>
      <c r="EB147" s="12"/>
      <c r="EC147" s="12"/>
      <c r="ED147" s="12"/>
      <c r="EE147" s="12"/>
      <c r="EF147" s="12"/>
      <c r="EG147" s="12"/>
      <c r="EH147" s="12"/>
      <c r="EI147" s="12"/>
      <c r="EJ147" s="12"/>
      <c r="EK147" s="12"/>
      <c r="EL147" s="12"/>
      <c r="EM147" s="12"/>
      <c r="EN147" s="12"/>
      <c r="EO147" s="12"/>
      <c r="EP147" s="12"/>
      <c r="EQ147" s="12"/>
      <c r="ER147" s="12"/>
      <c r="ES147" s="12"/>
      <c r="ET147" s="12"/>
      <c r="EU147" s="12"/>
      <c r="EV147" s="12"/>
      <c r="EW147" s="12"/>
      <c r="EX147" s="12"/>
      <c r="EY147" s="12"/>
      <c r="EZ147" s="12"/>
      <c r="FA147" s="12"/>
      <c r="FB147" s="12"/>
      <c r="FC147" s="12"/>
      <c r="FD147" s="12"/>
      <c r="FE147" s="12"/>
      <c r="FF147" s="12"/>
      <c r="FG147" s="12"/>
      <c r="FH147" s="12"/>
      <c r="FI147" s="12"/>
      <c r="FJ147" s="12"/>
      <c r="FK147" s="12"/>
      <c r="FL147" s="12"/>
      <c r="FM147" s="12"/>
      <c r="FN147" s="12"/>
      <c r="FO147" s="12"/>
      <c r="FP147" s="12"/>
      <c r="FQ147" s="12"/>
      <c r="FR147" s="12"/>
      <c r="FS147" s="12"/>
      <c r="FT147" s="12"/>
      <c r="FU147" s="12"/>
      <c r="FV147" s="12"/>
      <c r="FW147" s="12"/>
      <c r="FX147" s="12"/>
      <c r="FY147" s="12"/>
      <c r="FZ147" s="12"/>
      <c r="GA147" s="12"/>
      <c r="GB147" s="12"/>
      <c r="GC147" s="12"/>
      <c r="GD147" s="12"/>
      <c r="GE147" s="12"/>
    </row>
    <row r="148" spans="1:187" ht="21" customHeight="1">
      <c r="A148" s="45"/>
      <c r="B148" s="9" t="s">
        <v>1</v>
      </c>
      <c r="C148" s="10" t="s">
        <v>177</v>
      </c>
      <c r="D148" s="10" t="s">
        <v>170</v>
      </c>
      <c r="E148" s="35">
        <v>765.95899999999995</v>
      </c>
      <c r="F148" s="35">
        <f>1269.325-E148</f>
        <v>503.3660000000001</v>
      </c>
      <c r="G148" s="35">
        <v>250.209</v>
      </c>
      <c r="H148" s="35">
        <f>979.466-G148</f>
        <v>729.25700000000006</v>
      </c>
      <c r="I148" s="35">
        <f t="shared" si="23"/>
        <v>2248.7910000000002</v>
      </c>
      <c r="J148" s="56">
        <v>2213.4699999999998</v>
      </c>
      <c r="K148" s="49">
        <v>5178.0600000000004</v>
      </c>
      <c r="L148" s="49">
        <v>5385.1824000000006</v>
      </c>
      <c r="M148" s="49">
        <v>1851.75</v>
      </c>
      <c r="N148" s="49">
        <v>1925.8200000000002</v>
      </c>
      <c r="O148" s="56">
        <f t="shared" si="24"/>
        <v>3326.3100000000004</v>
      </c>
      <c r="P148" s="1">
        <f t="shared" si="25"/>
        <v>2547817.0812900001</v>
      </c>
      <c r="Q148" s="1">
        <f t="shared" si="19"/>
        <v>1674351.3594600006</v>
      </c>
      <c r="R148" s="1">
        <f t="shared" si="20"/>
        <v>865563.60674160009</v>
      </c>
      <c r="S148" s="1">
        <f t="shared" si="21"/>
        <v>2522764.2457368006</v>
      </c>
      <c r="T148" s="1">
        <f t="shared" si="22"/>
        <v>7610496.2932284009</v>
      </c>
      <c r="U148" s="11"/>
      <c r="V148" s="11"/>
      <c r="W148" s="11"/>
      <c r="X148" s="12"/>
      <c r="Y148" s="12"/>
      <c r="Z148" s="12"/>
      <c r="AA148" s="12"/>
      <c r="AB148" s="12"/>
      <c r="AC148" s="12"/>
      <c r="AD148" s="12"/>
      <c r="AE148" s="12"/>
      <c r="AF148" s="12"/>
      <c r="AG148" s="12"/>
      <c r="AH148" s="12"/>
      <c r="AI148" s="12"/>
      <c r="AJ148" s="12"/>
      <c r="AK148" s="12"/>
      <c r="AL148" s="12"/>
      <c r="AM148" s="12"/>
      <c r="AN148" s="12"/>
      <c r="AO148" s="12"/>
      <c r="AP148" s="12"/>
      <c r="AQ148" s="12"/>
      <c r="AR148" s="12"/>
      <c r="AS148" s="12"/>
      <c r="AT148" s="12"/>
      <c r="AU148" s="12"/>
      <c r="AV148" s="12"/>
      <c r="AW148" s="12"/>
      <c r="AX148" s="12"/>
      <c r="AY148" s="12"/>
      <c r="AZ148" s="12"/>
      <c r="BA148" s="12"/>
      <c r="BB148" s="12"/>
      <c r="BC148" s="12"/>
      <c r="BD148" s="12"/>
      <c r="BE148" s="12"/>
      <c r="BF148" s="12"/>
      <c r="BG148" s="12"/>
      <c r="BH148" s="12"/>
      <c r="BI148" s="12"/>
      <c r="BJ148" s="12"/>
      <c r="BK148" s="12"/>
      <c r="BL148" s="12"/>
      <c r="BM148" s="12"/>
      <c r="BN148" s="12"/>
      <c r="BO148" s="12"/>
      <c r="BP148" s="12"/>
      <c r="BQ148" s="12"/>
      <c r="BR148" s="12"/>
      <c r="BS148" s="12"/>
      <c r="BT148" s="12"/>
      <c r="BU148" s="12"/>
      <c r="BV148" s="12"/>
      <c r="BW148" s="12"/>
      <c r="BX148" s="12"/>
      <c r="BY148" s="12"/>
      <c r="BZ148" s="12"/>
      <c r="CA148" s="12"/>
      <c r="CB148" s="12"/>
      <c r="CC148" s="12"/>
      <c r="CD148" s="12"/>
      <c r="CE148" s="12"/>
      <c r="CF148" s="12"/>
      <c r="CG148" s="12"/>
      <c r="CH148" s="12"/>
      <c r="CI148" s="12"/>
      <c r="CJ148" s="12"/>
      <c r="CK148" s="12"/>
      <c r="CL148" s="12"/>
      <c r="CM148" s="12"/>
      <c r="CN148" s="12"/>
      <c r="CO148" s="12"/>
      <c r="CP148" s="12"/>
      <c r="CQ148" s="12"/>
      <c r="CR148" s="12"/>
      <c r="CS148" s="12"/>
      <c r="CT148" s="12"/>
      <c r="CU148" s="12"/>
      <c r="CV148" s="12"/>
      <c r="CW148" s="12"/>
      <c r="CX148" s="12"/>
      <c r="CY148" s="12"/>
      <c r="CZ148" s="12"/>
      <c r="DA148" s="12"/>
      <c r="DB148" s="12"/>
      <c r="DC148" s="12"/>
      <c r="DD148" s="12"/>
      <c r="DE148" s="12"/>
      <c r="DF148" s="12"/>
      <c r="DG148" s="12"/>
      <c r="DH148" s="12"/>
      <c r="DI148" s="12"/>
      <c r="DJ148" s="12"/>
      <c r="DK148" s="12"/>
      <c r="DL148" s="12"/>
      <c r="DM148" s="12"/>
      <c r="DN148" s="12"/>
      <c r="DO148" s="12"/>
      <c r="DP148" s="12"/>
      <c r="DQ148" s="12"/>
      <c r="DR148" s="12"/>
      <c r="DS148" s="12"/>
      <c r="DT148" s="12"/>
      <c r="DU148" s="12"/>
      <c r="DV148" s="12"/>
      <c r="DW148" s="12"/>
      <c r="DX148" s="12"/>
      <c r="DY148" s="12"/>
      <c r="DZ148" s="12"/>
      <c r="EA148" s="12"/>
      <c r="EB148" s="12"/>
      <c r="EC148" s="12"/>
      <c r="ED148" s="12"/>
      <c r="EE148" s="12"/>
      <c r="EF148" s="12"/>
      <c r="EG148" s="12"/>
      <c r="EH148" s="12"/>
      <c r="EI148" s="12"/>
      <c r="EJ148" s="12"/>
      <c r="EK148" s="12"/>
      <c r="EL148" s="12"/>
      <c r="EM148" s="12"/>
      <c r="EN148" s="12"/>
      <c r="EO148" s="12"/>
      <c r="EP148" s="12"/>
      <c r="EQ148" s="12"/>
      <c r="ER148" s="12"/>
      <c r="ES148" s="12"/>
      <c r="ET148" s="12"/>
      <c r="EU148" s="12"/>
      <c r="EV148" s="12"/>
      <c r="EW148" s="12"/>
      <c r="EX148" s="12"/>
      <c r="EY148" s="12"/>
      <c r="EZ148" s="12"/>
      <c r="FA148" s="12"/>
      <c r="FB148" s="12"/>
      <c r="FC148" s="12"/>
      <c r="FD148" s="12"/>
      <c r="FE148" s="12"/>
      <c r="FF148" s="12"/>
      <c r="FG148" s="12"/>
      <c r="FH148" s="12"/>
      <c r="FI148" s="12"/>
      <c r="FJ148" s="12"/>
      <c r="FK148" s="12"/>
      <c r="FL148" s="12"/>
      <c r="FM148" s="12"/>
      <c r="FN148" s="12"/>
      <c r="FO148" s="12"/>
      <c r="FP148" s="12"/>
      <c r="FQ148" s="12"/>
      <c r="FR148" s="12"/>
      <c r="FS148" s="12"/>
      <c r="FT148" s="12"/>
      <c r="FU148" s="12"/>
      <c r="FV148" s="12"/>
      <c r="FW148" s="12"/>
      <c r="FX148" s="12"/>
      <c r="FY148" s="12"/>
      <c r="FZ148" s="12"/>
      <c r="GA148" s="12"/>
      <c r="GB148" s="12"/>
      <c r="GC148" s="12"/>
      <c r="GD148" s="12"/>
      <c r="GE148" s="12"/>
    </row>
    <row r="149" spans="1:187" ht="21" customHeight="1">
      <c r="A149" s="45" t="s">
        <v>337</v>
      </c>
      <c r="B149" s="9">
        <v>7729314745</v>
      </c>
      <c r="C149" s="10" t="s">
        <v>341</v>
      </c>
      <c r="D149" s="10" t="s">
        <v>344</v>
      </c>
      <c r="E149" s="35">
        <f>100.529*0.6</f>
        <v>60.317399999999992</v>
      </c>
      <c r="F149" s="35">
        <f>100.529*0.4</f>
        <v>40.211600000000004</v>
      </c>
      <c r="G149" s="35">
        <f>82.251*0.2</f>
        <v>16.450200000000002</v>
      </c>
      <c r="H149" s="35">
        <f>82.251*0.8</f>
        <v>65.80080000000001</v>
      </c>
      <c r="I149" s="35">
        <f t="shared" si="23"/>
        <v>182.78</v>
      </c>
      <c r="J149" s="56">
        <v>182.8</v>
      </c>
      <c r="K149" s="49">
        <v>11904.9112</v>
      </c>
      <c r="L149" s="49">
        <v>12381.107648000001</v>
      </c>
      <c r="M149" s="49">
        <v>1862.7838399999998</v>
      </c>
      <c r="N149" s="49">
        <v>1937.2951935999999</v>
      </c>
      <c r="O149" s="56">
        <f t="shared" si="24"/>
        <v>10042.12736</v>
      </c>
      <c r="P149" s="1">
        <f t="shared" si="25"/>
        <v>605715.01282406389</v>
      </c>
      <c r="Q149" s="1">
        <f t="shared" si="19"/>
        <v>403810.00854937604</v>
      </c>
      <c r="R149" s="1">
        <f t="shared" si="20"/>
        <v>171802.80363737093</v>
      </c>
      <c r="S149" s="1">
        <f t="shared" si="21"/>
        <v>687211.21454948373</v>
      </c>
      <c r="T149" s="1">
        <f t="shared" si="22"/>
        <v>1868539.0395602947</v>
      </c>
      <c r="U149" s="11"/>
      <c r="V149" s="11"/>
      <c r="W149" s="11"/>
      <c r="X149" s="12"/>
      <c r="Y149" s="12"/>
      <c r="Z149" s="12"/>
      <c r="AA149" s="12"/>
      <c r="AB149" s="12"/>
      <c r="AC149" s="12"/>
      <c r="AD149" s="12"/>
      <c r="AE149" s="12"/>
      <c r="AF149" s="12"/>
      <c r="AG149" s="12"/>
      <c r="AH149" s="12"/>
      <c r="AI149" s="12"/>
      <c r="AJ149" s="12"/>
      <c r="AK149" s="12"/>
      <c r="AL149" s="12"/>
      <c r="AM149" s="12"/>
      <c r="AN149" s="12"/>
      <c r="AO149" s="12"/>
      <c r="AP149" s="12"/>
      <c r="AQ149" s="12"/>
      <c r="AR149" s="12"/>
      <c r="AS149" s="12"/>
      <c r="AT149" s="12"/>
      <c r="AU149" s="12"/>
      <c r="AV149" s="12"/>
      <c r="AW149" s="12"/>
      <c r="AX149" s="12"/>
      <c r="AY149" s="12"/>
      <c r="AZ149" s="12"/>
      <c r="BA149" s="12"/>
      <c r="BB149" s="12"/>
      <c r="BC149" s="12"/>
      <c r="BD149" s="12"/>
      <c r="BE149" s="12"/>
      <c r="BF149" s="12"/>
      <c r="BG149" s="12"/>
      <c r="BH149" s="12"/>
      <c r="BI149" s="12"/>
      <c r="BJ149" s="12"/>
      <c r="BK149" s="12"/>
      <c r="BL149" s="12"/>
      <c r="BM149" s="12"/>
      <c r="BN149" s="12"/>
      <c r="BO149" s="12"/>
      <c r="BP149" s="12"/>
      <c r="BQ149" s="12"/>
      <c r="BR149" s="12"/>
      <c r="BS149" s="12"/>
      <c r="BT149" s="12"/>
      <c r="BU149" s="12"/>
      <c r="BV149" s="12"/>
      <c r="BW149" s="12"/>
      <c r="BX149" s="12"/>
      <c r="BY149" s="12"/>
      <c r="BZ149" s="12"/>
      <c r="CA149" s="12"/>
      <c r="CB149" s="12"/>
      <c r="CC149" s="12"/>
      <c r="CD149" s="12"/>
      <c r="CE149" s="12"/>
      <c r="CF149" s="12"/>
      <c r="CG149" s="12"/>
      <c r="CH149" s="12"/>
      <c r="CI149" s="12"/>
      <c r="CJ149" s="12"/>
      <c r="CK149" s="12"/>
      <c r="CL149" s="12"/>
      <c r="CM149" s="12"/>
      <c r="CN149" s="12"/>
      <c r="CO149" s="12"/>
      <c r="CP149" s="12"/>
      <c r="CQ149" s="12"/>
      <c r="CR149" s="12"/>
      <c r="CS149" s="12"/>
      <c r="CT149" s="12"/>
      <c r="CU149" s="12"/>
      <c r="CV149" s="12"/>
      <c r="CW149" s="12"/>
      <c r="CX149" s="12"/>
      <c r="CY149" s="12"/>
      <c r="CZ149" s="12"/>
      <c r="DA149" s="12"/>
      <c r="DB149" s="12"/>
      <c r="DC149" s="12"/>
      <c r="DD149" s="12"/>
      <c r="DE149" s="12"/>
      <c r="DF149" s="12"/>
      <c r="DG149" s="12"/>
      <c r="DH149" s="12"/>
      <c r="DI149" s="12"/>
      <c r="DJ149" s="12"/>
      <c r="DK149" s="12"/>
      <c r="DL149" s="12"/>
      <c r="DM149" s="12"/>
      <c r="DN149" s="12"/>
      <c r="DO149" s="12"/>
      <c r="DP149" s="12"/>
      <c r="DQ149" s="12"/>
      <c r="DR149" s="12"/>
      <c r="DS149" s="12"/>
      <c r="DT149" s="12"/>
      <c r="DU149" s="12"/>
      <c r="DV149" s="12"/>
      <c r="DW149" s="12"/>
      <c r="DX149" s="12"/>
      <c r="DY149" s="12"/>
      <c r="DZ149" s="12"/>
      <c r="EA149" s="12"/>
      <c r="EB149" s="12"/>
      <c r="EC149" s="12"/>
      <c r="ED149" s="12"/>
      <c r="EE149" s="12"/>
      <c r="EF149" s="12"/>
      <c r="EG149" s="12"/>
      <c r="EH149" s="12"/>
      <c r="EI149" s="12"/>
      <c r="EJ149" s="12"/>
      <c r="EK149" s="12"/>
      <c r="EL149" s="12"/>
      <c r="EM149" s="12"/>
      <c r="EN149" s="12"/>
      <c r="EO149" s="12"/>
      <c r="EP149" s="12"/>
      <c r="EQ149" s="12"/>
      <c r="ER149" s="12"/>
      <c r="ES149" s="12"/>
      <c r="ET149" s="12"/>
      <c r="EU149" s="12"/>
      <c r="EV149" s="12"/>
      <c r="EW149" s="12"/>
      <c r="EX149" s="12"/>
      <c r="EY149" s="12"/>
      <c r="EZ149" s="12"/>
      <c r="FA149" s="12"/>
      <c r="FB149" s="12"/>
      <c r="FC149" s="12"/>
      <c r="FD149" s="12"/>
      <c r="FE149" s="12"/>
      <c r="FF149" s="12"/>
      <c r="FG149" s="12"/>
      <c r="FH149" s="12"/>
      <c r="FI149" s="12"/>
      <c r="FJ149" s="12"/>
      <c r="FK149" s="12"/>
      <c r="FL149" s="12"/>
      <c r="FM149" s="12"/>
      <c r="FN149" s="12"/>
      <c r="FO149" s="12"/>
      <c r="FP149" s="12"/>
      <c r="FQ149" s="12"/>
      <c r="FR149" s="12"/>
      <c r="FS149" s="12"/>
      <c r="FT149" s="12"/>
      <c r="FU149" s="12"/>
      <c r="FV149" s="12"/>
      <c r="FW149" s="12"/>
      <c r="FX149" s="12"/>
      <c r="FY149" s="12"/>
      <c r="FZ149" s="12"/>
      <c r="GA149" s="12"/>
      <c r="GB149" s="12"/>
      <c r="GC149" s="12"/>
      <c r="GD149" s="12"/>
      <c r="GE149" s="12"/>
    </row>
    <row r="150" spans="1:187" ht="21" customHeight="1">
      <c r="A150" s="45" t="s">
        <v>337</v>
      </c>
      <c r="B150" s="9">
        <v>7729314745</v>
      </c>
      <c r="C150" s="10" t="s">
        <v>341</v>
      </c>
      <c r="D150" s="10" t="s">
        <v>345</v>
      </c>
      <c r="E150" s="35">
        <f>165.2805*0.6</f>
        <v>99.168299999999988</v>
      </c>
      <c r="F150" s="35">
        <f>165.2805*0.4</f>
        <v>66.112200000000001</v>
      </c>
      <c r="G150" s="35">
        <f>135.2295*0.2</f>
        <v>27.045900000000003</v>
      </c>
      <c r="H150" s="35">
        <f>135.2295*0.8</f>
        <v>108.18360000000001</v>
      </c>
      <c r="I150" s="35">
        <f t="shared" si="23"/>
        <v>300.51</v>
      </c>
      <c r="J150" s="56">
        <v>300.5</v>
      </c>
      <c r="K150" s="49">
        <v>5715.8817799999988</v>
      </c>
      <c r="L150" s="49">
        <v>5944.5170511999986</v>
      </c>
      <c r="M150" s="49">
        <v>1862.7838399999998</v>
      </c>
      <c r="N150" s="49">
        <v>1937.2951935999999</v>
      </c>
      <c r="O150" s="56">
        <f t="shared" si="24"/>
        <v>3853.0979399999987</v>
      </c>
      <c r="P150" s="1">
        <f t="shared" si="25"/>
        <v>382105.17244330182</v>
      </c>
      <c r="Q150" s="1">
        <f t="shared" si="19"/>
        <v>254736.78162886793</v>
      </c>
      <c r="R150" s="1">
        <f t="shared" si="20"/>
        <v>108378.92163846381</v>
      </c>
      <c r="S150" s="1">
        <f t="shared" si="21"/>
        <v>433515.68655385525</v>
      </c>
      <c r="T150" s="1">
        <f t="shared" si="22"/>
        <v>1178736.5622644888</v>
      </c>
      <c r="U150" s="11"/>
      <c r="V150" s="11"/>
      <c r="W150" s="11"/>
      <c r="X150" s="12"/>
      <c r="Y150" s="12"/>
      <c r="Z150" s="12"/>
      <c r="AA150" s="12"/>
      <c r="AB150" s="12"/>
      <c r="AC150" s="12"/>
      <c r="AD150" s="12"/>
      <c r="AE150" s="12"/>
      <c r="AF150" s="12"/>
      <c r="AG150" s="12"/>
      <c r="AH150" s="12"/>
      <c r="AI150" s="12"/>
      <c r="AJ150" s="12"/>
      <c r="AK150" s="12"/>
      <c r="AL150" s="12"/>
      <c r="AM150" s="12"/>
      <c r="AN150" s="12"/>
      <c r="AO150" s="12"/>
      <c r="AP150" s="12"/>
      <c r="AQ150" s="12"/>
      <c r="AR150" s="12"/>
      <c r="AS150" s="12"/>
      <c r="AT150" s="12"/>
      <c r="AU150" s="12"/>
      <c r="AV150" s="12"/>
      <c r="AW150" s="12"/>
      <c r="AX150" s="12"/>
      <c r="AY150" s="12"/>
      <c r="AZ150" s="12"/>
      <c r="BA150" s="12"/>
      <c r="BB150" s="12"/>
      <c r="BC150" s="12"/>
      <c r="BD150" s="12"/>
      <c r="BE150" s="12"/>
      <c r="BF150" s="12"/>
      <c r="BG150" s="12"/>
      <c r="BH150" s="12"/>
      <c r="BI150" s="12"/>
      <c r="BJ150" s="12"/>
      <c r="BK150" s="12"/>
      <c r="BL150" s="12"/>
      <c r="BM150" s="12"/>
      <c r="BN150" s="12"/>
      <c r="BO150" s="12"/>
      <c r="BP150" s="12"/>
      <c r="BQ150" s="12"/>
      <c r="BR150" s="12"/>
      <c r="BS150" s="12"/>
      <c r="BT150" s="12"/>
      <c r="BU150" s="12"/>
      <c r="BV150" s="12"/>
      <c r="BW150" s="12"/>
      <c r="BX150" s="12"/>
      <c r="BY150" s="12"/>
      <c r="BZ150" s="12"/>
      <c r="CA150" s="12"/>
      <c r="CB150" s="12"/>
      <c r="CC150" s="12"/>
      <c r="CD150" s="12"/>
      <c r="CE150" s="12"/>
      <c r="CF150" s="12"/>
      <c r="CG150" s="12"/>
      <c r="CH150" s="12"/>
      <c r="CI150" s="12"/>
      <c r="CJ150" s="12"/>
      <c r="CK150" s="12"/>
      <c r="CL150" s="12"/>
      <c r="CM150" s="12"/>
      <c r="CN150" s="12"/>
      <c r="CO150" s="12"/>
      <c r="CP150" s="12"/>
      <c r="CQ150" s="12"/>
      <c r="CR150" s="12"/>
      <c r="CS150" s="12"/>
      <c r="CT150" s="12"/>
      <c r="CU150" s="12"/>
      <c r="CV150" s="12"/>
      <c r="CW150" s="12"/>
      <c r="CX150" s="12"/>
      <c r="CY150" s="12"/>
      <c r="CZ150" s="12"/>
      <c r="DA150" s="12"/>
      <c r="DB150" s="12"/>
      <c r="DC150" s="12"/>
      <c r="DD150" s="12"/>
      <c r="DE150" s="12"/>
      <c r="DF150" s="12"/>
      <c r="DG150" s="12"/>
      <c r="DH150" s="12"/>
      <c r="DI150" s="12"/>
      <c r="DJ150" s="12"/>
      <c r="DK150" s="12"/>
      <c r="DL150" s="12"/>
      <c r="DM150" s="12"/>
      <c r="DN150" s="12"/>
      <c r="DO150" s="12"/>
      <c r="DP150" s="12"/>
      <c r="DQ150" s="12"/>
      <c r="DR150" s="12"/>
      <c r="DS150" s="12"/>
      <c r="DT150" s="12"/>
      <c r="DU150" s="12"/>
      <c r="DV150" s="12"/>
      <c r="DW150" s="12"/>
      <c r="DX150" s="12"/>
      <c r="DY150" s="12"/>
      <c r="DZ150" s="12"/>
      <c r="EA150" s="12"/>
      <c r="EB150" s="12"/>
      <c r="EC150" s="12"/>
      <c r="ED150" s="12"/>
      <c r="EE150" s="12"/>
      <c r="EF150" s="12"/>
      <c r="EG150" s="12"/>
      <c r="EH150" s="12"/>
      <c r="EI150" s="12"/>
      <c r="EJ150" s="12"/>
      <c r="EK150" s="12"/>
      <c r="EL150" s="12"/>
      <c r="EM150" s="12"/>
      <c r="EN150" s="12"/>
      <c r="EO150" s="12"/>
      <c r="EP150" s="12"/>
      <c r="EQ150" s="12"/>
      <c r="ER150" s="12"/>
      <c r="ES150" s="12"/>
      <c r="ET150" s="12"/>
      <c r="EU150" s="12"/>
      <c r="EV150" s="12"/>
      <c r="EW150" s="12"/>
      <c r="EX150" s="12"/>
      <c r="EY150" s="12"/>
      <c r="EZ150" s="12"/>
      <c r="FA150" s="12"/>
      <c r="FB150" s="12"/>
      <c r="FC150" s="12"/>
      <c r="FD150" s="12"/>
      <c r="FE150" s="12"/>
      <c r="FF150" s="12"/>
      <c r="FG150" s="12"/>
      <c r="FH150" s="12"/>
      <c r="FI150" s="12"/>
      <c r="FJ150" s="12"/>
      <c r="FK150" s="12"/>
      <c r="FL150" s="12"/>
      <c r="FM150" s="12"/>
      <c r="FN150" s="12"/>
      <c r="FO150" s="12"/>
      <c r="FP150" s="12"/>
      <c r="FQ150" s="12"/>
      <c r="FR150" s="12"/>
      <c r="FS150" s="12"/>
      <c r="FT150" s="12"/>
      <c r="FU150" s="12"/>
      <c r="FV150" s="12"/>
      <c r="FW150" s="12"/>
      <c r="FX150" s="12"/>
      <c r="FY150" s="12"/>
      <c r="FZ150" s="12"/>
      <c r="GA150" s="12"/>
      <c r="GB150" s="12"/>
      <c r="GC150" s="12"/>
      <c r="GD150" s="12"/>
      <c r="GE150" s="12"/>
    </row>
    <row r="151" spans="1:187" ht="21" customHeight="1">
      <c r="A151" s="45" t="s">
        <v>337</v>
      </c>
      <c r="B151" s="9">
        <v>7729314745</v>
      </c>
      <c r="C151" s="10" t="s">
        <v>341</v>
      </c>
      <c r="D151" s="10" t="s">
        <v>166</v>
      </c>
      <c r="E151" s="35">
        <f>778.25*0.6</f>
        <v>466.95</v>
      </c>
      <c r="F151" s="35">
        <f>778.25*0.4</f>
        <v>311.3</v>
      </c>
      <c r="G151" s="35">
        <f>636.75*0.2</f>
        <v>127.35000000000001</v>
      </c>
      <c r="H151" s="35">
        <f>636.75*0.8</f>
        <v>509.40000000000003</v>
      </c>
      <c r="I151" s="35">
        <f t="shared" si="23"/>
        <v>1415</v>
      </c>
      <c r="J151" s="56">
        <v>1415.31</v>
      </c>
      <c r="K151" s="49">
        <v>3743.8707299999996</v>
      </c>
      <c r="L151" s="49">
        <v>3893.6255591999998</v>
      </c>
      <c r="M151" s="49">
        <v>1721.9073899999999</v>
      </c>
      <c r="N151" s="49">
        <v>1790.7836855999999</v>
      </c>
      <c r="O151" s="56">
        <f t="shared" si="24"/>
        <v>2021.9633399999998</v>
      </c>
      <c r="P151" s="1">
        <f t="shared" si="25"/>
        <v>944155.78161299985</v>
      </c>
      <c r="Q151" s="1">
        <f t="shared" si="19"/>
        <v>629437.18774199998</v>
      </c>
      <c r="R151" s="1">
        <f t="shared" si="20"/>
        <v>267796.91260296002</v>
      </c>
      <c r="S151" s="1">
        <f t="shared" si="21"/>
        <v>1071187.6504118401</v>
      </c>
      <c r="T151" s="1">
        <f t="shared" si="22"/>
        <v>2912577.5323697999</v>
      </c>
      <c r="U151" s="11"/>
      <c r="V151" s="11"/>
      <c r="W151" s="11"/>
      <c r="X151" s="12"/>
      <c r="Y151" s="12"/>
      <c r="Z151" s="12"/>
      <c r="AA151" s="12"/>
      <c r="AB151" s="12"/>
      <c r="AC151" s="12"/>
      <c r="AD151" s="12"/>
      <c r="AE151" s="12"/>
      <c r="AF151" s="12"/>
      <c r="AG151" s="12"/>
      <c r="AH151" s="12"/>
      <c r="AI151" s="12"/>
      <c r="AJ151" s="12"/>
      <c r="AK151" s="12"/>
      <c r="AL151" s="12"/>
      <c r="AM151" s="12"/>
      <c r="AN151" s="12"/>
      <c r="AO151" s="12"/>
      <c r="AP151" s="12"/>
      <c r="AQ151" s="12"/>
      <c r="AR151" s="12"/>
      <c r="AS151" s="12"/>
      <c r="AT151" s="12"/>
      <c r="AU151" s="12"/>
      <c r="AV151" s="12"/>
      <c r="AW151" s="12"/>
      <c r="AX151" s="12"/>
      <c r="AY151" s="12"/>
      <c r="AZ151" s="12"/>
      <c r="BA151" s="12"/>
      <c r="BB151" s="12"/>
      <c r="BC151" s="12"/>
      <c r="BD151" s="12"/>
      <c r="BE151" s="12"/>
      <c r="BF151" s="12"/>
      <c r="BG151" s="12"/>
      <c r="BH151" s="12"/>
      <c r="BI151" s="12"/>
      <c r="BJ151" s="12"/>
      <c r="BK151" s="12"/>
      <c r="BL151" s="12"/>
      <c r="BM151" s="12"/>
      <c r="BN151" s="12"/>
      <c r="BO151" s="12"/>
      <c r="BP151" s="12"/>
      <c r="BQ151" s="12"/>
      <c r="BR151" s="12"/>
      <c r="BS151" s="12"/>
      <c r="BT151" s="12"/>
      <c r="BU151" s="12"/>
      <c r="BV151" s="12"/>
      <c r="BW151" s="12"/>
      <c r="BX151" s="12"/>
      <c r="BY151" s="12"/>
      <c r="BZ151" s="12"/>
      <c r="CA151" s="12"/>
      <c r="CB151" s="12"/>
      <c r="CC151" s="12"/>
      <c r="CD151" s="12"/>
      <c r="CE151" s="12"/>
      <c r="CF151" s="12"/>
      <c r="CG151" s="12"/>
      <c r="CH151" s="12"/>
      <c r="CI151" s="12"/>
      <c r="CJ151" s="12"/>
      <c r="CK151" s="12"/>
      <c r="CL151" s="12"/>
      <c r="CM151" s="12"/>
      <c r="CN151" s="12"/>
      <c r="CO151" s="12"/>
      <c r="CP151" s="12"/>
      <c r="CQ151" s="12"/>
      <c r="CR151" s="12"/>
      <c r="CS151" s="12"/>
      <c r="CT151" s="12"/>
      <c r="CU151" s="12"/>
      <c r="CV151" s="12"/>
      <c r="CW151" s="12"/>
      <c r="CX151" s="12"/>
      <c r="CY151" s="12"/>
      <c r="CZ151" s="12"/>
      <c r="DA151" s="12"/>
      <c r="DB151" s="12"/>
      <c r="DC151" s="12"/>
      <c r="DD151" s="12"/>
      <c r="DE151" s="12"/>
      <c r="DF151" s="12"/>
      <c r="DG151" s="12"/>
      <c r="DH151" s="12"/>
      <c r="DI151" s="12"/>
      <c r="DJ151" s="12"/>
      <c r="DK151" s="12"/>
      <c r="DL151" s="12"/>
      <c r="DM151" s="12"/>
      <c r="DN151" s="12"/>
      <c r="DO151" s="12"/>
      <c r="DP151" s="12"/>
      <c r="DQ151" s="12"/>
      <c r="DR151" s="12"/>
      <c r="DS151" s="12"/>
      <c r="DT151" s="12"/>
      <c r="DU151" s="12"/>
      <c r="DV151" s="12"/>
      <c r="DW151" s="12"/>
      <c r="DX151" s="12"/>
      <c r="DY151" s="12"/>
      <c r="DZ151" s="12"/>
      <c r="EA151" s="12"/>
      <c r="EB151" s="12"/>
      <c r="EC151" s="12"/>
      <c r="ED151" s="12"/>
      <c r="EE151" s="12"/>
      <c r="EF151" s="12"/>
      <c r="EG151" s="12"/>
      <c r="EH151" s="12"/>
      <c r="EI151" s="12"/>
      <c r="EJ151" s="12"/>
      <c r="EK151" s="12"/>
      <c r="EL151" s="12"/>
      <c r="EM151" s="12"/>
      <c r="EN151" s="12"/>
      <c r="EO151" s="12"/>
      <c r="EP151" s="12"/>
      <c r="EQ151" s="12"/>
      <c r="ER151" s="12"/>
      <c r="ES151" s="12"/>
      <c r="ET151" s="12"/>
      <c r="EU151" s="12"/>
      <c r="EV151" s="12"/>
      <c r="EW151" s="12"/>
      <c r="EX151" s="12"/>
      <c r="EY151" s="12"/>
      <c r="EZ151" s="12"/>
      <c r="FA151" s="12"/>
      <c r="FB151" s="12"/>
      <c r="FC151" s="12"/>
      <c r="FD151" s="12"/>
      <c r="FE151" s="12"/>
      <c r="FF151" s="12"/>
      <c r="FG151" s="12"/>
      <c r="FH151" s="12"/>
      <c r="FI151" s="12"/>
      <c r="FJ151" s="12"/>
      <c r="FK151" s="12"/>
      <c r="FL151" s="12"/>
      <c r="FM151" s="12"/>
      <c r="FN151" s="12"/>
      <c r="FO151" s="12"/>
      <c r="FP151" s="12"/>
      <c r="FQ151" s="12"/>
      <c r="FR151" s="12"/>
      <c r="FS151" s="12"/>
      <c r="FT151" s="12"/>
      <c r="FU151" s="12"/>
      <c r="FV151" s="12"/>
      <c r="FW151" s="12"/>
      <c r="FX151" s="12"/>
      <c r="FY151" s="12"/>
      <c r="FZ151" s="12"/>
      <c r="GA151" s="12"/>
      <c r="GB151" s="12"/>
      <c r="GC151" s="12"/>
      <c r="GD151" s="12"/>
      <c r="GE151" s="12"/>
    </row>
    <row r="152" spans="1:187" ht="21" customHeight="1">
      <c r="A152" s="45"/>
      <c r="B152" s="9" t="s">
        <v>276</v>
      </c>
      <c r="C152" s="10" t="s">
        <v>425</v>
      </c>
      <c r="D152" s="10" t="s">
        <v>426</v>
      </c>
      <c r="E152" s="61">
        <f>358.44*0.6</f>
        <v>215.06399999999999</v>
      </c>
      <c r="F152" s="61">
        <f>358.44*0.4</f>
        <v>143.376</v>
      </c>
      <c r="G152" s="61">
        <f>238.96*0.2</f>
        <v>47.792000000000002</v>
      </c>
      <c r="H152" s="61">
        <f>238.96*0.8</f>
        <v>191.16800000000001</v>
      </c>
      <c r="I152" s="35">
        <f t="shared" si="23"/>
        <v>597.4</v>
      </c>
      <c r="J152" s="56">
        <v>597.4</v>
      </c>
      <c r="K152" s="49">
        <v>6157.85</v>
      </c>
      <c r="L152" s="49">
        <v>6404.1640000000007</v>
      </c>
      <c r="M152" s="49">
        <v>2143.83</v>
      </c>
      <c r="N152" s="49">
        <v>2229.5832</v>
      </c>
      <c r="O152" s="56"/>
      <c r="P152" s="1">
        <f t="shared" ref="P152" si="26">(K152-M152)*E152</f>
        <v>863271.19728000008</v>
      </c>
      <c r="Q152" s="1">
        <f t="shared" si="19"/>
        <v>575514.13152000005</v>
      </c>
      <c r="R152" s="1">
        <f t="shared" si="20"/>
        <v>199511.56559360004</v>
      </c>
      <c r="S152" s="1">
        <f t="shared" si="21"/>
        <v>798046.26237440016</v>
      </c>
      <c r="T152" s="1">
        <f t="shared" si="22"/>
        <v>2436343.1567680007</v>
      </c>
      <c r="U152" s="11"/>
      <c r="V152" s="11"/>
      <c r="W152" s="11"/>
      <c r="X152" s="12"/>
      <c r="Y152" s="12"/>
      <c r="Z152" s="12"/>
      <c r="AA152" s="12"/>
      <c r="AB152" s="12"/>
      <c r="AC152" s="12"/>
      <c r="AD152" s="12"/>
      <c r="AE152" s="12"/>
      <c r="AF152" s="12"/>
      <c r="AG152" s="12"/>
      <c r="AH152" s="12"/>
      <c r="AI152" s="12"/>
      <c r="AJ152" s="12"/>
      <c r="AK152" s="12"/>
      <c r="AL152" s="12"/>
      <c r="AM152" s="12"/>
      <c r="AN152" s="12"/>
      <c r="AO152" s="12"/>
      <c r="AP152" s="12"/>
      <c r="AQ152" s="12"/>
      <c r="AR152" s="12"/>
      <c r="AS152" s="12"/>
      <c r="AT152" s="12"/>
      <c r="AU152" s="12"/>
      <c r="AV152" s="12"/>
      <c r="AW152" s="12"/>
      <c r="AX152" s="12"/>
      <c r="AY152" s="12"/>
      <c r="AZ152" s="12"/>
      <c r="BA152" s="12"/>
      <c r="BB152" s="12"/>
      <c r="BC152" s="12"/>
      <c r="BD152" s="12"/>
      <c r="BE152" s="12"/>
      <c r="BF152" s="12"/>
      <c r="BG152" s="12"/>
      <c r="BH152" s="12"/>
      <c r="BI152" s="12"/>
      <c r="BJ152" s="12"/>
      <c r="BK152" s="12"/>
      <c r="BL152" s="12"/>
      <c r="BM152" s="12"/>
      <c r="BN152" s="12"/>
      <c r="BO152" s="12"/>
      <c r="BP152" s="12"/>
      <c r="BQ152" s="12"/>
      <c r="BR152" s="12"/>
      <c r="BS152" s="12"/>
      <c r="BT152" s="12"/>
      <c r="BU152" s="12"/>
      <c r="BV152" s="12"/>
      <c r="BW152" s="12"/>
      <c r="BX152" s="12"/>
      <c r="BY152" s="12"/>
      <c r="BZ152" s="12"/>
      <c r="CA152" s="12"/>
      <c r="CB152" s="12"/>
      <c r="CC152" s="12"/>
      <c r="CD152" s="12"/>
      <c r="CE152" s="12"/>
      <c r="CF152" s="12"/>
      <c r="CG152" s="12"/>
      <c r="CH152" s="12"/>
      <c r="CI152" s="12"/>
      <c r="CJ152" s="12"/>
      <c r="CK152" s="12"/>
      <c r="CL152" s="12"/>
      <c r="CM152" s="12"/>
      <c r="CN152" s="12"/>
      <c r="CO152" s="12"/>
      <c r="CP152" s="12"/>
      <c r="CQ152" s="12"/>
      <c r="CR152" s="12"/>
      <c r="CS152" s="12"/>
      <c r="CT152" s="12"/>
      <c r="CU152" s="12"/>
      <c r="CV152" s="12"/>
      <c r="CW152" s="12"/>
      <c r="CX152" s="12"/>
      <c r="CY152" s="12"/>
      <c r="CZ152" s="12"/>
      <c r="DA152" s="12"/>
      <c r="DB152" s="12"/>
      <c r="DC152" s="12"/>
      <c r="DD152" s="12"/>
      <c r="DE152" s="12"/>
      <c r="DF152" s="12"/>
      <c r="DG152" s="12"/>
      <c r="DH152" s="12"/>
      <c r="DI152" s="12"/>
      <c r="DJ152" s="12"/>
      <c r="DK152" s="12"/>
      <c r="DL152" s="12"/>
      <c r="DM152" s="12"/>
      <c r="DN152" s="12"/>
      <c r="DO152" s="12"/>
      <c r="DP152" s="12"/>
      <c r="DQ152" s="12"/>
      <c r="DR152" s="12"/>
      <c r="DS152" s="12"/>
      <c r="DT152" s="12"/>
      <c r="DU152" s="12"/>
      <c r="DV152" s="12"/>
      <c r="DW152" s="12"/>
      <c r="DX152" s="12"/>
      <c r="DY152" s="12"/>
      <c r="DZ152" s="12"/>
      <c r="EA152" s="12"/>
      <c r="EB152" s="12"/>
      <c r="EC152" s="12"/>
      <c r="ED152" s="12"/>
      <c r="EE152" s="12"/>
      <c r="EF152" s="12"/>
      <c r="EG152" s="12"/>
      <c r="EH152" s="12"/>
      <c r="EI152" s="12"/>
      <c r="EJ152" s="12"/>
      <c r="EK152" s="12"/>
      <c r="EL152" s="12"/>
      <c r="EM152" s="12"/>
      <c r="EN152" s="12"/>
      <c r="EO152" s="12"/>
      <c r="EP152" s="12"/>
      <c r="EQ152" s="12"/>
      <c r="ER152" s="12"/>
      <c r="ES152" s="12"/>
      <c r="ET152" s="12"/>
      <c r="EU152" s="12"/>
      <c r="EV152" s="12"/>
      <c r="EW152" s="12"/>
      <c r="EX152" s="12"/>
      <c r="EY152" s="12"/>
      <c r="EZ152" s="12"/>
      <c r="FA152" s="12"/>
      <c r="FB152" s="12"/>
      <c r="FC152" s="12"/>
      <c r="FD152" s="12"/>
      <c r="FE152" s="12"/>
      <c r="FF152" s="12"/>
      <c r="FG152" s="12"/>
      <c r="FH152" s="12"/>
      <c r="FI152" s="12"/>
      <c r="FJ152" s="12"/>
      <c r="FK152" s="12"/>
      <c r="FL152" s="12"/>
      <c r="FM152" s="12"/>
      <c r="FN152" s="12"/>
      <c r="FO152" s="12"/>
      <c r="FP152" s="12"/>
      <c r="FQ152" s="12"/>
      <c r="FR152" s="12"/>
      <c r="FS152" s="12"/>
      <c r="FT152" s="12"/>
      <c r="FU152" s="12"/>
      <c r="FV152" s="12"/>
      <c r="FW152" s="12"/>
      <c r="FX152" s="12"/>
      <c r="FY152" s="12"/>
      <c r="FZ152" s="12"/>
      <c r="GA152" s="12"/>
      <c r="GB152" s="12"/>
      <c r="GC152" s="12"/>
      <c r="GD152" s="12"/>
      <c r="GE152" s="12"/>
    </row>
    <row r="153" spans="1:187" ht="21" customHeight="1">
      <c r="A153" s="45"/>
      <c r="B153" s="9" t="s">
        <v>391</v>
      </c>
      <c r="C153" s="10" t="s">
        <v>392</v>
      </c>
      <c r="D153" s="10" t="s">
        <v>171</v>
      </c>
      <c r="E153" s="35">
        <v>694.85</v>
      </c>
      <c r="F153" s="35">
        <f>1097.65-E153</f>
        <v>402.80000000000007</v>
      </c>
      <c r="G153" s="35">
        <v>88.335999999999999</v>
      </c>
      <c r="H153" s="35">
        <v>729.09699999999998</v>
      </c>
      <c r="I153" s="35">
        <f t="shared" si="23"/>
        <v>1915.0830000000001</v>
      </c>
      <c r="J153" s="56">
        <v>1946.2</v>
      </c>
      <c r="K153" s="49">
        <v>6595.9</v>
      </c>
      <c r="L153" s="49">
        <v>6859.73</v>
      </c>
      <c r="M153" s="49">
        <v>2185.04</v>
      </c>
      <c r="N153" s="49">
        <v>2272.4416000000001</v>
      </c>
      <c r="O153" s="56">
        <f t="shared" si="24"/>
        <v>4410.8599999999997</v>
      </c>
      <c r="P153" s="1">
        <f t="shared" si="25"/>
        <v>3064886.071</v>
      </c>
      <c r="Q153" s="1">
        <f t="shared" si="19"/>
        <v>1776694.4080000001</v>
      </c>
      <c r="R153" s="1">
        <f t="shared" si="20"/>
        <v>405222.70810239995</v>
      </c>
      <c r="S153" s="1">
        <f t="shared" si="21"/>
        <v>3344578.2105747997</v>
      </c>
      <c r="T153" s="1">
        <f t="shared" si="22"/>
        <v>8591381.3976771999</v>
      </c>
      <c r="U153" s="11"/>
      <c r="V153" s="11"/>
      <c r="W153" s="11"/>
      <c r="X153" s="12"/>
      <c r="Y153" s="12"/>
      <c r="Z153" s="12"/>
      <c r="AA153" s="12"/>
      <c r="AB153" s="12"/>
      <c r="AC153" s="12"/>
      <c r="AD153" s="12"/>
      <c r="AE153" s="12"/>
      <c r="AF153" s="12"/>
      <c r="AG153" s="12"/>
      <c r="AH153" s="12"/>
      <c r="AI153" s="12"/>
      <c r="AJ153" s="12"/>
      <c r="AK153" s="12"/>
      <c r="AL153" s="12"/>
      <c r="AM153" s="12"/>
      <c r="AN153" s="12"/>
      <c r="AO153" s="12"/>
      <c r="AP153" s="12"/>
      <c r="AQ153" s="12"/>
      <c r="AR153" s="12"/>
      <c r="AS153" s="12"/>
      <c r="AT153" s="12"/>
      <c r="AU153" s="12"/>
      <c r="AV153" s="12"/>
      <c r="AW153" s="12"/>
      <c r="AX153" s="12"/>
      <c r="AY153" s="12"/>
      <c r="AZ153" s="12"/>
      <c r="BA153" s="12"/>
      <c r="BB153" s="12"/>
      <c r="BC153" s="12"/>
      <c r="BD153" s="12"/>
      <c r="BE153" s="12"/>
      <c r="BF153" s="12"/>
      <c r="BG153" s="12"/>
      <c r="BH153" s="12"/>
      <c r="BI153" s="12"/>
      <c r="BJ153" s="12"/>
      <c r="BK153" s="12"/>
      <c r="BL153" s="12"/>
      <c r="BM153" s="12"/>
      <c r="BN153" s="12"/>
      <c r="BO153" s="12"/>
      <c r="BP153" s="12"/>
      <c r="BQ153" s="12"/>
      <c r="BR153" s="12"/>
      <c r="BS153" s="12"/>
      <c r="BT153" s="12"/>
      <c r="BU153" s="12"/>
      <c r="BV153" s="12"/>
      <c r="BW153" s="12"/>
      <c r="BX153" s="12"/>
      <c r="BY153" s="12"/>
      <c r="BZ153" s="12"/>
      <c r="CA153" s="12"/>
      <c r="CB153" s="12"/>
      <c r="CC153" s="12"/>
      <c r="CD153" s="12"/>
      <c r="CE153" s="12"/>
      <c r="CF153" s="12"/>
      <c r="CG153" s="12"/>
      <c r="CH153" s="12"/>
      <c r="CI153" s="12"/>
      <c r="CJ153" s="12"/>
      <c r="CK153" s="12"/>
      <c r="CL153" s="12"/>
      <c r="CM153" s="12"/>
      <c r="CN153" s="12"/>
      <c r="CO153" s="12"/>
      <c r="CP153" s="12"/>
      <c r="CQ153" s="12"/>
      <c r="CR153" s="12"/>
      <c r="CS153" s="12"/>
      <c r="CT153" s="12"/>
      <c r="CU153" s="12"/>
      <c r="CV153" s="12"/>
      <c r="CW153" s="12"/>
      <c r="CX153" s="12"/>
      <c r="CY153" s="12"/>
      <c r="CZ153" s="12"/>
      <c r="DA153" s="12"/>
      <c r="DB153" s="12"/>
      <c r="DC153" s="12"/>
      <c r="DD153" s="12"/>
      <c r="DE153" s="12"/>
      <c r="DF153" s="12"/>
      <c r="DG153" s="12"/>
      <c r="DH153" s="12"/>
      <c r="DI153" s="12"/>
      <c r="DJ153" s="12"/>
      <c r="DK153" s="12"/>
      <c r="DL153" s="12"/>
      <c r="DM153" s="12"/>
      <c r="DN153" s="12"/>
      <c r="DO153" s="12"/>
      <c r="DP153" s="12"/>
      <c r="DQ153" s="12"/>
      <c r="DR153" s="12"/>
      <c r="DS153" s="12"/>
      <c r="DT153" s="12"/>
      <c r="DU153" s="12"/>
      <c r="DV153" s="12"/>
      <c r="DW153" s="12"/>
      <c r="DX153" s="12"/>
      <c r="DY153" s="12"/>
      <c r="DZ153" s="12"/>
      <c r="EA153" s="12"/>
      <c r="EB153" s="12"/>
      <c r="EC153" s="12"/>
      <c r="ED153" s="12"/>
      <c r="EE153" s="12"/>
      <c r="EF153" s="12"/>
      <c r="EG153" s="12"/>
      <c r="EH153" s="12"/>
      <c r="EI153" s="12"/>
      <c r="EJ153" s="12"/>
      <c r="EK153" s="12"/>
      <c r="EL153" s="12"/>
      <c r="EM153" s="12"/>
      <c r="EN153" s="12"/>
      <c r="EO153" s="12"/>
      <c r="EP153" s="12"/>
      <c r="EQ153" s="12"/>
      <c r="ER153" s="12"/>
      <c r="ES153" s="12"/>
      <c r="ET153" s="12"/>
      <c r="EU153" s="12"/>
      <c r="EV153" s="12"/>
      <c r="EW153" s="12"/>
      <c r="EX153" s="12"/>
      <c r="EY153" s="12"/>
      <c r="EZ153" s="12"/>
      <c r="FA153" s="12"/>
      <c r="FB153" s="12"/>
      <c r="FC153" s="12"/>
      <c r="FD153" s="12"/>
      <c r="FE153" s="12"/>
      <c r="FF153" s="12"/>
      <c r="FG153" s="12"/>
      <c r="FH153" s="12"/>
      <c r="FI153" s="12"/>
      <c r="FJ153" s="12"/>
      <c r="FK153" s="12"/>
      <c r="FL153" s="12"/>
      <c r="FM153" s="12"/>
      <c r="FN153" s="12"/>
      <c r="FO153" s="12"/>
      <c r="FP153" s="12"/>
      <c r="FQ153" s="12"/>
      <c r="FR153" s="12"/>
      <c r="FS153" s="12"/>
      <c r="FT153" s="12"/>
      <c r="FU153" s="12"/>
      <c r="FV153" s="12"/>
      <c r="FW153" s="12"/>
      <c r="FX153" s="12"/>
      <c r="FY153" s="12"/>
      <c r="FZ153" s="12"/>
      <c r="GA153" s="12"/>
      <c r="GB153" s="12"/>
      <c r="GC153" s="12"/>
      <c r="GD153" s="12"/>
      <c r="GE153" s="12"/>
    </row>
    <row r="154" spans="1:187" s="76" customFormat="1" ht="21" customHeight="1">
      <c r="A154" s="75"/>
      <c r="B154" s="63">
        <v>7606053324</v>
      </c>
      <c r="C154" s="18" t="s">
        <v>411</v>
      </c>
      <c r="D154" s="11"/>
      <c r="E154" s="62">
        <v>3908</v>
      </c>
      <c r="F154" s="62">
        <v>2344</v>
      </c>
      <c r="G154" s="35">
        <v>1059</v>
      </c>
      <c r="H154" s="35">
        <v>3717</v>
      </c>
      <c r="I154" s="35">
        <f t="shared" si="23"/>
        <v>11028</v>
      </c>
      <c r="J154" s="56">
        <v>11028</v>
      </c>
      <c r="K154" s="49">
        <v>1634.05</v>
      </c>
      <c r="L154" s="49">
        <v>1699.412</v>
      </c>
      <c r="M154" s="49">
        <v>1530.7156999999997</v>
      </c>
      <c r="N154" s="49">
        <v>1591.9443279999998</v>
      </c>
      <c r="O154" s="56"/>
      <c r="P154" s="1">
        <f t="shared" ref="P154" si="27">(K154-M154)*E154</f>
        <v>403830.44440000085</v>
      </c>
      <c r="Q154" s="1">
        <f t="shared" si="19"/>
        <v>242215.59920000049</v>
      </c>
      <c r="R154" s="1">
        <f t="shared" si="20"/>
        <v>113808.26464800023</v>
      </c>
      <c r="S154" s="1">
        <f t="shared" si="21"/>
        <v>399457.33682400081</v>
      </c>
      <c r="T154" s="1">
        <f t="shared" si="22"/>
        <v>1159311.6450720024</v>
      </c>
      <c r="U154" s="11"/>
      <c r="V154" s="11"/>
      <c r="W154" s="11"/>
      <c r="X154" s="12"/>
      <c r="Y154" s="12"/>
      <c r="Z154" s="12"/>
      <c r="AA154" s="12"/>
      <c r="AB154" s="12"/>
      <c r="AC154" s="12"/>
      <c r="AD154" s="12"/>
      <c r="AE154" s="12"/>
      <c r="AF154" s="12"/>
      <c r="AG154" s="12"/>
      <c r="AH154" s="12"/>
      <c r="AI154" s="12"/>
      <c r="AJ154" s="12"/>
      <c r="AK154" s="12"/>
      <c r="AL154" s="12"/>
      <c r="AM154" s="12"/>
      <c r="AN154" s="12"/>
      <c r="AO154" s="12"/>
      <c r="AP154" s="12"/>
      <c r="AQ154" s="12"/>
      <c r="AR154" s="12"/>
      <c r="AS154" s="12"/>
      <c r="AT154" s="12"/>
      <c r="AU154" s="12"/>
      <c r="AV154" s="12"/>
      <c r="AW154" s="12"/>
      <c r="AX154" s="12"/>
      <c r="AY154" s="12"/>
      <c r="AZ154" s="12"/>
      <c r="BA154" s="12"/>
      <c r="BB154" s="12"/>
      <c r="BC154" s="12"/>
      <c r="BD154" s="12"/>
      <c r="BE154" s="12"/>
      <c r="BF154" s="12"/>
      <c r="BG154" s="12"/>
      <c r="BH154" s="12"/>
      <c r="BI154" s="12"/>
      <c r="BJ154" s="12"/>
      <c r="BK154" s="12"/>
      <c r="BL154" s="12"/>
      <c r="BM154" s="12"/>
      <c r="BN154" s="12"/>
      <c r="BO154" s="12"/>
      <c r="BP154" s="12"/>
      <c r="BQ154" s="12"/>
      <c r="BR154" s="12"/>
      <c r="BS154" s="12"/>
      <c r="BT154" s="12"/>
      <c r="BU154" s="12"/>
      <c r="BV154" s="12"/>
      <c r="BW154" s="12"/>
      <c r="BX154" s="12"/>
      <c r="BY154" s="12"/>
      <c r="BZ154" s="12"/>
      <c r="CA154" s="12"/>
      <c r="CB154" s="12"/>
      <c r="CC154" s="12"/>
      <c r="CD154" s="12"/>
      <c r="CE154" s="12"/>
      <c r="CF154" s="12"/>
      <c r="CG154" s="12"/>
      <c r="CH154" s="12"/>
      <c r="CI154" s="12"/>
      <c r="CJ154" s="12"/>
      <c r="CK154" s="12"/>
      <c r="CL154" s="12"/>
      <c r="CM154" s="12"/>
      <c r="CN154" s="12"/>
      <c r="CO154" s="12"/>
      <c r="CP154" s="12"/>
      <c r="CQ154" s="12"/>
      <c r="CR154" s="12"/>
      <c r="CS154" s="12"/>
      <c r="CT154" s="12"/>
      <c r="CU154" s="12"/>
      <c r="CV154" s="12"/>
      <c r="CW154" s="12"/>
      <c r="CX154" s="12"/>
      <c r="CY154" s="12"/>
      <c r="CZ154" s="12"/>
      <c r="DA154" s="12"/>
      <c r="DB154" s="12"/>
      <c r="DC154" s="12"/>
      <c r="DD154" s="12"/>
      <c r="DE154" s="12"/>
      <c r="DF154" s="12"/>
      <c r="DG154" s="12"/>
      <c r="DH154" s="12"/>
      <c r="DI154" s="12"/>
      <c r="DJ154" s="12"/>
      <c r="DK154" s="12"/>
      <c r="DL154" s="12"/>
      <c r="DM154" s="12"/>
      <c r="DN154" s="12"/>
      <c r="DO154" s="12"/>
      <c r="DP154" s="12"/>
      <c r="DQ154" s="12"/>
      <c r="DR154" s="12"/>
      <c r="DS154" s="12"/>
      <c r="DT154" s="12"/>
      <c r="DU154" s="12"/>
      <c r="DV154" s="12"/>
      <c r="DW154" s="12"/>
      <c r="DX154" s="12"/>
      <c r="DY154" s="12"/>
      <c r="DZ154" s="12"/>
      <c r="EA154" s="12"/>
      <c r="EB154" s="12"/>
      <c r="EC154" s="12"/>
      <c r="ED154" s="12"/>
      <c r="EE154" s="12"/>
      <c r="EF154" s="12"/>
      <c r="EG154" s="12"/>
      <c r="EH154" s="12"/>
      <c r="EI154" s="12"/>
      <c r="EJ154" s="12"/>
      <c r="EK154" s="12"/>
      <c r="EL154" s="12"/>
      <c r="EM154" s="12"/>
      <c r="EN154" s="12"/>
      <c r="EO154" s="12"/>
      <c r="EP154" s="12"/>
      <c r="EQ154" s="12"/>
      <c r="ER154" s="12"/>
      <c r="ES154" s="12"/>
      <c r="ET154" s="12"/>
      <c r="EU154" s="12"/>
      <c r="EV154" s="12"/>
      <c r="EW154" s="12"/>
      <c r="EX154" s="12"/>
      <c r="EY154" s="12"/>
      <c r="EZ154" s="12"/>
      <c r="FA154" s="12"/>
      <c r="FB154" s="12"/>
      <c r="FC154" s="12"/>
      <c r="FD154" s="12"/>
      <c r="FE154" s="12"/>
      <c r="FF154" s="12"/>
      <c r="FG154" s="12"/>
      <c r="FH154" s="12"/>
      <c r="FI154" s="12"/>
      <c r="FJ154" s="12"/>
      <c r="FK154" s="12"/>
      <c r="FL154" s="12"/>
      <c r="FM154" s="12"/>
      <c r="FN154" s="12"/>
      <c r="FO154" s="12"/>
      <c r="FP154" s="12"/>
      <c r="FQ154" s="12"/>
      <c r="FR154" s="12"/>
      <c r="FS154" s="12"/>
      <c r="FT154" s="12"/>
      <c r="FU154" s="12"/>
      <c r="FV154" s="12"/>
      <c r="FW154" s="12"/>
      <c r="FX154" s="12"/>
      <c r="FY154" s="12"/>
      <c r="FZ154" s="12"/>
      <c r="GA154" s="12"/>
      <c r="GB154" s="12"/>
      <c r="GC154" s="12"/>
      <c r="GD154" s="12"/>
      <c r="GE154" s="12"/>
    </row>
    <row r="155" spans="1:187" ht="21" customHeight="1">
      <c r="A155" s="45"/>
      <c r="B155" s="101" t="s">
        <v>179</v>
      </c>
      <c r="C155" s="101"/>
      <c r="D155" s="101"/>
      <c r="E155" s="34"/>
      <c r="F155" s="34"/>
      <c r="G155" s="34"/>
      <c r="H155" s="34"/>
      <c r="I155" s="35">
        <f t="shared" si="23"/>
        <v>0</v>
      </c>
      <c r="J155" s="56"/>
      <c r="K155" s="49"/>
      <c r="L155" s="49"/>
      <c r="M155" s="49"/>
      <c r="N155" s="49"/>
      <c r="O155" s="56">
        <f t="shared" si="24"/>
        <v>0</v>
      </c>
      <c r="P155" s="1">
        <f t="shared" si="25"/>
        <v>0</v>
      </c>
      <c r="Q155" s="1">
        <f t="shared" si="19"/>
        <v>0</v>
      </c>
      <c r="R155" s="1">
        <f t="shared" si="20"/>
        <v>0</v>
      </c>
      <c r="S155" s="1">
        <f t="shared" si="21"/>
        <v>0</v>
      </c>
      <c r="T155" s="1">
        <f t="shared" si="22"/>
        <v>0</v>
      </c>
      <c r="U155" s="45"/>
      <c r="V155" s="45"/>
      <c r="W155" s="45"/>
    </row>
    <row r="156" spans="1:187" ht="21" customHeight="1">
      <c r="A156" s="45"/>
      <c r="B156" s="9" t="s">
        <v>30</v>
      </c>
      <c r="C156" s="10" t="s">
        <v>180</v>
      </c>
      <c r="D156" s="10"/>
      <c r="E156" s="35">
        <v>119.37</v>
      </c>
      <c r="F156" s="35">
        <f>198.97-E156</f>
        <v>79.599999999999994</v>
      </c>
      <c r="G156" s="35">
        <v>39.79</v>
      </c>
      <c r="H156" s="35">
        <f>159.18-G156</f>
        <v>119.39000000000001</v>
      </c>
      <c r="I156" s="35">
        <f t="shared" si="23"/>
        <v>358.15</v>
      </c>
      <c r="J156" s="56">
        <v>350</v>
      </c>
      <c r="K156" s="49">
        <v>5745.97</v>
      </c>
      <c r="L156" s="49">
        <v>5975.8088000000007</v>
      </c>
      <c r="M156" s="49">
        <v>1161.69</v>
      </c>
      <c r="N156" s="49">
        <v>1208.1576</v>
      </c>
      <c r="O156" s="56">
        <f t="shared" si="24"/>
        <v>4584.2800000000007</v>
      </c>
      <c r="P156" s="1">
        <f t="shared" si="25"/>
        <v>547225.50360000005</v>
      </c>
      <c r="Q156" s="1">
        <f t="shared" si="19"/>
        <v>364908.68800000002</v>
      </c>
      <c r="R156" s="1">
        <f t="shared" si="20"/>
        <v>189704.84124800001</v>
      </c>
      <c r="S156" s="1">
        <f t="shared" si="21"/>
        <v>569209.87676800007</v>
      </c>
      <c r="T156" s="1">
        <f t="shared" si="22"/>
        <v>1671048.909616</v>
      </c>
      <c r="U156" s="11"/>
      <c r="V156" s="11"/>
      <c r="W156" s="11"/>
      <c r="X156" s="12"/>
      <c r="Y156" s="12"/>
      <c r="Z156" s="12"/>
      <c r="AA156" s="12"/>
      <c r="AB156" s="12"/>
      <c r="AC156" s="12"/>
      <c r="AD156" s="12"/>
      <c r="AE156" s="12"/>
      <c r="AF156" s="12"/>
      <c r="AG156" s="12"/>
      <c r="AH156" s="12"/>
      <c r="AI156" s="12"/>
      <c r="AJ156" s="12"/>
      <c r="AK156" s="12"/>
      <c r="AL156" s="12"/>
      <c r="AM156" s="12"/>
      <c r="AN156" s="12"/>
      <c r="AO156" s="12"/>
      <c r="AP156" s="12"/>
      <c r="AQ156" s="12"/>
      <c r="AR156" s="12"/>
      <c r="AS156" s="12"/>
      <c r="AT156" s="12"/>
      <c r="AU156" s="12"/>
      <c r="AV156" s="12"/>
      <c r="AW156" s="12"/>
      <c r="AX156" s="12"/>
      <c r="AY156" s="12"/>
      <c r="AZ156" s="12"/>
      <c r="BA156" s="12"/>
      <c r="BB156" s="12"/>
      <c r="BC156" s="12"/>
      <c r="BD156" s="12"/>
      <c r="BE156" s="12"/>
      <c r="BF156" s="12"/>
      <c r="BG156" s="12"/>
      <c r="BH156" s="12"/>
      <c r="BI156" s="12"/>
      <c r="BJ156" s="12"/>
      <c r="BK156" s="12"/>
      <c r="BL156" s="12"/>
      <c r="BM156" s="12"/>
      <c r="BN156" s="12"/>
      <c r="BO156" s="12"/>
      <c r="BP156" s="12"/>
      <c r="BQ156" s="12"/>
      <c r="BR156" s="12"/>
      <c r="BS156" s="12"/>
      <c r="BT156" s="12"/>
      <c r="BU156" s="12"/>
      <c r="BV156" s="12"/>
      <c r="BW156" s="12"/>
      <c r="BX156" s="12"/>
      <c r="BY156" s="12"/>
      <c r="BZ156" s="12"/>
      <c r="CA156" s="12"/>
      <c r="CB156" s="12"/>
      <c r="CC156" s="12"/>
      <c r="CD156" s="12"/>
      <c r="CE156" s="12"/>
      <c r="CF156" s="12"/>
      <c r="CG156" s="12"/>
      <c r="CH156" s="12"/>
      <c r="CI156" s="12"/>
      <c r="CJ156" s="12"/>
      <c r="CK156" s="12"/>
      <c r="CL156" s="12"/>
      <c r="CM156" s="12"/>
      <c r="CN156" s="12"/>
      <c r="CO156" s="12"/>
      <c r="CP156" s="12"/>
      <c r="CQ156" s="12"/>
      <c r="CR156" s="12"/>
      <c r="CS156" s="12"/>
      <c r="CT156" s="12"/>
      <c r="CU156" s="12"/>
      <c r="CV156" s="12"/>
      <c r="CW156" s="12"/>
      <c r="CX156" s="12"/>
      <c r="CY156" s="12"/>
      <c r="CZ156" s="12"/>
      <c r="DA156" s="12"/>
      <c r="DB156" s="12"/>
      <c r="DC156" s="12"/>
      <c r="DD156" s="12"/>
      <c r="DE156" s="12"/>
      <c r="DF156" s="12"/>
      <c r="DG156" s="12"/>
      <c r="DH156" s="12"/>
      <c r="DI156" s="12"/>
      <c r="DJ156" s="12"/>
      <c r="DK156" s="12"/>
      <c r="DL156" s="12"/>
      <c r="DM156" s="12"/>
      <c r="DN156" s="12"/>
      <c r="DO156" s="12"/>
      <c r="DP156" s="12"/>
      <c r="DQ156" s="12"/>
      <c r="DR156" s="12"/>
      <c r="DS156" s="12"/>
      <c r="DT156" s="12"/>
      <c r="DU156" s="12"/>
      <c r="DV156" s="12"/>
      <c r="DW156" s="12"/>
      <c r="DX156" s="12"/>
      <c r="DY156" s="12"/>
      <c r="DZ156" s="12"/>
      <c r="EA156" s="12"/>
      <c r="EB156" s="12"/>
      <c r="EC156" s="12"/>
      <c r="ED156" s="12"/>
      <c r="EE156" s="12"/>
      <c r="EF156" s="12"/>
      <c r="EG156" s="12"/>
      <c r="EH156" s="12"/>
      <c r="EI156" s="12"/>
      <c r="EJ156" s="12"/>
      <c r="EK156" s="12"/>
      <c r="EL156" s="12"/>
      <c r="EM156" s="12"/>
      <c r="EN156" s="12"/>
      <c r="EO156" s="12"/>
      <c r="EP156" s="12"/>
      <c r="EQ156" s="12"/>
      <c r="ER156" s="12"/>
      <c r="ES156" s="12"/>
      <c r="ET156" s="12"/>
      <c r="EU156" s="12"/>
      <c r="EV156" s="12"/>
      <c r="EW156" s="12"/>
      <c r="EX156" s="12"/>
      <c r="EY156" s="12"/>
      <c r="EZ156" s="12"/>
      <c r="FA156" s="12"/>
      <c r="FB156" s="12"/>
      <c r="FC156" s="12"/>
      <c r="FD156" s="12"/>
      <c r="FE156" s="12"/>
      <c r="FF156" s="12"/>
      <c r="FG156" s="12"/>
      <c r="FH156" s="12"/>
      <c r="FI156" s="12"/>
      <c r="FJ156" s="12"/>
      <c r="FK156" s="12"/>
      <c r="FL156" s="12"/>
      <c r="FM156" s="12"/>
      <c r="FN156" s="12"/>
      <c r="FO156" s="12"/>
      <c r="FP156" s="12"/>
      <c r="FQ156" s="12"/>
      <c r="FR156" s="12"/>
      <c r="FS156" s="12"/>
      <c r="FT156" s="12"/>
      <c r="FU156" s="12"/>
      <c r="FV156" s="12"/>
      <c r="FW156" s="12"/>
      <c r="FX156" s="12"/>
      <c r="FY156" s="12"/>
      <c r="FZ156" s="12"/>
      <c r="GA156" s="12"/>
      <c r="GB156" s="12"/>
      <c r="GC156" s="12"/>
      <c r="GD156" s="12"/>
      <c r="GE156" s="12"/>
    </row>
    <row r="157" spans="1:187" ht="21" customHeight="1">
      <c r="A157" s="45" t="s">
        <v>337</v>
      </c>
      <c r="B157" s="9">
        <v>7729314745</v>
      </c>
      <c r="C157" s="10" t="s">
        <v>341</v>
      </c>
      <c r="D157" s="10"/>
      <c r="E157" s="35">
        <f>2610.465*0.6</f>
        <v>1566.279</v>
      </c>
      <c r="F157" s="35">
        <f>2610.465*0.4</f>
        <v>1044.1860000000001</v>
      </c>
      <c r="G157" s="35">
        <f>2135.835*0.2</f>
        <v>427.16700000000003</v>
      </c>
      <c r="H157" s="35">
        <f>2135.835*0.8</f>
        <v>1708.6680000000001</v>
      </c>
      <c r="I157" s="35">
        <f t="shared" si="23"/>
        <v>4746.3</v>
      </c>
      <c r="J157" s="56">
        <v>4746.3</v>
      </c>
      <c r="K157" s="49">
        <v>7497.152</v>
      </c>
      <c r="L157" s="49">
        <v>7797.0380800000003</v>
      </c>
      <c r="M157" s="49">
        <v>1264.0718899999999</v>
      </c>
      <c r="N157" s="49">
        <v>1314.6347656</v>
      </c>
      <c r="O157" s="56">
        <f t="shared" si="24"/>
        <v>6233.0801099999999</v>
      </c>
      <c r="P157" s="1">
        <f t="shared" si="25"/>
        <v>9762742.4816106893</v>
      </c>
      <c r="Q157" s="1">
        <f t="shared" si="19"/>
        <v>6508494.9877404608</v>
      </c>
      <c r="R157" s="1">
        <f t="shared" si="20"/>
        <v>2769068.776602305</v>
      </c>
      <c r="S157" s="1">
        <f t="shared" si="21"/>
        <v>11076275.10640922</v>
      </c>
      <c r="T157" s="1">
        <f t="shared" si="22"/>
        <v>30116581.352362677</v>
      </c>
      <c r="U157" s="11"/>
      <c r="V157" s="11"/>
      <c r="W157" s="11"/>
      <c r="X157" s="12"/>
      <c r="Y157" s="12"/>
      <c r="Z157" s="12"/>
      <c r="AA157" s="12"/>
      <c r="AB157" s="12"/>
      <c r="AC157" s="12"/>
      <c r="AD157" s="12"/>
      <c r="AE157" s="12"/>
      <c r="AF157" s="12"/>
      <c r="AG157" s="12"/>
      <c r="AH157" s="12"/>
      <c r="AI157" s="12"/>
      <c r="AJ157" s="12"/>
      <c r="AK157" s="12"/>
      <c r="AL157" s="12"/>
      <c r="AM157" s="12"/>
      <c r="AN157" s="12"/>
      <c r="AO157" s="12"/>
      <c r="AP157" s="12"/>
      <c r="AQ157" s="12"/>
      <c r="AR157" s="12"/>
      <c r="AS157" s="12"/>
      <c r="AT157" s="12"/>
      <c r="AU157" s="12"/>
      <c r="AV157" s="12"/>
      <c r="AW157" s="12"/>
      <c r="AX157" s="12"/>
      <c r="AY157" s="12"/>
      <c r="AZ157" s="12"/>
      <c r="BA157" s="12"/>
      <c r="BB157" s="12"/>
      <c r="BC157" s="12"/>
      <c r="BD157" s="12"/>
      <c r="BE157" s="12"/>
      <c r="BF157" s="12"/>
      <c r="BG157" s="12"/>
      <c r="BH157" s="12"/>
      <c r="BI157" s="12"/>
      <c r="BJ157" s="12"/>
      <c r="BK157" s="12"/>
      <c r="BL157" s="12"/>
      <c r="BM157" s="12"/>
      <c r="BN157" s="12"/>
      <c r="BO157" s="12"/>
      <c r="BP157" s="12"/>
      <c r="BQ157" s="12"/>
      <c r="BR157" s="12"/>
      <c r="BS157" s="12"/>
      <c r="BT157" s="12"/>
      <c r="BU157" s="12"/>
      <c r="BV157" s="12"/>
      <c r="BW157" s="12"/>
      <c r="BX157" s="12"/>
      <c r="BY157" s="12"/>
      <c r="BZ157" s="12"/>
      <c r="CA157" s="12"/>
      <c r="CB157" s="12"/>
      <c r="CC157" s="12"/>
      <c r="CD157" s="12"/>
      <c r="CE157" s="12"/>
      <c r="CF157" s="12"/>
      <c r="CG157" s="12"/>
      <c r="CH157" s="12"/>
      <c r="CI157" s="12"/>
      <c r="CJ157" s="12"/>
      <c r="CK157" s="12"/>
      <c r="CL157" s="12"/>
      <c r="CM157" s="12"/>
      <c r="CN157" s="12"/>
      <c r="CO157" s="12"/>
      <c r="CP157" s="12"/>
      <c r="CQ157" s="12"/>
      <c r="CR157" s="12"/>
      <c r="CS157" s="12"/>
      <c r="CT157" s="12"/>
      <c r="CU157" s="12"/>
      <c r="CV157" s="12"/>
      <c r="CW157" s="12"/>
      <c r="CX157" s="12"/>
      <c r="CY157" s="12"/>
      <c r="CZ157" s="12"/>
      <c r="DA157" s="12"/>
      <c r="DB157" s="12"/>
      <c r="DC157" s="12"/>
      <c r="DD157" s="12"/>
      <c r="DE157" s="12"/>
      <c r="DF157" s="12"/>
      <c r="DG157" s="12"/>
      <c r="DH157" s="12"/>
      <c r="DI157" s="12"/>
      <c r="DJ157" s="12"/>
      <c r="DK157" s="12"/>
      <c r="DL157" s="12"/>
      <c r="DM157" s="12"/>
      <c r="DN157" s="12"/>
      <c r="DO157" s="12"/>
      <c r="DP157" s="12"/>
      <c r="DQ157" s="12"/>
      <c r="DR157" s="12"/>
      <c r="DS157" s="12"/>
      <c r="DT157" s="12"/>
      <c r="DU157" s="12"/>
      <c r="DV157" s="12"/>
      <c r="DW157" s="12"/>
      <c r="DX157" s="12"/>
      <c r="DY157" s="12"/>
      <c r="DZ157" s="12"/>
      <c r="EA157" s="12"/>
      <c r="EB157" s="12"/>
      <c r="EC157" s="12"/>
      <c r="ED157" s="12"/>
      <c r="EE157" s="12"/>
      <c r="EF157" s="12"/>
      <c r="EG157" s="12"/>
      <c r="EH157" s="12"/>
      <c r="EI157" s="12"/>
      <c r="EJ157" s="12"/>
      <c r="EK157" s="12"/>
      <c r="EL157" s="12"/>
      <c r="EM157" s="12"/>
      <c r="EN157" s="12"/>
      <c r="EO157" s="12"/>
      <c r="EP157" s="12"/>
      <c r="EQ157" s="12"/>
      <c r="ER157" s="12"/>
      <c r="ES157" s="12"/>
      <c r="ET157" s="12"/>
      <c r="EU157" s="12"/>
      <c r="EV157" s="12"/>
      <c r="EW157" s="12"/>
      <c r="EX157" s="12"/>
      <c r="EY157" s="12"/>
      <c r="EZ157" s="12"/>
      <c r="FA157" s="12"/>
      <c r="FB157" s="12"/>
      <c r="FC157" s="12"/>
      <c r="FD157" s="12"/>
      <c r="FE157" s="12"/>
      <c r="FF157" s="12"/>
      <c r="FG157" s="12"/>
      <c r="FH157" s="12"/>
      <c r="FI157" s="12"/>
      <c r="FJ157" s="12"/>
      <c r="FK157" s="12"/>
      <c r="FL157" s="12"/>
      <c r="FM157" s="12"/>
      <c r="FN157" s="12"/>
      <c r="FO157" s="12"/>
      <c r="FP157" s="12"/>
      <c r="FQ157" s="12"/>
      <c r="FR157" s="12"/>
      <c r="FS157" s="12"/>
      <c r="FT157" s="12"/>
      <c r="FU157" s="12"/>
      <c r="FV157" s="12"/>
      <c r="FW157" s="12"/>
      <c r="FX157" s="12"/>
      <c r="FY157" s="12"/>
      <c r="FZ157" s="12"/>
      <c r="GA157" s="12"/>
      <c r="GB157" s="12"/>
      <c r="GC157" s="12"/>
      <c r="GD157" s="12"/>
      <c r="GE157" s="12"/>
    </row>
    <row r="158" spans="1:187" ht="21" customHeight="1">
      <c r="A158" s="45"/>
      <c r="B158" s="9" t="s">
        <v>379</v>
      </c>
      <c r="C158" s="10" t="s">
        <v>378</v>
      </c>
      <c r="D158" s="10" t="s">
        <v>46</v>
      </c>
      <c r="E158" s="35">
        <v>155.042</v>
      </c>
      <c r="F158" s="35">
        <f>258.404-E158</f>
        <v>103.36199999999999</v>
      </c>
      <c r="G158" s="35">
        <v>52.86</v>
      </c>
      <c r="H158" s="35">
        <f>115.693+287.98</f>
        <v>403.673</v>
      </c>
      <c r="I158" s="35">
        <f t="shared" si="23"/>
        <v>714.93700000000001</v>
      </c>
      <c r="J158" s="56">
        <v>465.1</v>
      </c>
      <c r="K158" s="49">
        <v>8612.08</v>
      </c>
      <c r="L158" s="49">
        <v>8956.5632000000005</v>
      </c>
      <c r="M158" s="49">
        <v>983.99</v>
      </c>
      <c r="N158" s="49">
        <v>1023.3496</v>
      </c>
      <c r="O158" s="56">
        <f t="shared" si="24"/>
        <v>7628.09</v>
      </c>
      <c r="P158" s="1">
        <f t="shared" si="25"/>
        <v>1182674.32978</v>
      </c>
      <c r="Q158" s="1">
        <f t="shared" si="19"/>
        <v>788454.63858000003</v>
      </c>
      <c r="R158" s="1">
        <f t="shared" si="20"/>
        <v>419349.67089600005</v>
      </c>
      <c r="S158" s="1">
        <f t="shared" si="21"/>
        <v>3202424.1335528004</v>
      </c>
      <c r="T158" s="1">
        <f t="shared" si="22"/>
        <v>5592902.7728088005</v>
      </c>
      <c r="U158" s="11"/>
      <c r="V158" s="11"/>
      <c r="W158" s="11"/>
      <c r="X158" s="12"/>
      <c r="Y158" s="12"/>
      <c r="Z158" s="12"/>
      <c r="AA158" s="12"/>
      <c r="AB158" s="12"/>
      <c r="AC158" s="12"/>
      <c r="AD158" s="12"/>
      <c r="AE158" s="12"/>
      <c r="AF158" s="12"/>
      <c r="AG158" s="12"/>
      <c r="AH158" s="12"/>
      <c r="AI158" s="12"/>
      <c r="AJ158" s="12"/>
      <c r="AK158" s="12"/>
      <c r="AL158" s="12"/>
      <c r="AM158" s="12"/>
      <c r="AN158" s="12"/>
      <c r="AO158" s="12"/>
      <c r="AP158" s="12"/>
      <c r="AQ158" s="12"/>
      <c r="AR158" s="12"/>
      <c r="AS158" s="12"/>
      <c r="AT158" s="12"/>
      <c r="AU158" s="12"/>
      <c r="AV158" s="12"/>
      <c r="AW158" s="12"/>
      <c r="AX158" s="12"/>
      <c r="AY158" s="12"/>
      <c r="AZ158" s="12"/>
      <c r="BA158" s="12"/>
      <c r="BB158" s="12"/>
      <c r="BC158" s="12"/>
      <c r="BD158" s="12"/>
      <c r="BE158" s="12"/>
      <c r="BF158" s="12"/>
      <c r="BG158" s="12"/>
      <c r="BH158" s="12"/>
      <c r="BI158" s="12"/>
      <c r="BJ158" s="12"/>
      <c r="BK158" s="12"/>
      <c r="BL158" s="12"/>
      <c r="BM158" s="12"/>
      <c r="BN158" s="12"/>
      <c r="BO158" s="12"/>
      <c r="BP158" s="12"/>
      <c r="BQ158" s="12"/>
      <c r="BR158" s="12"/>
      <c r="BS158" s="12"/>
      <c r="BT158" s="12"/>
      <c r="BU158" s="12"/>
      <c r="BV158" s="12"/>
      <c r="BW158" s="12"/>
      <c r="BX158" s="12"/>
      <c r="BY158" s="12"/>
      <c r="BZ158" s="12"/>
      <c r="CA158" s="12"/>
      <c r="CB158" s="12"/>
      <c r="CC158" s="12"/>
      <c r="CD158" s="12"/>
      <c r="CE158" s="12"/>
      <c r="CF158" s="12"/>
      <c r="CG158" s="12"/>
      <c r="CH158" s="12"/>
      <c r="CI158" s="12"/>
      <c r="CJ158" s="12"/>
      <c r="CK158" s="12"/>
      <c r="CL158" s="12"/>
      <c r="CM158" s="12"/>
      <c r="CN158" s="12"/>
      <c r="CO158" s="12"/>
      <c r="CP158" s="12"/>
      <c r="CQ158" s="12"/>
      <c r="CR158" s="12"/>
      <c r="CS158" s="12"/>
      <c r="CT158" s="12"/>
      <c r="CU158" s="12"/>
      <c r="CV158" s="12"/>
      <c r="CW158" s="12"/>
      <c r="CX158" s="12"/>
      <c r="CY158" s="12"/>
      <c r="CZ158" s="12"/>
      <c r="DA158" s="12"/>
      <c r="DB158" s="12"/>
      <c r="DC158" s="12"/>
      <c r="DD158" s="12"/>
      <c r="DE158" s="12"/>
      <c r="DF158" s="12"/>
      <c r="DG158" s="12"/>
      <c r="DH158" s="12"/>
      <c r="DI158" s="12"/>
      <c r="DJ158" s="12"/>
      <c r="DK158" s="12"/>
      <c r="DL158" s="12"/>
      <c r="DM158" s="12"/>
      <c r="DN158" s="12"/>
      <c r="DO158" s="12"/>
      <c r="DP158" s="12"/>
      <c r="DQ158" s="12"/>
      <c r="DR158" s="12"/>
      <c r="DS158" s="12"/>
      <c r="DT158" s="12"/>
      <c r="DU158" s="12"/>
      <c r="DV158" s="12"/>
      <c r="DW158" s="12"/>
      <c r="DX158" s="12"/>
      <c r="DY158" s="12"/>
      <c r="DZ158" s="12"/>
      <c r="EA158" s="12"/>
      <c r="EB158" s="12"/>
      <c r="EC158" s="12"/>
      <c r="ED158" s="12"/>
      <c r="EE158" s="12"/>
      <c r="EF158" s="12"/>
      <c r="EG158" s="12"/>
      <c r="EH158" s="12"/>
      <c r="EI158" s="12"/>
      <c r="EJ158" s="12"/>
      <c r="EK158" s="12"/>
      <c r="EL158" s="12"/>
      <c r="EM158" s="12"/>
      <c r="EN158" s="12"/>
      <c r="EO158" s="12"/>
      <c r="EP158" s="12"/>
      <c r="EQ158" s="12"/>
      <c r="ER158" s="12"/>
      <c r="ES158" s="12"/>
      <c r="ET158" s="12"/>
      <c r="EU158" s="12"/>
      <c r="EV158" s="12"/>
      <c r="EW158" s="12"/>
      <c r="EX158" s="12"/>
      <c r="EY158" s="12"/>
      <c r="EZ158" s="12"/>
      <c r="FA158" s="12"/>
      <c r="FB158" s="12"/>
      <c r="FC158" s="12"/>
      <c r="FD158" s="12"/>
      <c r="FE158" s="12"/>
      <c r="FF158" s="12"/>
      <c r="FG158" s="12"/>
      <c r="FH158" s="12"/>
      <c r="FI158" s="12"/>
      <c r="FJ158" s="12"/>
      <c r="FK158" s="12"/>
      <c r="FL158" s="12"/>
      <c r="FM158" s="12"/>
      <c r="FN158" s="12"/>
      <c r="FO158" s="12"/>
      <c r="FP158" s="12"/>
      <c r="FQ158" s="12"/>
      <c r="FR158" s="12"/>
      <c r="FS158" s="12"/>
      <c r="FT158" s="12"/>
      <c r="FU158" s="12"/>
      <c r="FV158" s="12"/>
      <c r="FW158" s="12"/>
      <c r="FX158" s="12"/>
      <c r="FY158" s="12"/>
      <c r="FZ158" s="12"/>
      <c r="GA158" s="12"/>
      <c r="GB158" s="12"/>
      <c r="GC158" s="12"/>
      <c r="GD158" s="12"/>
      <c r="GE158" s="12"/>
    </row>
    <row r="159" spans="1:187" ht="21" customHeight="1">
      <c r="A159" s="45"/>
      <c r="B159" s="9" t="s">
        <v>379</v>
      </c>
      <c r="C159" s="10" t="s">
        <v>378</v>
      </c>
      <c r="D159" s="10" t="s">
        <v>181</v>
      </c>
      <c r="E159" s="35">
        <v>183.56200000000001</v>
      </c>
      <c r="F159" s="35">
        <f>305.936-E159</f>
        <v>122.37399999999997</v>
      </c>
      <c r="G159" s="35">
        <v>68.257000000000005</v>
      </c>
      <c r="H159" s="35">
        <f>91.379+305.89</f>
        <v>397.26900000000001</v>
      </c>
      <c r="I159" s="35">
        <f t="shared" si="23"/>
        <v>771.46199999999999</v>
      </c>
      <c r="J159" s="56">
        <v>550.70000000000005</v>
      </c>
      <c r="K159" s="49">
        <v>6181.59</v>
      </c>
      <c r="L159" s="49">
        <v>6428.8536000000004</v>
      </c>
      <c r="M159" s="49">
        <v>983.99</v>
      </c>
      <c r="N159" s="49">
        <v>1023.3496</v>
      </c>
      <c r="O159" s="56">
        <f t="shared" si="24"/>
        <v>5197.6000000000004</v>
      </c>
      <c r="P159" s="1">
        <f t="shared" si="25"/>
        <v>954081.85120000015</v>
      </c>
      <c r="Q159" s="1">
        <f t="shared" si="19"/>
        <v>636051.10239999986</v>
      </c>
      <c r="R159" s="1">
        <f t="shared" si="20"/>
        <v>368963.4865280001</v>
      </c>
      <c r="S159" s="1">
        <f t="shared" si="21"/>
        <v>2147439.1685760003</v>
      </c>
      <c r="T159" s="1">
        <f t="shared" si="22"/>
        <v>4106535.6087040007</v>
      </c>
      <c r="U159" s="11"/>
      <c r="V159" s="11"/>
      <c r="W159" s="11"/>
      <c r="X159" s="12"/>
      <c r="Y159" s="12"/>
      <c r="Z159" s="12"/>
      <c r="AA159" s="12"/>
      <c r="AB159" s="12"/>
      <c r="AC159" s="12"/>
      <c r="AD159" s="12"/>
      <c r="AE159" s="12"/>
      <c r="AF159" s="12"/>
      <c r="AG159" s="12"/>
      <c r="AH159" s="12"/>
      <c r="AI159" s="12"/>
      <c r="AJ159" s="12"/>
      <c r="AK159" s="12"/>
      <c r="AL159" s="12"/>
      <c r="AM159" s="12"/>
      <c r="AN159" s="12"/>
      <c r="AO159" s="12"/>
      <c r="AP159" s="12"/>
      <c r="AQ159" s="12"/>
      <c r="AR159" s="12"/>
      <c r="AS159" s="12"/>
      <c r="AT159" s="12"/>
      <c r="AU159" s="12"/>
      <c r="AV159" s="12"/>
      <c r="AW159" s="12"/>
      <c r="AX159" s="12"/>
      <c r="AY159" s="12"/>
      <c r="AZ159" s="12"/>
      <c r="BA159" s="12"/>
      <c r="BB159" s="12"/>
      <c r="BC159" s="12"/>
      <c r="BD159" s="12"/>
      <c r="BE159" s="12"/>
      <c r="BF159" s="12"/>
      <c r="BG159" s="12"/>
      <c r="BH159" s="12"/>
      <c r="BI159" s="12"/>
      <c r="BJ159" s="12"/>
      <c r="BK159" s="12"/>
      <c r="BL159" s="12"/>
      <c r="BM159" s="12"/>
      <c r="BN159" s="12"/>
      <c r="BO159" s="12"/>
      <c r="BP159" s="12"/>
      <c r="BQ159" s="12"/>
      <c r="BR159" s="12"/>
      <c r="BS159" s="12"/>
      <c r="BT159" s="12"/>
      <c r="BU159" s="12"/>
      <c r="BV159" s="12"/>
      <c r="BW159" s="12"/>
      <c r="BX159" s="12"/>
      <c r="BY159" s="12"/>
      <c r="BZ159" s="12"/>
      <c r="CA159" s="12"/>
      <c r="CB159" s="12"/>
      <c r="CC159" s="12"/>
      <c r="CD159" s="12"/>
      <c r="CE159" s="12"/>
      <c r="CF159" s="12"/>
      <c r="CG159" s="12"/>
      <c r="CH159" s="12"/>
      <c r="CI159" s="12"/>
      <c r="CJ159" s="12"/>
      <c r="CK159" s="12"/>
      <c r="CL159" s="12"/>
      <c r="CM159" s="12"/>
      <c r="CN159" s="12"/>
      <c r="CO159" s="12"/>
      <c r="CP159" s="12"/>
      <c r="CQ159" s="12"/>
      <c r="CR159" s="12"/>
      <c r="CS159" s="12"/>
      <c r="CT159" s="12"/>
      <c r="CU159" s="12"/>
      <c r="CV159" s="12"/>
      <c r="CW159" s="12"/>
      <c r="CX159" s="12"/>
      <c r="CY159" s="12"/>
      <c r="CZ159" s="12"/>
      <c r="DA159" s="12"/>
      <c r="DB159" s="12"/>
      <c r="DC159" s="12"/>
      <c r="DD159" s="12"/>
      <c r="DE159" s="12"/>
      <c r="DF159" s="12"/>
      <c r="DG159" s="12"/>
      <c r="DH159" s="12"/>
      <c r="DI159" s="12"/>
      <c r="DJ159" s="12"/>
      <c r="DK159" s="12"/>
      <c r="DL159" s="12"/>
      <c r="DM159" s="12"/>
      <c r="DN159" s="12"/>
      <c r="DO159" s="12"/>
      <c r="DP159" s="12"/>
      <c r="DQ159" s="12"/>
      <c r="DR159" s="12"/>
      <c r="DS159" s="12"/>
      <c r="DT159" s="12"/>
      <c r="DU159" s="12"/>
      <c r="DV159" s="12"/>
      <c r="DW159" s="12"/>
      <c r="DX159" s="12"/>
      <c r="DY159" s="12"/>
      <c r="DZ159" s="12"/>
      <c r="EA159" s="12"/>
      <c r="EB159" s="12"/>
      <c r="EC159" s="12"/>
      <c r="ED159" s="12"/>
      <c r="EE159" s="12"/>
      <c r="EF159" s="12"/>
      <c r="EG159" s="12"/>
      <c r="EH159" s="12"/>
      <c r="EI159" s="12"/>
      <c r="EJ159" s="12"/>
      <c r="EK159" s="12"/>
      <c r="EL159" s="12"/>
      <c r="EM159" s="12"/>
      <c r="EN159" s="12"/>
      <c r="EO159" s="12"/>
      <c r="EP159" s="12"/>
      <c r="EQ159" s="12"/>
      <c r="ER159" s="12"/>
      <c r="ES159" s="12"/>
      <c r="ET159" s="12"/>
      <c r="EU159" s="12"/>
      <c r="EV159" s="12"/>
      <c r="EW159" s="12"/>
      <c r="EX159" s="12"/>
      <c r="EY159" s="12"/>
      <c r="EZ159" s="12"/>
      <c r="FA159" s="12"/>
      <c r="FB159" s="12"/>
      <c r="FC159" s="12"/>
      <c r="FD159" s="12"/>
      <c r="FE159" s="12"/>
      <c r="FF159" s="12"/>
      <c r="FG159" s="12"/>
      <c r="FH159" s="12"/>
      <c r="FI159" s="12"/>
      <c r="FJ159" s="12"/>
      <c r="FK159" s="12"/>
      <c r="FL159" s="12"/>
      <c r="FM159" s="12"/>
      <c r="FN159" s="12"/>
      <c r="FO159" s="12"/>
      <c r="FP159" s="12"/>
      <c r="FQ159" s="12"/>
      <c r="FR159" s="12"/>
      <c r="FS159" s="12"/>
      <c r="FT159" s="12"/>
      <c r="FU159" s="12"/>
      <c r="FV159" s="12"/>
      <c r="FW159" s="12"/>
      <c r="FX159" s="12"/>
      <c r="FY159" s="12"/>
      <c r="FZ159" s="12"/>
      <c r="GA159" s="12"/>
      <c r="GB159" s="12"/>
      <c r="GC159" s="12"/>
      <c r="GD159" s="12"/>
      <c r="GE159" s="12"/>
    </row>
    <row r="160" spans="1:187" ht="21" customHeight="1">
      <c r="A160" s="45"/>
      <c r="B160" s="52">
        <v>7606053324</v>
      </c>
      <c r="C160" s="53" t="s">
        <v>411</v>
      </c>
      <c r="D160" s="54"/>
      <c r="E160" s="35">
        <v>445000</v>
      </c>
      <c r="F160" s="35">
        <v>213940</v>
      </c>
      <c r="G160" s="35">
        <v>85060</v>
      </c>
      <c r="H160" s="35">
        <v>372000</v>
      </c>
      <c r="I160" s="35">
        <v>1116000</v>
      </c>
      <c r="J160" s="35">
        <v>1116000</v>
      </c>
      <c r="K160" s="49">
        <v>1310.22</v>
      </c>
      <c r="L160" s="49">
        <v>1362.6288000000002</v>
      </c>
      <c r="M160" s="49">
        <v>1141.4984899999999</v>
      </c>
      <c r="N160" s="49">
        <v>1187.1584296000001</v>
      </c>
      <c r="O160" s="56"/>
      <c r="P160" s="1">
        <f t="shared" ref="P160" si="28">(K160-M160)*E160</f>
        <v>75081071.950000033</v>
      </c>
      <c r="Q160" s="1">
        <f t="shared" si="19"/>
        <v>36096279.849400014</v>
      </c>
      <c r="R160" s="1">
        <f t="shared" si="20"/>
        <v>14925509.706224008</v>
      </c>
      <c r="S160" s="1">
        <f t="shared" si="21"/>
        <v>65274977.788800031</v>
      </c>
      <c r="T160" s="1">
        <f t="shared" si="22"/>
        <v>191377839.29442409</v>
      </c>
      <c r="U160" s="11"/>
      <c r="V160" s="11"/>
      <c r="W160" s="11"/>
      <c r="X160" s="12"/>
      <c r="Y160" s="12"/>
      <c r="Z160" s="12"/>
      <c r="AA160" s="12"/>
      <c r="AB160" s="12"/>
      <c r="AC160" s="12"/>
      <c r="AD160" s="12"/>
      <c r="AE160" s="12"/>
      <c r="AF160" s="12"/>
      <c r="AG160" s="12"/>
      <c r="AH160" s="12"/>
      <c r="AI160" s="12"/>
      <c r="AJ160" s="12"/>
      <c r="AK160" s="12"/>
      <c r="AL160" s="12"/>
      <c r="AM160" s="12"/>
      <c r="AN160" s="12"/>
      <c r="AO160" s="12"/>
      <c r="AP160" s="12"/>
      <c r="AQ160" s="12"/>
      <c r="AR160" s="12"/>
      <c r="AS160" s="12"/>
      <c r="AT160" s="12"/>
      <c r="AU160" s="12"/>
      <c r="AV160" s="12"/>
      <c r="AW160" s="12"/>
      <c r="AX160" s="12"/>
      <c r="AY160" s="12"/>
      <c r="AZ160" s="12"/>
      <c r="BA160" s="12"/>
      <c r="BB160" s="12"/>
      <c r="BC160" s="12"/>
      <c r="BD160" s="12"/>
      <c r="BE160" s="12"/>
      <c r="BF160" s="12"/>
      <c r="BG160" s="12"/>
      <c r="BH160" s="12"/>
      <c r="BI160" s="12"/>
      <c r="BJ160" s="12"/>
      <c r="BK160" s="12"/>
      <c r="BL160" s="12"/>
      <c r="BM160" s="12"/>
      <c r="BN160" s="12"/>
      <c r="BO160" s="12"/>
      <c r="BP160" s="12"/>
      <c r="BQ160" s="12"/>
      <c r="BR160" s="12"/>
      <c r="BS160" s="12"/>
      <c r="BT160" s="12"/>
      <c r="BU160" s="12"/>
      <c r="BV160" s="12"/>
      <c r="BW160" s="12"/>
      <c r="BX160" s="12"/>
      <c r="BY160" s="12"/>
      <c r="BZ160" s="12"/>
      <c r="CA160" s="12"/>
      <c r="CB160" s="12"/>
      <c r="CC160" s="12"/>
      <c r="CD160" s="12"/>
      <c r="CE160" s="12"/>
      <c r="CF160" s="12"/>
      <c r="CG160" s="12"/>
      <c r="CH160" s="12"/>
      <c r="CI160" s="12"/>
      <c r="CJ160" s="12"/>
      <c r="CK160" s="12"/>
      <c r="CL160" s="12"/>
      <c r="CM160" s="12"/>
      <c r="CN160" s="12"/>
      <c r="CO160" s="12"/>
      <c r="CP160" s="12"/>
      <c r="CQ160" s="12"/>
      <c r="CR160" s="12"/>
      <c r="CS160" s="12"/>
      <c r="CT160" s="12"/>
      <c r="CU160" s="12"/>
      <c r="CV160" s="12"/>
      <c r="CW160" s="12"/>
      <c r="CX160" s="12"/>
      <c r="CY160" s="12"/>
      <c r="CZ160" s="12"/>
      <c r="DA160" s="12"/>
      <c r="DB160" s="12"/>
      <c r="DC160" s="12"/>
      <c r="DD160" s="12"/>
      <c r="DE160" s="12"/>
      <c r="DF160" s="12"/>
      <c r="DG160" s="12"/>
      <c r="DH160" s="12"/>
      <c r="DI160" s="12"/>
      <c r="DJ160" s="12"/>
      <c r="DK160" s="12"/>
      <c r="DL160" s="12"/>
      <c r="DM160" s="12"/>
      <c r="DN160" s="12"/>
      <c r="DO160" s="12"/>
      <c r="DP160" s="12"/>
      <c r="DQ160" s="12"/>
      <c r="DR160" s="12"/>
      <c r="DS160" s="12"/>
      <c r="DT160" s="12"/>
      <c r="DU160" s="12"/>
      <c r="DV160" s="12"/>
      <c r="DW160" s="12"/>
      <c r="DX160" s="12"/>
      <c r="DY160" s="12"/>
      <c r="DZ160" s="12"/>
      <c r="EA160" s="12"/>
      <c r="EB160" s="12"/>
      <c r="EC160" s="12"/>
      <c r="ED160" s="12"/>
      <c r="EE160" s="12"/>
      <c r="EF160" s="12"/>
      <c r="EG160" s="12"/>
      <c r="EH160" s="12"/>
      <c r="EI160" s="12"/>
      <c r="EJ160" s="12"/>
      <c r="EK160" s="12"/>
      <c r="EL160" s="12"/>
      <c r="EM160" s="12"/>
      <c r="EN160" s="12"/>
      <c r="EO160" s="12"/>
      <c r="EP160" s="12"/>
      <c r="EQ160" s="12"/>
      <c r="ER160" s="12"/>
      <c r="ES160" s="12"/>
      <c r="ET160" s="12"/>
      <c r="EU160" s="12"/>
      <c r="EV160" s="12"/>
      <c r="EW160" s="12"/>
      <c r="EX160" s="12"/>
      <c r="EY160" s="12"/>
      <c r="EZ160" s="12"/>
      <c r="FA160" s="12"/>
      <c r="FB160" s="12"/>
      <c r="FC160" s="12"/>
      <c r="FD160" s="12"/>
      <c r="FE160" s="12"/>
      <c r="FF160" s="12"/>
      <c r="FG160" s="12"/>
      <c r="FH160" s="12"/>
      <c r="FI160" s="12"/>
      <c r="FJ160" s="12"/>
      <c r="FK160" s="12"/>
      <c r="FL160" s="12"/>
      <c r="FM160" s="12"/>
      <c r="FN160" s="12"/>
      <c r="FO160" s="12"/>
      <c r="FP160" s="12"/>
      <c r="FQ160" s="12"/>
      <c r="FR160" s="12"/>
      <c r="FS160" s="12"/>
      <c r="FT160" s="12"/>
      <c r="FU160" s="12"/>
      <c r="FV160" s="12"/>
      <c r="FW160" s="12"/>
      <c r="FX160" s="12"/>
      <c r="FY160" s="12"/>
      <c r="FZ160" s="12"/>
      <c r="GA160" s="12"/>
      <c r="GB160" s="12"/>
      <c r="GC160" s="12"/>
      <c r="GD160" s="12"/>
      <c r="GE160" s="12"/>
    </row>
    <row r="161" spans="1:187" ht="21" customHeight="1">
      <c r="A161" s="45"/>
      <c r="B161" s="108" t="s">
        <v>182</v>
      </c>
      <c r="C161" s="109"/>
      <c r="D161" s="110"/>
      <c r="E161" s="34"/>
      <c r="F161" s="34"/>
      <c r="G161" s="34"/>
      <c r="H161" s="34"/>
      <c r="I161" s="35">
        <f t="shared" si="23"/>
        <v>0</v>
      </c>
      <c r="J161" s="56"/>
      <c r="K161" s="49"/>
      <c r="L161" s="49"/>
      <c r="M161" s="49"/>
      <c r="N161" s="49"/>
      <c r="O161" s="56">
        <f t="shared" si="24"/>
        <v>0</v>
      </c>
      <c r="P161" s="1">
        <f t="shared" si="25"/>
        <v>0</v>
      </c>
      <c r="Q161" s="1">
        <f t="shared" si="19"/>
        <v>0</v>
      </c>
      <c r="R161" s="1">
        <f t="shared" si="20"/>
        <v>0</v>
      </c>
      <c r="S161" s="1">
        <f t="shared" si="21"/>
        <v>0</v>
      </c>
      <c r="T161" s="1">
        <f t="shared" si="22"/>
        <v>0</v>
      </c>
      <c r="U161" s="45"/>
      <c r="V161" s="45"/>
      <c r="W161" s="45"/>
    </row>
    <row r="162" spans="1:187" ht="21" customHeight="1">
      <c r="A162" s="45"/>
      <c r="B162" s="9" t="s">
        <v>406</v>
      </c>
      <c r="C162" s="10" t="s">
        <v>405</v>
      </c>
      <c r="D162" s="10" t="s">
        <v>183</v>
      </c>
      <c r="E162" s="42">
        <v>17384.465</v>
      </c>
      <c r="F162" s="35">
        <f>25600.941-E162</f>
        <v>8216.4759999999987</v>
      </c>
      <c r="G162" s="35">
        <v>2570.6990000000001</v>
      </c>
      <c r="H162" s="35">
        <f>17197.021-G162</f>
        <v>14626.322</v>
      </c>
      <c r="I162" s="35">
        <f t="shared" si="23"/>
        <v>42797.962</v>
      </c>
      <c r="J162" s="56">
        <f>'2020'!J162</f>
        <v>43848</v>
      </c>
      <c r="K162" s="49">
        <v>4067.6376</v>
      </c>
      <c r="L162" s="49">
        <v>4230.3431040000005</v>
      </c>
      <c r="M162" s="49">
        <v>1540.49461</v>
      </c>
      <c r="N162" s="49">
        <v>1602.1143944</v>
      </c>
      <c r="O162" s="56">
        <f t="shared" si="24"/>
        <v>2527.1429900000003</v>
      </c>
      <c r="P162" s="1">
        <f t="shared" si="25"/>
        <v>43933028.859650359</v>
      </c>
      <c r="Q162" s="1">
        <f t="shared" si="19"/>
        <v>20764209.725903239</v>
      </c>
      <c r="R162" s="1">
        <f t="shared" si="20"/>
        <v>6756384.9155400116</v>
      </c>
      <c r="S162" s="1">
        <f t="shared" si="21"/>
        <v>38441319.3962541</v>
      </c>
      <c r="T162" s="1">
        <f t="shared" si="22"/>
        <v>109894942.89734772</v>
      </c>
      <c r="U162" s="11"/>
      <c r="V162" s="11"/>
      <c r="W162" s="11"/>
      <c r="X162" s="12"/>
      <c r="Y162" s="12"/>
      <c r="Z162" s="12"/>
      <c r="AA162" s="12"/>
      <c r="AB162" s="12"/>
      <c r="AC162" s="12"/>
      <c r="AD162" s="12"/>
      <c r="AE162" s="12"/>
      <c r="AF162" s="12"/>
      <c r="AG162" s="12"/>
      <c r="AH162" s="12"/>
      <c r="AI162" s="12"/>
      <c r="AJ162" s="12"/>
      <c r="AK162" s="12"/>
      <c r="AL162" s="12"/>
      <c r="AM162" s="12"/>
      <c r="AN162" s="12"/>
      <c r="AO162" s="12"/>
      <c r="AP162" s="12"/>
      <c r="AQ162" s="12"/>
      <c r="AR162" s="12"/>
      <c r="AS162" s="12"/>
      <c r="AT162" s="12"/>
      <c r="AU162" s="12"/>
      <c r="AV162" s="12"/>
      <c r="AW162" s="12"/>
      <c r="AX162" s="12"/>
      <c r="AY162" s="12"/>
      <c r="AZ162" s="12"/>
      <c r="BA162" s="12"/>
      <c r="BB162" s="12"/>
      <c r="BC162" s="12"/>
      <c r="BD162" s="12"/>
      <c r="BE162" s="12"/>
      <c r="BF162" s="12"/>
      <c r="BG162" s="12"/>
      <c r="BH162" s="12"/>
      <c r="BI162" s="12"/>
      <c r="BJ162" s="12"/>
      <c r="BK162" s="12"/>
      <c r="BL162" s="12"/>
      <c r="BM162" s="12"/>
      <c r="BN162" s="12"/>
      <c r="BO162" s="12"/>
      <c r="BP162" s="12"/>
      <c r="BQ162" s="12"/>
      <c r="BR162" s="12"/>
      <c r="BS162" s="12"/>
      <c r="BT162" s="12"/>
      <c r="BU162" s="12"/>
      <c r="BV162" s="12"/>
      <c r="BW162" s="12"/>
      <c r="BX162" s="12"/>
      <c r="BY162" s="12"/>
      <c r="BZ162" s="12"/>
      <c r="CA162" s="12"/>
      <c r="CB162" s="12"/>
      <c r="CC162" s="12"/>
      <c r="CD162" s="12"/>
      <c r="CE162" s="12"/>
      <c r="CF162" s="12"/>
      <c r="CG162" s="12"/>
      <c r="CH162" s="12"/>
      <c r="CI162" s="12"/>
      <c r="CJ162" s="12"/>
      <c r="CK162" s="12"/>
      <c r="CL162" s="12"/>
      <c r="CM162" s="12"/>
      <c r="CN162" s="12"/>
      <c r="CO162" s="12"/>
      <c r="CP162" s="12"/>
      <c r="CQ162" s="12"/>
      <c r="CR162" s="12"/>
      <c r="CS162" s="12"/>
      <c r="CT162" s="12"/>
      <c r="CU162" s="12"/>
      <c r="CV162" s="12"/>
      <c r="CW162" s="12"/>
      <c r="CX162" s="12"/>
      <c r="CY162" s="12"/>
      <c r="CZ162" s="12"/>
      <c r="DA162" s="12"/>
      <c r="DB162" s="12"/>
      <c r="DC162" s="12"/>
      <c r="DD162" s="12"/>
      <c r="DE162" s="12"/>
      <c r="DF162" s="12"/>
      <c r="DG162" s="12"/>
      <c r="DH162" s="12"/>
      <c r="DI162" s="12"/>
      <c r="DJ162" s="12"/>
      <c r="DK162" s="12"/>
      <c r="DL162" s="12"/>
      <c r="DM162" s="12"/>
      <c r="DN162" s="12"/>
      <c r="DO162" s="12"/>
      <c r="DP162" s="12"/>
      <c r="DQ162" s="12"/>
      <c r="DR162" s="12"/>
      <c r="DS162" s="12"/>
      <c r="DT162" s="12"/>
      <c r="DU162" s="12"/>
      <c r="DV162" s="12"/>
      <c r="DW162" s="12"/>
      <c r="DX162" s="12"/>
      <c r="DY162" s="12"/>
      <c r="DZ162" s="12"/>
      <c r="EA162" s="12"/>
      <c r="EB162" s="12"/>
      <c r="EC162" s="12"/>
      <c r="ED162" s="12"/>
      <c r="EE162" s="12"/>
      <c r="EF162" s="12"/>
      <c r="EG162" s="12"/>
      <c r="EH162" s="12"/>
      <c r="EI162" s="12"/>
      <c r="EJ162" s="12"/>
      <c r="EK162" s="12"/>
      <c r="EL162" s="12"/>
      <c r="EM162" s="12"/>
      <c r="EN162" s="12"/>
      <c r="EO162" s="12"/>
      <c r="EP162" s="12"/>
      <c r="EQ162" s="12"/>
      <c r="ER162" s="12"/>
      <c r="ES162" s="12"/>
      <c r="ET162" s="12"/>
      <c r="EU162" s="12"/>
      <c r="EV162" s="12"/>
      <c r="EW162" s="12"/>
      <c r="EX162" s="12"/>
      <c r="EY162" s="12"/>
      <c r="EZ162" s="12"/>
      <c r="FA162" s="12"/>
      <c r="FB162" s="12"/>
      <c r="FC162" s="12"/>
      <c r="FD162" s="12"/>
      <c r="FE162" s="12"/>
      <c r="FF162" s="12"/>
      <c r="FG162" s="12"/>
      <c r="FH162" s="12"/>
      <c r="FI162" s="12"/>
      <c r="FJ162" s="12"/>
      <c r="FK162" s="12"/>
      <c r="FL162" s="12"/>
      <c r="FM162" s="12"/>
      <c r="FN162" s="12"/>
      <c r="FO162" s="12"/>
      <c r="FP162" s="12"/>
      <c r="FQ162" s="12"/>
      <c r="FR162" s="12"/>
      <c r="FS162" s="12"/>
      <c r="FT162" s="12"/>
      <c r="FU162" s="12"/>
      <c r="FV162" s="12"/>
      <c r="FW162" s="12"/>
      <c r="FX162" s="12"/>
      <c r="FY162" s="12"/>
      <c r="FZ162" s="12"/>
      <c r="GA162" s="12"/>
      <c r="GB162" s="12"/>
      <c r="GC162" s="12"/>
      <c r="GD162" s="12"/>
      <c r="GE162" s="12"/>
    </row>
    <row r="163" spans="1:187" ht="21" customHeight="1">
      <c r="A163" s="45"/>
      <c r="B163" s="9" t="s">
        <v>406</v>
      </c>
      <c r="C163" s="10" t="s">
        <v>405</v>
      </c>
      <c r="D163" s="10" t="s">
        <v>192</v>
      </c>
      <c r="E163" s="35">
        <v>6.282</v>
      </c>
      <c r="F163" s="35">
        <f>10.47-E163</f>
        <v>4.1880000000000006</v>
      </c>
      <c r="G163" s="35">
        <v>0.97699999999999998</v>
      </c>
      <c r="H163" s="35">
        <f>(5.435+1.824)-G163</f>
        <v>6.2819999999999991</v>
      </c>
      <c r="I163" s="35">
        <f t="shared" si="23"/>
        <v>17.728999999999999</v>
      </c>
      <c r="J163" s="56">
        <f>'2020'!J163</f>
        <v>16.75</v>
      </c>
      <c r="K163" s="49">
        <v>3828.1255999999998</v>
      </c>
      <c r="L163" s="49">
        <v>3981.2506239999998</v>
      </c>
      <c r="M163" s="49">
        <v>1183.7355</v>
      </c>
      <c r="N163" s="49">
        <v>1231.08492</v>
      </c>
      <c r="O163" s="56">
        <f t="shared" si="24"/>
        <v>2644.3900999999996</v>
      </c>
      <c r="P163" s="1">
        <f t="shared" si="25"/>
        <v>16612.058608199997</v>
      </c>
      <c r="Q163" s="1">
        <f t="shared" si="19"/>
        <v>11074.705738799999</v>
      </c>
      <c r="R163" s="1">
        <f t="shared" si="20"/>
        <v>2686.9118928080002</v>
      </c>
      <c r="S163" s="1">
        <f t="shared" si="21"/>
        <v>17276.540952527997</v>
      </c>
      <c r="T163" s="1">
        <f t="shared" si="22"/>
        <v>47650.217192335993</v>
      </c>
      <c r="U163" s="11"/>
      <c r="V163" s="11"/>
      <c r="W163" s="11"/>
      <c r="X163" s="12"/>
      <c r="Y163" s="12"/>
      <c r="Z163" s="12"/>
      <c r="AA163" s="12"/>
      <c r="AB163" s="12"/>
      <c r="AC163" s="12"/>
      <c r="AD163" s="12"/>
      <c r="AE163" s="12"/>
      <c r="AF163" s="12"/>
      <c r="AG163" s="12"/>
      <c r="AH163" s="12"/>
      <c r="AI163" s="12"/>
      <c r="AJ163" s="12"/>
      <c r="AK163" s="12"/>
      <c r="AL163" s="12"/>
      <c r="AM163" s="12"/>
      <c r="AN163" s="12"/>
      <c r="AO163" s="12"/>
      <c r="AP163" s="12"/>
      <c r="AQ163" s="12"/>
      <c r="AR163" s="12"/>
      <c r="AS163" s="12"/>
      <c r="AT163" s="12"/>
      <c r="AU163" s="12"/>
      <c r="AV163" s="12"/>
      <c r="AW163" s="12"/>
      <c r="AX163" s="12"/>
      <c r="AY163" s="12"/>
      <c r="AZ163" s="12"/>
      <c r="BA163" s="12"/>
      <c r="BB163" s="12"/>
      <c r="BC163" s="12"/>
      <c r="BD163" s="12"/>
      <c r="BE163" s="12"/>
      <c r="BF163" s="12"/>
      <c r="BG163" s="12"/>
      <c r="BH163" s="12"/>
      <c r="BI163" s="12"/>
      <c r="BJ163" s="12"/>
      <c r="BK163" s="12"/>
      <c r="BL163" s="12"/>
      <c r="BM163" s="12"/>
      <c r="BN163" s="12"/>
      <c r="BO163" s="12"/>
      <c r="BP163" s="12"/>
      <c r="BQ163" s="12"/>
      <c r="BR163" s="12"/>
      <c r="BS163" s="12"/>
      <c r="BT163" s="12"/>
      <c r="BU163" s="12"/>
      <c r="BV163" s="12"/>
      <c r="BW163" s="12"/>
      <c r="BX163" s="12"/>
      <c r="BY163" s="12"/>
      <c r="BZ163" s="12"/>
      <c r="CA163" s="12"/>
      <c r="CB163" s="12"/>
      <c r="CC163" s="12"/>
      <c r="CD163" s="12"/>
      <c r="CE163" s="12"/>
      <c r="CF163" s="12"/>
      <c r="CG163" s="12"/>
      <c r="CH163" s="12"/>
      <c r="CI163" s="12"/>
      <c r="CJ163" s="12"/>
      <c r="CK163" s="12"/>
      <c r="CL163" s="12"/>
      <c r="CM163" s="12"/>
      <c r="CN163" s="12"/>
      <c r="CO163" s="12"/>
      <c r="CP163" s="12"/>
      <c r="CQ163" s="12"/>
      <c r="CR163" s="12"/>
      <c r="CS163" s="12"/>
      <c r="CT163" s="12"/>
      <c r="CU163" s="12"/>
      <c r="CV163" s="12"/>
      <c r="CW163" s="12"/>
      <c r="CX163" s="12"/>
      <c r="CY163" s="12"/>
      <c r="CZ163" s="12"/>
      <c r="DA163" s="12"/>
      <c r="DB163" s="12"/>
      <c r="DC163" s="12"/>
      <c r="DD163" s="12"/>
      <c r="DE163" s="12"/>
      <c r="DF163" s="12"/>
      <c r="DG163" s="12"/>
      <c r="DH163" s="12"/>
      <c r="DI163" s="12"/>
      <c r="DJ163" s="12"/>
      <c r="DK163" s="12"/>
      <c r="DL163" s="12"/>
      <c r="DM163" s="12"/>
      <c r="DN163" s="12"/>
      <c r="DO163" s="12"/>
      <c r="DP163" s="12"/>
      <c r="DQ163" s="12"/>
      <c r="DR163" s="12"/>
      <c r="DS163" s="12"/>
      <c r="DT163" s="12"/>
      <c r="DU163" s="12"/>
      <c r="DV163" s="12"/>
      <c r="DW163" s="12"/>
      <c r="DX163" s="12"/>
      <c r="DY163" s="12"/>
      <c r="DZ163" s="12"/>
      <c r="EA163" s="12"/>
      <c r="EB163" s="12"/>
      <c r="EC163" s="12"/>
      <c r="ED163" s="12"/>
      <c r="EE163" s="12"/>
      <c r="EF163" s="12"/>
      <c r="EG163" s="12"/>
      <c r="EH163" s="12"/>
      <c r="EI163" s="12"/>
      <c r="EJ163" s="12"/>
      <c r="EK163" s="12"/>
      <c r="EL163" s="12"/>
      <c r="EM163" s="12"/>
      <c r="EN163" s="12"/>
      <c r="EO163" s="12"/>
      <c r="EP163" s="12"/>
      <c r="EQ163" s="12"/>
      <c r="ER163" s="12"/>
      <c r="ES163" s="12"/>
      <c r="ET163" s="12"/>
      <c r="EU163" s="12"/>
      <c r="EV163" s="12"/>
      <c r="EW163" s="12"/>
      <c r="EX163" s="12"/>
      <c r="EY163" s="12"/>
      <c r="EZ163" s="12"/>
      <c r="FA163" s="12"/>
      <c r="FB163" s="12"/>
      <c r="FC163" s="12"/>
      <c r="FD163" s="12"/>
      <c r="FE163" s="12"/>
      <c r="FF163" s="12"/>
      <c r="FG163" s="12"/>
      <c r="FH163" s="12"/>
      <c r="FI163" s="12"/>
      <c r="FJ163" s="12"/>
      <c r="FK163" s="12"/>
      <c r="FL163" s="12"/>
      <c r="FM163" s="12"/>
      <c r="FN163" s="12"/>
      <c r="FO163" s="12"/>
      <c r="FP163" s="12"/>
      <c r="FQ163" s="12"/>
      <c r="FR163" s="12"/>
      <c r="FS163" s="12"/>
      <c r="FT163" s="12"/>
      <c r="FU163" s="12"/>
      <c r="FV163" s="12"/>
      <c r="FW163" s="12"/>
      <c r="FX163" s="12"/>
      <c r="FY163" s="12"/>
      <c r="FZ163" s="12"/>
      <c r="GA163" s="12"/>
      <c r="GB163" s="12"/>
      <c r="GC163" s="12"/>
      <c r="GD163" s="12"/>
      <c r="GE163" s="12"/>
    </row>
    <row r="164" spans="1:187" ht="21" customHeight="1">
      <c r="A164" s="45"/>
      <c r="B164" s="9" t="s">
        <v>273</v>
      </c>
      <c r="C164" s="10" t="s">
        <v>197</v>
      </c>
      <c r="D164" s="10" t="s">
        <v>198</v>
      </c>
      <c r="E164" s="35">
        <v>2361.692</v>
      </c>
      <c r="F164" s="35">
        <f>3552.06116-E164</f>
        <v>1190.3691600000002</v>
      </c>
      <c r="G164" s="35">
        <v>369.16800000000001</v>
      </c>
      <c r="H164" s="35">
        <f>2742.237-G164</f>
        <v>2373.069</v>
      </c>
      <c r="I164" s="35">
        <f t="shared" si="23"/>
        <v>6294.2981600000003</v>
      </c>
      <c r="J164" s="56">
        <f>'2020'!J164</f>
        <v>6347.62</v>
      </c>
      <c r="K164" s="49">
        <v>3343.43</v>
      </c>
      <c r="L164" s="49">
        <v>3477.1671999999999</v>
      </c>
      <c r="M164" s="49">
        <v>1502.76855</v>
      </c>
      <c r="N164" s="49">
        <v>1562.8792920000001</v>
      </c>
      <c r="O164" s="56">
        <f t="shared" si="24"/>
        <v>1840.6614499999998</v>
      </c>
      <c r="P164" s="1">
        <f t="shared" si="25"/>
        <v>4347075.4211733993</v>
      </c>
      <c r="Q164" s="1">
        <f t="shared" si="19"/>
        <v>2191066.6240808819</v>
      </c>
      <c r="R164" s="1">
        <f t="shared" si="20"/>
        <v>706693.83842054394</v>
      </c>
      <c r="S164" s="1">
        <f t="shared" si="21"/>
        <v>4542737.2915496519</v>
      </c>
      <c r="T164" s="1">
        <f t="shared" si="22"/>
        <v>11787573.175224476</v>
      </c>
      <c r="U164" s="11"/>
      <c r="V164" s="11"/>
      <c r="W164" s="11"/>
      <c r="X164" s="12"/>
      <c r="Y164" s="12"/>
      <c r="Z164" s="12"/>
      <c r="AA164" s="12"/>
      <c r="AB164" s="12"/>
      <c r="AC164" s="12"/>
      <c r="AD164" s="12"/>
      <c r="AE164" s="12"/>
      <c r="AF164" s="12"/>
      <c r="AG164" s="12"/>
      <c r="AH164" s="12"/>
      <c r="AI164" s="12"/>
      <c r="AJ164" s="12"/>
      <c r="AK164" s="12"/>
      <c r="AL164" s="12"/>
      <c r="AM164" s="12"/>
      <c r="AN164" s="12"/>
      <c r="AO164" s="12"/>
      <c r="AP164" s="12"/>
      <c r="AQ164" s="12"/>
      <c r="AR164" s="12"/>
      <c r="AS164" s="12"/>
      <c r="AT164" s="12"/>
      <c r="AU164" s="12"/>
      <c r="AV164" s="12"/>
      <c r="AW164" s="12"/>
      <c r="AX164" s="12"/>
      <c r="AY164" s="12"/>
      <c r="AZ164" s="12"/>
      <c r="BA164" s="12"/>
      <c r="BB164" s="12"/>
      <c r="BC164" s="12"/>
      <c r="BD164" s="12"/>
      <c r="BE164" s="12"/>
      <c r="BF164" s="12"/>
      <c r="BG164" s="12"/>
      <c r="BH164" s="12"/>
      <c r="BI164" s="12"/>
      <c r="BJ164" s="12"/>
      <c r="BK164" s="12"/>
      <c r="BL164" s="12"/>
      <c r="BM164" s="12"/>
      <c r="BN164" s="12"/>
      <c r="BO164" s="12"/>
      <c r="BP164" s="12"/>
      <c r="BQ164" s="12"/>
      <c r="BR164" s="12"/>
      <c r="BS164" s="12"/>
      <c r="BT164" s="12"/>
      <c r="BU164" s="12"/>
      <c r="BV164" s="12"/>
      <c r="BW164" s="12"/>
      <c r="BX164" s="12"/>
      <c r="BY164" s="12"/>
      <c r="BZ164" s="12"/>
      <c r="CA164" s="12"/>
      <c r="CB164" s="12"/>
      <c r="CC164" s="12"/>
      <c r="CD164" s="12"/>
      <c r="CE164" s="12"/>
      <c r="CF164" s="12"/>
      <c r="CG164" s="12"/>
      <c r="CH164" s="12"/>
      <c r="CI164" s="12"/>
      <c r="CJ164" s="12"/>
      <c r="CK164" s="12"/>
      <c r="CL164" s="12"/>
      <c r="CM164" s="12"/>
      <c r="CN164" s="12"/>
      <c r="CO164" s="12"/>
      <c r="CP164" s="12"/>
      <c r="CQ164" s="12"/>
      <c r="CR164" s="12"/>
      <c r="CS164" s="12"/>
      <c r="CT164" s="12"/>
      <c r="CU164" s="12"/>
      <c r="CV164" s="12"/>
      <c r="CW164" s="12"/>
      <c r="CX164" s="12"/>
      <c r="CY164" s="12"/>
      <c r="CZ164" s="12"/>
      <c r="DA164" s="12"/>
      <c r="DB164" s="12"/>
      <c r="DC164" s="12"/>
      <c r="DD164" s="12"/>
      <c r="DE164" s="12"/>
      <c r="DF164" s="12"/>
      <c r="DG164" s="12"/>
      <c r="DH164" s="12"/>
      <c r="DI164" s="12"/>
      <c r="DJ164" s="12"/>
      <c r="DK164" s="12"/>
      <c r="DL164" s="12"/>
      <c r="DM164" s="12"/>
      <c r="DN164" s="12"/>
      <c r="DO164" s="12"/>
      <c r="DP164" s="12"/>
      <c r="DQ164" s="12"/>
      <c r="DR164" s="12"/>
      <c r="DS164" s="12"/>
      <c r="DT164" s="12"/>
      <c r="DU164" s="12"/>
      <c r="DV164" s="12"/>
      <c r="DW164" s="12"/>
      <c r="DX164" s="12"/>
      <c r="DY164" s="12"/>
      <c r="DZ164" s="12"/>
      <c r="EA164" s="12"/>
      <c r="EB164" s="12"/>
      <c r="EC164" s="12"/>
      <c r="ED164" s="12"/>
      <c r="EE164" s="12"/>
      <c r="EF164" s="12"/>
      <c r="EG164" s="12"/>
      <c r="EH164" s="12"/>
      <c r="EI164" s="12"/>
      <c r="EJ164" s="12"/>
      <c r="EK164" s="12"/>
      <c r="EL164" s="12"/>
      <c r="EM164" s="12"/>
      <c r="EN164" s="12"/>
      <c r="EO164" s="12"/>
      <c r="EP164" s="12"/>
      <c r="EQ164" s="12"/>
      <c r="ER164" s="12"/>
      <c r="ES164" s="12"/>
      <c r="ET164" s="12"/>
      <c r="EU164" s="12"/>
      <c r="EV164" s="12"/>
      <c r="EW164" s="12"/>
      <c r="EX164" s="12"/>
      <c r="EY164" s="12"/>
      <c r="EZ164" s="12"/>
      <c r="FA164" s="12"/>
      <c r="FB164" s="12"/>
      <c r="FC164" s="12"/>
      <c r="FD164" s="12"/>
      <c r="FE164" s="12"/>
      <c r="FF164" s="12"/>
      <c r="FG164" s="12"/>
      <c r="FH164" s="12"/>
      <c r="FI164" s="12"/>
      <c r="FJ164" s="12"/>
      <c r="FK164" s="12"/>
      <c r="FL164" s="12"/>
      <c r="FM164" s="12"/>
      <c r="FN164" s="12"/>
      <c r="FO164" s="12"/>
      <c r="FP164" s="12"/>
      <c r="FQ164" s="12"/>
      <c r="FR164" s="12"/>
      <c r="FS164" s="12"/>
      <c r="FT164" s="12"/>
      <c r="FU164" s="12"/>
      <c r="FV164" s="12"/>
      <c r="FW164" s="12"/>
      <c r="FX164" s="12"/>
      <c r="FY164" s="12"/>
      <c r="FZ164" s="12"/>
      <c r="GA164" s="12"/>
      <c r="GB164" s="12"/>
      <c r="GC164" s="12"/>
      <c r="GD164" s="12"/>
      <c r="GE164" s="12"/>
    </row>
    <row r="165" spans="1:187" ht="21" customHeight="1">
      <c r="A165" s="45"/>
      <c r="B165" s="9" t="s">
        <v>382</v>
      </c>
      <c r="C165" s="10" t="s">
        <v>383</v>
      </c>
      <c r="D165" s="10" t="s">
        <v>193</v>
      </c>
      <c r="E165" s="35">
        <v>7.6079999999999997</v>
      </c>
      <c r="F165" s="35">
        <f>11.126-E165</f>
        <v>3.5179999999999998</v>
      </c>
      <c r="G165" s="35">
        <v>1.6</v>
      </c>
      <c r="H165" s="35">
        <v>9.6</v>
      </c>
      <c r="I165" s="35">
        <f t="shared" si="23"/>
        <v>22.326000000000001</v>
      </c>
      <c r="J165" s="56">
        <f>'2020'!J165</f>
        <v>27.94</v>
      </c>
      <c r="K165" s="49">
        <v>6308.5672000000004</v>
      </c>
      <c r="L165" s="49">
        <v>6560.909888000001</v>
      </c>
      <c r="M165" s="49">
        <v>1396.7871499999999</v>
      </c>
      <c r="N165" s="49">
        <v>1452.6586359999999</v>
      </c>
      <c r="O165" s="56">
        <f t="shared" si="24"/>
        <v>4911.7800500000003</v>
      </c>
      <c r="P165" s="1">
        <f t="shared" si="25"/>
        <v>37368.822620400002</v>
      </c>
      <c r="Q165" s="1">
        <f t="shared" si="19"/>
        <v>17279.642215899999</v>
      </c>
      <c r="R165" s="1">
        <f t="shared" si="20"/>
        <v>8173.2020032000019</v>
      </c>
      <c r="S165" s="1">
        <f t="shared" si="21"/>
        <v>49039.212019200007</v>
      </c>
      <c r="T165" s="1">
        <f t="shared" si="22"/>
        <v>111860.87885870002</v>
      </c>
      <c r="U165" s="11"/>
      <c r="V165" s="11"/>
      <c r="W165" s="11"/>
      <c r="X165" s="12"/>
      <c r="Y165" s="12"/>
      <c r="Z165" s="12"/>
      <c r="AA165" s="12"/>
      <c r="AB165" s="12"/>
      <c r="AC165" s="12"/>
      <c r="AD165" s="12"/>
      <c r="AE165" s="12"/>
      <c r="AF165" s="12"/>
      <c r="AG165" s="12"/>
      <c r="AH165" s="12"/>
      <c r="AI165" s="12"/>
      <c r="AJ165" s="12"/>
      <c r="AK165" s="12"/>
      <c r="AL165" s="12"/>
      <c r="AM165" s="12"/>
      <c r="AN165" s="12"/>
      <c r="AO165" s="12"/>
      <c r="AP165" s="12"/>
      <c r="AQ165" s="12"/>
      <c r="AR165" s="12"/>
      <c r="AS165" s="12"/>
      <c r="AT165" s="12"/>
      <c r="AU165" s="12"/>
      <c r="AV165" s="12"/>
      <c r="AW165" s="12"/>
      <c r="AX165" s="12"/>
      <c r="AY165" s="12"/>
      <c r="AZ165" s="12"/>
      <c r="BA165" s="12"/>
      <c r="BB165" s="12"/>
      <c r="BC165" s="12"/>
      <c r="BD165" s="12"/>
      <c r="BE165" s="12"/>
      <c r="BF165" s="12"/>
      <c r="BG165" s="12"/>
      <c r="BH165" s="12"/>
      <c r="BI165" s="12"/>
      <c r="BJ165" s="12"/>
      <c r="BK165" s="12"/>
      <c r="BL165" s="12"/>
      <c r="BM165" s="12"/>
      <c r="BN165" s="12"/>
      <c r="BO165" s="12"/>
      <c r="BP165" s="12"/>
      <c r="BQ165" s="12"/>
      <c r="BR165" s="12"/>
      <c r="BS165" s="12"/>
      <c r="BT165" s="12"/>
      <c r="BU165" s="12"/>
      <c r="BV165" s="12"/>
      <c r="BW165" s="12"/>
      <c r="BX165" s="12"/>
      <c r="BY165" s="12"/>
      <c r="BZ165" s="12"/>
      <c r="CA165" s="12"/>
      <c r="CB165" s="12"/>
      <c r="CC165" s="12"/>
      <c r="CD165" s="12"/>
      <c r="CE165" s="12"/>
      <c r="CF165" s="12"/>
      <c r="CG165" s="12"/>
      <c r="CH165" s="12"/>
      <c r="CI165" s="12"/>
      <c r="CJ165" s="12"/>
      <c r="CK165" s="12"/>
      <c r="CL165" s="12"/>
      <c r="CM165" s="12"/>
      <c r="CN165" s="12"/>
      <c r="CO165" s="12"/>
      <c r="CP165" s="12"/>
      <c r="CQ165" s="12"/>
      <c r="CR165" s="12"/>
      <c r="CS165" s="12"/>
      <c r="CT165" s="12"/>
      <c r="CU165" s="12"/>
      <c r="CV165" s="12"/>
      <c r="CW165" s="12"/>
      <c r="CX165" s="12"/>
      <c r="CY165" s="12"/>
      <c r="CZ165" s="12"/>
      <c r="DA165" s="12"/>
      <c r="DB165" s="12"/>
      <c r="DC165" s="12"/>
      <c r="DD165" s="12"/>
      <c r="DE165" s="12"/>
      <c r="DF165" s="12"/>
      <c r="DG165" s="12"/>
      <c r="DH165" s="12"/>
      <c r="DI165" s="12"/>
      <c r="DJ165" s="12"/>
      <c r="DK165" s="12"/>
      <c r="DL165" s="12"/>
      <c r="DM165" s="12"/>
      <c r="DN165" s="12"/>
      <c r="DO165" s="12"/>
      <c r="DP165" s="12"/>
      <c r="DQ165" s="12"/>
      <c r="DR165" s="12"/>
      <c r="DS165" s="12"/>
      <c r="DT165" s="12"/>
      <c r="DU165" s="12"/>
      <c r="DV165" s="12"/>
      <c r="DW165" s="12"/>
      <c r="DX165" s="12"/>
      <c r="DY165" s="12"/>
      <c r="DZ165" s="12"/>
      <c r="EA165" s="12"/>
      <c r="EB165" s="12"/>
      <c r="EC165" s="12"/>
      <c r="ED165" s="12"/>
      <c r="EE165" s="12"/>
      <c r="EF165" s="12"/>
      <c r="EG165" s="12"/>
      <c r="EH165" s="12"/>
      <c r="EI165" s="12"/>
      <c r="EJ165" s="12"/>
      <c r="EK165" s="12"/>
      <c r="EL165" s="12"/>
      <c r="EM165" s="12"/>
      <c r="EN165" s="12"/>
      <c r="EO165" s="12"/>
      <c r="EP165" s="12"/>
      <c r="EQ165" s="12"/>
      <c r="ER165" s="12"/>
      <c r="ES165" s="12"/>
      <c r="ET165" s="12"/>
      <c r="EU165" s="12"/>
      <c r="EV165" s="12"/>
      <c r="EW165" s="12"/>
      <c r="EX165" s="12"/>
      <c r="EY165" s="12"/>
      <c r="EZ165" s="12"/>
      <c r="FA165" s="12"/>
      <c r="FB165" s="12"/>
      <c r="FC165" s="12"/>
      <c r="FD165" s="12"/>
      <c r="FE165" s="12"/>
      <c r="FF165" s="12"/>
      <c r="FG165" s="12"/>
      <c r="FH165" s="12"/>
      <c r="FI165" s="12"/>
      <c r="FJ165" s="12"/>
      <c r="FK165" s="12"/>
      <c r="FL165" s="12"/>
      <c r="FM165" s="12"/>
      <c r="FN165" s="12"/>
      <c r="FO165" s="12"/>
      <c r="FP165" s="12"/>
      <c r="FQ165" s="12"/>
      <c r="FR165" s="12"/>
      <c r="FS165" s="12"/>
      <c r="FT165" s="12"/>
      <c r="FU165" s="12"/>
      <c r="FV165" s="12"/>
      <c r="FW165" s="12"/>
      <c r="FX165" s="12"/>
      <c r="FY165" s="12"/>
      <c r="FZ165" s="12"/>
      <c r="GA165" s="12"/>
      <c r="GB165" s="12"/>
      <c r="GC165" s="12"/>
      <c r="GD165" s="12"/>
      <c r="GE165" s="12"/>
    </row>
    <row r="166" spans="1:187" ht="21" customHeight="1">
      <c r="A166" s="45"/>
      <c r="B166" s="9" t="s">
        <v>382</v>
      </c>
      <c r="C166" s="10" t="s">
        <v>383</v>
      </c>
      <c r="D166" s="10" t="s">
        <v>194</v>
      </c>
      <c r="E166" s="35">
        <v>17.231999999999999</v>
      </c>
      <c r="F166" s="35">
        <f>25.199-E166</f>
        <v>7.9670000000000023</v>
      </c>
      <c r="G166" s="35">
        <v>2.6</v>
      </c>
      <c r="H166" s="35">
        <v>15.63</v>
      </c>
      <c r="I166" s="35">
        <f t="shared" si="23"/>
        <v>43.429000000000002</v>
      </c>
      <c r="J166" s="56">
        <f>'2020'!J166</f>
        <v>45.95</v>
      </c>
      <c r="K166" s="49">
        <v>4637.5472000000009</v>
      </c>
      <c r="L166" s="49">
        <v>4823.0490880000007</v>
      </c>
      <c r="M166" s="49">
        <v>1828.1065599999999</v>
      </c>
      <c r="N166" s="49">
        <v>1901.2308224000001</v>
      </c>
      <c r="O166" s="56">
        <f t="shared" si="24"/>
        <v>2809.4406400000007</v>
      </c>
      <c r="P166" s="1">
        <f t="shared" si="25"/>
        <v>48412.281108480012</v>
      </c>
      <c r="Q166" s="1">
        <f t="shared" si="19"/>
        <v>22382.813578880014</v>
      </c>
      <c r="R166" s="1">
        <f t="shared" si="20"/>
        <v>7596.7274905600025</v>
      </c>
      <c r="S166" s="1">
        <f t="shared" si="21"/>
        <v>45668.019491328014</v>
      </c>
      <c r="T166" s="1">
        <f t="shared" si="22"/>
        <v>124059.84166924804</v>
      </c>
      <c r="U166" s="11"/>
      <c r="V166" s="11"/>
      <c r="W166" s="11"/>
      <c r="X166" s="12"/>
      <c r="Y166" s="12"/>
      <c r="Z166" s="12"/>
      <c r="AA166" s="12"/>
      <c r="AB166" s="12"/>
      <c r="AC166" s="12"/>
      <c r="AD166" s="12"/>
      <c r="AE166" s="12"/>
      <c r="AF166" s="12"/>
      <c r="AG166" s="12"/>
      <c r="AH166" s="12"/>
      <c r="AI166" s="12"/>
      <c r="AJ166" s="12"/>
      <c r="AK166" s="12"/>
      <c r="AL166" s="12"/>
      <c r="AM166" s="12"/>
      <c r="AN166" s="12"/>
      <c r="AO166" s="12"/>
      <c r="AP166" s="12"/>
      <c r="AQ166" s="12"/>
      <c r="AR166" s="12"/>
      <c r="AS166" s="12"/>
      <c r="AT166" s="12"/>
      <c r="AU166" s="12"/>
      <c r="AV166" s="12"/>
      <c r="AW166" s="12"/>
      <c r="AX166" s="12"/>
      <c r="AY166" s="12"/>
      <c r="AZ166" s="12"/>
      <c r="BA166" s="12"/>
      <c r="BB166" s="12"/>
      <c r="BC166" s="12"/>
      <c r="BD166" s="12"/>
      <c r="BE166" s="12"/>
      <c r="BF166" s="12"/>
      <c r="BG166" s="12"/>
      <c r="BH166" s="12"/>
      <c r="BI166" s="12"/>
      <c r="BJ166" s="12"/>
      <c r="BK166" s="12"/>
      <c r="BL166" s="12"/>
      <c r="BM166" s="12"/>
      <c r="BN166" s="12"/>
      <c r="BO166" s="12"/>
      <c r="BP166" s="12"/>
      <c r="BQ166" s="12"/>
      <c r="BR166" s="12"/>
      <c r="BS166" s="12"/>
      <c r="BT166" s="12"/>
      <c r="BU166" s="12"/>
      <c r="BV166" s="12"/>
      <c r="BW166" s="12"/>
      <c r="BX166" s="12"/>
      <c r="BY166" s="12"/>
      <c r="BZ166" s="12"/>
      <c r="CA166" s="12"/>
      <c r="CB166" s="12"/>
      <c r="CC166" s="12"/>
      <c r="CD166" s="12"/>
      <c r="CE166" s="12"/>
      <c r="CF166" s="12"/>
      <c r="CG166" s="12"/>
      <c r="CH166" s="12"/>
      <c r="CI166" s="12"/>
      <c r="CJ166" s="12"/>
      <c r="CK166" s="12"/>
      <c r="CL166" s="12"/>
      <c r="CM166" s="12"/>
      <c r="CN166" s="12"/>
      <c r="CO166" s="12"/>
      <c r="CP166" s="12"/>
      <c r="CQ166" s="12"/>
      <c r="CR166" s="12"/>
      <c r="CS166" s="12"/>
      <c r="CT166" s="12"/>
      <c r="CU166" s="12"/>
      <c r="CV166" s="12"/>
      <c r="CW166" s="12"/>
      <c r="CX166" s="12"/>
      <c r="CY166" s="12"/>
      <c r="CZ166" s="12"/>
      <c r="DA166" s="12"/>
      <c r="DB166" s="12"/>
      <c r="DC166" s="12"/>
      <c r="DD166" s="12"/>
      <c r="DE166" s="12"/>
      <c r="DF166" s="12"/>
      <c r="DG166" s="12"/>
      <c r="DH166" s="12"/>
      <c r="DI166" s="12"/>
      <c r="DJ166" s="12"/>
      <c r="DK166" s="12"/>
      <c r="DL166" s="12"/>
      <c r="DM166" s="12"/>
      <c r="DN166" s="12"/>
      <c r="DO166" s="12"/>
      <c r="DP166" s="12"/>
      <c r="DQ166" s="12"/>
      <c r="DR166" s="12"/>
      <c r="DS166" s="12"/>
      <c r="DT166" s="12"/>
      <c r="DU166" s="12"/>
      <c r="DV166" s="12"/>
      <c r="DW166" s="12"/>
      <c r="DX166" s="12"/>
      <c r="DY166" s="12"/>
      <c r="DZ166" s="12"/>
      <c r="EA166" s="12"/>
      <c r="EB166" s="12"/>
      <c r="EC166" s="12"/>
      <c r="ED166" s="12"/>
      <c r="EE166" s="12"/>
      <c r="EF166" s="12"/>
      <c r="EG166" s="12"/>
      <c r="EH166" s="12"/>
      <c r="EI166" s="12"/>
      <c r="EJ166" s="12"/>
      <c r="EK166" s="12"/>
      <c r="EL166" s="12"/>
      <c r="EM166" s="12"/>
      <c r="EN166" s="12"/>
      <c r="EO166" s="12"/>
      <c r="EP166" s="12"/>
      <c r="EQ166" s="12"/>
      <c r="ER166" s="12"/>
      <c r="ES166" s="12"/>
      <c r="ET166" s="12"/>
      <c r="EU166" s="12"/>
      <c r="EV166" s="12"/>
      <c r="EW166" s="12"/>
      <c r="EX166" s="12"/>
      <c r="EY166" s="12"/>
      <c r="EZ166" s="12"/>
      <c r="FA166" s="12"/>
      <c r="FB166" s="12"/>
      <c r="FC166" s="12"/>
      <c r="FD166" s="12"/>
      <c r="FE166" s="12"/>
      <c r="FF166" s="12"/>
      <c r="FG166" s="12"/>
      <c r="FH166" s="12"/>
      <c r="FI166" s="12"/>
      <c r="FJ166" s="12"/>
      <c r="FK166" s="12"/>
      <c r="FL166" s="12"/>
      <c r="FM166" s="12"/>
      <c r="FN166" s="12"/>
      <c r="FO166" s="12"/>
      <c r="FP166" s="12"/>
      <c r="FQ166" s="12"/>
      <c r="FR166" s="12"/>
      <c r="FS166" s="12"/>
      <c r="FT166" s="12"/>
      <c r="FU166" s="12"/>
      <c r="FV166" s="12"/>
      <c r="FW166" s="12"/>
      <c r="FX166" s="12"/>
      <c r="FY166" s="12"/>
      <c r="FZ166" s="12"/>
      <c r="GA166" s="12"/>
      <c r="GB166" s="12"/>
      <c r="GC166" s="12"/>
      <c r="GD166" s="12"/>
      <c r="GE166" s="12"/>
    </row>
    <row r="167" spans="1:187" ht="21" customHeight="1">
      <c r="A167" s="45"/>
      <c r="B167" s="9" t="s">
        <v>274</v>
      </c>
      <c r="C167" s="10" t="s">
        <v>188</v>
      </c>
      <c r="D167" s="10" t="s">
        <v>189</v>
      </c>
      <c r="E167" s="35">
        <v>1973.5519999999999</v>
      </c>
      <c r="F167" s="35">
        <f>2629.39-E167</f>
        <v>655.83799999999997</v>
      </c>
      <c r="G167" s="35">
        <v>428.214</v>
      </c>
      <c r="H167" s="35">
        <f>2177.4-G167</f>
        <v>1749.1860000000001</v>
      </c>
      <c r="I167" s="35">
        <f t="shared" si="23"/>
        <v>4806.79</v>
      </c>
      <c r="J167" s="56">
        <f>'2020'!J167</f>
        <v>5848.5758000000005</v>
      </c>
      <c r="K167" s="49">
        <v>4221.79</v>
      </c>
      <c r="L167" s="49">
        <v>4390.6616000000004</v>
      </c>
      <c r="M167" s="49">
        <v>1424.48542</v>
      </c>
      <c r="N167" s="49">
        <v>1481.4648368000001</v>
      </c>
      <c r="O167" s="56">
        <f t="shared" si="24"/>
        <v>2797.30458</v>
      </c>
      <c r="P167" s="1">
        <f t="shared" si="25"/>
        <v>5520626.0484681595</v>
      </c>
      <c r="Q167" s="1">
        <f t="shared" si="19"/>
        <v>1834578.64113804</v>
      </c>
      <c r="R167" s="1">
        <f t="shared" si="20"/>
        <v>1245758.7827569251</v>
      </c>
      <c r="S167" s="1">
        <f t="shared" si="21"/>
        <v>5088726.2494347561</v>
      </c>
      <c r="T167" s="1">
        <f t="shared" si="22"/>
        <v>13689689.72179788</v>
      </c>
      <c r="U167" s="11"/>
      <c r="V167" s="11"/>
      <c r="W167" s="11"/>
      <c r="X167" s="12"/>
      <c r="Y167" s="12"/>
      <c r="Z167" s="12"/>
      <c r="AA167" s="12"/>
      <c r="AB167" s="12"/>
      <c r="AC167" s="12"/>
      <c r="AD167" s="12"/>
      <c r="AE167" s="12"/>
      <c r="AF167" s="12"/>
      <c r="AG167" s="12"/>
      <c r="AH167" s="12"/>
      <c r="AI167" s="12"/>
      <c r="AJ167" s="12"/>
      <c r="AK167" s="12"/>
      <c r="AL167" s="12"/>
      <c r="AM167" s="12"/>
      <c r="AN167" s="12"/>
      <c r="AO167" s="12"/>
      <c r="AP167" s="12"/>
      <c r="AQ167" s="12"/>
      <c r="AR167" s="12"/>
      <c r="AS167" s="12"/>
      <c r="AT167" s="12"/>
      <c r="AU167" s="12"/>
      <c r="AV167" s="12"/>
      <c r="AW167" s="12"/>
      <c r="AX167" s="12"/>
      <c r="AY167" s="12"/>
      <c r="AZ167" s="12"/>
      <c r="BA167" s="12"/>
      <c r="BB167" s="12"/>
      <c r="BC167" s="12"/>
      <c r="BD167" s="12"/>
      <c r="BE167" s="12"/>
      <c r="BF167" s="12"/>
      <c r="BG167" s="12"/>
      <c r="BH167" s="12"/>
      <c r="BI167" s="12"/>
      <c r="BJ167" s="12"/>
      <c r="BK167" s="12"/>
      <c r="BL167" s="12"/>
      <c r="BM167" s="12"/>
      <c r="BN167" s="12"/>
      <c r="BO167" s="12"/>
      <c r="BP167" s="12"/>
      <c r="BQ167" s="12"/>
      <c r="BR167" s="12"/>
      <c r="BS167" s="12"/>
      <c r="BT167" s="12"/>
      <c r="BU167" s="12"/>
      <c r="BV167" s="12"/>
      <c r="BW167" s="12"/>
      <c r="BX167" s="12"/>
      <c r="BY167" s="12"/>
      <c r="BZ167" s="12"/>
      <c r="CA167" s="12"/>
      <c r="CB167" s="12"/>
      <c r="CC167" s="12"/>
      <c r="CD167" s="12"/>
      <c r="CE167" s="12"/>
      <c r="CF167" s="12"/>
      <c r="CG167" s="12"/>
      <c r="CH167" s="12"/>
      <c r="CI167" s="12"/>
      <c r="CJ167" s="12"/>
      <c r="CK167" s="12"/>
      <c r="CL167" s="12"/>
      <c r="CM167" s="12"/>
      <c r="CN167" s="12"/>
      <c r="CO167" s="12"/>
      <c r="CP167" s="12"/>
      <c r="CQ167" s="12"/>
      <c r="CR167" s="12"/>
      <c r="CS167" s="12"/>
      <c r="CT167" s="12"/>
      <c r="CU167" s="12"/>
      <c r="CV167" s="12"/>
      <c r="CW167" s="12"/>
      <c r="CX167" s="12"/>
      <c r="CY167" s="12"/>
      <c r="CZ167" s="12"/>
      <c r="DA167" s="12"/>
      <c r="DB167" s="12"/>
      <c r="DC167" s="12"/>
      <c r="DD167" s="12"/>
      <c r="DE167" s="12"/>
      <c r="DF167" s="12"/>
      <c r="DG167" s="12"/>
      <c r="DH167" s="12"/>
      <c r="DI167" s="12"/>
      <c r="DJ167" s="12"/>
      <c r="DK167" s="12"/>
      <c r="DL167" s="12"/>
      <c r="DM167" s="12"/>
      <c r="DN167" s="12"/>
      <c r="DO167" s="12"/>
      <c r="DP167" s="12"/>
      <c r="DQ167" s="12"/>
      <c r="DR167" s="12"/>
      <c r="DS167" s="12"/>
      <c r="DT167" s="12"/>
      <c r="DU167" s="12"/>
      <c r="DV167" s="12"/>
      <c r="DW167" s="12"/>
      <c r="DX167" s="12"/>
      <c r="DY167" s="12"/>
      <c r="DZ167" s="12"/>
      <c r="EA167" s="12"/>
      <c r="EB167" s="12"/>
      <c r="EC167" s="12"/>
      <c r="ED167" s="12"/>
      <c r="EE167" s="12"/>
      <c r="EF167" s="12"/>
      <c r="EG167" s="12"/>
      <c r="EH167" s="12"/>
      <c r="EI167" s="12"/>
      <c r="EJ167" s="12"/>
      <c r="EK167" s="12"/>
      <c r="EL167" s="12"/>
      <c r="EM167" s="12"/>
      <c r="EN167" s="12"/>
      <c r="EO167" s="12"/>
      <c r="EP167" s="12"/>
      <c r="EQ167" s="12"/>
      <c r="ER167" s="12"/>
      <c r="ES167" s="12"/>
      <c r="ET167" s="12"/>
      <c r="EU167" s="12"/>
      <c r="EV167" s="12"/>
      <c r="EW167" s="12"/>
      <c r="EX167" s="12"/>
      <c r="EY167" s="12"/>
      <c r="EZ167" s="12"/>
      <c r="FA167" s="12"/>
      <c r="FB167" s="12"/>
      <c r="FC167" s="12"/>
      <c r="FD167" s="12"/>
      <c r="FE167" s="12"/>
      <c r="FF167" s="12"/>
      <c r="FG167" s="12"/>
      <c r="FH167" s="12"/>
      <c r="FI167" s="12"/>
      <c r="FJ167" s="12"/>
      <c r="FK167" s="12"/>
      <c r="FL167" s="12"/>
      <c r="FM167" s="12"/>
      <c r="FN167" s="12"/>
      <c r="FO167" s="12"/>
      <c r="FP167" s="12"/>
      <c r="FQ167" s="12"/>
      <c r="FR167" s="12"/>
      <c r="FS167" s="12"/>
      <c r="FT167" s="12"/>
      <c r="FU167" s="12"/>
      <c r="FV167" s="12"/>
      <c r="FW167" s="12"/>
      <c r="FX167" s="12"/>
      <c r="FY167" s="12"/>
      <c r="FZ167" s="12"/>
      <c r="GA167" s="12"/>
      <c r="GB167" s="12"/>
      <c r="GC167" s="12"/>
      <c r="GD167" s="12"/>
      <c r="GE167" s="12"/>
    </row>
    <row r="168" spans="1:187" ht="21" customHeight="1">
      <c r="A168" s="45"/>
      <c r="B168" s="9" t="s">
        <v>9</v>
      </c>
      <c r="C168" s="10" t="s">
        <v>184</v>
      </c>
      <c r="D168" s="10" t="s">
        <v>185</v>
      </c>
      <c r="E168" s="35">
        <v>258.87299999999999</v>
      </c>
      <c r="F168" s="35">
        <f>362.344-E168</f>
        <v>103.471</v>
      </c>
      <c r="G168" s="35">
        <v>20.263000000000002</v>
      </c>
      <c r="H168" s="35">
        <f>239.636-G168</f>
        <v>219.37299999999999</v>
      </c>
      <c r="I168" s="35">
        <f t="shared" si="23"/>
        <v>601.98</v>
      </c>
      <c r="J168" s="56">
        <f>'2020'!J168</f>
        <v>653.57000000000005</v>
      </c>
      <c r="K168" s="49">
        <v>2914.3712000000005</v>
      </c>
      <c r="L168" s="49">
        <v>3030.9460480000007</v>
      </c>
      <c r="M168" s="49">
        <v>1703.5317499999999</v>
      </c>
      <c r="N168" s="49">
        <v>1771.67302</v>
      </c>
      <c r="O168" s="56">
        <f t="shared" si="24"/>
        <v>1210.8394500000006</v>
      </c>
      <c r="P168" s="1">
        <f t="shared" si="25"/>
        <v>313453.64093985013</v>
      </c>
      <c r="Q168" s="1">
        <f t="shared" si="19"/>
        <v>125286.76873095008</v>
      </c>
      <c r="R168" s="1">
        <f t="shared" si="20"/>
        <v>25516.649366364018</v>
      </c>
      <c r="S168" s="1">
        <f t="shared" si="21"/>
        <v>276250.50197144417</v>
      </c>
      <c r="T168" s="1">
        <f t="shared" si="22"/>
        <v>740507.56100860843</v>
      </c>
      <c r="U168" s="11"/>
      <c r="V168" s="11"/>
      <c r="W168" s="11"/>
      <c r="X168" s="12"/>
      <c r="Y168" s="12"/>
      <c r="Z168" s="12"/>
      <c r="AA168" s="12"/>
      <c r="AB168" s="12"/>
      <c r="AC168" s="12"/>
      <c r="AD168" s="12"/>
      <c r="AE168" s="12"/>
      <c r="AF168" s="12"/>
      <c r="AG168" s="12"/>
      <c r="AH168" s="12"/>
      <c r="AI168" s="12"/>
      <c r="AJ168" s="12"/>
      <c r="AK168" s="12"/>
      <c r="AL168" s="12"/>
      <c r="AM168" s="12"/>
      <c r="AN168" s="12"/>
      <c r="AO168" s="12"/>
      <c r="AP168" s="12"/>
      <c r="AQ168" s="12"/>
      <c r="AR168" s="12"/>
      <c r="AS168" s="12"/>
      <c r="AT168" s="12"/>
      <c r="AU168" s="12"/>
      <c r="AV168" s="12"/>
      <c r="AW168" s="12"/>
      <c r="AX168" s="12"/>
      <c r="AY168" s="12"/>
      <c r="AZ168" s="12"/>
      <c r="BA168" s="12"/>
      <c r="BB168" s="12"/>
      <c r="BC168" s="12"/>
      <c r="BD168" s="12"/>
      <c r="BE168" s="12"/>
      <c r="BF168" s="12"/>
      <c r="BG168" s="12"/>
      <c r="BH168" s="12"/>
      <c r="BI168" s="12"/>
      <c r="BJ168" s="12"/>
      <c r="BK168" s="12"/>
      <c r="BL168" s="12"/>
      <c r="BM168" s="12"/>
      <c r="BN168" s="12"/>
      <c r="BO168" s="12"/>
      <c r="BP168" s="12"/>
      <c r="BQ168" s="12"/>
      <c r="BR168" s="12"/>
      <c r="BS168" s="12"/>
      <c r="BT168" s="12"/>
      <c r="BU168" s="12"/>
      <c r="BV168" s="12"/>
      <c r="BW168" s="12"/>
      <c r="BX168" s="12"/>
      <c r="BY168" s="12"/>
      <c r="BZ168" s="12"/>
      <c r="CA168" s="12"/>
      <c r="CB168" s="12"/>
      <c r="CC168" s="12"/>
      <c r="CD168" s="12"/>
      <c r="CE168" s="12"/>
      <c r="CF168" s="12"/>
      <c r="CG168" s="12"/>
      <c r="CH168" s="12"/>
      <c r="CI168" s="12"/>
      <c r="CJ168" s="12"/>
      <c r="CK168" s="12"/>
      <c r="CL168" s="12"/>
      <c r="CM168" s="12"/>
      <c r="CN168" s="12"/>
      <c r="CO168" s="12"/>
      <c r="CP168" s="12"/>
      <c r="CQ168" s="12"/>
      <c r="CR168" s="12"/>
      <c r="CS168" s="12"/>
      <c r="CT168" s="12"/>
      <c r="CU168" s="12"/>
      <c r="CV168" s="12"/>
      <c r="CW168" s="12"/>
      <c r="CX168" s="12"/>
      <c r="CY168" s="12"/>
      <c r="CZ168" s="12"/>
      <c r="DA168" s="12"/>
      <c r="DB168" s="12"/>
      <c r="DC168" s="12"/>
      <c r="DD168" s="12"/>
      <c r="DE168" s="12"/>
      <c r="DF168" s="12"/>
      <c r="DG168" s="12"/>
      <c r="DH168" s="12"/>
      <c r="DI168" s="12"/>
      <c r="DJ168" s="12"/>
      <c r="DK168" s="12"/>
      <c r="DL168" s="12"/>
      <c r="DM168" s="12"/>
      <c r="DN168" s="12"/>
      <c r="DO168" s="12"/>
      <c r="DP168" s="12"/>
      <c r="DQ168" s="12"/>
      <c r="DR168" s="12"/>
      <c r="DS168" s="12"/>
      <c r="DT168" s="12"/>
      <c r="DU168" s="12"/>
      <c r="DV168" s="12"/>
      <c r="DW168" s="12"/>
      <c r="DX168" s="12"/>
      <c r="DY168" s="12"/>
      <c r="DZ168" s="12"/>
      <c r="EA168" s="12"/>
      <c r="EB168" s="12"/>
      <c r="EC168" s="12"/>
      <c r="ED168" s="12"/>
      <c r="EE168" s="12"/>
      <c r="EF168" s="12"/>
      <c r="EG168" s="12"/>
      <c r="EH168" s="12"/>
      <c r="EI168" s="12"/>
      <c r="EJ168" s="12"/>
      <c r="EK168" s="12"/>
      <c r="EL168" s="12"/>
      <c r="EM168" s="12"/>
      <c r="EN168" s="12"/>
      <c r="EO168" s="12"/>
      <c r="EP168" s="12"/>
      <c r="EQ168" s="12"/>
      <c r="ER168" s="12"/>
      <c r="ES168" s="12"/>
      <c r="ET168" s="12"/>
      <c r="EU168" s="12"/>
      <c r="EV168" s="12"/>
      <c r="EW168" s="12"/>
      <c r="EX168" s="12"/>
      <c r="EY168" s="12"/>
      <c r="EZ168" s="12"/>
      <c r="FA168" s="12"/>
      <c r="FB168" s="12"/>
      <c r="FC168" s="12"/>
      <c r="FD168" s="12"/>
      <c r="FE168" s="12"/>
      <c r="FF168" s="12"/>
      <c r="FG168" s="12"/>
      <c r="FH168" s="12"/>
      <c r="FI168" s="12"/>
      <c r="FJ168" s="12"/>
      <c r="FK168" s="12"/>
      <c r="FL168" s="12"/>
      <c r="FM168" s="12"/>
      <c r="FN168" s="12"/>
      <c r="FO168" s="12"/>
      <c r="FP168" s="12"/>
      <c r="FQ168" s="12"/>
      <c r="FR168" s="12"/>
      <c r="FS168" s="12"/>
      <c r="FT168" s="12"/>
      <c r="FU168" s="12"/>
      <c r="FV168" s="12"/>
      <c r="FW168" s="12"/>
      <c r="FX168" s="12"/>
      <c r="FY168" s="12"/>
      <c r="FZ168" s="12"/>
      <c r="GA168" s="12"/>
      <c r="GB168" s="12"/>
      <c r="GC168" s="12"/>
      <c r="GD168" s="12"/>
      <c r="GE168" s="12"/>
    </row>
    <row r="169" spans="1:187" ht="21" customHeight="1">
      <c r="A169" s="45"/>
      <c r="B169" s="9" t="s">
        <v>31</v>
      </c>
      <c r="C169" s="10" t="s">
        <v>190</v>
      </c>
      <c r="D169" s="10" t="s">
        <v>191</v>
      </c>
      <c r="E169" s="35">
        <v>59.082000000000001</v>
      </c>
      <c r="F169" s="35">
        <f>86.399-E169</f>
        <v>27.317</v>
      </c>
      <c r="G169" s="35">
        <v>8.5500000000000007</v>
      </c>
      <c r="H169" s="35">
        <f>63.513-G169</f>
        <v>54.962999999999994</v>
      </c>
      <c r="I169" s="35">
        <f t="shared" si="23"/>
        <v>149.91199999999998</v>
      </c>
      <c r="J169" s="56">
        <f>'2020'!J169</f>
        <v>189.702</v>
      </c>
      <c r="K169" s="49">
        <v>5363.1448</v>
      </c>
      <c r="L169" s="49">
        <v>5577.6705920000004</v>
      </c>
      <c r="M169" s="49">
        <v>1937.12637</v>
      </c>
      <c r="N169" s="49">
        <v>2014.6114248000001</v>
      </c>
      <c r="O169" s="56">
        <f t="shared" si="24"/>
        <v>3426.0184300000001</v>
      </c>
      <c r="P169" s="1">
        <f t="shared" si="25"/>
        <v>202416.02088126002</v>
      </c>
      <c r="Q169" s="1">
        <f t="shared" si="19"/>
        <v>93588.545452310005</v>
      </c>
      <c r="R169" s="1">
        <f t="shared" si="20"/>
        <v>30464.155879560003</v>
      </c>
      <c r="S169" s="1">
        <f t="shared" si="21"/>
        <v>195836.42100681359</v>
      </c>
      <c r="T169" s="1">
        <f t="shared" si="22"/>
        <v>522305.14321994362</v>
      </c>
      <c r="U169" s="11"/>
      <c r="V169" s="11"/>
      <c r="W169" s="11"/>
      <c r="X169" s="12"/>
      <c r="Y169" s="12"/>
      <c r="Z169" s="12"/>
      <c r="AA169" s="12"/>
      <c r="AB169" s="12"/>
      <c r="AC169" s="12"/>
      <c r="AD169" s="12"/>
      <c r="AE169" s="12"/>
      <c r="AF169" s="12"/>
      <c r="AG169" s="12"/>
      <c r="AH169" s="12"/>
      <c r="AI169" s="12"/>
      <c r="AJ169" s="12"/>
      <c r="AK169" s="12"/>
      <c r="AL169" s="12"/>
      <c r="AM169" s="12"/>
      <c r="AN169" s="12"/>
      <c r="AO169" s="12"/>
      <c r="AP169" s="12"/>
      <c r="AQ169" s="12"/>
      <c r="AR169" s="12"/>
      <c r="AS169" s="12"/>
      <c r="AT169" s="12"/>
      <c r="AU169" s="12"/>
      <c r="AV169" s="12"/>
      <c r="AW169" s="12"/>
      <c r="AX169" s="12"/>
      <c r="AY169" s="12"/>
      <c r="AZ169" s="12"/>
      <c r="BA169" s="12"/>
      <c r="BB169" s="12"/>
      <c r="BC169" s="12"/>
      <c r="BD169" s="12"/>
      <c r="BE169" s="12"/>
      <c r="BF169" s="12"/>
      <c r="BG169" s="12"/>
      <c r="BH169" s="12"/>
      <c r="BI169" s="12"/>
      <c r="BJ169" s="12"/>
      <c r="BK169" s="12"/>
      <c r="BL169" s="12"/>
      <c r="BM169" s="12"/>
      <c r="BN169" s="12"/>
      <c r="BO169" s="12"/>
      <c r="BP169" s="12"/>
      <c r="BQ169" s="12"/>
      <c r="BR169" s="12"/>
      <c r="BS169" s="12"/>
      <c r="BT169" s="12"/>
      <c r="BU169" s="12"/>
      <c r="BV169" s="12"/>
      <c r="BW169" s="12"/>
      <c r="BX169" s="12"/>
      <c r="BY169" s="12"/>
      <c r="BZ169" s="12"/>
      <c r="CA169" s="12"/>
      <c r="CB169" s="12"/>
      <c r="CC169" s="12"/>
      <c r="CD169" s="12"/>
      <c r="CE169" s="12"/>
      <c r="CF169" s="12"/>
      <c r="CG169" s="12"/>
      <c r="CH169" s="12"/>
      <c r="CI169" s="12"/>
      <c r="CJ169" s="12"/>
      <c r="CK169" s="12"/>
      <c r="CL169" s="12"/>
      <c r="CM169" s="12"/>
      <c r="CN169" s="12"/>
      <c r="CO169" s="12"/>
      <c r="CP169" s="12"/>
      <c r="CQ169" s="12"/>
      <c r="CR169" s="12"/>
      <c r="CS169" s="12"/>
      <c r="CT169" s="12"/>
      <c r="CU169" s="12"/>
      <c r="CV169" s="12"/>
      <c r="CW169" s="12"/>
      <c r="CX169" s="12"/>
      <c r="CY169" s="12"/>
      <c r="CZ169" s="12"/>
      <c r="DA169" s="12"/>
      <c r="DB169" s="12"/>
      <c r="DC169" s="12"/>
      <c r="DD169" s="12"/>
      <c r="DE169" s="12"/>
      <c r="DF169" s="12"/>
      <c r="DG169" s="12"/>
      <c r="DH169" s="12"/>
      <c r="DI169" s="12"/>
      <c r="DJ169" s="12"/>
      <c r="DK169" s="12"/>
      <c r="DL169" s="12"/>
      <c r="DM169" s="12"/>
      <c r="DN169" s="12"/>
      <c r="DO169" s="12"/>
      <c r="DP169" s="12"/>
      <c r="DQ169" s="12"/>
      <c r="DR169" s="12"/>
      <c r="DS169" s="12"/>
      <c r="DT169" s="12"/>
      <c r="DU169" s="12"/>
      <c r="DV169" s="12"/>
      <c r="DW169" s="12"/>
      <c r="DX169" s="12"/>
      <c r="DY169" s="12"/>
      <c r="DZ169" s="12"/>
      <c r="EA169" s="12"/>
      <c r="EB169" s="12"/>
      <c r="EC169" s="12"/>
      <c r="ED169" s="12"/>
      <c r="EE169" s="12"/>
      <c r="EF169" s="12"/>
      <c r="EG169" s="12"/>
      <c r="EH169" s="12"/>
      <c r="EI169" s="12"/>
      <c r="EJ169" s="12"/>
      <c r="EK169" s="12"/>
      <c r="EL169" s="12"/>
      <c r="EM169" s="12"/>
      <c r="EN169" s="12"/>
      <c r="EO169" s="12"/>
      <c r="EP169" s="12"/>
      <c r="EQ169" s="12"/>
      <c r="ER169" s="12"/>
      <c r="ES169" s="12"/>
      <c r="ET169" s="12"/>
      <c r="EU169" s="12"/>
      <c r="EV169" s="12"/>
      <c r="EW169" s="12"/>
      <c r="EX169" s="12"/>
      <c r="EY169" s="12"/>
      <c r="EZ169" s="12"/>
      <c r="FA169" s="12"/>
      <c r="FB169" s="12"/>
      <c r="FC169" s="12"/>
      <c r="FD169" s="12"/>
      <c r="FE169" s="12"/>
      <c r="FF169" s="12"/>
      <c r="FG169" s="12"/>
      <c r="FH169" s="12"/>
      <c r="FI169" s="12"/>
      <c r="FJ169" s="12"/>
      <c r="FK169" s="12"/>
      <c r="FL169" s="12"/>
      <c r="FM169" s="12"/>
      <c r="FN169" s="12"/>
      <c r="FO169" s="12"/>
      <c r="FP169" s="12"/>
      <c r="FQ169" s="12"/>
      <c r="FR169" s="12"/>
      <c r="FS169" s="12"/>
      <c r="FT169" s="12"/>
      <c r="FU169" s="12"/>
      <c r="FV169" s="12"/>
      <c r="FW169" s="12"/>
      <c r="FX169" s="12"/>
      <c r="FY169" s="12"/>
      <c r="FZ169" s="12"/>
      <c r="GA169" s="12"/>
      <c r="GB169" s="12"/>
      <c r="GC169" s="12"/>
      <c r="GD169" s="12"/>
      <c r="GE169" s="12"/>
    </row>
    <row r="170" spans="1:187" ht="21" customHeight="1">
      <c r="A170" s="45"/>
      <c r="B170" s="9" t="s">
        <v>34</v>
      </c>
      <c r="C170" s="10" t="s">
        <v>195</v>
      </c>
      <c r="D170" s="10" t="s">
        <v>196</v>
      </c>
      <c r="E170" s="35">
        <v>16.134</v>
      </c>
      <c r="F170" s="35">
        <f>23.594-E170</f>
        <v>7.4600000000000009</v>
      </c>
      <c r="G170" s="35">
        <v>2.5099999999999998</v>
      </c>
      <c r="H170" s="35">
        <f>18.644-G170</f>
        <v>16.134</v>
      </c>
      <c r="I170" s="35">
        <f t="shared" si="23"/>
        <v>42.238</v>
      </c>
      <c r="J170" s="56">
        <f>'2020'!J170</f>
        <v>76.082976000000002</v>
      </c>
      <c r="K170" s="49">
        <v>3554.6055999999999</v>
      </c>
      <c r="L170" s="49">
        <v>3696.789824</v>
      </c>
      <c r="M170" s="49">
        <v>1428.7371199999998</v>
      </c>
      <c r="N170" s="49">
        <v>1485.8866047999998</v>
      </c>
      <c r="O170" s="56">
        <f t="shared" si="24"/>
        <v>2125.8684800000001</v>
      </c>
      <c r="P170" s="1">
        <f t="shared" si="25"/>
        <v>34298.762056320003</v>
      </c>
      <c r="Q170" s="1">
        <f t="shared" si="19"/>
        <v>15858.978860800002</v>
      </c>
      <c r="R170" s="1">
        <f t="shared" si="20"/>
        <v>5549.3670801920007</v>
      </c>
      <c r="S170" s="1">
        <f t="shared" si="21"/>
        <v>35670.712538572807</v>
      </c>
      <c r="T170" s="1">
        <f t="shared" si="22"/>
        <v>91377.820535884821</v>
      </c>
      <c r="U170" s="11"/>
      <c r="V170" s="11"/>
      <c r="W170" s="11"/>
      <c r="X170" s="12"/>
      <c r="Y170" s="12"/>
      <c r="Z170" s="12"/>
      <c r="AA170" s="12"/>
      <c r="AB170" s="12"/>
      <c r="AC170" s="12"/>
      <c r="AD170" s="12"/>
      <c r="AE170" s="12"/>
      <c r="AF170" s="12"/>
      <c r="AG170" s="12"/>
      <c r="AH170" s="12"/>
      <c r="AI170" s="12"/>
      <c r="AJ170" s="12"/>
      <c r="AK170" s="12"/>
      <c r="AL170" s="12"/>
      <c r="AM170" s="12"/>
      <c r="AN170" s="12"/>
      <c r="AO170" s="12"/>
      <c r="AP170" s="12"/>
      <c r="AQ170" s="12"/>
      <c r="AR170" s="12"/>
      <c r="AS170" s="12"/>
      <c r="AT170" s="12"/>
      <c r="AU170" s="12"/>
      <c r="AV170" s="12"/>
      <c r="AW170" s="12"/>
      <c r="AX170" s="12"/>
      <c r="AY170" s="12"/>
      <c r="AZ170" s="12"/>
      <c r="BA170" s="12"/>
      <c r="BB170" s="12"/>
      <c r="BC170" s="12"/>
      <c r="BD170" s="12"/>
      <c r="BE170" s="12"/>
      <c r="BF170" s="12"/>
      <c r="BG170" s="12"/>
      <c r="BH170" s="12"/>
      <c r="BI170" s="12"/>
      <c r="BJ170" s="12"/>
      <c r="BK170" s="12"/>
      <c r="BL170" s="12"/>
      <c r="BM170" s="12"/>
      <c r="BN170" s="12"/>
      <c r="BO170" s="12"/>
      <c r="BP170" s="12"/>
      <c r="BQ170" s="12"/>
      <c r="BR170" s="12"/>
      <c r="BS170" s="12"/>
      <c r="BT170" s="12"/>
      <c r="BU170" s="12"/>
      <c r="BV170" s="12"/>
      <c r="BW170" s="12"/>
      <c r="BX170" s="12"/>
      <c r="BY170" s="12"/>
      <c r="BZ170" s="12"/>
      <c r="CA170" s="12"/>
      <c r="CB170" s="12"/>
      <c r="CC170" s="12"/>
      <c r="CD170" s="12"/>
      <c r="CE170" s="12"/>
      <c r="CF170" s="12"/>
      <c r="CG170" s="12"/>
      <c r="CH170" s="12"/>
      <c r="CI170" s="12"/>
      <c r="CJ170" s="12"/>
      <c r="CK170" s="12"/>
      <c r="CL170" s="12"/>
      <c r="CM170" s="12"/>
      <c r="CN170" s="12"/>
      <c r="CO170" s="12"/>
      <c r="CP170" s="12"/>
      <c r="CQ170" s="12"/>
      <c r="CR170" s="12"/>
      <c r="CS170" s="12"/>
      <c r="CT170" s="12"/>
      <c r="CU170" s="12"/>
      <c r="CV170" s="12"/>
      <c r="CW170" s="12"/>
      <c r="CX170" s="12"/>
      <c r="CY170" s="12"/>
      <c r="CZ170" s="12"/>
      <c r="DA170" s="12"/>
      <c r="DB170" s="12"/>
      <c r="DC170" s="12"/>
      <c r="DD170" s="12"/>
      <c r="DE170" s="12"/>
      <c r="DF170" s="12"/>
      <c r="DG170" s="12"/>
      <c r="DH170" s="12"/>
      <c r="DI170" s="12"/>
      <c r="DJ170" s="12"/>
      <c r="DK170" s="12"/>
      <c r="DL170" s="12"/>
      <c r="DM170" s="12"/>
      <c r="DN170" s="12"/>
      <c r="DO170" s="12"/>
      <c r="DP170" s="12"/>
      <c r="DQ170" s="12"/>
      <c r="DR170" s="12"/>
      <c r="DS170" s="12"/>
      <c r="DT170" s="12"/>
      <c r="DU170" s="12"/>
      <c r="DV170" s="12"/>
      <c r="DW170" s="12"/>
      <c r="DX170" s="12"/>
      <c r="DY170" s="12"/>
      <c r="DZ170" s="12"/>
      <c r="EA170" s="12"/>
      <c r="EB170" s="12"/>
      <c r="EC170" s="12"/>
      <c r="ED170" s="12"/>
      <c r="EE170" s="12"/>
      <c r="EF170" s="12"/>
      <c r="EG170" s="12"/>
      <c r="EH170" s="12"/>
      <c r="EI170" s="12"/>
      <c r="EJ170" s="12"/>
      <c r="EK170" s="12"/>
      <c r="EL170" s="12"/>
      <c r="EM170" s="12"/>
      <c r="EN170" s="12"/>
      <c r="EO170" s="12"/>
      <c r="EP170" s="12"/>
      <c r="EQ170" s="12"/>
      <c r="ER170" s="12"/>
      <c r="ES170" s="12"/>
      <c r="ET170" s="12"/>
      <c r="EU170" s="12"/>
      <c r="EV170" s="12"/>
      <c r="EW170" s="12"/>
      <c r="EX170" s="12"/>
      <c r="EY170" s="12"/>
      <c r="EZ170" s="12"/>
      <c r="FA170" s="12"/>
      <c r="FB170" s="12"/>
      <c r="FC170" s="12"/>
      <c r="FD170" s="12"/>
      <c r="FE170" s="12"/>
      <c r="FF170" s="12"/>
      <c r="FG170" s="12"/>
      <c r="FH170" s="12"/>
      <c r="FI170" s="12"/>
      <c r="FJ170" s="12"/>
      <c r="FK170" s="12"/>
      <c r="FL170" s="12"/>
      <c r="FM170" s="12"/>
      <c r="FN170" s="12"/>
      <c r="FO170" s="12"/>
      <c r="FP170" s="12"/>
      <c r="FQ170" s="12"/>
      <c r="FR170" s="12"/>
      <c r="FS170" s="12"/>
      <c r="FT170" s="12"/>
      <c r="FU170" s="12"/>
      <c r="FV170" s="12"/>
      <c r="FW170" s="12"/>
      <c r="FX170" s="12"/>
      <c r="FY170" s="12"/>
      <c r="FZ170" s="12"/>
      <c r="GA170" s="12"/>
      <c r="GB170" s="12"/>
      <c r="GC170" s="12"/>
      <c r="GD170" s="12"/>
      <c r="GE170" s="12"/>
    </row>
    <row r="171" spans="1:187" ht="21" customHeight="1">
      <c r="A171" s="45"/>
      <c r="B171" s="9" t="s">
        <v>275</v>
      </c>
      <c r="C171" s="10" t="s">
        <v>186</v>
      </c>
      <c r="D171" s="10" t="s">
        <v>187</v>
      </c>
      <c r="E171" s="35">
        <v>566.79999999999995</v>
      </c>
      <c r="F171" s="35">
        <f>834.139-E171</f>
        <v>267.33900000000006</v>
      </c>
      <c r="G171" s="35">
        <v>72.099999999999994</v>
      </c>
      <c r="H171" s="35">
        <f>624.346-G171</f>
        <v>552.24599999999998</v>
      </c>
      <c r="I171" s="35">
        <f t="shared" si="23"/>
        <v>1458.4850000000001</v>
      </c>
      <c r="J171" s="56">
        <f>'2020'!J171</f>
        <v>1926.16326</v>
      </c>
      <c r="K171" s="49">
        <v>2432.6952000000001</v>
      </c>
      <c r="L171" s="49">
        <v>2530.0030080000001</v>
      </c>
      <c r="M171" s="49">
        <v>1610.7720999999999</v>
      </c>
      <c r="N171" s="49">
        <v>1675.202984</v>
      </c>
      <c r="O171" s="56">
        <f t="shared" si="24"/>
        <v>821.9231000000002</v>
      </c>
      <c r="P171" s="1">
        <f t="shared" si="25"/>
        <v>465866.01308000006</v>
      </c>
      <c r="Q171" s="1">
        <f t="shared" si="19"/>
        <v>219732.09963090011</v>
      </c>
      <c r="R171" s="1">
        <f t="shared" si="20"/>
        <v>61631.081730400001</v>
      </c>
      <c r="S171" s="1">
        <f t="shared" si="21"/>
        <v>472059.89405390405</v>
      </c>
      <c r="T171" s="1">
        <f t="shared" si="22"/>
        <v>1219289.0884952042</v>
      </c>
      <c r="U171" s="11"/>
      <c r="V171" s="11"/>
      <c r="W171" s="11"/>
      <c r="X171" s="12"/>
      <c r="Y171" s="12"/>
      <c r="Z171" s="12"/>
      <c r="AA171" s="12"/>
      <c r="AB171" s="12"/>
      <c r="AC171" s="12"/>
      <c r="AD171" s="12"/>
      <c r="AE171" s="12"/>
      <c r="AF171" s="12"/>
      <c r="AG171" s="12"/>
      <c r="AH171" s="12"/>
      <c r="AI171" s="12"/>
      <c r="AJ171" s="12"/>
      <c r="AK171" s="12"/>
      <c r="AL171" s="12"/>
      <c r="AM171" s="12"/>
      <c r="AN171" s="12"/>
      <c r="AO171" s="12"/>
      <c r="AP171" s="12"/>
      <c r="AQ171" s="12"/>
      <c r="AR171" s="12"/>
      <c r="AS171" s="12"/>
      <c r="AT171" s="12"/>
      <c r="AU171" s="12"/>
      <c r="AV171" s="12"/>
      <c r="AW171" s="12"/>
      <c r="AX171" s="12"/>
      <c r="AY171" s="12"/>
      <c r="AZ171" s="12"/>
      <c r="BA171" s="12"/>
      <c r="BB171" s="12"/>
      <c r="BC171" s="12"/>
      <c r="BD171" s="12"/>
      <c r="BE171" s="12"/>
      <c r="BF171" s="12"/>
      <c r="BG171" s="12"/>
      <c r="BH171" s="12"/>
      <c r="BI171" s="12"/>
      <c r="BJ171" s="12"/>
      <c r="BK171" s="12"/>
      <c r="BL171" s="12"/>
      <c r="BM171" s="12"/>
      <c r="BN171" s="12"/>
      <c r="BO171" s="12"/>
      <c r="BP171" s="12"/>
      <c r="BQ171" s="12"/>
      <c r="BR171" s="12"/>
      <c r="BS171" s="12"/>
      <c r="BT171" s="12"/>
      <c r="BU171" s="12"/>
      <c r="BV171" s="12"/>
      <c r="BW171" s="12"/>
      <c r="BX171" s="12"/>
      <c r="BY171" s="12"/>
      <c r="BZ171" s="12"/>
      <c r="CA171" s="12"/>
      <c r="CB171" s="12"/>
      <c r="CC171" s="12"/>
      <c r="CD171" s="12"/>
      <c r="CE171" s="12"/>
      <c r="CF171" s="12"/>
      <c r="CG171" s="12"/>
      <c r="CH171" s="12"/>
      <c r="CI171" s="12"/>
      <c r="CJ171" s="12"/>
      <c r="CK171" s="12"/>
      <c r="CL171" s="12"/>
      <c r="CM171" s="12"/>
      <c r="CN171" s="12"/>
      <c r="CO171" s="12"/>
      <c r="CP171" s="12"/>
      <c r="CQ171" s="12"/>
      <c r="CR171" s="12"/>
      <c r="CS171" s="12"/>
      <c r="CT171" s="12"/>
      <c r="CU171" s="12"/>
      <c r="CV171" s="12"/>
      <c r="CW171" s="12"/>
      <c r="CX171" s="12"/>
      <c r="CY171" s="12"/>
      <c r="CZ171" s="12"/>
      <c r="DA171" s="12"/>
      <c r="DB171" s="12"/>
      <c r="DC171" s="12"/>
      <c r="DD171" s="12"/>
      <c r="DE171" s="12"/>
      <c r="DF171" s="12"/>
      <c r="DG171" s="12"/>
      <c r="DH171" s="12"/>
      <c r="DI171" s="12"/>
      <c r="DJ171" s="12"/>
      <c r="DK171" s="12"/>
      <c r="DL171" s="12"/>
      <c r="DM171" s="12"/>
      <c r="DN171" s="12"/>
      <c r="DO171" s="12"/>
      <c r="DP171" s="12"/>
      <c r="DQ171" s="12"/>
      <c r="DR171" s="12"/>
      <c r="DS171" s="12"/>
      <c r="DT171" s="12"/>
      <c r="DU171" s="12"/>
      <c r="DV171" s="12"/>
      <c r="DW171" s="12"/>
      <c r="DX171" s="12"/>
      <c r="DY171" s="12"/>
      <c r="DZ171" s="12"/>
      <c r="EA171" s="12"/>
      <c r="EB171" s="12"/>
      <c r="EC171" s="12"/>
      <c r="ED171" s="12"/>
      <c r="EE171" s="12"/>
      <c r="EF171" s="12"/>
      <c r="EG171" s="12"/>
      <c r="EH171" s="12"/>
      <c r="EI171" s="12"/>
      <c r="EJ171" s="12"/>
      <c r="EK171" s="12"/>
      <c r="EL171" s="12"/>
      <c r="EM171" s="12"/>
      <c r="EN171" s="12"/>
      <c r="EO171" s="12"/>
      <c r="EP171" s="12"/>
      <c r="EQ171" s="12"/>
      <c r="ER171" s="12"/>
      <c r="ES171" s="12"/>
      <c r="ET171" s="12"/>
      <c r="EU171" s="12"/>
      <c r="EV171" s="12"/>
      <c r="EW171" s="12"/>
      <c r="EX171" s="12"/>
      <c r="EY171" s="12"/>
      <c r="EZ171" s="12"/>
      <c r="FA171" s="12"/>
      <c r="FB171" s="12"/>
      <c r="FC171" s="12"/>
      <c r="FD171" s="12"/>
      <c r="FE171" s="12"/>
      <c r="FF171" s="12"/>
      <c r="FG171" s="12"/>
      <c r="FH171" s="12"/>
      <c r="FI171" s="12"/>
      <c r="FJ171" s="12"/>
      <c r="FK171" s="12"/>
      <c r="FL171" s="12"/>
      <c r="FM171" s="12"/>
      <c r="FN171" s="12"/>
      <c r="FO171" s="12"/>
      <c r="FP171" s="12"/>
      <c r="FQ171" s="12"/>
      <c r="FR171" s="12"/>
      <c r="FS171" s="12"/>
      <c r="FT171" s="12"/>
      <c r="FU171" s="12"/>
      <c r="FV171" s="12"/>
      <c r="FW171" s="12"/>
      <c r="FX171" s="12"/>
      <c r="FY171" s="12"/>
      <c r="FZ171" s="12"/>
      <c r="GA171" s="12"/>
      <c r="GB171" s="12"/>
      <c r="GC171" s="12"/>
      <c r="GD171" s="12"/>
      <c r="GE171" s="12"/>
    </row>
    <row r="172" spans="1:187" ht="21" customHeight="1">
      <c r="A172" s="45"/>
      <c r="B172" s="9" t="s">
        <v>272</v>
      </c>
      <c r="C172" s="10" t="s">
        <v>199</v>
      </c>
      <c r="D172" s="10" t="s">
        <v>200</v>
      </c>
      <c r="E172" s="35">
        <v>47.841000000000001</v>
      </c>
      <c r="F172" s="35">
        <f>64.535-E172</f>
        <v>16.693999999999996</v>
      </c>
      <c r="G172" s="35">
        <v>8.5</v>
      </c>
      <c r="H172" s="35">
        <v>51</v>
      </c>
      <c r="I172" s="35">
        <f t="shared" si="23"/>
        <v>124.035</v>
      </c>
      <c r="J172" s="56">
        <f>'2020'!J172</f>
        <v>135.97333333333333</v>
      </c>
      <c r="K172" s="49">
        <v>4380.5944</v>
      </c>
      <c r="L172" s="49">
        <v>4555.8181759999998</v>
      </c>
      <c r="M172" s="49">
        <v>1924.32979</v>
      </c>
      <c r="N172" s="49">
        <v>2001.3029816000001</v>
      </c>
      <c r="O172" s="56">
        <f t="shared" si="24"/>
        <v>2456.2646100000002</v>
      </c>
      <c r="P172" s="1">
        <f t="shared" si="25"/>
        <v>117510.15520701002</v>
      </c>
      <c r="Q172" s="1">
        <f t="shared" si="19"/>
        <v>41004.881399339989</v>
      </c>
      <c r="R172" s="1">
        <f t="shared" si="20"/>
        <v>21713.379152400001</v>
      </c>
      <c r="S172" s="1">
        <f t="shared" si="21"/>
        <v>130280.2749144</v>
      </c>
      <c r="T172" s="1">
        <f t="shared" si="22"/>
        <v>310508.69067315001</v>
      </c>
      <c r="U172" s="11"/>
      <c r="V172" s="11"/>
      <c r="W172" s="11"/>
      <c r="X172" s="12"/>
      <c r="Y172" s="12"/>
      <c r="Z172" s="12"/>
      <c r="AA172" s="12"/>
      <c r="AB172" s="12"/>
      <c r="AC172" s="12"/>
      <c r="AD172" s="12"/>
      <c r="AE172" s="12"/>
      <c r="AF172" s="12"/>
      <c r="AG172" s="12"/>
      <c r="AH172" s="12"/>
      <c r="AI172" s="12"/>
      <c r="AJ172" s="12"/>
      <c r="AK172" s="12"/>
      <c r="AL172" s="12"/>
      <c r="AM172" s="12"/>
      <c r="AN172" s="12"/>
      <c r="AO172" s="12"/>
      <c r="AP172" s="12"/>
      <c r="AQ172" s="12"/>
      <c r="AR172" s="12"/>
      <c r="AS172" s="12"/>
      <c r="AT172" s="12"/>
      <c r="AU172" s="12"/>
      <c r="AV172" s="12"/>
      <c r="AW172" s="12"/>
      <c r="AX172" s="12"/>
      <c r="AY172" s="12"/>
      <c r="AZ172" s="12"/>
      <c r="BA172" s="12"/>
      <c r="BB172" s="12"/>
      <c r="BC172" s="12"/>
      <c r="BD172" s="12"/>
      <c r="BE172" s="12"/>
      <c r="BF172" s="12"/>
      <c r="BG172" s="12"/>
      <c r="BH172" s="12"/>
      <c r="BI172" s="12"/>
      <c r="BJ172" s="12"/>
      <c r="BK172" s="12"/>
      <c r="BL172" s="12"/>
      <c r="BM172" s="12"/>
      <c r="BN172" s="12"/>
      <c r="BO172" s="12"/>
      <c r="BP172" s="12"/>
      <c r="BQ172" s="12"/>
      <c r="BR172" s="12"/>
      <c r="BS172" s="12"/>
      <c r="BT172" s="12"/>
      <c r="BU172" s="12"/>
      <c r="BV172" s="12"/>
      <c r="BW172" s="12"/>
      <c r="BX172" s="12"/>
      <c r="BY172" s="12"/>
      <c r="BZ172" s="12"/>
      <c r="CA172" s="12"/>
      <c r="CB172" s="12"/>
      <c r="CC172" s="12"/>
      <c r="CD172" s="12"/>
      <c r="CE172" s="12"/>
      <c r="CF172" s="12"/>
      <c r="CG172" s="12"/>
      <c r="CH172" s="12"/>
      <c r="CI172" s="12"/>
      <c r="CJ172" s="12"/>
      <c r="CK172" s="12"/>
      <c r="CL172" s="12"/>
      <c r="CM172" s="12"/>
      <c r="CN172" s="12"/>
      <c r="CO172" s="12"/>
      <c r="CP172" s="12"/>
      <c r="CQ172" s="12"/>
      <c r="CR172" s="12"/>
      <c r="CS172" s="12"/>
      <c r="CT172" s="12"/>
      <c r="CU172" s="12"/>
      <c r="CV172" s="12"/>
      <c r="CW172" s="12"/>
      <c r="CX172" s="12"/>
      <c r="CY172" s="12"/>
      <c r="CZ172" s="12"/>
      <c r="DA172" s="12"/>
      <c r="DB172" s="12"/>
      <c r="DC172" s="12"/>
      <c r="DD172" s="12"/>
      <c r="DE172" s="12"/>
      <c r="DF172" s="12"/>
      <c r="DG172" s="12"/>
      <c r="DH172" s="12"/>
      <c r="DI172" s="12"/>
      <c r="DJ172" s="12"/>
      <c r="DK172" s="12"/>
      <c r="DL172" s="12"/>
      <c r="DM172" s="12"/>
      <c r="DN172" s="12"/>
      <c r="DO172" s="12"/>
      <c r="DP172" s="12"/>
      <c r="DQ172" s="12"/>
      <c r="DR172" s="12"/>
      <c r="DS172" s="12"/>
      <c r="DT172" s="12"/>
      <c r="DU172" s="12"/>
      <c r="DV172" s="12"/>
      <c r="DW172" s="12"/>
      <c r="DX172" s="12"/>
      <c r="DY172" s="12"/>
      <c r="DZ172" s="12"/>
      <c r="EA172" s="12"/>
      <c r="EB172" s="12"/>
      <c r="EC172" s="12"/>
      <c r="ED172" s="12"/>
      <c r="EE172" s="12"/>
      <c r="EF172" s="12"/>
      <c r="EG172" s="12"/>
      <c r="EH172" s="12"/>
      <c r="EI172" s="12"/>
      <c r="EJ172" s="12"/>
      <c r="EK172" s="12"/>
      <c r="EL172" s="12"/>
      <c r="EM172" s="12"/>
      <c r="EN172" s="12"/>
      <c r="EO172" s="12"/>
      <c r="EP172" s="12"/>
      <c r="EQ172" s="12"/>
      <c r="ER172" s="12"/>
      <c r="ES172" s="12"/>
      <c r="ET172" s="12"/>
      <c r="EU172" s="12"/>
      <c r="EV172" s="12"/>
      <c r="EW172" s="12"/>
      <c r="EX172" s="12"/>
      <c r="EY172" s="12"/>
      <c r="EZ172" s="12"/>
      <c r="FA172" s="12"/>
      <c r="FB172" s="12"/>
      <c r="FC172" s="12"/>
      <c r="FD172" s="12"/>
      <c r="FE172" s="12"/>
      <c r="FF172" s="12"/>
      <c r="FG172" s="12"/>
      <c r="FH172" s="12"/>
      <c r="FI172" s="12"/>
      <c r="FJ172" s="12"/>
      <c r="FK172" s="12"/>
      <c r="FL172" s="12"/>
      <c r="FM172" s="12"/>
      <c r="FN172" s="12"/>
      <c r="FO172" s="12"/>
      <c r="FP172" s="12"/>
      <c r="FQ172" s="12"/>
      <c r="FR172" s="12"/>
      <c r="FS172" s="12"/>
      <c r="FT172" s="12"/>
      <c r="FU172" s="12"/>
      <c r="FV172" s="12"/>
      <c r="FW172" s="12"/>
      <c r="FX172" s="12"/>
      <c r="FY172" s="12"/>
      <c r="FZ172" s="12"/>
      <c r="GA172" s="12"/>
      <c r="GB172" s="12"/>
      <c r="GC172" s="12"/>
      <c r="GD172" s="12"/>
      <c r="GE172" s="12"/>
    </row>
    <row r="173" spans="1:187" ht="21" customHeight="1">
      <c r="A173" s="45"/>
      <c r="B173" s="9" t="s">
        <v>382</v>
      </c>
      <c r="C173" s="10" t="s">
        <v>383</v>
      </c>
      <c r="D173" s="10" t="s">
        <v>201</v>
      </c>
      <c r="E173" s="35">
        <v>7.6079999999999997</v>
      </c>
      <c r="F173" s="35">
        <f>11.38-E173</f>
        <v>3.7720000000000011</v>
      </c>
      <c r="G173" s="35">
        <v>1.18</v>
      </c>
      <c r="H173" s="35">
        <v>7.05</v>
      </c>
      <c r="I173" s="35">
        <f t="shared" si="23"/>
        <v>19.61</v>
      </c>
      <c r="J173" s="56">
        <f>'2020'!J173</f>
        <v>20.75</v>
      </c>
      <c r="K173" s="49">
        <v>4463.47</v>
      </c>
      <c r="L173" s="49">
        <v>4642.0088000000005</v>
      </c>
      <c r="M173" s="49">
        <v>1924.1534999999999</v>
      </c>
      <c r="N173" s="49">
        <v>2001.1196399999999</v>
      </c>
      <c r="O173" s="56">
        <f t="shared" si="24"/>
        <v>2539.3165000000004</v>
      </c>
      <c r="P173" s="1">
        <f t="shared" si="25"/>
        <v>19319.119932000001</v>
      </c>
      <c r="Q173" s="1">
        <f t="shared" si="19"/>
        <v>9578.3018380000049</v>
      </c>
      <c r="R173" s="1">
        <f t="shared" si="20"/>
        <v>3116.2492088000004</v>
      </c>
      <c r="S173" s="1">
        <f t="shared" si="21"/>
        <v>18618.268578000003</v>
      </c>
      <c r="T173" s="1">
        <f t="shared" si="22"/>
        <v>50631.939556800011</v>
      </c>
      <c r="U173" s="11"/>
      <c r="V173" s="11"/>
      <c r="W173" s="11"/>
      <c r="X173" s="12"/>
      <c r="Y173" s="12"/>
      <c r="Z173" s="12"/>
      <c r="AA173" s="12"/>
      <c r="AB173" s="12"/>
      <c r="AC173" s="12"/>
      <c r="AD173" s="12"/>
      <c r="AE173" s="12"/>
      <c r="AF173" s="12"/>
      <c r="AG173" s="12"/>
      <c r="AH173" s="12"/>
      <c r="AI173" s="12"/>
      <c r="AJ173" s="12"/>
      <c r="AK173" s="12"/>
      <c r="AL173" s="12"/>
      <c r="AM173" s="12"/>
      <c r="AN173" s="12"/>
      <c r="AO173" s="12"/>
      <c r="AP173" s="12"/>
      <c r="AQ173" s="12"/>
      <c r="AR173" s="12"/>
      <c r="AS173" s="12"/>
      <c r="AT173" s="12"/>
      <c r="AU173" s="12"/>
      <c r="AV173" s="12"/>
      <c r="AW173" s="12"/>
      <c r="AX173" s="12"/>
      <c r="AY173" s="12"/>
      <c r="AZ173" s="12"/>
      <c r="BA173" s="12"/>
      <c r="BB173" s="12"/>
      <c r="BC173" s="12"/>
      <c r="BD173" s="12"/>
      <c r="BE173" s="12"/>
      <c r="BF173" s="12"/>
      <c r="BG173" s="12"/>
      <c r="BH173" s="12"/>
      <c r="BI173" s="12"/>
      <c r="BJ173" s="12"/>
      <c r="BK173" s="12"/>
      <c r="BL173" s="12"/>
      <c r="BM173" s="12"/>
      <c r="BN173" s="12"/>
      <c r="BO173" s="12"/>
      <c r="BP173" s="12"/>
      <c r="BQ173" s="12"/>
      <c r="BR173" s="12"/>
      <c r="BS173" s="12"/>
      <c r="BT173" s="12"/>
      <c r="BU173" s="12"/>
      <c r="BV173" s="12"/>
      <c r="BW173" s="12"/>
      <c r="BX173" s="12"/>
      <c r="BY173" s="12"/>
      <c r="BZ173" s="12"/>
      <c r="CA173" s="12"/>
      <c r="CB173" s="12"/>
      <c r="CC173" s="12"/>
      <c r="CD173" s="12"/>
      <c r="CE173" s="12"/>
      <c r="CF173" s="12"/>
      <c r="CG173" s="12"/>
      <c r="CH173" s="12"/>
      <c r="CI173" s="12"/>
      <c r="CJ173" s="12"/>
      <c r="CK173" s="12"/>
      <c r="CL173" s="12"/>
      <c r="CM173" s="12"/>
      <c r="CN173" s="12"/>
      <c r="CO173" s="12"/>
      <c r="CP173" s="12"/>
      <c r="CQ173" s="12"/>
      <c r="CR173" s="12"/>
      <c r="CS173" s="12"/>
      <c r="CT173" s="12"/>
      <c r="CU173" s="12"/>
      <c r="CV173" s="12"/>
      <c r="CW173" s="12"/>
      <c r="CX173" s="12"/>
      <c r="CY173" s="12"/>
      <c r="CZ173" s="12"/>
      <c r="DA173" s="12"/>
      <c r="DB173" s="12"/>
      <c r="DC173" s="12"/>
      <c r="DD173" s="12"/>
      <c r="DE173" s="12"/>
      <c r="DF173" s="12"/>
      <c r="DG173" s="12"/>
      <c r="DH173" s="12"/>
      <c r="DI173" s="12"/>
      <c r="DJ173" s="12"/>
      <c r="DK173" s="12"/>
      <c r="DL173" s="12"/>
      <c r="DM173" s="12"/>
      <c r="DN173" s="12"/>
      <c r="DO173" s="12"/>
      <c r="DP173" s="12"/>
      <c r="DQ173" s="12"/>
      <c r="DR173" s="12"/>
      <c r="DS173" s="12"/>
      <c r="DT173" s="12"/>
      <c r="DU173" s="12"/>
      <c r="DV173" s="12"/>
      <c r="DW173" s="12"/>
      <c r="DX173" s="12"/>
      <c r="DY173" s="12"/>
      <c r="DZ173" s="12"/>
      <c r="EA173" s="12"/>
      <c r="EB173" s="12"/>
      <c r="EC173" s="12"/>
      <c r="ED173" s="12"/>
      <c r="EE173" s="12"/>
      <c r="EF173" s="12"/>
      <c r="EG173" s="12"/>
      <c r="EH173" s="12"/>
      <c r="EI173" s="12"/>
      <c r="EJ173" s="12"/>
      <c r="EK173" s="12"/>
      <c r="EL173" s="12"/>
      <c r="EM173" s="12"/>
      <c r="EN173" s="12"/>
      <c r="EO173" s="12"/>
      <c r="EP173" s="12"/>
      <c r="EQ173" s="12"/>
      <c r="ER173" s="12"/>
      <c r="ES173" s="12"/>
      <c r="ET173" s="12"/>
      <c r="EU173" s="12"/>
      <c r="EV173" s="12"/>
      <c r="EW173" s="12"/>
      <c r="EX173" s="12"/>
      <c r="EY173" s="12"/>
      <c r="EZ173" s="12"/>
      <c r="FA173" s="12"/>
      <c r="FB173" s="12"/>
      <c r="FC173" s="12"/>
      <c r="FD173" s="12"/>
      <c r="FE173" s="12"/>
      <c r="FF173" s="12"/>
      <c r="FG173" s="12"/>
      <c r="FH173" s="12"/>
      <c r="FI173" s="12"/>
      <c r="FJ173" s="12"/>
      <c r="FK173" s="12"/>
      <c r="FL173" s="12"/>
      <c r="FM173" s="12"/>
      <c r="FN173" s="12"/>
      <c r="FO173" s="12"/>
      <c r="FP173" s="12"/>
      <c r="FQ173" s="12"/>
      <c r="FR173" s="12"/>
      <c r="FS173" s="12"/>
      <c r="FT173" s="12"/>
      <c r="FU173" s="12"/>
      <c r="FV173" s="12"/>
      <c r="FW173" s="12"/>
      <c r="FX173" s="12"/>
      <c r="FY173" s="12"/>
      <c r="FZ173" s="12"/>
      <c r="GA173" s="12"/>
      <c r="GB173" s="12"/>
      <c r="GC173" s="12"/>
      <c r="GD173" s="12"/>
      <c r="GE173" s="12"/>
    </row>
    <row r="174" spans="1:187" ht="21" customHeight="1">
      <c r="A174" s="45"/>
      <c r="B174" s="9" t="s">
        <v>382</v>
      </c>
      <c r="C174" s="10" t="s">
        <v>383</v>
      </c>
      <c r="D174" s="10" t="s">
        <v>302</v>
      </c>
      <c r="E174" s="35">
        <v>59.927999999999997</v>
      </c>
      <c r="F174" s="35">
        <f>84.997-E174</f>
        <v>25.069000000000003</v>
      </c>
      <c r="G174" s="35">
        <v>9.3699999999999992</v>
      </c>
      <c r="H174" s="35">
        <v>56.22</v>
      </c>
      <c r="I174" s="35">
        <f t="shared" si="23"/>
        <v>150.58699999999999</v>
      </c>
      <c r="J174" s="56">
        <f>'2020'!J174</f>
        <v>149.06</v>
      </c>
      <c r="K174" s="49">
        <v>6314.152</v>
      </c>
      <c r="L174" s="49">
        <v>6566.7180800000006</v>
      </c>
      <c r="M174" s="49">
        <v>1705.1598399999998</v>
      </c>
      <c r="N174" s="49">
        <v>1773.3662335999998</v>
      </c>
      <c r="O174" s="56">
        <f t="shared" si="24"/>
        <v>4608.9921599999998</v>
      </c>
      <c r="P174" s="1">
        <f t="shared" si="25"/>
        <v>276207.68216447998</v>
      </c>
      <c r="Q174" s="1">
        <f t="shared" si="19"/>
        <v>115542.82445904001</v>
      </c>
      <c r="R174" s="1">
        <f t="shared" si="20"/>
        <v>44913.706800768006</v>
      </c>
      <c r="S174" s="1">
        <f t="shared" si="21"/>
        <v>269482.24080460804</v>
      </c>
      <c r="T174" s="1">
        <f t="shared" si="22"/>
        <v>706146.45422889595</v>
      </c>
      <c r="U174" s="11"/>
      <c r="V174" s="11"/>
      <c r="W174" s="11"/>
      <c r="X174" s="12"/>
      <c r="Y174" s="12"/>
      <c r="Z174" s="12"/>
      <c r="AA174" s="12"/>
      <c r="AB174" s="12"/>
      <c r="AC174" s="12"/>
      <c r="AD174" s="12"/>
      <c r="AE174" s="12"/>
      <c r="AF174" s="12"/>
      <c r="AG174" s="12"/>
      <c r="AH174" s="12"/>
      <c r="AI174" s="12"/>
      <c r="AJ174" s="12"/>
      <c r="AK174" s="12"/>
      <c r="AL174" s="12"/>
      <c r="AM174" s="12"/>
      <c r="AN174" s="12"/>
      <c r="AO174" s="12"/>
      <c r="AP174" s="12"/>
      <c r="AQ174" s="12"/>
      <c r="AR174" s="12"/>
      <c r="AS174" s="12"/>
      <c r="AT174" s="12"/>
      <c r="AU174" s="12"/>
      <c r="AV174" s="12"/>
      <c r="AW174" s="12"/>
      <c r="AX174" s="12"/>
      <c r="AY174" s="12"/>
      <c r="AZ174" s="12"/>
      <c r="BA174" s="12"/>
      <c r="BB174" s="12"/>
      <c r="BC174" s="12"/>
      <c r="BD174" s="12"/>
      <c r="BE174" s="12"/>
      <c r="BF174" s="12"/>
      <c r="BG174" s="12"/>
      <c r="BH174" s="12"/>
      <c r="BI174" s="12"/>
      <c r="BJ174" s="12"/>
      <c r="BK174" s="12"/>
      <c r="BL174" s="12"/>
      <c r="BM174" s="12"/>
      <c r="BN174" s="12"/>
      <c r="BO174" s="12"/>
      <c r="BP174" s="12"/>
      <c r="BQ174" s="12"/>
      <c r="BR174" s="12"/>
      <c r="BS174" s="12"/>
      <c r="BT174" s="12"/>
      <c r="BU174" s="12"/>
      <c r="BV174" s="12"/>
      <c r="BW174" s="12"/>
      <c r="BX174" s="12"/>
      <c r="BY174" s="12"/>
      <c r="BZ174" s="12"/>
      <c r="CA174" s="12"/>
      <c r="CB174" s="12"/>
      <c r="CC174" s="12"/>
      <c r="CD174" s="12"/>
      <c r="CE174" s="12"/>
      <c r="CF174" s="12"/>
      <c r="CG174" s="12"/>
      <c r="CH174" s="12"/>
      <c r="CI174" s="12"/>
      <c r="CJ174" s="12"/>
      <c r="CK174" s="12"/>
      <c r="CL174" s="12"/>
      <c r="CM174" s="12"/>
      <c r="CN174" s="12"/>
      <c r="CO174" s="12"/>
      <c r="CP174" s="12"/>
      <c r="CQ174" s="12"/>
      <c r="CR174" s="12"/>
      <c r="CS174" s="12"/>
      <c r="CT174" s="12"/>
      <c r="CU174" s="12"/>
      <c r="CV174" s="12"/>
      <c r="CW174" s="12"/>
      <c r="CX174" s="12"/>
      <c r="CY174" s="12"/>
      <c r="CZ174" s="12"/>
      <c r="DA174" s="12"/>
      <c r="DB174" s="12"/>
      <c r="DC174" s="12"/>
      <c r="DD174" s="12"/>
      <c r="DE174" s="12"/>
      <c r="DF174" s="12"/>
      <c r="DG174" s="12"/>
      <c r="DH174" s="12"/>
      <c r="DI174" s="12"/>
      <c r="DJ174" s="12"/>
      <c r="DK174" s="12"/>
      <c r="DL174" s="12"/>
      <c r="DM174" s="12"/>
      <c r="DN174" s="12"/>
      <c r="DO174" s="12"/>
      <c r="DP174" s="12"/>
      <c r="DQ174" s="12"/>
      <c r="DR174" s="12"/>
      <c r="DS174" s="12"/>
      <c r="DT174" s="12"/>
      <c r="DU174" s="12"/>
      <c r="DV174" s="12"/>
      <c r="DW174" s="12"/>
      <c r="DX174" s="12"/>
      <c r="DY174" s="12"/>
      <c r="DZ174" s="12"/>
      <c r="EA174" s="12"/>
      <c r="EB174" s="12"/>
      <c r="EC174" s="12"/>
      <c r="ED174" s="12"/>
      <c r="EE174" s="12"/>
      <c r="EF174" s="12"/>
      <c r="EG174" s="12"/>
      <c r="EH174" s="12"/>
      <c r="EI174" s="12"/>
      <c r="EJ174" s="12"/>
      <c r="EK174" s="12"/>
      <c r="EL174" s="12"/>
      <c r="EM174" s="12"/>
      <c r="EN174" s="12"/>
      <c r="EO174" s="12"/>
      <c r="EP174" s="12"/>
      <c r="EQ174" s="12"/>
      <c r="ER174" s="12"/>
      <c r="ES174" s="12"/>
      <c r="ET174" s="12"/>
      <c r="EU174" s="12"/>
      <c r="EV174" s="12"/>
      <c r="EW174" s="12"/>
      <c r="EX174" s="12"/>
      <c r="EY174" s="12"/>
      <c r="EZ174" s="12"/>
      <c r="FA174" s="12"/>
      <c r="FB174" s="12"/>
      <c r="FC174" s="12"/>
      <c r="FD174" s="12"/>
      <c r="FE174" s="12"/>
      <c r="FF174" s="12"/>
      <c r="FG174" s="12"/>
      <c r="FH174" s="12"/>
      <c r="FI174" s="12"/>
      <c r="FJ174" s="12"/>
      <c r="FK174" s="12"/>
      <c r="FL174" s="12"/>
      <c r="FM174" s="12"/>
      <c r="FN174" s="12"/>
      <c r="FO174" s="12"/>
      <c r="FP174" s="12"/>
      <c r="FQ174" s="12"/>
      <c r="FR174" s="12"/>
      <c r="FS174" s="12"/>
      <c r="FT174" s="12"/>
      <c r="FU174" s="12"/>
      <c r="FV174" s="12"/>
      <c r="FW174" s="12"/>
      <c r="FX174" s="12"/>
      <c r="FY174" s="12"/>
      <c r="FZ174" s="12"/>
      <c r="GA174" s="12"/>
      <c r="GB174" s="12"/>
      <c r="GC174" s="12"/>
      <c r="GD174" s="12"/>
      <c r="GE174" s="12"/>
    </row>
    <row r="175" spans="1:187" ht="21" customHeight="1">
      <c r="A175" s="45"/>
      <c r="B175" s="101" t="s">
        <v>202</v>
      </c>
      <c r="C175" s="101"/>
      <c r="D175" s="101"/>
      <c r="E175" s="34"/>
      <c r="F175" s="34"/>
      <c r="G175" s="34"/>
      <c r="H175" s="34"/>
      <c r="I175" s="35">
        <f t="shared" si="23"/>
        <v>0</v>
      </c>
      <c r="J175" s="56"/>
      <c r="K175" s="49"/>
      <c r="L175" s="49"/>
      <c r="M175" s="49"/>
      <c r="N175" s="49"/>
      <c r="O175" s="56">
        <f t="shared" si="24"/>
        <v>0</v>
      </c>
      <c r="P175" s="1">
        <f t="shared" si="25"/>
        <v>0</v>
      </c>
      <c r="Q175" s="1">
        <f t="shared" si="19"/>
        <v>0</v>
      </c>
      <c r="R175" s="1">
        <f t="shared" si="20"/>
        <v>0</v>
      </c>
      <c r="S175" s="1">
        <f t="shared" si="21"/>
        <v>0</v>
      </c>
      <c r="T175" s="1">
        <f t="shared" si="22"/>
        <v>0</v>
      </c>
      <c r="U175" s="45"/>
      <c r="V175" s="45"/>
      <c r="W175" s="45"/>
    </row>
    <row r="176" spans="1:187" ht="21" customHeight="1">
      <c r="A176" s="45"/>
      <c r="B176" s="9" t="s">
        <v>267</v>
      </c>
      <c r="C176" s="10" t="s">
        <v>215</v>
      </c>
      <c r="D176" s="10" t="s">
        <v>325</v>
      </c>
      <c r="E176" s="35">
        <v>1021.745</v>
      </c>
      <c r="F176" s="35">
        <f>1572.266-E176</f>
        <v>550.52100000000007</v>
      </c>
      <c r="G176" s="35">
        <v>204.524</v>
      </c>
      <c r="H176" s="35">
        <f>1069.424-G176</f>
        <v>864.9</v>
      </c>
      <c r="I176" s="35">
        <f t="shared" si="23"/>
        <v>2641.69</v>
      </c>
      <c r="J176" s="56">
        <v>2981.02</v>
      </c>
      <c r="K176" s="49">
        <v>4106.8999999999996</v>
      </c>
      <c r="L176" s="49">
        <v>4271.1759999999995</v>
      </c>
      <c r="M176" s="49">
        <v>1497.27</v>
      </c>
      <c r="N176" s="49">
        <v>1557.1608000000001</v>
      </c>
      <c r="O176" s="56">
        <f t="shared" si="24"/>
        <v>2609.6299999999997</v>
      </c>
      <c r="P176" s="1">
        <f t="shared" si="25"/>
        <v>2666376.4043499995</v>
      </c>
      <c r="Q176" s="1">
        <f t="shared" si="19"/>
        <v>1436656.11723</v>
      </c>
      <c r="R176" s="1">
        <f t="shared" si="20"/>
        <v>555081.24476479983</v>
      </c>
      <c r="S176" s="1">
        <f t="shared" si="21"/>
        <v>2347351.7464799993</v>
      </c>
      <c r="T176" s="1">
        <f t="shared" si="22"/>
        <v>7005465.5128247989</v>
      </c>
      <c r="U176" s="11"/>
      <c r="V176" s="11"/>
      <c r="W176" s="11"/>
      <c r="X176" s="12"/>
      <c r="Y176" s="12"/>
      <c r="Z176" s="12"/>
      <c r="AA176" s="12"/>
      <c r="AB176" s="12"/>
      <c r="AC176" s="12"/>
      <c r="AD176" s="12"/>
      <c r="AE176" s="12"/>
      <c r="AF176" s="12"/>
      <c r="AG176" s="12"/>
      <c r="AH176" s="12"/>
      <c r="AI176" s="12"/>
      <c r="AJ176" s="12"/>
      <c r="AK176" s="12"/>
      <c r="AL176" s="12"/>
      <c r="AM176" s="12"/>
      <c r="AN176" s="12"/>
      <c r="AO176" s="12"/>
      <c r="AP176" s="12"/>
      <c r="AQ176" s="12"/>
      <c r="AR176" s="12"/>
      <c r="AS176" s="12"/>
      <c r="AT176" s="12"/>
      <c r="AU176" s="12"/>
      <c r="AV176" s="12"/>
      <c r="AW176" s="12"/>
      <c r="AX176" s="12"/>
      <c r="AY176" s="12"/>
      <c r="AZ176" s="12"/>
      <c r="BA176" s="12"/>
      <c r="BB176" s="12"/>
      <c r="BC176" s="12"/>
      <c r="BD176" s="12"/>
      <c r="BE176" s="12"/>
      <c r="BF176" s="12"/>
      <c r="BG176" s="12"/>
      <c r="BH176" s="12"/>
      <c r="BI176" s="12"/>
      <c r="BJ176" s="12"/>
      <c r="BK176" s="12"/>
      <c r="BL176" s="12"/>
      <c r="BM176" s="12"/>
      <c r="BN176" s="12"/>
      <c r="BO176" s="12"/>
      <c r="BP176" s="12"/>
      <c r="BQ176" s="12"/>
      <c r="BR176" s="12"/>
      <c r="BS176" s="12"/>
      <c r="BT176" s="12"/>
      <c r="BU176" s="12"/>
      <c r="BV176" s="12"/>
      <c r="BW176" s="12"/>
      <c r="BX176" s="12"/>
      <c r="BY176" s="12"/>
      <c r="BZ176" s="12"/>
      <c r="CA176" s="12"/>
      <c r="CB176" s="12"/>
      <c r="CC176" s="12"/>
      <c r="CD176" s="12"/>
      <c r="CE176" s="12"/>
      <c r="CF176" s="12"/>
      <c r="CG176" s="12"/>
      <c r="CH176" s="12"/>
      <c r="CI176" s="12"/>
      <c r="CJ176" s="12"/>
      <c r="CK176" s="12"/>
      <c r="CL176" s="12"/>
      <c r="CM176" s="12"/>
      <c r="CN176" s="12"/>
      <c r="CO176" s="12"/>
      <c r="CP176" s="12"/>
      <c r="CQ176" s="12"/>
      <c r="CR176" s="12"/>
      <c r="CS176" s="12"/>
      <c r="CT176" s="12"/>
      <c r="CU176" s="12"/>
      <c r="CV176" s="12"/>
      <c r="CW176" s="12"/>
      <c r="CX176" s="12"/>
      <c r="CY176" s="12"/>
      <c r="CZ176" s="12"/>
      <c r="DA176" s="12"/>
      <c r="DB176" s="12"/>
      <c r="DC176" s="12"/>
      <c r="DD176" s="12"/>
      <c r="DE176" s="12"/>
      <c r="DF176" s="12"/>
      <c r="DG176" s="12"/>
      <c r="DH176" s="12"/>
      <c r="DI176" s="12"/>
      <c r="DJ176" s="12"/>
      <c r="DK176" s="12"/>
      <c r="DL176" s="12"/>
      <c r="DM176" s="12"/>
      <c r="DN176" s="12"/>
      <c r="DO176" s="12"/>
      <c r="DP176" s="12"/>
      <c r="DQ176" s="12"/>
      <c r="DR176" s="12"/>
      <c r="DS176" s="12"/>
      <c r="DT176" s="12"/>
      <c r="DU176" s="12"/>
      <c r="DV176" s="12"/>
      <c r="DW176" s="12"/>
      <c r="DX176" s="12"/>
      <c r="DY176" s="12"/>
      <c r="DZ176" s="12"/>
      <c r="EA176" s="12"/>
      <c r="EB176" s="12"/>
      <c r="EC176" s="12"/>
      <c r="ED176" s="12"/>
      <c r="EE176" s="12"/>
      <c r="EF176" s="12"/>
      <c r="EG176" s="12"/>
      <c r="EH176" s="12"/>
      <c r="EI176" s="12"/>
      <c r="EJ176" s="12"/>
      <c r="EK176" s="12"/>
      <c r="EL176" s="12"/>
      <c r="EM176" s="12"/>
      <c r="EN176" s="12"/>
      <c r="EO176" s="12"/>
      <c r="EP176" s="12"/>
      <c r="EQ176" s="12"/>
      <c r="ER176" s="12"/>
      <c r="ES176" s="12"/>
      <c r="ET176" s="12"/>
      <c r="EU176" s="12"/>
      <c r="EV176" s="12"/>
      <c r="EW176" s="12"/>
      <c r="EX176" s="12"/>
      <c r="EY176" s="12"/>
      <c r="EZ176" s="12"/>
      <c r="FA176" s="12"/>
      <c r="FB176" s="12"/>
      <c r="FC176" s="12"/>
      <c r="FD176" s="12"/>
      <c r="FE176" s="12"/>
      <c r="FF176" s="12"/>
      <c r="FG176" s="12"/>
      <c r="FH176" s="12"/>
      <c r="FI176" s="12"/>
      <c r="FJ176" s="12"/>
      <c r="FK176" s="12"/>
      <c r="FL176" s="12"/>
      <c r="FM176" s="12"/>
      <c r="FN176" s="12"/>
      <c r="FO176" s="12"/>
      <c r="FP176" s="12"/>
      <c r="FQ176" s="12"/>
      <c r="FR176" s="12"/>
      <c r="FS176" s="12"/>
      <c r="FT176" s="12"/>
      <c r="FU176" s="12"/>
      <c r="FV176" s="12"/>
      <c r="FW176" s="12"/>
      <c r="FX176" s="12"/>
      <c r="FY176" s="12"/>
      <c r="FZ176" s="12"/>
      <c r="GA176" s="12"/>
      <c r="GB176" s="12"/>
      <c r="GC176" s="12"/>
      <c r="GD176" s="12"/>
      <c r="GE176" s="12"/>
    </row>
    <row r="177" spans="1:187" ht="21" customHeight="1">
      <c r="A177" s="45"/>
      <c r="B177" s="9" t="s">
        <v>400</v>
      </c>
      <c r="C177" s="10" t="s">
        <v>401</v>
      </c>
      <c r="D177" s="10" t="s">
        <v>300</v>
      </c>
      <c r="E177" s="35">
        <v>755.96799999999996</v>
      </c>
      <c r="F177" s="35">
        <f>1182.214-E177</f>
        <v>426.24599999999998</v>
      </c>
      <c r="G177" s="35">
        <v>193.43</v>
      </c>
      <c r="H177" s="35">
        <v>800</v>
      </c>
      <c r="I177" s="35">
        <f t="shared" si="23"/>
        <v>2175.6440000000002</v>
      </c>
      <c r="J177" s="56">
        <v>2271.4299999999998</v>
      </c>
      <c r="K177" s="49">
        <v>4520.1099999999997</v>
      </c>
      <c r="L177" s="49">
        <v>4700.9143999999997</v>
      </c>
      <c r="M177" s="49">
        <v>1485.84</v>
      </c>
      <c r="N177" s="49">
        <v>1545.2736</v>
      </c>
      <c r="O177" s="56">
        <f t="shared" si="24"/>
        <v>3034.2699999999995</v>
      </c>
      <c r="P177" s="1">
        <f t="shared" si="25"/>
        <v>2293811.0233599995</v>
      </c>
      <c r="Q177" s="1">
        <f t="shared" si="19"/>
        <v>1293345.4504199997</v>
      </c>
      <c r="R177" s="1">
        <f t="shared" si="20"/>
        <v>610395.59994400002</v>
      </c>
      <c r="S177" s="1">
        <f t="shared" si="21"/>
        <v>2524512.6399999997</v>
      </c>
      <c r="T177" s="1">
        <f t="shared" si="22"/>
        <v>6722064.7137239985</v>
      </c>
      <c r="U177" s="11"/>
      <c r="V177" s="11"/>
      <c r="W177" s="11"/>
      <c r="X177" s="12"/>
      <c r="Y177" s="12"/>
      <c r="Z177" s="12"/>
      <c r="AA177" s="12"/>
      <c r="AB177" s="12"/>
      <c r="AC177" s="12"/>
      <c r="AD177" s="12"/>
      <c r="AE177" s="12"/>
      <c r="AF177" s="12"/>
      <c r="AG177" s="12"/>
      <c r="AH177" s="12"/>
      <c r="AI177" s="12"/>
      <c r="AJ177" s="12"/>
      <c r="AK177" s="12"/>
      <c r="AL177" s="12"/>
      <c r="AM177" s="12"/>
      <c r="AN177" s="12"/>
      <c r="AO177" s="12"/>
      <c r="AP177" s="12"/>
      <c r="AQ177" s="12"/>
      <c r="AR177" s="12"/>
      <c r="AS177" s="12"/>
      <c r="AT177" s="12"/>
      <c r="AU177" s="12"/>
      <c r="AV177" s="12"/>
      <c r="AW177" s="12"/>
      <c r="AX177" s="12"/>
      <c r="AY177" s="12"/>
      <c r="AZ177" s="12"/>
      <c r="BA177" s="12"/>
      <c r="BB177" s="12"/>
      <c r="BC177" s="12"/>
      <c r="BD177" s="12"/>
      <c r="BE177" s="12"/>
      <c r="BF177" s="12"/>
      <c r="BG177" s="12"/>
      <c r="BH177" s="12"/>
      <c r="BI177" s="12"/>
      <c r="BJ177" s="12"/>
      <c r="BK177" s="12"/>
      <c r="BL177" s="12"/>
      <c r="BM177" s="12"/>
      <c r="BN177" s="12"/>
      <c r="BO177" s="12"/>
      <c r="BP177" s="12"/>
      <c r="BQ177" s="12"/>
      <c r="BR177" s="12"/>
      <c r="BS177" s="12"/>
      <c r="BT177" s="12"/>
      <c r="BU177" s="12"/>
      <c r="BV177" s="12"/>
      <c r="BW177" s="12"/>
      <c r="BX177" s="12"/>
      <c r="BY177" s="12"/>
      <c r="BZ177" s="12"/>
      <c r="CA177" s="12"/>
      <c r="CB177" s="12"/>
      <c r="CC177" s="12"/>
      <c r="CD177" s="12"/>
      <c r="CE177" s="12"/>
      <c r="CF177" s="12"/>
      <c r="CG177" s="12"/>
      <c r="CH177" s="12"/>
      <c r="CI177" s="12"/>
      <c r="CJ177" s="12"/>
      <c r="CK177" s="12"/>
      <c r="CL177" s="12"/>
      <c r="CM177" s="12"/>
      <c r="CN177" s="12"/>
      <c r="CO177" s="12"/>
      <c r="CP177" s="12"/>
      <c r="CQ177" s="12"/>
      <c r="CR177" s="12"/>
      <c r="CS177" s="12"/>
      <c r="CT177" s="12"/>
      <c r="CU177" s="12"/>
      <c r="CV177" s="12"/>
      <c r="CW177" s="12"/>
      <c r="CX177" s="12"/>
      <c r="CY177" s="12"/>
      <c r="CZ177" s="12"/>
      <c r="DA177" s="12"/>
      <c r="DB177" s="12"/>
      <c r="DC177" s="12"/>
      <c r="DD177" s="12"/>
      <c r="DE177" s="12"/>
      <c r="DF177" s="12"/>
      <c r="DG177" s="12"/>
      <c r="DH177" s="12"/>
      <c r="DI177" s="12"/>
      <c r="DJ177" s="12"/>
      <c r="DK177" s="12"/>
      <c r="DL177" s="12"/>
      <c r="DM177" s="12"/>
      <c r="DN177" s="12"/>
      <c r="DO177" s="12"/>
      <c r="DP177" s="12"/>
      <c r="DQ177" s="12"/>
      <c r="DR177" s="12"/>
      <c r="DS177" s="12"/>
      <c r="DT177" s="12"/>
      <c r="DU177" s="12"/>
      <c r="DV177" s="12"/>
      <c r="DW177" s="12"/>
      <c r="DX177" s="12"/>
      <c r="DY177" s="12"/>
      <c r="DZ177" s="12"/>
      <c r="EA177" s="12"/>
      <c r="EB177" s="12"/>
      <c r="EC177" s="12"/>
      <c r="ED177" s="12"/>
      <c r="EE177" s="12"/>
      <c r="EF177" s="12"/>
      <c r="EG177" s="12"/>
      <c r="EH177" s="12"/>
      <c r="EI177" s="12"/>
      <c r="EJ177" s="12"/>
      <c r="EK177" s="12"/>
      <c r="EL177" s="12"/>
      <c r="EM177" s="12"/>
      <c r="EN177" s="12"/>
      <c r="EO177" s="12"/>
      <c r="EP177" s="12"/>
      <c r="EQ177" s="12"/>
      <c r="ER177" s="12"/>
      <c r="ES177" s="12"/>
      <c r="ET177" s="12"/>
      <c r="EU177" s="12"/>
      <c r="EV177" s="12"/>
      <c r="EW177" s="12"/>
      <c r="EX177" s="12"/>
      <c r="EY177" s="12"/>
      <c r="EZ177" s="12"/>
      <c r="FA177" s="12"/>
      <c r="FB177" s="12"/>
      <c r="FC177" s="12"/>
      <c r="FD177" s="12"/>
      <c r="FE177" s="12"/>
      <c r="FF177" s="12"/>
      <c r="FG177" s="12"/>
      <c r="FH177" s="12"/>
      <c r="FI177" s="12"/>
      <c r="FJ177" s="12"/>
      <c r="FK177" s="12"/>
      <c r="FL177" s="12"/>
      <c r="FM177" s="12"/>
      <c r="FN177" s="12"/>
      <c r="FO177" s="12"/>
      <c r="FP177" s="12"/>
      <c r="FQ177" s="12"/>
      <c r="FR177" s="12"/>
      <c r="FS177" s="12"/>
      <c r="FT177" s="12"/>
      <c r="FU177" s="12"/>
      <c r="FV177" s="12"/>
      <c r="FW177" s="12"/>
      <c r="FX177" s="12"/>
      <c r="FY177" s="12"/>
      <c r="FZ177" s="12"/>
      <c r="GA177" s="12"/>
      <c r="GB177" s="12"/>
      <c r="GC177" s="12"/>
      <c r="GD177" s="12"/>
      <c r="GE177" s="12"/>
    </row>
    <row r="178" spans="1:187" ht="21" customHeight="1">
      <c r="A178" s="45"/>
      <c r="B178" s="9" t="s">
        <v>29</v>
      </c>
      <c r="C178" s="10" t="s">
        <v>214</v>
      </c>
      <c r="D178" s="10" t="s">
        <v>208</v>
      </c>
      <c r="E178" s="35">
        <v>3259.2689999999998</v>
      </c>
      <c r="F178" s="35">
        <f>4912.938-E178</f>
        <v>1653.6690000000003</v>
      </c>
      <c r="G178" s="35">
        <v>592.16099999999994</v>
      </c>
      <c r="H178" s="35">
        <f>3230.329-G178</f>
        <v>2638.1680000000001</v>
      </c>
      <c r="I178" s="35">
        <f t="shared" si="23"/>
        <v>8143.2669999999998</v>
      </c>
      <c r="J178" s="56">
        <v>9146</v>
      </c>
      <c r="K178" s="49">
        <v>4105.96</v>
      </c>
      <c r="L178" s="49">
        <v>4270.1984000000002</v>
      </c>
      <c r="M178" s="49">
        <v>1485.84</v>
      </c>
      <c r="N178" s="49">
        <v>1545.2736</v>
      </c>
      <c r="O178" s="56">
        <f t="shared" si="24"/>
        <v>2620.12</v>
      </c>
      <c r="P178" s="1">
        <f t="shared" si="25"/>
        <v>8539675.8922799993</v>
      </c>
      <c r="Q178" s="1">
        <f t="shared" si="19"/>
        <v>4332811.2202800009</v>
      </c>
      <c r="R178" s="1">
        <f t="shared" si="20"/>
        <v>1613594.1944927999</v>
      </c>
      <c r="S178" s="1">
        <f t="shared" si="21"/>
        <v>7188809.4097664012</v>
      </c>
      <c r="T178" s="1">
        <f t="shared" si="22"/>
        <v>21674890.716819201</v>
      </c>
      <c r="U178" s="11"/>
      <c r="V178" s="11"/>
      <c r="W178" s="11"/>
      <c r="X178" s="12"/>
      <c r="Y178" s="12"/>
      <c r="Z178" s="12"/>
      <c r="AA178" s="12"/>
      <c r="AB178" s="12"/>
      <c r="AC178" s="12"/>
      <c r="AD178" s="12"/>
      <c r="AE178" s="12"/>
      <c r="AF178" s="12"/>
      <c r="AG178" s="12"/>
      <c r="AH178" s="12"/>
      <c r="AI178" s="12"/>
      <c r="AJ178" s="12"/>
      <c r="AK178" s="12"/>
      <c r="AL178" s="12"/>
      <c r="AM178" s="12"/>
      <c r="AN178" s="12"/>
      <c r="AO178" s="12"/>
      <c r="AP178" s="12"/>
      <c r="AQ178" s="12"/>
      <c r="AR178" s="12"/>
      <c r="AS178" s="12"/>
      <c r="AT178" s="12"/>
      <c r="AU178" s="12"/>
      <c r="AV178" s="12"/>
      <c r="AW178" s="12"/>
      <c r="AX178" s="12"/>
      <c r="AY178" s="12"/>
      <c r="AZ178" s="12"/>
      <c r="BA178" s="12"/>
      <c r="BB178" s="12"/>
      <c r="BC178" s="12"/>
      <c r="BD178" s="12"/>
      <c r="BE178" s="12"/>
      <c r="BF178" s="12"/>
      <c r="BG178" s="12"/>
      <c r="BH178" s="12"/>
      <c r="BI178" s="12"/>
      <c r="BJ178" s="12"/>
      <c r="BK178" s="12"/>
      <c r="BL178" s="12"/>
      <c r="BM178" s="12"/>
      <c r="BN178" s="12"/>
      <c r="BO178" s="12"/>
      <c r="BP178" s="12"/>
      <c r="BQ178" s="12"/>
      <c r="BR178" s="12"/>
      <c r="BS178" s="12"/>
      <c r="BT178" s="12"/>
      <c r="BU178" s="12"/>
      <c r="BV178" s="12"/>
      <c r="BW178" s="12"/>
      <c r="BX178" s="12"/>
      <c r="BY178" s="12"/>
      <c r="BZ178" s="12"/>
      <c r="CA178" s="12"/>
      <c r="CB178" s="12"/>
      <c r="CC178" s="12"/>
      <c r="CD178" s="12"/>
      <c r="CE178" s="12"/>
      <c r="CF178" s="12"/>
      <c r="CG178" s="12"/>
      <c r="CH178" s="12"/>
      <c r="CI178" s="12"/>
      <c r="CJ178" s="12"/>
      <c r="CK178" s="12"/>
      <c r="CL178" s="12"/>
      <c r="CM178" s="12"/>
      <c r="CN178" s="12"/>
      <c r="CO178" s="12"/>
      <c r="CP178" s="12"/>
      <c r="CQ178" s="12"/>
      <c r="CR178" s="12"/>
      <c r="CS178" s="12"/>
      <c r="CT178" s="12"/>
      <c r="CU178" s="12"/>
      <c r="CV178" s="12"/>
      <c r="CW178" s="12"/>
      <c r="CX178" s="12"/>
      <c r="CY178" s="12"/>
      <c r="CZ178" s="12"/>
      <c r="DA178" s="12"/>
      <c r="DB178" s="12"/>
      <c r="DC178" s="12"/>
      <c r="DD178" s="12"/>
      <c r="DE178" s="12"/>
      <c r="DF178" s="12"/>
      <c r="DG178" s="12"/>
      <c r="DH178" s="12"/>
      <c r="DI178" s="12"/>
      <c r="DJ178" s="12"/>
      <c r="DK178" s="12"/>
      <c r="DL178" s="12"/>
      <c r="DM178" s="12"/>
      <c r="DN178" s="12"/>
      <c r="DO178" s="12"/>
      <c r="DP178" s="12"/>
      <c r="DQ178" s="12"/>
      <c r="DR178" s="12"/>
      <c r="DS178" s="12"/>
      <c r="DT178" s="12"/>
      <c r="DU178" s="12"/>
      <c r="DV178" s="12"/>
      <c r="DW178" s="12"/>
      <c r="DX178" s="12"/>
      <c r="DY178" s="12"/>
      <c r="DZ178" s="12"/>
      <c r="EA178" s="12"/>
      <c r="EB178" s="12"/>
      <c r="EC178" s="12"/>
      <c r="ED178" s="12"/>
      <c r="EE178" s="12"/>
      <c r="EF178" s="12"/>
      <c r="EG178" s="12"/>
      <c r="EH178" s="12"/>
      <c r="EI178" s="12"/>
      <c r="EJ178" s="12"/>
      <c r="EK178" s="12"/>
      <c r="EL178" s="12"/>
      <c r="EM178" s="12"/>
      <c r="EN178" s="12"/>
      <c r="EO178" s="12"/>
      <c r="EP178" s="12"/>
      <c r="EQ178" s="12"/>
      <c r="ER178" s="12"/>
      <c r="ES178" s="12"/>
      <c r="ET178" s="12"/>
      <c r="EU178" s="12"/>
      <c r="EV178" s="12"/>
      <c r="EW178" s="12"/>
      <c r="EX178" s="12"/>
      <c r="EY178" s="12"/>
      <c r="EZ178" s="12"/>
      <c r="FA178" s="12"/>
      <c r="FB178" s="12"/>
      <c r="FC178" s="12"/>
      <c r="FD178" s="12"/>
      <c r="FE178" s="12"/>
      <c r="FF178" s="12"/>
      <c r="FG178" s="12"/>
      <c r="FH178" s="12"/>
      <c r="FI178" s="12"/>
      <c r="FJ178" s="12"/>
      <c r="FK178" s="12"/>
      <c r="FL178" s="12"/>
      <c r="FM178" s="12"/>
      <c r="FN178" s="12"/>
      <c r="FO178" s="12"/>
      <c r="FP178" s="12"/>
      <c r="FQ178" s="12"/>
      <c r="FR178" s="12"/>
      <c r="FS178" s="12"/>
      <c r="FT178" s="12"/>
      <c r="FU178" s="12"/>
      <c r="FV178" s="12"/>
      <c r="FW178" s="12"/>
      <c r="FX178" s="12"/>
      <c r="FY178" s="12"/>
      <c r="FZ178" s="12"/>
      <c r="GA178" s="12"/>
      <c r="GB178" s="12"/>
      <c r="GC178" s="12"/>
      <c r="GD178" s="12"/>
      <c r="GE178" s="12"/>
    </row>
    <row r="179" spans="1:187" ht="21" customHeight="1">
      <c r="A179" s="45"/>
      <c r="B179" s="9" t="s">
        <v>270</v>
      </c>
      <c r="C179" s="10" t="s">
        <v>205</v>
      </c>
      <c r="D179" s="10" t="s">
        <v>206</v>
      </c>
      <c r="E179" s="35">
        <v>3671.558</v>
      </c>
      <c r="F179" s="35">
        <f>5816.564-E179</f>
        <v>2145.0060000000003</v>
      </c>
      <c r="G179" s="35">
        <v>529.36500000000001</v>
      </c>
      <c r="H179" s="35">
        <f>3837.38-G179</f>
        <v>3308.0150000000003</v>
      </c>
      <c r="I179" s="35">
        <f t="shared" si="23"/>
        <v>9653.9439999999995</v>
      </c>
      <c r="J179" s="56">
        <v>8579.1099999999988</v>
      </c>
      <c r="K179" s="49">
        <v>5300.43</v>
      </c>
      <c r="L179" s="49">
        <v>5512.4472000000005</v>
      </c>
      <c r="M179" s="49">
        <v>1452.97</v>
      </c>
      <c r="N179" s="49">
        <v>1511.0888</v>
      </c>
      <c r="O179" s="56">
        <f t="shared" si="24"/>
        <v>3847.46</v>
      </c>
      <c r="P179" s="1">
        <f t="shared" si="25"/>
        <v>14126172.542680001</v>
      </c>
      <c r="Q179" s="1">
        <f t="shared" si="19"/>
        <v>8252824.7847600011</v>
      </c>
      <c r="R179" s="1">
        <f t="shared" si="20"/>
        <v>2118179.0894160005</v>
      </c>
      <c r="S179" s="1">
        <f t="shared" si="21"/>
        <v>13236553.607576003</v>
      </c>
      <c r="T179" s="1">
        <f t="shared" si="22"/>
        <v>37733730.024432003</v>
      </c>
      <c r="U179" s="11"/>
      <c r="V179" s="11"/>
      <c r="W179" s="11"/>
      <c r="X179" s="12"/>
      <c r="Y179" s="12"/>
      <c r="Z179" s="12"/>
      <c r="AA179" s="12"/>
      <c r="AB179" s="12"/>
      <c r="AC179" s="12"/>
      <c r="AD179" s="12"/>
      <c r="AE179" s="12"/>
      <c r="AF179" s="12"/>
      <c r="AG179" s="12"/>
      <c r="AH179" s="12"/>
      <c r="AI179" s="12"/>
      <c r="AJ179" s="12"/>
      <c r="AK179" s="12"/>
      <c r="AL179" s="12"/>
      <c r="AM179" s="12"/>
      <c r="AN179" s="12"/>
      <c r="AO179" s="12"/>
      <c r="AP179" s="12"/>
      <c r="AQ179" s="12"/>
      <c r="AR179" s="12"/>
      <c r="AS179" s="12"/>
      <c r="AT179" s="12"/>
      <c r="AU179" s="12"/>
      <c r="AV179" s="12"/>
      <c r="AW179" s="12"/>
      <c r="AX179" s="12"/>
      <c r="AY179" s="12"/>
      <c r="AZ179" s="12"/>
      <c r="BA179" s="12"/>
      <c r="BB179" s="12"/>
      <c r="BC179" s="12"/>
      <c r="BD179" s="12"/>
      <c r="BE179" s="12"/>
      <c r="BF179" s="12"/>
      <c r="BG179" s="12"/>
      <c r="BH179" s="12"/>
      <c r="BI179" s="12"/>
      <c r="BJ179" s="12"/>
      <c r="BK179" s="12"/>
      <c r="BL179" s="12"/>
      <c r="BM179" s="12"/>
      <c r="BN179" s="12"/>
      <c r="BO179" s="12"/>
      <c r="BP179" s="12"/>
      <c r="BQ179" s="12"/>
      <c r="BR179" s="12"/>
      <c r="BS179" s="12"/>
      <c r="BT179" s="12"/>
      <c r="BU179" s="12"/>
      <c r="BV179" s="12"/>
      <c r="BW179" s="12"/>
      <c r="BX179" s="12"/>
      <c r="BY179" s="12"/>
      <c r="BZ179" s="12"/>
      <c r="CA179" s="12"/>
      <c r="CB179" s="12"/>
      <c r="CC179" s="12"/>
      <c r="CD179" s="12"/>
      <c r="CE179" s="12"/>
      <c r="CF179" s="12"/>
      <c r="CG179" s="12"/>
      <c r="CH179" s="12"/>
      <c r="CI179" s="12"/>
      <c r="CJ179" s="12"/>
      <c r="CK179" s="12"/>
      <c r="CL179" s="12"/>
      <c r="CM179" s="12"/>
      <c r="CN179" s="12"/>
      <c r="CO179" s="12"/>
      <c r="CP179" s="12"/>
      <c r="CQ179" s="12"/>
      <c r="CR179" s="12"/>
      <c r="CS179" s="12"/>
      <c r="CT179" s="12"/>
      <c r="CU179" s="12"/>
      <c r="CV179" s="12"/>
      <c r="CW179" s="12"/>
      <c r="CX179" s="12"/>
      <c r="CY179" s="12"/>
      <c r="CZ179" s="12"/>
      <c r="DA179" s="12"/>
      <c r="DB179" s="12"/>
      <c r="DC179" s="12"/>
      <c r="DD179" s="12"/>
      <c r="DE179" s="12"/>
      <c r="DF179" s="12"/>
      <c r="DG179" s="12"/>
      <c r="DH179" s="12"/>
      <c r="DI179" s="12"/>
      <c r="DJ179" s="12"/>
      <c r="DK179" s="12"/>
      <c r="DL179" s="12"/>
      <c r="DM179" s="12"/>
      <c r="DN179" s="12"/>
      <c r="DO179" s="12"/>
      <c r="DP179" s="12"/>
      <c r="DQ179" s="12"/>
      <c r="DR179" s="12"/>
      <c r="DS179" s="12"/>
      <c r="DT179" s="12"/>
      <c r="DU179" s="12"/>
      <c r="DV179" s="12"/>
      <c r="DW179" s="12"/>
      <c r="DX179" s="12"/>
      <c r="DY179" s="12"/>
      <c r="DZ179" s="12"/>
      <c r="EA179" s="12"/>
      <c r="EB179" s="12"/>
      <c r="EC179" s="12"/>
      <c r="ED179" s="12"/>
      <c r="EE179" s="12"/>
      <c r="EF179" s="12"/>
      <c r="EG179" s="12"/>
      <c r="EH179" s="12"/>
      <c r="EI179" s="12"/>
      <c r="EJ179" s="12"/>
      <c r="EK179" s="12"/>
      <c r="EL179" s="12"/>
      <c r="EM179" s="12"/>
      <c r="EN179" s="12"/>
      <c r="EO179" s="12"/>
      <c r="EP179" s="12"/>
      <c r="EQ179" s="12"/>
      <c r="ER179" s="12"/>
      <c r="ES179" s="12"/>
      <c r="ET179" s="12"/>
      <c r="EU179" s="12"/>
      <c r="EV179" s="12"/>
      <c r="EW179" s="12"/>
      <c r="EX179" s="12"/>
      <c r="EY179" s="12"/>
      <c r="EZ179" s="12"/>
      <c r="FA179" s="12"/>
      <c r="FB179" s="12"/>
      <c r="FC179" s="12"/>
      <c r="FD179" s="12"/>
      <c r="FE179" s="12"/>
      <c r="FF179" s="12"/>
      <c r="FG179" s="12"/>
      <c r="FH179" s="12"/>
      <c r="FI179" s="12"/>
      <c r="FJ179" s="12"/>
      <c r="FK179" s="12"/>
      <c r="FL179" s="12"/>
      <c r="FM179" s="12"/>
      <c r="FN179" s="12"/>
      <c r="FO179" s="12"/>
      <c r="FP179" s="12"/>
      <c r="FQ179" s="12"/>
      <c r="FR179" s="12"/>
      <c r="FS179" s="12"/>
      <c r="FT179" s="12"/>
      <c r="FU179" s="12"/>
      <c r="FV179" s="12"/>
      <c r="FW179" s="12"/>
      <c r="FX179" s="12"/>
      <c r="FY179" s="12"/>
      <c r="FZ179" s="12"/>
      <c r="GA179" s="12"/>
      <c r="GB179" s="12"/>
      <c r="GC179" s="12"/>
      <c r="GD179" s="12"/>
      <c r="GE179" s="12"/>
    </row>
    <row r="180" spans="1:187" ht="21" customHeight="1">
      <c r="A180" s="45"/>
      <c r="B180" s="9" t="s">
        <v>7</v>
      </c>
      <c r="C180" s="10" t="s">
        <v>399</v>
      </c>
      <c r="D180" s="10" t="s">
        <v>311</v>
      </c>
      <c r="E180" s="35">
        <v>190.41</v>
      </c>
      <c r="F180" s="35">
        <f>319.936-E180</f>
        <v>129.52599999999998</v>
      </c>
      <c r="G180" s="35">
        <v>63.47</v>
      </c>
      <c r="H180" s="35">
        <f>253.88-G180</f>
        <v>190.41</v>
      </c>
      <c r="I180" s="35">
        <f t="shared" si="23"/>
        <v>573.81599999999992</v>
      </c>
      <c r="J180" s="56">
        <v>569.16</v>
      </c>
      <c r="K180" s="49">
        <v>4927.71</v>
      </c>
      <c r="L180" s="49">
        <v>5124.8184000000001</v>
      </c>
      <c r="M180" s="49">
        <v>1514.41</v>
      </c>
      <c r="N180" s="49">
        <v>1574.9864000000002</v>
      </c>
      <c r="O180" s="56">
        <f t="shared" si="24"/>
        <v>3413.3</v>
      </c>
      <c r="P180" s="1">
        <f t="shared" si="25"/>
        <v>649926.45299999998</v>
      </c>
      <c r="Q180" s="1">
        <f t="shared" si="19"/>
        <v>442111.09579999995</v>
      </c>
      <c r="R180" s="1">
        <f t="shared" si="20"/>
        <v>225307.83703999998</v>
      </c>
      <c r="S180" s="1">
        <f t="shared" si="21"/>
        <v>675923.51111999992</v>
      </c>
      <c r="T180" s="1">
        <f t="shared" si="22"/>
        <v>1993268.8969599998</v>
      </c>
      <c r="U180" s="11"/>
      <c r="V180" s="11"/>
      <c r="W180" s="11"/>
      <c r="X180" s="12"/>
      <c r="Y180" s="12"/>
      <c r="Z180" s="12"/>
      <c r="AA180" s="12"/>
      <c r="AB180" s="12"/>
      <c r="AC180" s="12"/>
      <c r="AD180" s="12"/>
      <c r="AE180" s="12"/>
      <c r="AF180" s="12"/>
      <c r="AG180" s="12"/>
      <c r="AH180" s="12"/>
      <c r="AI180" s="12"/>
      <c r="AJ180" s="12"/>
      <c r="AK180" s="12"/>
      <c r="AL180" s="12"/>
      <c r="AM180" s="12"/>
      <c r="AN180" s="12"/>
      <c r="AO180" s="12"/>
      <c r="AP180" s="12"/>
      <c r="AQ180" s="12"/>
      <c r="AR180" s="12"/>
      <c r="AS180" s="12"/>
      <c r="AT180" s="12"/>
      <c r="AU180" s="12"/>
      <c r="AV180" s="12"/>
      <c r="AW180" s="12"/>
      <c r="AX180" s="12"/>
      <c r="AY180" s="12"/>
      <c r="AZ180" s="12"/>
      <c r="BA180" s="12"/>
      <c r="BB180" s="12"/>
      <c r="BC180" s="12"/>
      <c r="BD180" s="12"/>
      <c r="BE180" s="12"/>
      <c r="BF180" s="12"/>
      <c r="BG180" s="12"/>
      <c r="BH180" s="12"/>
      <c r="BI180" s="12"/>
      <c r="BJ180" s="12"/>
      <c r="BK180" s="12"/>
      <c r="BL180" s="12"/>
      <c r="BM180" s="12"/>
      <c r="BN180" s="12"/>
      <c r="BO180" s="12"/>
      <c r="BP180" s="12"/>
      <c r="BQ180" s="12"/>
      <c r="BR180" s="12"/>
      <c r="BS180" s="12"/>
      <c r="BT180" s="12"/>
      <c r="BU180" s="12"/>
      <c r="BV180" s="12"/>
      <c r="BW180" s="12"/>
      <c r="BX180" s="12"/>
      <c r="BY180" s="12"/>
      <c r="BZ180" s="12"/>
      <c r="CA180" s="12"/>
      <c r="CB180" s="12"/>
      <c r="CC180" s="12"/>
      <c r="CD180" s="12"/>
      <c r="CE180" s="12"/>
      <c r="CF180" s="12"/>
      <c r="CG180" s="12"/>
      <c r="CH180" s="12"/>
      <c r="CI180" s="12"/>
      <c r="CJ180" s="12"/>
      <c r="CK180" s="12"/>
      <c r="CL180" s="12"/>
      <c r="CM180" s="12"/>
      <c r="CN180" s="12"/>
      <c r="CO180" s="12"/>
      <c r="CP180" s="12"/>
      <c r="CQ180" s="12"/>
      <c r="CR180" s="12"/>
      <c r="CS180" s="12"/>
      <c r="CT180" s="12"/>
      <c r="CU180" s="12"/>
      <c r="CV180" s="12"/>
      <c r="CW180" s="12"/>
      <c r="CX180" s="12"/>
      <c r="CY180" s="12"/>
      <c r="CZ180" s="12"/>
      <c r="DA180" s="12"/>
      <c r="DB180" s="12"/>
      <c r="DC180" s="12"/>
      <c r="DD180" s="12"/>
      <c r="DE180" s="12"/>
      <c r="DF180" s="12"/>
      <c r="DG180" s="12"/>
      <c r="DH180" s="12"/>
      <c r="DI180" s="12"/>
      <c r="DJ180" s="12"/>
      <c r="DK180" s="12"/>
      <c r="DL180" s="12"/>
      <c r="DM180" s="12"/>
      <c r="DN180" s="12"/>
      <c r="DO180" s="12"/>
      <c r="DP180" s="12"/>
      <c r="DQ180" s="12"/>
      <c r="DR180" s="12"/>
      <c r="DS180" s="12"/>
      <c r="DT180" s="12"/>
      <c r="DU180" s="12"/>
      <c r="DV180" s="12"/>
      <c r="DW180" s="12"/>
      <c r="DX180" s="12"/>
      <c r="DY180" s="12"/>
      <c r="DZ180" s="12"/>
      <c r="EA180" s="12"/>
      <c r="EB180" s="12"/>
      <c r="EC180" s="12"/>
      <c r="ED180" s="12"/>
      <c r="EE180" s="12"/>
      <c r="EF180" s="12"/>
      <c r="EG180" s="12"/>
      <c r="EH180" s="12"/>
      <c r="EI180" s="12"/>
      <c r="EJ180" s="12"/>
      <c r="EK180" s="12"/>
      <c r="EL180" s="12"/>
      <c r="EM180" s="12"/>
      <c r="EN180" s="12"/>
      <c r="EO180" s="12"/>
      <c r="EP180" s="12"/>
      <c r="EQ180" s="12"/>
      <c r="ER180" s="12"/>
      <c r="ES180" s="12"/>
      <c r="ET180" s="12"/>
      <c r="EU180" s="12"/>
      <c r="EV180" s="12"/>
      <c r="EW180" s="12"/>
      <c r="EX180" s="12"/>
      <c r="EY180" s="12"/>
      <c r="EZ180" s="12"/>
      <c r="FA180" s="12"/>
      <c r="FB180" s="12"/>
      <c r="FC180" s="12"/>
      <c r="FD180" s="12"/>
      <c r="FE180" s="12"/>
      <c r="FF180" s="12"/>
      <c r="FG180" s="12"/>
      <c r="FH180" s="12"/>
      <c r="FI180" s="12"/>
      <c r="FJ180" s="12"/>
      <c r="FK180" s="12"/>
      <c r="FL180" s="12"/>
      <c r="FM180" s="12"/>
      <c r="FN180" s="12"/>
      <c r="FO180" s="12"/>
      <c r="FP180" s="12"/>
      <c r="FQ180" s="12"/>
      <c r="FR180" s="12"/>
      <c r="FS180" s="12"/>
      <c r="FT180" s="12"/>
      <c r="FU180" s="12"/>
      <c r="FV180" s="12"/>
      <c r="FW180" s="12"/>
      <c r="FX180" s="12"/>
      <c r="FY180" s="12"/>
      <c r="FZ180" s="12"/>
      <c r="GA180" s="12"/>
      <c r="GB180" s="12"/>
      <c r="GC180" s="12"/>
      <c r="GD180" s="12"/>
      <c r="GE180" s="12"/>
    </row>
    <row r="181" spans="1:187" ht="21" customHeight="1">
      <c r="A181" s="45"/>
      <c r="B181" s="9" t="s">
        <v>7</v>
      </c>
      <c r="C181" s="10" t="s">
        <v>399</v>
      </c>
      <c r="D181" s="10" t="s">
        <v>310</v>
      </c>
      <c r="E181" s="35">
        <v>67.700999999999993</v>
      </c>
      <c r="F181" s="35">
        <f>112.835-E181</f>
        <v>45.134</v>
      </c>
      <c r="G181" s="35">
        <v>22.567</v>
      </c>
      <c r="H181" s="35">
        <f>90.268-G181</f>
        <v>67.700999999999993</v>
      </c>
      <c r="I181" s="35">
        <f t="shared" si="23"/>
        <v>203.10299999999998</v>
      </c>
      <c r="J181" s="56">
        <v>202.94</v>
      </c>
      <c r="K181" s="49">
        <v>4927.71</v>
      </c>
      <c r="L181" s="49">
        <v>5124.8184000000001</v>
      </c>
      <c r="M181" s="49">
        <v>1447.72</v>
      </c>
      <c r="N181" s="49">
        <v>1505.6288000000002</v>
      </c>
      <c r="O181" s="56">
        <f t="shared" si="24"/>
        <v>3479.99</v>
      </c>
      <c r="P181" s="1">
        <f t="shared" si="25"/>
        <v>235598.80298999997</v>
      </c>
      <c r="Q181" s="1">
        <f t="shared" si="19"/>
        <v>157065.86865999998</v>
      </c>
      <c r="R181" s="1">
        <f t="shared" si="20"/>
        <v>81674.251703199989</v>
      </c>
      <c r="S181" s="1">
        <f t="shared" si="21"/>
        <v>245022.75510959997</v>
      </c>
      <c r="T181" s="1">
        <f t="shared" si="22"/>
        <v>719361.67846279987</v>
      </c>
      <c r="U181" s="11"/>
      <c r="V181" s="11"/>
      <c r="W181" s="11"/>
      <c r="X181" s="12"/>
      <c r="Y181" s="12"/>
      <c r="Z181" s="12"/>
      <c r="AA181" s="12"/>
      <c r="AB181" s="12"/>
      <c r="AC181" s="12"/>
      <c r="AD181" s="12"/>
      <c r="AE181" s="12"/>
      <c r="AF181" s="12"/>
      <c r="AG181" s="12"/>
      <c r="AH181" s="12"/>
      <c r="AI181" s="12"/>
      <c r="AJ181" s="12"/>
      <c r="AK181" s="12"/>
      <c r="AL181" s="12"/>
      <c r="AM181" s="12"/>
      <c r="AN181" s="12"/>
      <c r="AO181" s="12"/>
      <c r="AP181" s="12"/>
      <c r="AQ181" s="12"/>
      <c r="AR181" s="12"/>
      <c r="AS181" s="12"/>
      <c r="AT181" s="12"/>
      <c r="AU181" s="12"/>
      <c r="AV181" s="12"/>
      <c r="AW181" s="12"/>
      <c r="AX181" s="12"/>
      <c r="AY181" s="12"/>
      <c r="AZ181" s="12"/>
      <c r="BA181" s="12"/>
      <c r="BB181" s="12"/>
      <c r="BC181" s="12"/>
      <c r="BD181" s="12"/>
      <c r="BE181" s="12"/>
      <c r="BF181" s="12"/>
      <c r="BG181" s="12"/>
      <c r="BH181" s="12"/>
      <c r="BI181" s="12"/>
      <c r="BJ181" s="12"/>
      <c r="BK181" s="12"/>
      <c r="BL181" s="12"/>
      <c r="BM181" s="12"/>
      <c r="BN181" s="12"/>
      <c r="BO181" s="12"/>
      <c r="BP181" s="12"/>
      <c r="BQ181" s="12"/>
      <c r="BR181" s="12"/>
      <c r="BS181" s="12"/>
      <c r="BT181" s="12"/>
      <c r="BU181" s="12"/>
      <c r="BV181" s="12"/>
      <c r="BW181" s="12"/>
      <c r="BX181" s="12"/>
      <c r="BY181" s="12"/>
      <c r="BZ181" s="12"/>
      <c r="CA181" s="12"/>
      <c r="CB181" s="12"/>
      <c r="CC181" s="12"/>
      <c r="CD181" s="12"/>
      <c r="CE181" s="12"/>
      <c r="CF181" s="12"/>
      <c r="CG181" s="12"/>
      <c r="CH181" s="12"/>
      <c r="CI181" s="12"/>
      <c r="CJ181" s="12"/>
      <c r="CK181" s="12"/>
      <c r="CL181" s="12"/>
      <c r="CM181" s="12"/>
      <c r="CN181" s="12"/>
      <c r="CO181" s="12"/>
      <c r="CP181" s="12"/>
      <c r="CQ181" s="12"/>
      <c r="CR181" s="12"/>
      <c r="CS181" s="12"/>
      <c r="CT181" s="12"/>
      <c r="CU181" s="12"/>
      <c r="CV181" s="12"/>
      <c r="CW181" s="12"/>
      <c r="CX181" s="12"/>
      <c r="CY181" s="12"/>
      <c r="CZ181" s="12"/>
      <c r="DA181" s="12"/>
      <c r="DB181" s="12"/>
      <c r="DC181" s="12"/>
      <c r="DD181" s="12"/>
      <c r="DE181" s="12"/>
      <c r="DF181" s="12"/>
      <c r="DG181" s="12"/>
      <c r="DH181" s="12"/>
      <c r="DI181" s="12"/>
      <c r="DJ181" s="12"/>
      <c r="DK181" s="12"/>
      <c r="DL181" s="12"/>
      <c r="DM181" s="12"/>
      <c r="DN181" s="12"/>
      <c r="DO181" s="12"/>
      <c r="DP181" s="12"/>
      <c r="DQ181" s="12"/>
      <c r="DR181" s="12"/>
      <c r="DS181" s="12"/>
      <c r="DT181" s="12"/>
      <c r="DU181" s="12"/>
      <c r="DV181" s="12"/>
      <c r="DW181" s="12"/>
      <c r="DX181" s="12"/>
      <c r="DY181" s="12"/>
      <c r="DZ181" s="12"/>
      <c r="EA181" s="12"/>
      <c r="EB181" s="12"/>
      <c r="EC181" s="12"/>
      <c r="ED181" s="12"/>
      <c r="EE181" s="12"/>
      <c r="EF181" s="12"/>
      <c r="EG181" s="12"/>
      <c r="EH181" s="12"/>
      <c r="EI181" s="12"/>
      <c r="EJ181" s="12"/>
      <c r="EK181" s="12"/>
      <c r="EL181" s="12"/>
      <c r="EM181" s="12"/>
      <c r="EN181" s="12"/>
      <c r="EO181" s="12"/>
      <c r="EP181" s="12"/>
      <c r="EQ181" s="12"/>
      <c r="ER181" s="12"/>
      <c r="ES181" s="12"/>
      <c r="ET181" s="12"/>
      <c r="EU181" s="12"/>
      <c r="EV181" s="12"/>
      <c r="EW181" s="12"/>
      <c r="EX181" s="12"/>
      <c r="EY181" s="12"/>
      <c r="EZ181" s="12"/>
      <c r="FA181" s="12"/>
      <c r="FB181" s="12"/>
      <c r="FC181" s="12"/>
      <c r="FD181" s="12"/>
      <c r="FE181" s="12"/>
      <c r="FF181" s="12"/>
      <c r="FG181" s="12"/>
      <c r="FH181" s="12"/>
      <c r="FI181" s="12"/>
      <c r="FJ181" s="12"/>
      <c r="FK181" s="12"/>
      <c r="FL181" s="12"/>
      <c r="FM181" s="12"/>
      <c r="FN181" s="12"/>
      <c r="FO181" s="12"/>
      <c r="FP181" s="12"/>
      <c r="FQ181" s="12"/>
      <c r="FR181" s="12"/>
      <c r="FS181" s="12"/>
      <c r="FT181" s="12"/>
      <c r="FU181" s="12"/>
      <c r="FV181" s="12"/>
      <c r="FW181" s="12"/>
      <c r="FX181" s="12"/>
      <c r="FY181" s="12"/>
      <c r="FZ181" s="12"/>
      <c r="GA181" s="12"/>
      <c r="GB181" s="12"/>
      <c r="GC181" s="12"/>
      <c r="GD181" s="12"/>
      <c r="GE181" s="12"/>
    </row>
    <row r="182" spans="1:187" ht="21" customHeight="1">
      <c r="A182" s="45"/>
      <c r="B182" s="9" t="s">
        <v>269</v>
      </c>
      <c r="C182" s="10" t="s">
        <v>207</v>
      </c>
      <c r="D182" s="10" t="s">
        <v>208</v>
      </c>
      <c r="E182" s="35">
        <v>4928.9179999999997</v>
      </c>
      <c r="F182" s="35">
        <f>7253.263-E182</f>
        <v>2324.3450000000003</v>
      </c>
      <c r="G182" s="35">
        <v>571.43399999999997</v>
      </c>
      <c r="H182" s="35">
        <f>4176.563-G182</f>
        <v>3605.1289999999999</v>
      </c>
      <c r="I182" s="35">
        <f t="shared" si="23"/>
        <v>11429.826000000001</v>
      </c>
      <c r="J182" s="56">
        <v>10758</v>
      </c>
      <c r="K182" s="49">
        <v>4669.0200000000004</v>
      </c>
      <c r="L182" s="49">
        <v>4855.7808000000005</v>
      </c>
      <c r="M182" s="49">
        <v>1485.84</v>
      </c>
      <c r="N182" s="49">
        <v>1545.2736</v>
      </c>
      <c r="O182" s="56">
        <f t="shared" si="24"/>
        <v>3183.1800000000003</v>
      </c>
      <c r="P182" s="1">
        <f t="shared" si="25"/>
        <v>15689633.199240001</v>
      </c>
      <c r="Q182" s="1">
        <f t="shared" si="19"/>
        <v>7398808.5171000017</v>
      </c>
      <c r="R182" s="1">
        <f t="shared" si="20"/>
        <v>1891736.3713248002</v>
      </c>
      <c r="S182" s="1">
        <f t="shared" si="21"/>
        <v>11934805.511428801</v>
      </c>
      <c r="T182" s="1">
        <f t="shared" si="22"/>
        <v>36914983.599093601</v>
      </c>
      <c r="U182" s="11"/>
      <c r="V182" s="11"/>
      <c r="W182" s="11"/>
      <c r="X182" s="12"/>
      <c r="Y182" s="12"/>
      <c r="Z182" s="12"/>
      <c r="AA182" s="12"/>
      <c r="AB182" s="12"/>
      <c r="AC182" s="12"/>
      <c r="AD182" s="12"/>
      <c r="AE182" s="12"/>
      <c r="AF182" s="12"/>
      <c r="AG182" s="12"/>
      <c r="AH182" s="12"/>
      <c r="AI182" s="12"/>
      <c r="AJ182" s="12"/>
      <c r="AK182" s="12"/>
      <c r="AL182" s="12"/>
      <c r="AM182" s="12"/>
      <c r="AN182" s="12"/>
      <c r="AO182" s="12"/>
      <c r="AP182" s="12"/>
      <c r="AQ182" s="12"/>
      <c r="AR182" s="12"/>
      <c r="AS182" s="12"/>
      <c r="AT182" s="12"/>
      <c r="AU182" s="12"/>
      <c r="AV182" s="12"/>
      <c r="AW182" s="12"/>
      <c r="AX182" s="12"/>
      <c r="AY182" s="12"/>
      <c r="AZ182" s="12"/>
      <c r="BA182" s="12"/>
      <c r="BB182" s="12"/>
      <c r="BC182" s="12"/>
      <c r="BD182" s="12"/>
      <c r="BE182" s="12"/>
      <c r="BF182" s="12"/>
      <c r="BG182" s="12"/>
      <c r="BH182" s="12"/>
      <c r="BI182" s="12"/>
      <c r="BJ182" s="12"/>
      <c r="BK182" s="12"/>
      <c r="BL182" s="12"/>
      <c r="BM182" s="12"/>
      <c r="BN182" s="12"/>
      <c r="BO182" s="12"/>
      <c r="BP182" s="12"/>
      <c r="BQ182" s="12"/>
      <c r="BR182" s="12"/>
      <c r="BS182" s="12"/>
      <c r="BT182" s="12"/>
      <c r="BU182" s="12"/>
      <c r="BV182" s="12"/>
      <c r="BW182" s="12"/>
      <c r="BX182" s="12"/>
      <c r="BY182" s="12"/>
      <c r="BZ182" s="12"/>
      <c r="CA182" s="12"/>
      <c r="CB182" s="12"/>
      <c r="CC182" s="12"/>
      <c r="CD182" s="12"/>
      <c r="CE182" s="12"/>
      <c r="CF182" s="12"/>
      <c r="CG182" s="12"/>
      <c r="CH182" s="12"/>
      <c r="CI182" s="12"/>
      <c r="CJ182" s="12"/>
      <c r="CK182" s="12"/>
      <c r="CL182" s="12"/>
      <c r="CM182" s="12"/>
      <c r="CN182" s="12"/>
      <c r="CO182" s="12"/>
      <c r="CP182" s="12"/>
      <c r="CQ182" s="12"/>
      <c r="CR182" s="12"/>
      <c r="CS182" s="12"/>
      <c r="CT182" s="12"/>
      <c r="CU182" s="12"/>
      <c r="CV182" s="12"/>
      <c r="CW182" s="12"/>
      <c r="CX182" s="12"/>
      <c r="CY182" s="12"/>
      <c r="CZ182" s="12"/>
      <c r="DA182" s="12"/>
      <c r="DB182" s="12"/>
      <c r="DC182" s="12"/>
      <c r="DD182" s="12"/>
      <c r="DE182" s="12"/>
      <c r="DF182" s="12"/>
      <c r="DG182" s="12"/>
      <c r="DH182" s="12"/>
      <c r="DI182" s="12"/>
      <c r="DJ182" s="12"/>
      <c r="DK182" s="12"/>
      <c r="DL182" s="12"/>
      <c r="DM182" s="12"/>
      <c r="DN182" s="12"/>
      <c r="DO182" s="12"/>
      <c r="DP182" s="12"/>
      <c r="DQ182" s="12"/>
      <c r="DR182" s="12"/>
      <c r="DS182" s="12"/>
      <c r="DT182" s="12"/>
      <c r="DU182" s="12"/>
      <c r="DV182" s="12"/>
      <c r="DW182" s="12"/>
      <c r="DX182" s="12"/>
      <c r="DY182" s="12"/>
      <c r="DZ182" s="12"/>
      <c r="EA182" s="12"/>
      <c r="EB182" s="12"/>
      <c r="EC182" s="12"/>
      <c r="ED182" s="12"/>
      <c r="EE182" s="12"/>
      <c r="EF182" s="12"/>
      <c r="EG182" s="12"/>
      <c r="EH182" s="12"/>
      <c r="EI182" s="12"/>
      <c r="EJ182" s="12"/>
      <c r="EK182" s="12"/>
      <c r="EL182" s="12"/>
      <c r="EM182" s="12"/>
      <c r="EN182" s="12"/>
      <c r="EO182" s="12"/>
      <c r="EP182" s="12"/>
      <c r="EQ182" s="12"/>
      <c r="ER182" s="12"/>
      <c r="ES182" s="12"/>
      <c r="ET182" s="12"/>
      <c r="EU182" s="12"/>
      <c r="EV182" s="12"/>
      <c r="EW182" s="12"/>
      <c r="EX182" s="12"/>
      <c r="EY182" s="12"/>
      <c r="EZ182" s="12"/>
      <c r="FA182" s="12"/>
      <c r="FB182" s="12"/>
      <c r="FC182" s="12"/>
      <c r="FD182" s="12"/>
      <c r="FE182" s="12"/>
      <c r="FF182" s="12"/>
      <c r="FG182" s="12"/>
      <c r="FH182" s="12"/>
      <c r="FI182" s="12"/>
      <c r="FJ182" s="12"/>
      <c r="FK182" s="12"/>
      <c r="FL182" s="12"/>
      <c r="FM182" s="12"/>
      <c r="FN182" s="12"/>
      <c r="FO182" s="12"/>
      <c r="FP182" s="12"/>
      <c r="FQ182" s="12"/>
      <c r="FR182" s="12"/>
      <c r="FS182" s="12"/>
      <c r="FT182" s="12"/>
      <c r="FU182" s="12"/>
      <c r="FV182" s="12"/>
      <c r="FW182" s="12"/>
      <c r="FX182" s="12"/>
      <c r="FY182" s="12"/>
      <c r="FZ182" s="12"/>
      <c r="GA182" s="12"/>
      <c r="GB182" s="12"/>
      <c r="GC182" s="12"/>
      <c r="GD182" s="12"/>
      <c r="GE182" s="12"/>
    </row>
    <row r="183" spans="1:187" ht="21" customHeight="1">
      <c r="A183" s="45"/>
      <c r="B183" s="9" t="s">
        <v>267</v>
      </c>
      <c r="C183" s="10" t="s">
        <v>215</v>
      </c>
      <c r="D183" s="10" t="s">
        <v>319</v>
      </c>
      <c r="E183" s="35">
        <v>471.58600000000001</v>
      </c>
      <c r="F183" s="35">
        <f>703.109-E183</f>
        <v>231.52300000000002</v>
      </c>
      <c r="G183" s="35">
        <v>77.599999999999994</v>
      </c>
      <c r="H183" s="35">
        <f>308.281-G183</f>
        <v>230.68100000000001</v>
      </c>
      <c r="I183" s="35">
        <f t="shared" si="23"/>
        <v>1011.3900000000001</v>
      </c>
      <c r="J183" s="56">
        <v>1177.6300000000001</v>
      </c>
      <c r="K183" s="49">
        <v>4889.37</v>
      </c>
      <c r="L183" s="49">
        <v>5084.9448000000002</v>
      </c>
      <c r="M183" s="49">
        <v>1485.84</v>
      </c>
      <c r="N183" s="49">
        <v>1545.2736</v>
      </c>
      <c r="O183" s="56">
        <f t="shared" si="24"/>
        <v>3403.5299999999997</v>
      </c>
      <c r="P183" s="1">
        <f t="shared" si="25"/>
        <v>1605057.09858</v>
      </c>
      <c r="Q183" s="1">
        <f t="shared" si="19"/>
        <v>787995.47619000007</v>
      </c>
      <c r="R183" s="1">
        <f t="shared" si="20"/>
        <v>274678.48511999997</v>
      </c>
      <c r="S183" s="1">
        <f t="shared" si="21"/>
        <v>816534.89208720007</v>
      </c>
      <c r="T183" s="1">
        <f t="shared" si="22"/>
        <v>3484265.9519771999</v>
      </c>
      <c r="U183" s="11"/>
      <c r="V183" s="11"/>
      <c r="W183" s="11"/>
      <c r="X183" s="12"/>
      <c r="Y183" s="12"/>
      <c r="Z183" s="12"/>
      <c r="AA183" s="12"/>
      <c r="AB183" s="12"/>
      <c r="AC183" s="12"/>
      <c r="AD183" s="12"/>
      <c r="AE183" s="12"/>
      <c r="AF183" s="12"/>
      <c r="AG183" s="12"/>
      <c r="AH183" s="12"/>
      <c r="AI183" s="12"/>
      <c r="AJ183" s="12"/>
      <c r="AK183" s="12"/>
      <c r="AL183" s="12"/>
      <c r="AM183" s="12"/>
      <c r="AN183" s="12"/>
      <c r="AO183" s="12"/>
      <c r="AP183" s="12"/>
      <c r="AQ183" s="12"/>
      <c r="AR183" s="12"/>
      <c r="AS183" s="12"/>
      <c r="AT183" s="12"/>
      <c r="AU183" s="12"/>
      <c r="AV183" s="12"/>
      <c r="AW183" s="12"/>
      <c r="AX183" s="12"/>
      <c r="AY183" s="12"/>
      <c r="AZ183" s="12"/>
      <c r="BA183" s="12"/>
      <c r="BB183" s="12"/>
      <c r="BC183" s="12"/>
      <c r="BD183" s="12"/>
      <c r="BE183" s="12"/>
      <c r="BF183" s="12"/>
      <c r="BG183" s="12"/>
      <c r="BH183" s="12"/>
      <c r="BI183" s="12"/>
      <c r="BJ183" s="12"/>
      <c r="BK183" s="12"/>
      <c r="BL183" s="12"/>
      <c r="BM183" s="12"/>
      <c r="BN183" s="12"/>
      <c r="BO183" s="12"/>
      <c r="BP183" s="12"/>
      <c r="BQ183" s="12"/>
      <c r="BR183" s="12"/>
      <c r="BS183" s="12"/>
      <c r="BT183" s="12"/>
      <c r="BU183" s="12"/>
      <c r="BV183" s="12"/>
      <c r="BW183" s="12"/>
      <c r="BX183" s="12"/>
      <c r="BY183" s="12"/>
      <c r="BZ183" s="12"/>
      <c r="CA183" s="12"/>
      <c r="CB183" s="12"/>
      <c r="CC183" s="12"/>
      <c r="CD183" s="12"/>
      <c r="CE183" s="12"/>
      <c r="CF183" s="12"/>
      <c r="CG183" s="12"/>
      <c r="CH183" s="12"/>
      <c r="CI183" s="12"/>
      <c r="CJ183" s="12"/>
      <c r="CK183" s="12"/>
      <c r="CL183" s="12"/>
      <c r="CM183" s="12"/>
      <c r="CN183" s="12"/>
      <c r="CO183" s="12"/>
      <c r="CP183" s="12"/>
      <c r="CQ183" s="12"/>
      <c r="CR183" s="12"/>
      <c r="CS183" s="12"/>
      <c r="CT183" s="12"/>
      <c r="CU183" s="12"/>
      <c r="CV183" s="12"/>
      <c r="CW183" s="12"/>
      <c r="CX183" s="12"/>
      <c r="CY183" s="12"/>
      <c r="CZ183" s="12"/>
      <c r="DA183" s="12"/>
      <c r="DB183" s="12"/>
      <c r="DC183" s="12"/>
      <c r="DD183" s="12"/>
      <c r="DE183" s="12"/>
      <c r="DF183" s="12"/>
      <c r="DG183" s="12"/>
      <c r="DH183" s="12"/>
      <c r="DI183" s="12"/>
      <c r="DJ183" s="12"/>
      <c r="DK183" s="12"/>
      <c r="DL183" s="12"/>
      <c r="DM183" s="12"/>
      <c r="DN183" s="12"/>
      <c r="DO183" s="12"/>
      <c r="DP183" s="12"/>
      <c r="DQ183" s="12"/>
      <c r="DR183" s="12"/>
      <c r="DS183" s="12"/>
      <c r="DT183" s="12"/>
      <c r="DU183" s="12"/>
      <c r="DV183" s="12"/>
      <c r="DW183" s="12"/>
      <c r="DX183" s="12"/>
      <c r="DY183" s="12"/>
      <c r="DZ183" s="12"/>
      <c r="EA183" s="12"/>
      <c r="EB183" s="12"/>
      <c r="EC183" s="12"/>
      <c r="ED183" s="12"/>
      <c r="EE183" s="12"/>
      <c r="EF183" s="12"/>
      <c r="EG183" s="12"/>
      <c r="EH183" s="12"/>
      <c r="EI183" s="12"/>
      <c r="EJ183" s="12"/>
      <c r="EK183" s="12"/>
      <c r="EL183" s="12"/>
      <c r="EM183" s="12"/>
      <c r="EN183" s="12"/>
      <c r="EO183" s="12"/>
      <c r="EP183" s="12"/>
      <c r="EQ183" s="12"/>
      <c r="ER183" s="12"/>
      <c r="ES183" s="12"/>
      <c r="ET183" s="12"/>
      <c r="EU183" s="12"/>
      <c r="EV183" s="12"/>
      <c r="EW183" s="12"/>
      <c r="EX183" s="12"/>
      <c r="EY183" s="12"/>
      <c r="EZ183" s="12"/>
      <c r="FA183" s="12"/>
      <c r="FB183" s="12"/>
      <c r="FC183" s="12"/>
      <c r="FD183" s="12"/>
      <c r="FE183" s="12"/>
      <c r="FF183" s="12"/>
      <c r="FG183" s="12"/>
      <c r="FH183" s="12"/>
      <c r="FI183" s="12"/>
      <c r="FJ183" s="12"/>
      <c r="FK183" s="12"/>
      <c r="FL183" s="12"/>
      <c r="FM183" s="12"/>
      <c r="FN183" s="12"/>
      <c r="FO183" s="12"/>
      <c r="FP183" s="12"/>
      <c r="FQ183" s="12"/>
      <c r="FR183" s="12"/>
      <c r="FS183" s="12"/>
      <c r="FT183" s="12"/>
      <c r="FU183" s="12"/>
      <c r="FV183" s="12"/>
      <c r="FW183" s="12"/>
      <c r="FX183" s="12"/>
      <c r="FY183" s="12"/>
      <c r="FZ183" s="12"/>
      <c r="GA183" s="12"/>
      <c r="GB183" s="12"/>
      <c r="GC183" s="12"/>
      <c r="GD183" s="12"/>
      <c r="GE183" s="12"/>
    </row>
    <row r="184" spans="1:187" ht="21" customHeight="1">
      <c r="A184" s="45"/>
      <c r="B184" s="9" t="s">
        <v>267</v>
      </c>
      <c r="C184" s="10" t="s">
        <v>215</v>
      </c>
      <c r="D184" s="10" t="s">
        <v>320</v>
      </c>
      <c r="E184" s="35">
        <v>433.72800000000001</v>
      </c>
      <c r="F184" s="35">
        <f>717.512-E184</f>
        <v>283.78399999999993</v>
      </c>
      <c r="G184" s="35">
        <v>98.373999999999995</v>
      </c>
      <c r="H184" s="35">
        <f>391.762-G184</f>
        <v>293.38800000000003</v>
      </c>
      <c r="I184" s="35">
        <f t="shared" si="23"/>
        <v>1109.2739999999999</v>
      </c>
      <c r="J184" s="56">
        <v>1207.6600000000001</v>
      </c>
      <c r="K184" s="49">
        <v>4889.37</v>
      </c>
      <c r="L184" s="49">
        <v>5084.9448000000002</v>
      </c>
      <c r="M184" s="49">
        <v>1442.28</v>
      </c>
      <c r="N184" s="49">
        <v>1499.9712</v>
      </c>
      <c r="O184" s="56">
        <f t="shared" si="24"/>
        <v>3447.09</v>
      </c>
      <c r="P184" s="1">
        <f t="shared" si="25"/>
        <v>1495099.4515200001</v>
      </c>
      <c r="Q184" s="1">
        <f t="shared" si="19"/>
        <v>978228.98855999985</v>
      </c>
      <c r="R184" s="1">
        <f t="shared" si="20"/>
        <v>352668.19292639999</v>
      </c>
      <c r="S184" s="1">
        <f t="shared" si="21"/>
        <v>1051788.2345568002</v>
      </c>
      <c r="T184" s="1">
        <f t="shared" si="22"/>
        <v>3877784.8675632002</v>
      </c>
      <c r="U184" s="11"/>
      <c r="V184" s="11"/>
      <c r="W184" s="11"/>
      <c r="X184" s="12"/>
      <c r="Y184" s="12"/>
      <c r="Z184" s="12"/>
      <c r="AA184" s="12"/>
      <c r="AB184" s="12"/>
      <c r="AC184" s="12"/>
      <c r="AD184" s="12"/>
      <c r="AE184" s="12"/>
      <c r="AF184" s="12"/>
      <c r="AG184" s="12"/>
      <c r="AH184" s="12"/>
      <c r="AI184" s="12"/>
      <c r="AJ184" s="12"/>
      <c r="AK184" s="12"/>
      <c r="AL184" s="12"/>
      <c r="AM184" s="12"/>
      <c r="AN184" s="12"/>
      <c r="AO184" s="12"/>
      <c r="AP184" s="12"/>
      <c r="AQ184" s="12"/>
      <c r="AR184" s="12"/>
      <c r="AS184" s="12"/>
      <c r="AT184" s="12"/>
      <c r="AU184" s="12"/>
      <c r="AV184" s="12"/>
      <c r="AW184" s="12"/>
      <c r="AX184" s="12"/>
      <c r="AY184" s="12"/>
      <c r="AZ184" s="12"/>
      <c r="BA184" s="12"/>
      <c r="BB184" s="12"/>
      <c r="BC184" s="12"/>
      <c r="BD184" s="12"/>
      <c r="BE184" s="12"/>
      <c r="BF184" s="12"/>
      <c r="BG184" s="12"/>
      <c r="BH184" s="12"/>
      <c r="BI184" s="12"/>
      <c r="BJ184" s="12"/>
      <c r="BK184" s="12"/>
      <c r="BL184" s="12"/>
      <c r="BM184" s="12"/>
      <c r="BN184" s="12"/>
      <c r="BO184" s="12"/>
      <c r="BP184" s="12"/>
      <c r="BQ184" s="12"/>
      <c r="BR184" s="12"/>
      <c r="BS184" s="12"/>
      <c r="BT184" s="12"/>
      <c r="BU184" s="12"/>
      <c r="BV184" s="12"/>
      <c r="BW184" s="12"/>
      <c r="BX184" s="12"/>
      <c r="BY184" s="12"/>
      <c r="BZ184" s="12"/>
      <c r="CA184" s="12"/>
      <c r="CB184" s="12"/>
      <c r="CC184" s="12"/>
      <c r="CD184" s="12"/>
      <c r="CE184" s="12"/>
      <c r="CF184" s="12"/>
      <c r="CG184" s="12"/>
      <c r="CH184" s="12"/>
      <c r="CI184" s="12"/>
      <c r="CJ184" s="12"/>
      <c r="CK184" s="12"/>
      <c r="CL184" s="12"/>
      <c r="CM184" s="12"/>
      <c r="CN184" s="12"/>
      <c r="CO184" s="12"/>
      <c r="CP184" s="12"/>
      <c r="CQ184" s="12"/>
      <c r="CR184" s="12"/>
      <c r="CS184" s="12"/>
      <c r="CT184" s="12"/>
      <c r="CU184" s="12"/>
      <c r="CV184" s="12"/>
      <c r="CW184" s="12"/>
      <c r="CX184" s="12"/>
      <c r="CY184" s="12"/>
      <c r="CZ184" s="12"/>
      <c r="DA184" s="12"/>
      <c r="DB184" s="12"/>
      <c r="DC184" s="12"/>
      <c r="DD184" s="12"/>
      <c r="DE184" s="12"/>
      <c r="DF184" s="12"/>
      <c r="DG184" s="12"/>
      <c r="DH184" s="12"/>
      <c r="DI184" s="12"/>
      <c r="DJ184" s="12"/>
      <c r="DK184" s="12"/>
      <c r="DL184" s="12"/>
      <c r="DM184" s="12"/>
      <c r="DN184" s="12"/>
      <c r="DO184" s="12"/>
      <c r="DP184" s="12"/>
      <c r="DQ184" s="12"/>
      <c r="DR184" s="12"/>
      <c r="DS184" s="12"/>
      <c r="DT184" s="12"/>
      <c r="DU184" s="12"/>
      <c r="DV184" s="12"/>
      <c r="DW184" s="12"/>
      <c r="DX184" s="12"/>
      <c r="DY184" s="12"/>
      <c r="DZ184" s="12"/>
      <c r="EA184" s="12"/>
      <c r="EB184" s="12"/>
      <c r="EC184" s="12"/>
      <c r="ED184" s="12"/>
      <c r="EE184" s="12"/>
      <c r="EF184" s="12"/>
      <c r="EG184" s="12"/>
      <c r="EH184" s="12"/>
      <c r="EI184" s="12"/>
      <c r="EJ184" s="12"/>
      <c r="EK184" s="12"/>
      <c r="EL184" s="12"/>
      <c r="EM184" s="12"/>
      <c r="EN184" s="12"/>
      <c r="EO184" s="12"/>
      <c r="EP184" s="12"/>
      <c r="EQ184" s="12"/>
      <c r="ER184" s="12"/>
      <c r="ES184" s="12"/>
      <c r="ET184" s="12"/>
      <c r="EU184" s="12"/>
      <c r="EV184" s="12"/>
      <c r="EW184" s="12"/>
      <c r="EX184" s="12"/>
      <c r="EY184" s="12"/>
      <c r="EZ184" s="12"/>
      <c r="FA184" s="12"/>
      <c r="FB184" s="12"/>
      <c r="FC184" s="12"/>
      <c r="FD184" s="12"/>
      <c r="FE184" s="12"/>
      <c r="FF184" s="12"/>
      <c r="FG184" s="12"/>
      <c r="FH184" s="12"/>
      <c r="FI184" s="12"/>
      <c r="FJ184" s="12"/>
      <c r="FK184" s="12"/>
      <c r="FL184" s="12"/>
      <c r="FM184" s="12"/>
      <c r="FN184" s="12"/>
      <c r="FO184" s="12"/>
      <c r="FP184" s="12"/>
      <c r="FQ184" s="12"/>
      <c r="FR184" s="12"/>
      <c r="FS184" s="12"/>
      <c r="FT184" s="12"/>
      <c r="FU184" s="12"/>
      <c r="FV184" s="12"/>
      <c r="FW184" s="12"/>
      <c r="FX184" s="12"/>
      <c r="FY184" s="12"/>
      <c r="FZ184" s="12"/>
      <c r="GA184" s="12"/>
      <c r="GB184" s="12"/>
      <c r="GC184" s="12"/>
      <c r="GD184" s="12"/>
      <c r="GE184" s="12"/>
    </row>
    <row r="185" spans="1:187" ht="21" customHeight="1">
      <c r="A185" s="45"/>
      <c r="B185" s="9" t="s">
        <v>271</v>
      </c>
      <c r="C185" s="10" t="s">
        <v>203</v>
      </c>
      <c r="D185" s="10" t="s">
        <v>204</v>
      </c>
      <c r="E185" s="35">
        <v>6542.7759999999998</v>
      </c>
      <c r="F185" s="35">
        <f>10062.24-E185</f>
        <v>3519.4639999999999</v>
      </c>
      <c r="G185" s="35">
        <v>1226.3050000000001</v>
      </c>
      <c r="H185" s="35">
        <f>7168.534</f>
        <v>7168.5339999999997</v>
      </c>
      <c r="I185" s="35">
        <f t="shared" si="23"/>
        <v>18457.078999999998</v>
      </c>
      <c r="J185" s="56">
        <v>21529.18</v>
      </c>
      <c r="K185" s="49">
        <v>5586.12</v>
      </c>
      <c r="L185" s="49">
        <v>5809.5648000000001</v>
      </c>
      <c r="M185" s="49">
        <v>1231.33</v>
      </c>
      <c r="N185" s="49">
        <v>1280.5832</v>
      </c>
      <c r="O185" s="56">
        <f t="shared" si="24"/>
        <v>4354.79</v>
      </c>
      <c r="P185" s="1">
        <f t="shared" si="25"/>
        <v>28492415.49704</v>
      </c>
      <c r="Q185" s="1">
        <f t="shared" si="19"/>
        <v>15326526.63256</v>
      </c>
      <c r="R185" s="1">
        <f t="shared" si="20"/>
        <v>5553912.7809880003</v>
      </c>
      <c r="S185" s="1">
        <f t="shared" si="21"/>
        <v>32466158.584974401</v>
      </c>
      <c r="T185" s="1">
        <f t="shared" si="22"/>
        <v>81839013.495562404</v>
      </c>
      <c r="U185" s="11"/>
      <c r="V185" s="11"/>
      <c r="W185" s="11"/>
      <c r="X185" s="12"/>
      <c r="Y185" s="12"/>
      <c r="Z185" s="12"/>
      <c r="AA185" s="12"/>
      <c r="AB185" s="12"/>
      <c r="AC185" s="12"/>
      <c r="AD185" s="12"/>
      <c r="AE185" s="12"/>
      <c r="AF185" s="12"/>
      <c r="AG185" s="12"/>
      <c r="AH185" s="12"/>
      <c r="AI185" s="12"/>
      <c r="AJ185" s="12"/>
      <c r="AK185" s="12"/>
      <c r="AL185" s="12"/>
      <c r="AM185" s="12"/>
      <c r="AN185" s="12"/>
      <c r="AO185" s="12"/>
      <c r="AP185" s="12"/>
      <c r="AQ185" s="12"/>
      <c r="AR185" s="12"/>
      <c r="AS185" s="12"/>
      <c r="AT185" s="12"/>
      <c r="AU185" s="12"/>
      <c r="AV185" s="12"/>
      <c r="AW185" s="12"/>
      <c r="AX185" s="12"/>
      <c r="AY185" s="12"/>
      <c r="AZ185" s="12"/>
      <c r="BA185" s="12"/>
      <c r="BB185" s="12"/>
      <c r="BC185" s="12"/>
      <c r="BD185" s="12"/>
      <c r="BE185" s="12"/>
      <c r="BF185" s="12"/>
      <c r="BG185" s="12"/>
      <c r="BH185" s="12"/>
      <c r="BI185" s="12"/>
      <c r="BJ185" s="12"/>
      <c r="BK185" s="12"/>
      <c r="BL185" s="12"/>
      <c r="BM185" s="12"/>
      <c r="BN185" s="12"/>
      <c r="BO185" s="12"/>
      <c r="BP185" s="12"/>
      <c r="BQ185" s="12"/>
      <c r="BR185" s="12"/>
      <c r="BS185" s="12"/>
      <c r="BT185" s="12"/>
      <c r="BU185" s="12"/>
      <c r="BV185" s="12"/>
      <c r="BW185" s="12"/>
      <c r="BX185" s="12"/>
      <c r="BY185" s="12"/>
      <c r="BZ185" s="12"/>
      <c r="CA185" s="12"/>
      <c r="CB185" s="12"/>
      <c r="CC185" s="12"/>
      <c r="CD185" s="12"/>
      <c r="CE185" s="12"/>
      <c r="CF185" s="12"/>
      <c r="CG185" s="12"/>
      <c r="CH185" s="12"/>
      <c r="CI185" s="12"/>
      <c r="CJ185" s="12"/>
      <c r="CK185" s="12"/>
      <c r="CL185" s="12"/>
      <c r="CM185" s="12"/>
      <c r="CN185" s="12"/>
      <c r="CO185" s="12"/>
      <c r="CP185" s="12"/>
      <c r="CQ185" s="12"/>
      <c r="CR185" s="12"/>
      <c r="CS185" s="12"/>
      <c r="CT185" s="12"/>
      <c r="CU185" s="12"/>
      <c r="CV185" s="12"/>
      <c r="CW185" s="12"/>
      <c r="CX185" s="12"/>
      <c r="CY185" s="12"/>
      <c r="CZ185" s="12"/>
      <c r="DA185" s="12"/>
      <c r="DB185" s="12"/>
      <c r="DC185" s="12"/>
      <c r="DD185" s="12"/>
      <c r="DE185" s="12"/>
      <c r="DF185" s="12"/>
      <c r="DG185" s="12"/>
      <c r="DH185" s="12"/>
      <c r="DI185" s="12"/>
      <c r="DJ185" s="12"/>
      <c r="DK185" s="12"/>
      <c r="DL185" s="12"/>
      <c r="DM185" s="12"/>
      <c r="DN185" s="12"/>
      <c r="DO185" s="12"/>
      <c r="DP185" s="12"/>
      <c r="DQ185" s="12"/>
      <c r="DR185" s="12"/>
      <c r="DS185" s="12"/>
      <c r="DT185" s="12"/>
      <c r="DU185" s="12"/>
      <c r="DV185" s="12"/>
      <c r="DW185" s="12"/>
      <c r="DX185" s="12"/>
      <c r="DY185" s="12"/>
      <c r="DZ185" s="12"/>
      <c r="EA185" s="12"/>
      <c r="EB185" s="12"/>
      <c r="EC185" s="12"/>
      <c r="ED185" s="12"/>
      <c r="EE185" s="12"/>
      <c r="EF185" s="12"/>
      <c r="EG185" s="12"/>
      <c r="EH185" s="12"/>
      <c r="EI185" s="12"/>
      <c r="EJ185" s="12"/>
      <c r="EK185" s="12"/>
      <c r="EL185" s="12"/>
      <c r="EM185" s="12"/>
      <c r="EN185" s="12"/>
      <c r="EO185" s="12"/>
      <c r="EP185" s="12"/>
      <c r="EQ185" s="12"/>
      <c r="ER185" s="12"/>
      <c r="ES185" s="12"/>
      <c r="ET185" s="12"/>
      <c r="EU185" s="12"/>
      <c r="EV185" s="12"/>
      <c r="EW185" s="12"/>
      <c r="EX185" s="12"/>
      <c r="EY185" s="12"/>
      <c r="EZ185" s="12"/>
      <c r="FA185" s="12"/>
      <c r="FB185" s="12"/>
      <c r="FC185" s="12"/>
      <c r="FD185" s="12"/>
      <c r="FE185" s="12"/>
      <c r="FF185" s="12"/>
      <c r="FG185" s="12"/>
      <c r="FH185" s="12"/>
      <c r="FI185" s="12"/>
      <c r="FJ185" s="12"/>
      <c r="FK185" s="12"/>
      <c r="FL185" s="12"/>
      <c r="FM185" s="12"/>
      <c r="FN185" s="12"/>
      <c r="FO185" s="12"/>
      <c r="FP185" s="12"/>
      <c r="FQ185" s="12"/>
      <c r="FR185" s="12"/>
      <c r="FS185" s="12"/>
      <c r="FT185" s="12"/>
      <c r="FU185" s="12"/>
      <c r="FV185" s="12"/>
      <c r="FW185" s="12"/>
      <c r="FX185" s="12"/>
      <c r="FY185" s="12"/>
      <c r="FZ185" s="12"/>
      <c r="GA185" s="12"/>
      <c r="GB185" s="12"/>
      <c r="GC185" s="12"/>
      <c r="GD185" s="12"/>
      <c r="GE185" s="12"/>
    </row>
    <row r="186" spans="1:187" ht="21" customHeight="1">
      <c r="A186" s="45"/>
      <c r="B186" s="9" t="s">
        <v>265</v>
      </c>
      <c r="C186" s="10" t="s">
        <v>88</v>
      </c>
      <c r="D186" s="10" t="s">
        <v>217</v>
      </c>
      <c r="E186" s="35">
        <v>2899.933</v>
      </c>
      <c r="F186" s="35">
        <f>4422.924-E186</f>
        <v>1522.991</v>
      </c>
      <c r="G186" s="35">
        <v>512.84500000000003</v>
      </c>
      <c r="H186" s="35">
        <f>2958.13-G186</f>
        <v>2445.2849999999999</v>
      </c>
      <c r="I186" s="35">
        <f t="shared" si="23"/>
        <v>7381.0540000000001</v>
      </c>
      <c r="J186" s="56">
        <v>7637.76</v>
      </c>
      <c r="K186" s="49">
        <v>6038.75</v>
      </c>
      <c r="L186" s="49">
        <v>6280.3</v>
      </c>
      <c r="M186" s="49">
        <v>1420.4100099999998</v>
      </c>
      <c r="N186" s="49">
        <v>1477.2264103999998</v>
      </c>
      <c r="O186" s="56">
        <f t="shared" si="24"/>
        <v>4618.3399900000004</v>
      </c>
      <c r="P186" s="1">
        <f t="shared" si="25"/>
        <v>13392876.542220671</v>
      </c>
      <c r="Q186" s="1">
        <f t="shared" si="19"/>
        <v>7033690.2397100907</v>
      </c>
      <c r="R186" s="1">
        <f t="shared" si="20"/>
        <v>2463232.2750584125</v>
      </c>
      <c r="S186" s="1">
        <f t="shared" si="21"/>
        <v>11744883.802545037</v>
      </c>
      <c r="T186" s="1">
        <f t="shared" si="22"/>
        <v>34634682.859534204</v>
      </c>
      <c r="U186" s="11"/>
      <c r="V186" s="11"/>
      <c r="W186" s="11"/>
      <c r="X186" s="12"/>
      <c r="Y186" s="12"/>
      <c r="Z186" s="12"/>
      <c r="AA186" s="12"/>
      <c r="AB186" s="12"/>
      <c r="AC186" s="12"/>
      <c r="AD186" s="12"/>
      <c r="AE186" s="12"/>
      <c r="AF186" s="12"/>
      <c r="AG186" s="12"/>
      <c r="AH186" s="12"/>
      <c r="AI186" s="12"/>
      <c r="AJ186" s="12"/>
      <c r="AK186" s="12"/>
      <c r="AL186" s="12"/>
      <c r="AM186" s="12"/>
      <c r="AN186" s="12"/>
      <c r="AO186" s="12"/>
      <c r="AP186" s="12"/>
      <c r="AQ186" s="12"/>
      <c r="AR186" s="12"/>
      <c r="AS186" s="12"/>
      <c r="AT186" s="12"/>
      <c r="AU186" s="12"/>
      <c r="AV186" s="12"/>
      <c r="AW186" s="12"/>
      <c r="AX186" s="12"/>
      <c r="AY186" s="12"/>
      <c r="AZ186" s="12"/>
      <c r="BA186" s="12"/>
      <c r="BB186" s="12"/>
      <c r="BC186" s="12"/>
      <c r="BD186" s="12"/>
      <c r="BE186" s="12"/>
      <c r="BF186" s="12"/>
      <c r="BG186" s="12"/>
      <c r="BH186" s="12"/>
      <c r="BI186" s="12"/>
      <c r="BJ186" s="12"/>
      <c r="BK186" s="12"/>
      <c r="BL186" s="12"/>
      <c r="BM186" s="12"/>
      <c r="BN186" s="12"/>
      <c r="BO186" s="12"/>
      <c r="BP186" s="12"/>
      <c r="BQ186" s="12"/>
      <c r="BR186" s="12"/>
      <c r="BS186" s="12"/>
      <c r="BT186" s="12"/>
      <c r="BU186" s="12"/>
      <c r="BV186" s="12"/>
      <c r="BW186" s="12"/>
      <c r="BX186" s="12"/>
      <c r="BY186" s="12"/>
      <c r="BZ186" s="12"/>
      <c r="CA186" s="12"/>
      <c r="CB186" s="12"/>
      <c r="CC186" s="12"/>
      <c r="CD186" s="12"/>
      <c r="CE186" s="12"/>
      <c r="CF186" s="12"/>
      <c r="CG186" s="12"/>
      <c r="CH186" s="12"/>
      <c r="CI186" s="12"/>
      <c r="CJ186" s="12"/>
      <c r="CK186" s="12"/>
      <c r="CL186" s="12"/>
      <c r="CM186" s="12"/>
      <c r="CN186" s="12"/>
      <c r="CO186" s="12"/>
      <c r="CP186" s="12"/>
      <c r="CQ186" s="12"/>
      <c r="CR186" s="12"/>
      <c r="CS186" s="12"/>
      <c r="CT186" s="12"/>
      <c r="CU186" s="12"/>
      <c r="CV186" s="12"/>
      <c r="CW186" s="12"/>
      <c r="CX186" s="12"/>
      <c r="CY186" s="12"/>
      <c r="CZ186" s="12"/>
      <c r="DA186" s="12"/>
      <c r="DB186" s="12"/>
      <c r="DC186" s="12"/>
      <c r="DD186" s="12"/>
      <c r="DE186" s="12"/>
      <c r="DF186" s="12"/>
      <c r="DG186" s="12"/>
      <c r="DH186" s="12"/>
      <c r="DI186" s="12"/>
      <c r="DJ186" s="12"/>
      <c r="DK186" s="12"/>
      <c r="DL186" s="12"/>
      <c r="DM186" s="12"/>
      <c r="DN186" s="12"/>
      <c r="DO186" s="12"/>
      <c r="DP186" s="12"/>
      <c r="DQ186" s="12"/>
      <c r="DR186" s="12"/>
      <c r="DS186" s="12"/>
      <c r="DT186" s="12"/>
      <c r="DU186" s="12"/>
      <c r="DV186" s="12"/>
      <c r="DW186" s="12"/>
      <c r="DX186" s="12"/>
      <c r="DY186" s="12"/>
      <c r="DZ186" s="12"/>
      <c r="EA186" s="12"/>
      <c r="EB186" s="12"/>
      <c r="EC186" s="12"/>
      <c r="ED186" s="12"/>
      <c r="EE186" s="12"/>
      <c r="EF186" s="12"/>
      <c r="EG186" s="12"/>
      <c r="EH186" s="12"/>
      <c r="EI186" s="12"/>
      <c r="EJ186" s="12"/>
      <c r="EK186" s="12"/>
      <c r="EL186" s="12"/>
      <c r="EM186" s="12"/>
      <c r="EN186" s="12"/>
      <c r="EO186" s="12"/>
      <c r="EP186" s="12"/>
      <c r="EQ186" s="12"/>
      <c r="ER186" s="12"/>
      <c r="ES186" s="12"/>
      <c r="ET186" s="12"/>
      <c r="EU186" s="12"/>
      <c r="EV186" s="12"/>
      <c r="EW186" s="12"/>
      <c r="EX186" s="12"/>
      <c r="EY186" s="12"/>
      <c r="EZ186" s="12"/>
      <c r="FA186" s="12"/>
      <c r="FB186" s="12"/>
      <c r="FC186" s="12"/>
      <c r="FD186" s="12"/>
      <c r="FE186" s="12"/>
      <c r="FF186" s="12"/>
      <c r="FG186" s="12"/>
      <c r="FH186" s="12"/>
      <c r="FI186" s="12"/>
      <c r="FJ186" s="12"/>
      <c r="FK186" s="12"/>
      <c r="FL186" s="12"/>
      <c r="FM186" s="12"/>
      <c r="FN186" s="12"/>
      <c r="FO186" s="12"/>
      <c r="FP186" s="12"/>
      <c r="FQ186" s="12"/>
      <c r="FR186" s="12"/>
      <c r="FS186" s="12"/>
      <c r="FT186" s="12"/>
      <c r="FU186" s="12"/>
      <c r="FV186" s="12"/>
      <c r="FW186" s="12"/>
      <c r="FX186" s="12"/>
      <c r="FY186" s="12"/>
      <c r="FZ186" s="12"/>
      <c r="GA186" s="12"/>
      <c r="GB186" s="12"/>
      <c r="GC186" s="12"/>
      <c r="GD186" s="12"/>
      <c r="GE186" s="12"/>
    </row>
    <row r="187" spans="1:187" ht="21" customHeight="1">
      <c r="A187" s="45"/>
      <c r="B187" s="9" t="s">
        <v>8</v>
      </c>
      <c r="C187" s="10" t="s">
        <v>210</v>
      </c>
      <c r="D187" s="10" t="s">
        <v>209</v>
      </c>
      <c r="E187" s="35">
        <v>3360.806</v>
      </c>
      <c r="F187" s="35">
        <f>5131.218-E187</f>
        <v>1770.4119999999998</v>
      </c>
      <c r="G187" s="35">
        <v>491.93400000000003</v>
      </c>
      <c r="H187" s="35">
        <f>3117.096-G187</f>
        <v>2625.1619999999998</v>
      </c>
      <c r="I187" s="35">
        <f t="shared" si="23"/>
        <v>8248.3140000000003</v>
      </c>
      <c r="J187" s="56">
        <v>7941.24</v>
      </c>
      <c r="K187" s="49">
        <v>4938.95</v>
      </c>
      <c r="L187" s="49">
        <v>5136.5079999999998</v>
      </c>
      <c r="M187" s="49">
        <v>1485.84</v>
      </c>
      <c r="N187" s="49">
        <v>1545.2736</v>
      </c>
      <c r="O187" s="56">
        <f t="shared" si="24"/>
        <v>3453.1099999999997</v>
      </c>
      <c r="P187" s="1">
        <f t="shared" si="25"/>
        <v>11605232.806659998</v>
      </c>
      <c r="Q187" s="1">
        <f t="shared" si="19"/>
        <v>6113427.3813199988</v>
      </c>
      <c r="R187" s="1">
        <f t="shared" si="20"/>
        <v>1766650.3033296</v>
      </c>
      <c r="S187" s="1">
        <f t="shared" si="21"/>
        <v>9427572.079972798</v>
      </c>
      <c r="T187" s="1">
        <f t="shared" si="22"/>
        <v>28912882.571282394</v>
      </c>
      <c r="U187" s="11"/>
      <c r="V187" s="11"/>
      <c r="W187" s="11"/>
      <c r="X187" s="12"/>
      <c r="Y187" s="12"/>
      <c r="Z187" s="12"/>
      <c r="AA187" s="12"/>
      <c r="AB187" s="12"/>
      <c r="AC187" s="12"/>
      <c r="AD187" s="12"/>
      <c r="AE187" s="12"/>
      <c r="AF187" s="12"/>
      <c r="AG187" s="12"/>
      <c r="AH187" s="12"/>
      <c r="AI187" s="12"/>
      <c r="AJ187" s="12"/>
      <c r="AK187" s="12"/>
      <c r="AL187" s="12"/>
      <c r="AM187" s="12"/>
      <c r="AN187" s="12"/>
      <c r="AO187" s="12"/>
      <c r="AP187" s="12"/>
      <c r="AQ187" s="12"/>
      <c r="AR187" s="12"/>
      <c r="AS187" s="12"/>
      <c r="AT187" s="12"/>
      <c r="AU187" s="12"/>
      <c r="AV187" s="12"/>
      <c r="AW187" s="12"/>
      <c r="AX187" s="12"/>
      <c r="AY187" s="12"/>
      <c r="AZ187" s="12"/>
      <c r="BA187" s="12"/>
      <c r="BB187" s="12"/>
      <c r="BC187" s="12"/>
      <c r="BD187" s="12"/>
      <c r="BE187" s="12"/>
      <c r="BF187" s="12"/>
      <c r="BG187" s="12"/>
      <c r="BH187" s="12"/>
      <c r="BI187" s="12"/>
      <c r="BJ187" s="12"/>
      <c r="BK187" s="12"/>
      <c r="BL187" s="12"/>
      <c r="BM187" s="12"/>
      <c r="BN187" s="12"/>
      <c r="BO187" s="12"/>
      <c r="BP187" s="12"/>
      <c r="BQ187" s="12"/>
      <c r="BR187" s="12"/>
      <c r="BS187" s="12"/>
      <c r="BT187" s="12"/>
      <c r="BU187" s="12"/>
      <c r="BV187" s="12"/>
      <c r="BW187" s="12"/>
      <c r="BX187" s="12"/>
      <c r="BY187" s="12"/>
      <c r="BZ187" s="12"/>
      <c r="CA187" s="12"/>
      <c r="CB187" s="12"/>
      <c r="CC187" s="12"/>
      <c r="CD187" s="12"/>
      <c r="CE187" s="12"/>
      <c r="CF187" s="12"/>
      <c r="CG187" s="12"/>
      <c r="CH187" s="12"/>
      <c r="CI187" s="12"/>
      <c r="CJ187" s="12"/>
      <c r="CK187" s="12"/>
      <c r="CL187" s="12"/>
      <c r="CM187" s="12"/>
      <c r="CN187" s="12"/>
      <c r="CO187" s="12"/>
      <c r="CP187" s="12"/>
      <c r="CQ187" s="12"/>
      <c r="CR187" s="12"/>
      <c r="CS187" s="12"/>
      <c r="CT187" s="12"/>
      <c r="CU187" s="12"/>
      <c r="CV187" s="12"/>
      <c r="CW187" s="12"/>
      <c r="CX187" s="12"/>
      <c r="CY187" s="12"/>
      <c r="CZ187" s="12"/>
      <c r="DA187" s="12"/>
      <c r="DB187" s="12"/>
      <c r="DC187" s="12"/>
      <c r="DD187" s="12"/>
      <c r="DE187" s="12"/>
      <c r="DF187" s="12"/>
      <c r="DG187" s="12"/>
      <c r="DH187" s="12"/>
      <c r="DI187" s="12"/>
      <c r="DJ187" s="12"/>
      <c r="DK187" s="12"/>
      <c r="DL187" s="12"/>
      <c r="DM187" s="12"/>
      <c r="DN187" s="12"/>
      <c r="DO187" s="12"/>
      <c r="DP187" s="12"/>
      <c r="DQ187" s="12"/>
      <c r="DR187" s="12"/>
      <c r="DS187" s="12"/>
      <c r="DT187" s="12"/>
      <c r="DU187" s="12"/>
      <c r="DV187" s="12"/>
      <c r="DW187" s="12"/>
      <c r="DX187" s="12"/>
      <c r="DY187" s="12"/>
      <c r="DZ187" s="12"/>
      <c r="EA187" s="12"/>
      <c r="EB187" s="12"/>
      <c r="EC187" s="12"/>
      <c r="ED187" s="12"/>
      <c r="EE187" s="12"/>
      <c r="EF187" s="12"/>
      <c r="EG187" s="12"/>
      <c r="EH187" s="12"/>
      <c r="EI187" s="12"/>
      <c r="EJ187" s="12"/>
      <c r="EK187" s="12"/>
      <c r="EL187" s="12"/>
      <c r="EM187" s="12"/>
      <c r="EN187" s="12"/>
      <c r="EO187" s="12"/>
      <c r="EP187" s="12"/>
      <c r="EQ187" s="12"/>
      <c r="ER187" s="12"/>
      <c r="ES187" s="12"/>
      <c r="ET187" s="12"/>
      <c r="EU187" s="12"/>
      <c r="EV187" s="12"/>
      <c r="EW187" s="12"/>
      <c r="EX187" s="12"/>
      <c r="EY187" s="12"/>
      <c r="EZ187" s="12"/>
      <c r="FA187" s="12"/>
      <c r="FB187" s="12"/>
      <c r="FC187" s="12"/>
      <c r="FD187" s="12"/>
      <c r="FE187" s="12"/>
      <c r="FF187" s="12"/>
      <c r="FG187" s="12"/>
      <c r="FH187" s="12"/>
      <c r="FI187" s="12"/>
      <c r="FJ187" s="12"/>
      <c r="FK187" s="12"/>
      <c r="FL187" s="12"/>
      <c r="FM187" s="12"/>
      <c r="FN187" s="12"/>
      <c r="FO187" s="12"/>
      <c r="FP187" s="12"/>
      <c r="FQ187" s="12"/>
      <c r="FR187" s="12"/>
      <c r="FS187" s="12"/>
      <c r="FT187" s="12"/>
      <c r="FU187" s="12"/>
      <c r="FV187" s="12"/>
      <c r="FW187" s="12"/>
      <c r="FX187" s="12"/>
      <c r="FY187" s="12"/>
      <c r="FZ187" s="12"/>
      <c r="GA187" s="12"/>
      <c r="GB187" s="12"/>
      <c r="GC187" s="12"/>
      <c r="GD187" s="12"/>
      <c r="GE187" s="12"/>
    </row>
    <row r="188" spans="1:187" ht="21" customHeight="1">
      <c r="A188" s="45"/>
      <c r="B188" s="9" t="s">
        <v>8</v>
      </c>
      <c r="C188" s="10" t="s">
        <v>210</v>
      </c>
      <c r="D188" s="10" t="s">
        <v>211</v>
      </c>
      <c r="E188" s="35">
        <v>1391.444</v>
      </c>
      <c r="F188" s="35">
        <f>2185.296-E188</f>
        <v>793.85199999999986</v>
      </c>
      <c r="G188" s="35">
        <v>290.553</v>
      </c>
      <c r="H188" s="35">
        <f>1500.825-G188</f>
        <v>1210.2719999999999</v>
      </c>
      <c r="I188" s="35">
        <f t="shared" si="23"/>
        <v>3686.1209999999996</v>
      </c>
      <c r="J188" s="56">
        <v>3927.51</v>
      </c>
      <c r="K188" s="49">
        <v>7136.23</v>
      </c>
      <c r="L188" s="49">
        <v>7421.6791999999996</v>
      </c>
      <c r="M188" s="49">
        <v>1485.84</v>
      </c>
      <c r="N188" s="49">
        <v>1545.2736</v>
      </c>
      <c r="O188" s="56">
        <f t="shared" si="24"/>
        <v>5650.3899999999994</v>
      </c>
      <c r="P188" s="1">
        <f t="shared" si="25"/>
        <v>7862201.2631599987</v>
      </c>
      <c r="Q188" s="1">
        <f t="shared" si="19"/>
        <v>4485573.4022799991</v>
      </c>
      <c r="R188" s="1">
        <f t="shared" si="20"/>
        <v>1707407.2762968</v>
      </c>
      <c r="S188" s="1">
        <f t="shared" si="21"/>
        <v>7112049.1583231995</v>
      </c>
      <c r="T188" s="1">
        <f t="shared" si="22"/>
        <v>21167231.100059997</v>
      </c>
      <c r="U188" s="11"/>
      <c r="V188" s="11"/>
      <c r="W188" s="11"/>
      <c r="X188" s="12"/>
      <c r="Y188" s="12"/>
      <c r="Z188" s="12"/>
      <c r="AA188" s="12"/>
      <c r="AB188" s="12"/>
      <c r="AC188" s="12"/>
      <c r="AD188" s="12"/>
      <c r="AE188" s="12"/>
      <c r="AF188" s="12"/>
      <c r="AG188" s="12"/>
      <c r="AH188" s="12"/>
      <c r="AI188" s="12"/>
      <c r="AJ188" s="12"/>
      <c r="AK188" s="12"/>
      <c r="AL188" s="12"/>
      <c r="AM188" s="12"/>
      <c r="AN188" s="12"/>
      <c r="AO188" s="12"/>
      <c r="AP188" s="12"/>
      <c r="AQ188" s="12"/>
      <c r="AR188" s="12"/>
      <c r="AS188" s="12"/>
      <c r="AT188" s="12"/>
      <c r="AU188" s="12"/>
      <c r="AV188" s="12"/>
      <c r="AW188" s="12"/>
      <c r="AX188" s="12"/>
      <c r="AY188" s="12"/>
      <c r="AZ188" s="12"/>
      <c r="BA188" s="12"/>
      <c r="BB188" s="12"/>
      <c r="BC188" s="12"/>
      <c r="BD188" s="12"/>
      <c r="BE188" s="12"/>
      <c r="BF188" s="12"/>
      <c r="BG188" s="12"/>
      <c r="BH188" s="12"/>
      <c r="BI188" s="12"/>
      <c r="BJ188" s="12"/>
      <c r="BK188" s="12"/>
      <c r="BL188" s="12"/>
      <c r="BM188" s="12"/>
      <c r="BN188" s="12"/>
      <c r="BO188" s="12"/>
      <c r="BP188" s="12"/>
      <c r="BQ188" s="12"/>
      <c r="BR188" s="12"/>
      <c r="BS188" s="12"/>
      <c r="BT188" s="12"/>
      <c r="BU188" s="12"/>
      <c r="BV188" s="12"/>
      <c r="BW188" s="12"/>
      <c r="BX188" s="12"/>
      <c r="BY188" s="12"/>
      <c r="BZ188" s="12"/>
      <c r="CA188" s="12"/>
      <c r="CB188" s="12"/>
      <c r="CC188" s="12"/>
      <c r="CD188" s="12"/>
      <c r="CE188" s="12"/>
      <c r="CF188" s="12"/>
      <c r="CG188" s="12"/>
      <c r="CH188" s="12"/>
      <c r="CI188" s="12"/>
      <c r="CJ188" s="12"/>
      <c r="CK188" s="12"/>
      <c r="CL188" s="12"/>
      <c r="CM188" s="12"/>
      <c r="CN188" s="12"/>
      <c r="CO188" s="12"/>
      <c r="CP188" s="12"/>
      <c r="CQ188" s="12"/>
      <c r="CR188" s="12"/>
      <c r="CS188" s="12"/>
      <c r="CT188" s="12"/>
      <c r="CU188" s="12"/>
      <c r="CV188" s="12"/>
      <c r="CW188" s="12"/>
      <c r="CX188" s="12"/>
      <c r="CY188" s="12"/>
      <c r="CZ188" s="12"/>
      <c r="DA188" s="12"/>
      <c r="DB188" s="12"/>
      <c r="DC188" s="12"/>
      <c r="DD188" s="12"/>
      <c r="DE188" s="12"/>
      <c r="DF188" s="12"/>
      <c r="DG188" s="12"/>
      <c r="DH188" s="12"/>
      <c r="DI188" s="12"/>
      <c r="DJ188" s="12"/>
      <c r="DK188" s="12"/>
      <c r="DL188" s="12"/>
      <c r="DM188" s="12"/>
      <c r="DN188" s="12"/>
      <c r="DO188" s="12"/>
      <c r="DP188" s="12"/>
      <c r="DQ188" s="12"/>
      <c r="DR188" s="12"/>
      <c r="DS188" s="12"/>
      <c r="DT188" s="12"/>
      <c r="DU188" s="12"/>
      <c r="DV188" s="12"/>
      <c r="DW188" s="12"/>
      <c r="DX188" s="12"/>
      <c r="DY188" s="12"/>
      <c r="DZ188" s="12"/>
      <c r="EA188" s="12"/>
      <c r="EB188" s="12"/>
      <c r="EC188" s="12"/>
      <c r="ED188" s="12"/>
      <c r="EE188" s="12"/>
      <c r="EF188" s="12"/>
      <c r="EG188" s="12"/>
      <c r="EH188" s="12"/>
      <c r="EI188" s="12"/>
      <c r="EJ188" s="12"/>
      <c r="EK188" s="12"/>
      <c r="EL188" s="12"/>
      <c r="EM188" s="12"/>
      <c r="EN188" s="12"/>
      <c r="EO188" s="12"/>
      <c r="EP188" s="12"/>
      <c r="EQ188" s="12"/>
      <c r="ER188" s="12"/>
      <c r="ES188" s="12"/>
      <c r="ET188" s="12"/>
      <c r="EU188" s="12"/>
      <c r="EV188" s="12"/>
      <c r="EW188" s="12"/>
      <c r="EX188" s="12"/>
      <c r="EY188" s="12"/>
      <c r="EZ188" s="12"/>
      <c r="FA188" s="12"/>
      <c r="FB188" s="12"/>
      <c r="FC188" s="12"/>
      <c r="FD188" s="12"/>
      <c r="FE188" s="12"/>
      <c r="FF188" s="12"/>
      <c r="FG188" s="12"/>
      <c r="FH188" s="12"/>
      <c r="FI188" s="12"/>
      <c r="FJ188" s="12"/>
      <c r="FK188" s="12"/>
      <c r="FL188" s="12"/>
      <c r="FM188" s="12"/>
      <c r="FN188" s="12"/>
      <c r="FO188" s="12"/>
      <c r="FP188" s="12"/>
      <c r="FQ188" s="12"/>
      <c r="FR188" s="12"/>
      <c r="FS188" s="12"/>
      <c r="FT188" s="12"/>
      <c r="FU188" s="12"/>
      <c r="FV188" s="12"/>
      <c r="FW188" s="12"/>
      <c r="FX188" s="12"/>
      <c r="FY188" s="12"/>
      <c r="FZ188" s="12"/>
      <c r="GA188" s="12"/>
      <c r="GB188" s="12"/>
      <c r="GC188" s="12"/>
      <c r="GD188" s="12"/>
      <c r="GE188" s="12"/>
    </row>
    <row r="189" spans="1:187" ht="21" customHeight="1">
      <c r="A189" s="45"/>
      <c r="B189" s="9" t="s">
        <v>8</v>
      </c>
      <c r="C189" s="10" t="s">
        <v>210</v>
      </c>
      <c r="D189" s="10" t="s">
        <v>67</v>
      </c>
      <c r="E189" s="35">
        <v>605.82500000000005</v>
      </c>
      <c r="F189" s="35">
        <f>924.995-E189</f>
        <v>319.16999999999996</v>
      </c>
      <c r="G189" s="35">
        <v>90.274000000000001</v>
      </c>
      <c r="H189" s="35">
        <f>575.919</f>
        <v>575.91899999999998</v>
      </c>
      <c r="I189" s="35">
        <f t="shared" si="23"/>
        <v>1591.1880000000001</v>
      </c>
      <c r="J189" s="56">
        <v>2150.4</v>
      </c>
      <c r="K189" s="49">
        <v>6374.6</v>
      </c>
      <c r="L189" s="49">
        <v>6629.5840000000007</v>
      </c>
      <c r="M189" s="49">
        <v>1485.84</v>
      </c>
      <c r="N189" s="49">
        <v>1545.2736</v>
      </c>
      <c r="O189" s="56">
        <f t="shared" si="24"/>
        <v>4888.76</v>
      </c>
      <c r="P189" s="1">
        <f t="shared" si="25"/>
        <v>2961733.0270000002</v>
      </c>
      <c r="Q189" s="1">
        <f t="shared" si="19"/>
        <v>1560345.5291999998</v>
      </c>
      <c r="R189" s="1">
        <f t="shared" si="20"/>
        <v>458981.03704960004</v>
      </c>
      <c r="S189" s="1">
        <f t="shared" si="21"/>
        <v>2928150.9612576002</v>
      </c>
      <c r="T189" s="1">
        <f t="shared" si="22"/>
        <v>7909210.5545071997</v>
      </c>
      <c r="U189" s="11"/>
      <c r="V189" s="11"/>
      <c r="W189" s="11"/>
      <c r="X189" s="12"/>
      <c r="Y189" s="12"/>
      <c r="Z189" s="12"/>
      <c r="AA189" s="12"/>
      <c r="AB189" s="12"/>
      <c r="AC189" s="12"/>
      <c r="AD189" s="12"/>
      <c r="AE189" s="12"/>
      <c r="AF189" s="12"/>
      <c r="AG189" s="12"/>
      <c r="AH189" s="12"/>
      <c r="AI189" s="12"/>
      <c r="AJ189" s="12"/>
      <c r="AK189" s="12"/>
      <c r="AL189" s="12"/>
      <c r="AM189" s="12"/>
      <c r="AN189" s="12"/>
      <c r="AO189" s="12"/>
      <c r="AP189" s="12"/>
      <c r="AQ189" s="12"/>
      <c r="AR189" s="12"/>
      <c r="AS189" s="12"/>
      <c r="AT189" s="12"/>
      <c r="AU189" s="12"/>
      <c r="AV189" s="12"/>
      <c r="AW189" s="12"/>
      <c r="AX189" s="12"/>
      <c r="AY189" s="12"/>
      <c r="AZ189" s="12"/>
      <c r="BA189" s="12"/>
      <c r="BB189" s="12"/>
      <c r="BC189" s="12"/>
      <c r="BD189" s="12"/>
      <c r="BE189" s="12"/>
      <c r="BF189" s="12"/>
      <c r="BG189" s="12"/>
      <c r="BH189" s="12"/>
      <c r="BI189" s="12"/>
      <c r="BJ189" s="12"/>
      <c r="BK189" s="12"/>
      <c r="BL189" s="12"/>
      <c r="BM189" s="12"/>
      <c r="BN189" s="12"/>
      <c r="BO189" s="12"/>
      <c r="BP189" s="12"/>
      <c r="BQ189" s="12"/>
      <c r="BR189" s="12"/>
      <c r="BS189" s="12"/>
      <c r="BT189" s="12"/>
      <c r="BU189" s="12"/>
      <c r="BV189" s="12"/>
      <c r="BW189" s="12"/>
      <c r="BX189" s="12"/>
      <c r="BY189" s="12"/>
      <c r="BZ189" s="12"/>
      <c r="CA189" s="12"/>
      <c r="CB189" s="12"/>
      <c r="CC189" s="12"/>
      <c r="CD189" s="12"/>
      <c r="CE189" s="12"/>
      <c r="CF189" s="12"/>
      <c r="CG189" s="12"/>
      <c r="CH189" s="12"/>
      <c r="CI189" s="12"/>
      <c r="CJ189" s="12"/>
      <c r="CK189" s="12"/>
      <c r="CL189" s="12"/>
      <c r="CM189" s="12"/>
      <c r="CN189" s="12"/>
      <c r="CO189" s="12"/>
      <c r="CP189" s="12"/>
      <c r="CQ189" s="12"/>
      <c r="CR189" s="12"/>
      <c r="CS189" s="12"/>
      <c r="CT189" s="12"/>
      <c r="CU189" s="12"/>
      <c r="CV189" s="12"/>
      <c r="CW189" s="12"/>
      <c r="CX189" s="12"/>
      <c r="CY189" s="12"/>
      <c r="CZ189" s="12"/>
      <c r="DA189" s="12"/>
      <c r="DB189" s="12"/>
      <c r="DC189" s="12"/>
      <c r="DD189" s="12"/>
      <c r="DE189" s="12"/>
      <c r="DF189" s="12"/>
      <c r="DG189" s="12"/>
      <c r="DH189" s="12"/>
      <c r="DI189" s="12"/>
      <c r="DJ189" s="12"/>
      <c r="DK189" s="12"/>
      <c r="DL189" s="12"/>
      <c r="DM189" s="12"/>
      <c r="DN189" s="12"/>
      <c r="DO189" s="12"/>
      <c r="DP189" s="12"/>
      <c r="DQ189" s="12"/>
      <c r="DR189" s="12"/>
      <c r="DS189" s="12"/>
      <c r="DT189" s="12"/>
      <c r="DU189" s="12"/>
      <c r="DV189" s="12"/>
      <c r="DW189" s="12"/>
      <c r="DX189" s="12"/>
      <c r="DY189" s="12"/>
      <c r="DZ189" s="12"/>
      <c r="EA189" s="12"/>
      <c r="EB189" s="12"/>
      <c r="EC189" s="12"/>
      <c r="ED189" s="12"/>
      <c r="EE189" s="12"/>
      <c r="EF189" s="12"/>
      <c r="EG189" s="12"/>
      <c r="EH189" s="12"/>
      <c r="EI189" s="12"/>
      <c r="EJ189" s="12"/>
      <c r="EK189" s="12"/>
      <c r="EL189" s="12"/>
      <c r="EM189" s="12"/>
      <c r="EN189" s="12"/>
      <c r="EO189" s="12"/>
      <c r="EP189" s="12"/>
      <c r="EQ189" s="12"/>
      <c r="ER189" s="12"/>
      <c r="ES189" s="12"/>
      <c r="ET189" s="12"/>
      <c r="EU189" s="12"/>
      <c r="EV189" s="12"/>
      <c r="EW189" s="12"/>
      <c r="EX189" s="12"/>
      <c r="EY189" s="12"/>
      <c r="EZ189" s="12"/>
      <c r="FA189" s="12"/>
      <c r="FB189" s="12"/>
      <c r="FC189" s="12"/>
      <c r="FD189" s="12"/>
      <c r="FE189" s="12"/>
      <c r="FF189" s="12"/>
      <c r="FG189" s="12"/>
      <c r="FH189" s="12"/>
      <c r="FI189" s="12"/>
      <c r="FJ189" s="12"/>
      <c r="FK189" s="12"/>
      <c r="FL189" s="12"/>
      <c r="FM189" s="12"/>
      <c r="FN189" s="12"/>
      <c r="FO189" s="12"/>
      <c r="FP189" s="12"/>
      <c r="FQ189" s="12"/>
      <c r="FR189" s="12"/>
      <c r="FS189" s="12"/>
      <c r="FT189" s="12"/>
      <c r="FU189" s="12"/>
      <c r="FV189" s="12"/>
      <c r="FW189" s="12"/>
      <c r="FX189" s="12"/>
      <c r="FY189" s="12"/>
      <c r="FZ189" s="12"/>
      <c r="GA189" s="12"/>
      <c r="GB189" s="12"/>
      <c r="GC189" s="12"/>
      <c r="GD189" s="12"/>
      <c r="GE189" s="12"/>
    </row>
    <row r="190" spans="1:187" ht="21" customHeight="1">
      <c r="A190" s="45"/>
      <c r="B190" s="9" t="s">
        <v>268</v>
      </c>
      <c r="C190" s="10" t="s">
        <v>212</v>
      </c>
      <c r="D190" s="10" t="s">
        <v>213</v>
      </c>
      <c r="E190" s="35">
        <v>2157.5250000000001</v>
      </c>
      <c r="F190" s="35">
        <f>3595.875-E190</f>
        <v>1438.35</v>
      </c>
      <c r="G190" s="35">
        <v>719.17499999999995</v>
      </c>
      <c r="H190" s="35">
        <f>2876.7-G190</f>
        <v>2157.5249999999996</v>
      </c>
      <c r="I190" s="35">
        <f t="shared" si="23"/>
        <v>6472.5749999999998</v>
      </c>
      <c r="J190" s="56">
        <v>6448.61</v>
      </c>
      <c r="K190" s="49">
        <v>4626.6400000000003</v>
      </c>
      <c r="L190" s="49">
        <v>4811.7056000000002</v>
      </c>
      <c r="M190" s="49">
        <v>1420.41</v>
      </c>
      <c r="N190" s="49">
        <v>1477.2264000000002</v>
      </c>
      <c r="O190" s="56">
        <f t="shared" si="24"/>
        <v>3206.2300000000005</v>
      </c>
      <c r="P190" s="1">
        <f t="shared" si="25"/>
        <v>6917521.3807500014</v>
      </c>
      <c r="Q190" s="1">
        <f t="shared" si="19"/>
        <v>4611680.9205</v>
      </c>
      <c r="R190" s="1">
        <f t="shared" si="20"/>
        <v>2398074.0786599996</v>
      </c>
      <c r="S190" s="1">
        <f t="shared" si="21"/>
        <v>7194222.2359799985</v>
      </c>
      <c r="T190" s="1">
        <f t="shared" si="22"/>
        <v>21121498.61589</v>
      </c>
      <c r="U190" s="11"/>
      <c r="V190" s="11"/>
      <c r="W190" s="11"/>
      <c r="X190" s="12"/>
      <c r="Y190" s="12"/>
      <c r="Z190" s="12"/>
      <c r="AA190" s="12"/>
      <c r="AB190" s="12"/>
      <c r="AC190" s="12"/>
      <c r="AD190" s="12"/>
      <c r="AE190" s="12"/>
      <c r="AF190" s="12"/>
      <c r="AG190" s="12"/>
      <c r="AH190" s="12"/>
      <c r="AI190" s="12"/>
      <c r="AJ190" s="12"/>
      <c r="AK190" s="12"/>
      <c r="AL190" s="12"/>
      <c r="AM190" s="12"/>
      <c r="AN190" s="12"/>
      <c r="AO190" s="12"/>
      <c r="AP190" s="12"/>
      <c r="AQ190" s="12"/>
      <c r="AR190" s="12"/>
      <c r="AS190" s="12"/>
      <c r="AT190" s="12"/>
      <c r="AU190" s="12"/>
      <c r="AV190" s="12"/>
      <c r="AW190" s="12"/>
      <c r="AX190" s="12"/>
      <c r="AY190" s="12"/>
      <c r="AZ190" s="12"/>
      <c r="BA190" s="12"/>
      <c r="BB190" s="12"/>
      <c r="BC190" s="12"/>
      <c r="BD190" s="12"/>
      <c r="BE190" s="12"/>
      <c r="BF190" s="12"/>
      <c r="BG190" s="12"/>
      <c r="BH190" s="12"/>
      <c r="BI190" s="12"/>
      <c r="BJ190" s="12"/>
      <c r="BK190" s="12"/>
      <c r="BL190" s="12"/>
      <c r="BM190" s="12"/>
      <c r="BN190" s="12"/>
      <c r="BO190" s="12"/>
      <c r="BP190" s="12"/>
      <c r="BQ190" s="12"/>
      <c r="BR190" s="12"/>
      <c r="BS190" s="12"/>
      <c r="BT190" s="12"/>
      <c r="BU190" s="12"/>
      <c r="BV190" s="12"/>
      <c r="BW190" s="12"/>
      <c r="BX190" s="12"/>
      <c r="BY190" s="12"/>
      <c r="BZ190" s="12"/>
      <c r="CA190" s="12"/>
      <c r="CB190" s="12"/>
      <c r="CC190" s="12"/>
      <c r="CD190" s="12"/>
      <c r="CE190" s="12"/>
      <c r="CF190" s="12"/>
      <c r="CG190" s="12"/>
      <c r="CH190" s="12"/>
      <c r="CI190" s="12"/>
      <c r="CJ190" s="12"/>
      <c r="CK190" s="12"/>
      <c r="CL190" s="12"/>
      <c r="CM190" s="12"/>
      <c r="CN190" s="12"/>
      <c r="CO190" s="12"/>
      <c r="CP190" s="12"/>
      <c r="CQ190" s="12"/>
      <c r="CR190" s="12"/>
      <c r="CS190" s="12"/>
      <c r="CT190" s="12"/>
      <c r="CU190" s="12"/>
      <c r="CV190" s="12"/>
      <c r="CW190" s="12"/>
      <c r="CX190" s="12"/>
      <c r="CY190" s="12"/>
      <c r="CZ190" s="12"/>
      <c r="DA190" s="12"/>
      <c r="DB190" s="12"/>
      <c r="DC190" s="12"/>
      <c r="DD190" s="12"/>
      <c r="DE190" s="12"/>
      <c r="DF190" s="12"/>
      <c r="DG190" s="12"/>
      <c r="DH190" s="12"/>
      <c r="DI190" s="12"/>
      <c r="DJ190" s="12"/>
      <c r="DK190" s="12"/>
      <c r="DL190" s="12"/>
      <c r="DM190" s="12"/>
      <c r="DN190" s="12"/>
      <c r="DO190" s="12"/>
      <c r="DP190" s="12"/>
      <c r="DQ190" s="12"/>
      <c r="DR190" s="12"/>
      <c r="DS190" s="12"/>
      <c r="DT190" s="12"/>
      <c r="DU190" s="12"/>
      <c r="DV190" s="12"/>
      <c r="DW190" s="12"/>
      <c r="DX190" s="12"/>
      <c r="DY190" s="12"/>
      <c r="DZ190" s="12"/>
      <c r="EA190" s="12"/>
      <c r="EB190" s="12"/>
      <c r="EC190" s="12"/>
      <c r="ED190" s="12"/>
      <c r="EE190" s="12"/>
      <c r="EF190" s="12"/>
      <c r="EG190" s="12"/>
      <c r="EH190" s="12"/>
      <c r="EI190" s="12"/>
      <c r="EJ190" s="12"/>
      <c r="EK190" s="12"/>
      <c r="EL190" s="12"/>
      <c r="EM190" s="12"/>
      <c r="EN190" s="12"/>
      <c r="EO190" s="12"/>
      <c r="EP190" s="12"/>
      <c r="EQ190" s="12"/>
      <c r="ER190" s="12"/>
      <c r="ES190" s="12"/>
      <c r="ET190" s="12"/>
      <c r="EU190" s="12"/>
      <c r="EV190" s="12"/>
      <c r="EW190" s="12"/>
      <c r="EX190" s="12"/>
      <c r="EY190" s="12"/>
      <c r="EZ190" s="12"/>
      <c r="FA190" s="12"/>
      <c r="FB190" s="12"/>
      <c r="FC190" s="12"/>
      <c r="FD190" s="12"/>
      <c r="FE190" s="12"/>
      <c r="FF190" s="12"/>
      <c r="FG190" s="12"/>
      <c r="FH190" s="12"/>
      <c r="FI190" s="12"/>
      <c r="FJ190" s="12"/>
      <c r="FK190" s="12"/>
      <c r="FL190" s="12"/>
      <c r="FM190" s="12"/>
      <c r="FN190" s="12"/>
      <c r="FO190" s="12"/>
      <c r="FP190" s="12"/>
      <c r="FQ190" s="12"/>
      <c r="FR190" s="12"/>
      <c r="FS190" s="12"/>
      <c r="FT190" s="12"/>
      <c r="FU190" s="12"/>
      <c r="FV190" s="12"/>
      <c r="FW190" s="12"/>
      <c r="FX190" s="12"/>
      <c r="FY190" s="12"/>
      <c r="FZ190" s="12"/>
      <c r="GA190" s="12"/>
      <c r="GB190" s="12"/>
      <c r="GC190" s="12"/>
      <c r="GD190" s="12"/>
      <c r="GE190" s="12"/>
    </row>
    <row r="191" spans="1:187" ht="21" customHeight="1">
      <c r="A191" s="45" t="s">
        <v>337</v>
      </c>
      <c r="B191" s="9">
        <v>7729314745</v>
      </c>
      <c r="C191" s="10" t="s">
        <v>341</v>
      </c>
      <c r="D191" s="10" t="s">
        <v>346</v>
      </c>
      <c r="E191" s="35">
        <f>1342.0825*0.6</f>
        <v>805.24950000000001</v>
      </c>
      <c r="F191" s="35">
        <f>1342.0825*0.4</f>
        <v>536.83299999999997</v>
      </c>
      <c r="G191" s="35">
        <f>1098.0675*0.2</f>
        <v>219.61350000000004</v>
      </c>
      <c r="H191" s="35">
        <f>1098.0675*0.8</f>
        <v>878.45400000000018</v>
      </c>
      <c r="I191" s="35">
        <f t="shared" si="23"/>
        <v>2440.15</v>
      </c>
      <c r="J191" s="56">
        <v>2440.1</v>
      </c>
      <c r="K191" s="49">
        <v>3541.9979399999997</v>
      </c>
      <c r="L191" s="49">
        <v>3683.6778575999997</v>
      </c>
      <c r="M191" s="49">
        <v>1203.7392299999999</v>
      </c>
      <c r="N191" s="49">
        <v>1251.8887992</v>
      </c>
      <c r="O191" s="56">
        <f t="shared" si="24"/>
        <v>2338.2587100000001</v>
      </c>
      <c r="P191" s="1">
        <f t="shared" si="25"/>
        <v>1882881.657098145</v>
      </c>
      <c r="Q191" s="1">
        <f t="shared" si="19"/>
        <v>1255254.4380654299</v>
      </c>
      <c r="R191" s="1">
        <f t="shared" si="20"/>
        <v>534053.70637692849</v>
      </c>
      <c r="S191" s="1">
        <f t="shared" si="21"/>
        <v>2136214.8255077139</v>
      </c>
      <c r="T191" s="1">
        <f t="shared" si="22"/>
        <v>5808404.6270482168</v>
      </c>
      <c r="U191" s="11"/>
      <c r="V191" s="11"/>
      <c r="W191" s="11"/>
      <c r="X191" s="12"/>
      <c r="Y191" s="12"/>
      <c r="Z191" s="12"/>
      <c r="AA191" s="12"/>
      <c r="AB191" s="12"/>
      <c r="AC191" s="12"/>
      <c r="AD191" s="12"/>
      <c r="AE191" s="12"/>
      <c r="AF191" s="12"/>
      <c r="AG191" s="12"/>
      <c r="AH191" s="12"/>
      <c r="AI191" s="12"/>
      <c r="AJ191" s="12"/>
      <c r="AK191" s="12"/>
      <c r="AL191" s="12"/>
      <c r="AM191" s="12"/>
      <c r="AN191" s="12"/>
      <c r="AO191" s="12"/>
      <c r="AP191" s="12"/>
      <c r="AQ191" s="12"/>
      <c r="AR191" s="12"/>
      <c r="AS191" s="12"/>
      <c r="AT191" s="12"/>
      <c r="AU191" s="12"/>
      <c r="AV191" s="12"/>
      <c r="AW191" s="12"/>
      <c r="AX191" s="12"/>
      <c r="AY191" s="12"/>
      <c r="AZ191" s="12"/>
      <c r="BA191" s="12"/>
      <c r="BB191" s="12"/>
      <c r="BC191" s="12"/>
      <c r="BD191" s="12"/>
      <c r="BE191" s="12"/>
      <c r="BF191" s="12"/>
      <c r="BG191" s="12"/>
      <c r="BH191" s="12"/>
      <c r="BI191" s="12"/>
      <c r="BJ191" s="12"/>
      <c r="BK191" s="12"/>
      <c r="BL191" s="12"/>
      <c r="BM191" s="12"/>
      <c r="BN191" s="12"/>
      <c r="BO191" s="12"/>
      <c r="BP191" s="12"/>
      <c r="BQ191" s="12"/>
      <c r="BR191" s="12"/>
      <c r="BS191" s="12"/>
      <c r="BT191" s="12"/>
      <c r="BU191" s="12"/>
      <c r="BV191" s="12"/>
      <c r="BW191" s="12"/>
      <c r="BX191" s="12"/>
      <c r="BY191" s="12"/>
      <c r="BZ191" s="12"/>
      <c r="CA191" s="12"/>
      <c r="CB191" s="12"/>
      <c r="CC191" s="12"/>
      <c r="CD191" s="12"/>
      <c r="CE191" s="12"/>
      <c r="CF191" s="12"/>
      <c r="CG191" s="12"/>
      <c r="CH191" s="12"/>
      <c r="CI191" s="12"/>
      <c r="CJ191" s="12"/>
      <c r="CK191" s="12"/>
      <c r="CL191" s="12"/>
      <c r="CM191" s="12"/>
      <c r="CN191" s="12"/>
      <c r="CO191" s="12"/>
      <c r="CP191" s="12"/>
      <c r="CQ191" s="12"/>
      <c r="CR191" s="12"/>
      <c r="CS191" s="12"/>
      <c r="CT191" s="12"/>
      <c r="CU191" s="12"/>
      <c r="CV191" s="12"/>
      <c r="CW191" s="12"/>
      <c r="CX191" s="12"/>
      <c r="CY191" s="12"/>
      <c r="CZ191" s="12"/>
      <c r="DA191" s="12"/>
      <c r="DB191" s="12"/>
      <c r="DC191" s="12"/>
      <c r="DD191" s="12"/>
      <c r="DE191" s="12"/>
      <c r="DF191" s="12"/>
      <c r="DG191" s="12"/>
      <c r="DH191" s="12"/>
      <c r="DI191" s="12"/>
      <c r="DJ191" s="12"/>
      <c r="DK191" s="12"/>
      <c r="DL191" s="12"/>
      <c r="DM191" s="12"/>
      <c r="DN191" s="12"/>
      <c r="DO191" s="12"/>
      <c r="DP191" s="12"/>
      <c r="DQ191" s="12"/>
      <c r="DR191" s="12"/>
      <c r="DS191" s="12"/>
      <c r="DT191" s="12"/>
      <c r="DU191" s="12"/>
      <c r="DV191" s="12"/>
      <c r="DW191" s="12"/>
      <c r="DX191" s="12"/>
      <c r="DY191" s="12"/>
      <c r="DZ191" s="12"/>
      <c r="EA191" s="12"/>
      <c r="EB191" s="12"/>
      <c r="EC191" s="12"/>
      <c r="ED191" s="12"/>
      <c r="EE191" s="12"/>
      <c r="EF191" s="12"/>
      <c r="EG191" s="12"/>
      <c r="EH191" s="12"/>
      <c r="EI191" s="12"/>
      <c r="EJ191" s="12"/>
      <c r="EK191" s="12"/>
      <c r="EL191" s="12"/>
      <c r="EM191" s="12"/>
      <c r="EN191" s="12"/>
      <c r="EO191" s="12"/>
      <c r="EP191" s="12"/>
      <c r="EQ191" s="12"/>
      <c r="ER191" s="12"/>
      <c r="ES191" s="12"/>
      <c r="ET191" s="12"/>
      <c r="EU191" s="12"/>
      <c r="EV191" s="12"/>
      <c r="EW191" s="12"/>
      <c r="EX191" s="12"/>
      <c r="EY191" s="12"/>
      <c r="EZ191" s="12"/>
      <c r="FA191" s="12"/>
      <c r="FB191" s="12"/>
      <c r="FC191" s="12"/>
      <c r="FD191" s="12"/>
      <c r="FE191" s="12"/>
      <c r="FF191" s="12"/>
      <c r="FG191" s="12"/>
      <c r="FH191" s="12"/>
      <c r="FI191" s="12"/>
      <c r="FJ191" s="12"/>
      <c r="FK191" s="12"/>
      <c r="FL191" s="12"/>
      <c r="FM191" s="12"/>
      <c r="FN191" s="12"/>
      <c r="FO191" s="12"/>
      <c r="FP191" s="12"/>
      <c r="FQ191" s="12"/>
      <c r="FR191" s="12"/>
      <c r="FS191" s="12"/>
      <c r="FT191" s="12"/>
      <c r="FU191" s="12"/>
      <c r="FV191" s="12"/>
      <c r="FW191" s="12"/>
      <c r="FX191" s="12"/>
      <c r="FY191" s="12"/>
      <c r="FZ191" s="12"/>
      <c r="GA191" s="12"/>
      <c r="GB191" s="12"/>
      <c r="GC191" s="12"/>
      <c r="GD191" s="12"/>
      <c r="GE191" s="12"/>
    </row>
    <row r="192" spans="1:187" ht="21" customHeight="1">
      <c r="A192" s="45"/>
      <c r="B192" s="9" t="s">
        <v>266</v>
      </c>
      <c r="C192" s="10" t="s">
        <v>216</v>
      </c>
      <c r="D192" s="10" t="s">
        <v>301</v>
      </c>
      <c r="E192" s="35">
        <v>2836.8249999999998</v>
      </c>
      <c r="F192" s="35">
        <f>4728.367-E192</f>
        <v>1891.5420000000004</v>
      </c>
      <c r="G192" s="35">
        <v>945.52499999999998</v>
      </c>
      <c r="H192" s="35">
        <f>3782.1-G192</f>
        <v>2836.5749999999998</v>
      </c>
      <c r="I192" s="35">
        <f t="shared" si="23"/>
        <v>8510.4670000000006</v>
      </c>
      <c r="J192" s="56">
        <v>7556.92</v>
      </c>
      <c r="K192" s="49">
        <v>5015.9399999999996</v>
      </c>
      <c r="L192" s="49">
        <v>5216.5775999999996</v>
      </c>
      <c r="M192" s="49">
        <v>1420.41</v>
      </c>
      <c r="N192" s="49">
        <v>1477.2264000000002</v>
      </c>
      <c r="O192" s="56">
        <f t="shared" si="24"/>
        <v>3595.5299999999997</v>
      </c>
      <c r="P192" s="1">
        <f t="shared" si="25"/>
        <v>10199889.392249998</v>
      </c>
      <c r="Q192" s="1">
        <f t="shared" si="19"/>
        <v>6801096.0072600013</v>
      </c>
      <c r="R192" s="1">
        <f t="shared" si="20"/>
        <v>3535650.0433799992</v>
      </c>
      <c r="S192" s="1">
        <f t="shared" si="21"/>
        <v>10606950.130139997</v>
      </c>
      <c r="T192" s="1">
        <f t="shared" si="22"/>
        <v>31143585.573029995</v>
      </c>
      <c r="U192" s="11"/>
      <c r="V192" s="11"/>
      <c r="W192" s="11"/>
      <c r="X192" s="12"/>
      <c r="Y192" s="12"/>
      <c r="Z192" s="12"/>
      <c r="AA192" s="12"/>
      <c r="AB192" s="12"/>
      <c r="AC192" s="12"/>
      <c r="AD192" s="12"/>
      <c r="AE192" s="12"/>
      <c r="AF192" s="12"/>
      <c r="AG192" s="12"/>
      <c r="AH192" s="12"/>
      <c r="AI192" s="12"/>
      <c r="AJ192" s="12"/>
      <c r="AK192" s="12"/>
      <c r="AL192" s="12"/>
      <c r="AM192" s="12"/>
      <c r="AN192" s="12"/>
      <c r="AO192" s="12"/>
      <c r="AP192" s="12"/>
      <c r="AQ192" s="12"/>
      <c r="AR192" s="12"/>
      <c r="AS192" s="12"/>
      <c r="AT192" s="12"/>
      <c r="AU192" s="12"/>
      <c r="AV192" s="12"/>
      <c r="AW192" s="12"/>
      <c r="AX192" s="12"/>
      <c r="AY192" s="12"/>
      <c r="AZ192" s="12"/>
      <c r="BA192" s="12"/>
      <c r="BB192" s="12"/>
      <c r="BC192" s="12"/>
      <c r="BD192" s="12"/>
      <c r="BE192" s="12"/>
      <c r="BF192" s="12"/>
      <c r="BG192" s="12"/>
      <c r="BH192" s="12"/>
      <c r="BI192" s="12"/>
      <c r="BJ192" s="12"/>
      <c r="BK192" s="12"/>
      <c r="BL192" s="12"/>
      <c r="BM192" s="12"/>
      <c r="BN192" s="12"/>
      <c r="BO192" s="12"/>
      <c r="BP192" s="12"/>
      <c r="BQ192" s="12"/>
      <c r="BR192" s="12"/>
      <c r="BS192" s="12"/>
      <c r="BT192" s="12"/>
      <c r="BU192" s="12"/>
      <c r="BV192" s="12"/>
      <c r="BW192" s="12"/>
      <c r="BX192" s="12"/>
      <c r="BY192" s="12"/>
      <c r="BZ192" s="12"/>
      <c r="CA192" s="12"/>
      <c r="CB192" s="12"/>
      <c r="CC192" s="12"/>
      <c r="CD192" s="12"/>
      <c r="CE192" s="12"/>
      <c r="CF192" s="12"/>
      <c r="CG192" s="12"/>
      <c r="CH192" s="12"/>
      <c r="CI192" s="12"/>
      <c r="CJ192" s="12"/>
      <c r="CK192" s="12"/>
      <c r="CL192" s="12"/>
      <c r="CM192" s="12"/>
      <c r="CN192" s="12"/>
      <c r="CO192" s="12"/>
      <c r="CP192" s="12"/>
      <c r="CQ192" s="12"/>
      <c r="CR192" s="12"/>
      <c r="CS192" s="12"/>
      <c r="CT192" s="12"/>
      <c r="CU192" s="12"/>
      <c r="CV192" s="12"/>
      <c r="CW192" s="12"/>
      <c r="CX192" s="12"/>
      <c r="CY192" s="12"/>
      <c r="CZ192" s="12"/>
      <c r="DA192" s="12"/>
      <c r="DB192" s="12"/>
      <c r="DC192" s="12"/>
      <c r="DD192" s="12"/>
      <c r="DE192" s="12"/>
      <c r="DF192" s="12"/>
      <c r="DG192" s="12"/>
      <c r="DH192" s="12"/>
      <c r="DI192" s="12"/>
      <c r="DJ192" s="12"/>
      <c r="DK192" s="12"/>
      <c r="DL192" s="12"/>
      <c r="DM192" s="12"/>
      <c r="DN192" s="12"/>
      <c r="DO192" s="12"/>
      <c r="DP192" s="12"/>
      <c r="DQ192" s="12"/>
      <c r="DR192" s="12"/>
      <c r="DS192" s="12"/>
      <c r="DT192" s="12"/>
      <c r="DU192" s="12"/>
      <c r="DV192" s="12"/>
      <c r="DW192" s="12"/>
      <c r="DX192" s="12"/>
      <c r="DY192" s="12"/>
      <c r="DZ192" s="12"/>
      <c r="EA192" s="12"/>
      <c r="EB192" s="12"/>
      <c r="EC192" s="12"/>
      <c r="ED192" s="12"/>
      <c r="EE192" s="12"/>
      <c r="EF192" s="12"/>
      <c r="EG192" s="12"/>
      <c r="EH192" s="12"/>
      <c r="EI192" s="12"/>
      <c r="EJ192" s="12"/>
      <c r="EK192" s="12"/>
      <c r="EL192" s="12"/>
      <c r="EM192" s="12"/>
      <c r="EN192" s="12"/>
      <c r="EO192" s="12"/>
      <c r="EP192" s="12"/>
      <c r="EQ192" s="12"/>
      <c r="ER192" s="12"/>
      <c r="ES192" s="12"/>
      <c r="ET192" s="12"/>
      <c r="EU192" s="12"/>
      <c r="EV192" s="12"/>
      <c r="EW192" s="12"/>
      <c r="EX192" s="12"/>
      <c r="EY192" s="12"/>
      <c r="EZ192" s="12"/>
      <c r="FA192" s="12"/>
      <c r="FB192" s="12"/>
      <c r="FC192" s="12"/>
      <c r="FD192" s="12"/>
      <c r="FE192" s="12"/>
      <c r="FF192" s="12"/>
      <c r="FG192" s="12"/>
      <c r="FH192" s="12"/>
      <c r="FI192" s="12"/>
      <c r="FJ192" s="12"/>
      <c r="FK192" s="12"/>
      <c r="FL192" s="12"/>
      <c r="FM192" s="12"/>
      <c r="FN192" s="12"/>
      <c r="FO192" s="12"/>
      <c r="FP192" s="12"/>
      <c r="FQ192" s="12"/>
      <c r="FR192" s="12"/>
      <c r="FS192" s="12"/>
      <c r="FT192" s="12"/>
      <c r="FU192" s="12"/>
      <c r="FV192" s="12"/>
      <c r="FW192" s="12"/>
      <c r="FX192" s="12"/>
      <c r="FY192" s="12"/>
      <c r="FZ192" s="12"/>
      <c r="GA192" s="12"/>
      <c r="GB192" s="12"/>
      <c r="GC192" s="12"/>
      <c r="GD192" s="12"/>
      <c r="GE192" s="12"/>
    </row>
    <row r="193" spans="1:187" ht="21" customHeight="1">
      <c r="A193" s="45" t="s">
        <v>337</v>
      </c>
      <c r="B193" s="9" t="s">
        <v>348</v>
      </c>
      <c r="C193" s="10" t="s">
        <v>347</v>
      </c>
      <c r="D193" s="10" t="s">
        <v>217</v>
      </c>
      <c r="E193" s="35">
        <f>87.97428*0.4</f>
        <v>35.189712</v>
      </c>
      <c r="F193" s="35">
        <f>87.97428*0.6</f>
        <v>52.784567999999993</v>
      </c>
      <c r="G193" s="35">
        <f>69.68572*0.2</f>
        <v>13.937144000000002</v>
      </c>
      <c r="H193" s="35">
        <f>69.68572*0.8</f>
        <v>55.748576000000007</v>
      </c>
      <c r="I193" s="35">
        <f t="shared" si="23"/>
        <v>157.66</v>
      </c>
      <c r="J193" s="56">
        <v>157.66</v>
      </c>
      <c r="K193" s="49">
        <v>1975.6301799999999</v>
      </c>
      <c r="L193" s="49">
        <v>2054.6553872</v>
      </c>
      <c r="M193" s="49">
        <v>1155.3320699999997</v>
      </c>
      <c r="N193" s="49">
        <v>1201.5453527999998</v>
      </c>
      <c r="O193" s="56">
        <f t="shared" si="24"/>
        <v>820.29811000000018</v>
      </c>
      <c r="P193" s="1">
        <f t="shared" si="25"/>
        <v>28866.054245044328</v>
      </c>
      <c r="Q193" s="1">
        <f t="shared" si="19"/>
        <v>43299.081367566483</v>
      </c>
      <c r="R193" s="1">
        <f t="shared" si="20"/>
        <v>11889.917397277757</v>
      </c>
      <c r="S193" s="1">
        <f t="shared" si="21"/>
        <v>47559.669589111028</v>
      </c>
      <c r="T193" s="1">
        <f t="shared" si="22"/>
        <v>131614.72259899959</v>
      </c>
      <c r="U193" s="11"/>
      <c r="V193" s="11"/>
      <c r="W193" s="11"/>
      <c r="X193" s="12"/>
      <c r="Y193" s="12"/>
      <c r="Z193" s="12"/>
      <c r="AA193" s="12"/>
      <c r="AB193" s="12"/>
      <c r="AC193" s="12"/>
      <c r="AD193" s="12"/>
      <c r="AE193" s="12"/>
      <c r="AF193" s="12"/>
      <c r="AG193" s="12"/>
      <c r="AH193" s="12"/>
      <c r="AI193" s="12"/>
      <c r="AJ193" s="12"/>
      <c r="AK193" s="12"/>
      <c r="AL193" s="12"/>
      <c r="AM193" s="12"/>
      <c r="AN193" s="12"/>
      <c r="AO193" s="12"/>
      <c r="AP193" s="12"/>
      <c r="AQ193" s="12"/>
      <c r="AR193" s="12"/>
      <c r="AS193" s="12"/>
      <c r="AT193" s="12"/>
      <c r="AU193" s="12"/>
      <c r="AV193" s="12"/>
      <c r="AW193" s="12"/>
      <c r="AX193" s="12"/>
      <c r="AY193" s="12"/>
      <c r="AZ193" s="12"/>
      <c r="BA193" s="12"/>
      <c r="BB193" s="12"/>
      <c r="BC193" s="12"/>
      <c r="BD193" s="12"/>
      <c r="BE193" s="12"/>
      <c r="BF193" s="12"/>
      <c r="BG193" s="12"/>
      <c r="BH193" s="12"/>
      <c r="BI193" s="12"/>
      <c r="BJ193" s="12"/>
      <c r="BK193" s="12"/>
      <c r="BL193" s="12"/>
      <c r="BM193" s="12"/>
      <c r="BN193" s="12"/>
      <c r="BO193" s="12"/>
      <c r="BP193" s="12"/>
      <c r="BQ193" s="12"/>
      <c r="BR193" s="12"/>
      <c r="BS193" s="12"/>
      <c r="BT193" s="12"/>
      <c r="BU193" s="12"/>
      <c r="BV193" s="12"/>
      <c r="BW193" s="12"/>
      <c r="BX193" s="12"/>
      <c r="BY193" s="12"/>
      <c r="BZ193" s="12"/>
      <c r="CA193" s="12"/>
      <c r="CB193" s="12"/>
      <c r="CC193" s="12"/>
      <c r="CD193" s="12"/>
      <c r="CE193" s="12"/>
      <c r="CF193" s="12"/>
      <c r="CG193" s="12"/>
      <c r="CH193" s="12"/>
      <c r="CI193" s="12"/>
      <c r="CJ193" s="12"/>
      <c r="CK193" s="12"/>
      <c r="CL193" s="12"/>
      <c r="CM193" s="12"/>
      <c r="CN193" s="12"/>
      <c r="CO193" s="12"/>
      <c r="CP193" s="12"/>
      <c r="CQ193" s="12"/>
      <c r="CR193" s="12"/>
      <c r="CS193" s="12"/>
      <c r="CT193" s="12"/>
      <c r="CU193" s="12"/>
      <c r="CV193" s="12"/>
      <c r="CW193" s="12"/>
      <c r="CX193" s="12"/>
      <c r="CY193" s="12"/>
      <c r="CZ193" s="12"/>
      <c r="DA193" s="12"/>
      <c r="DB193" s="12"/>
      <c r="DC193" s="12"/>
      <c r="DD193" s="12"/>
      <c r="DE193" s="12"/>
      <c r="DF193" s="12"/>
      <c r="DG193" s="12"/>
      <c r="DH193" s="12"/>
      <c r="DI193" s="12"/>
      <c r="DJ193" s="12"/>
      <c r="DK193" s="12"/>
      <c r="DL193" s="12"/>
      <c r="DM193" s="12"/>
      <c r="DN193" s="12"/>
      <c r="DO193" s="12"/>
      <c r="DP193" s="12"/>
      <c r="DQ193" s="12"/>
      <c r="DR193" s="12"/>
      <c r="DS193" s="12"/>
      <c r="DT193" s="12"/>
      <c r="DU193" s="12"/>
      <c r="DV193" s="12"/>
      <c r="DW193" s="12"/>
      <c r="DX193" s="12"/>
      <c r="DY193" s="12"/>
      <c r="DZ193" s="12"/>
      <c r="EA193" s="12"/>
      <c r="EB193" s="12"/>
      <c r="EC193" s="12"/>
      <c r="ED193" s="12"/>
      <c r="EE193" s="12"/>
      <c r="EF193" s="12"/>
      <c r="EG193" s="12"/>
      <c r="EH193" s="12"/>
      <c r="EI193" s="12"/>
      <c r="EJ193" s="12"/>
      <c r="EK193" s="12"/>
      <c r="EL193" s="12"/>
      <c r="EM193" s="12"/>
      <c r="EN193" s="12"/>
      <c r="EO193" s="12"/>
      <c r="EP193" s="12"/>
      <c r="EQ193" s="12"/>
      <c r="ER193" s="12"/>
      <c r="ES193" s="12"/>
      <c r="ET193" s="12"/>
      <c r="EU193" s="12"/>
      <c r="EV193" s="12"/>
      <c r="EW193" s="12"/>
      <c r="EX193" s="12"/>
      <c r="EY193" s="12"/>
      <c r="EZ193" s="12"/>
      <c r="FA193" s="12"/>
      <c r="FB193" s="12"/>
      <c r="FC193" s="12"/>
      <c r="FD193" s="12"/>
      <c r="FE193" s="12"/>
      <c r="FF193" s="12"/>
      <c r="FG193" s="12"/>
      <c r="FH193" s="12"/>
      <c r="FI193" s="12"/>
      <c r="FJ193" s="12"/>
      <c r="FK193" s="12"/>
      <c r="FL193" s="12"/>
      <c r="FM193" s="12"/>
      <c r="FN193" s="12"/>
      <c r="FO193" s="12"/>
      <c r="FP193" s="12"/>
      <c r="FQ193" s="12"/>
      <c r="FR193" s="12"/>
      <c r="FS193" s="12"/>
      <c r="FT193" s="12"/>
      <c r="FU193" s="12"/>
      <c r="FV193" s="12"/>
      <c r="FW193" s="12"/>
      <c r="FX193" s="12"/>
      <c r="FY193" s="12"/>
      <c r="FZ193" s="12"/>
      <c r="GA193" s="12"/>
      <c r="GB193" s="12"/>
      <c r="GC193" s="12"/>
      <c r="GD193" s="12"/>
      <c r="GE193" s="12"/>
    </row>
    <row r="194" spans="1:187" ht="21" customHeight="1">
      <c r="A194" s="45"/>
      <c r="B194" s="101" t="s">
        <v>218</v>
      </c>
      <c r="C194" s="101"/>
      <c r="D194" s="101"/>
      <c r="E194" s="34"/>
      <c r="F194" s="34"/>
      <c r="G194" s="34"/>
      <c r="H194" s="34"/>
      <c r="I194" s="35">
        <f t="shared" si="23"/>
        <v>0</v>
      </c>
      <c r="J194" s="56"/>
      <c r="K194" s="49"/>
      <c r="L194" s="49"/>
      <c r="M194" s="49"/>
      <c r="N194" s="49"/>
      <c r="O194" s="56">
        <f t="shared" si="24"/>
        <v>0</v>
      </c>
      <c r="P194" s="1">
        <f t="shared" si="25"/>
        <v>0</v>
      </c>
      <c r="Q194" s="1">
        <f t="shared" si="19"/>
        <v>0</v>
      </c>
      <c r="R194" s="1">
        <f t="shared" si="20"/>
        <v>0</v>
      </c>
      <c r="S194" s="1">
        <f t="shared" si="21"/>
        <v>0</v>
      </c>
      <c r="T194" s="1">
        <f t="shared" si="22"/>
        <v>0</v>
      </c>
      <c r="U194" s="45"/>
      <c r="V194" s="45"/>
      <c r="W194" s="45"/>
    </row>
    <row r="195" spans="1:187" ht="21" customHeight="1">
      <c r="A195" s="45"/>
      <c r="B195" s="9" t="s">
        <v>264</v>
      </c>
      <c r="C195" s="10" t="s">
        <v>219</v>
      </c>
      <c r="D195" s="10" t="s">
        <v>220</v>
      </c>
      <c r="E195" s="35">
        <v>1839.6969999999999</v>
      </c>
      <c r="F195" s="35">
        <f>2683.725-E195</f>
        <v>844.02800000000002</v>
      </c>
      <c r="G195" s="35">
        <v>253.42599999999999</v>
      </c>
      <c r="H195" s="35">
        <f>2044.498-G195</f>
        <v>1791.0720000000001</v>
      </c>
      <c r="I195" s="35">
        <f t="shared" si="23"/>
        <v>4728.223</v>
      </c>
      <c r="J195" s="56">
        <v>5362.9382546374927</v>
      </c>
      <c r="K195" s="49">
        <v>3949.42</v>
      </c>
      <c r="L195" s="49">
        <v>4107.3968000000004</v>
      </c>
      <c r="M195" s="49">
        <v>2016.72</v>
      </c>
      <c r="N195" s="49">
        <v>2097.38</v>
      </c>
      <c r="O195" s="56">
        <f t="shared" si="24"/>
        <v>1932.7</v>
      </c>
      <c r="P195" s="1">
        <f t="shared" si="25"/>
        <v>3555582.3918999997</v>
      </c>
      <c r="Q195" s="1">
        <f t="shared" si="19"/>
        <v>1631252.9156000002</v>
      </c>
      <c r="R195" s="1">
        <f t="shared" si="20"/>
        <v>509390.51755680004</v>
      </c>
      <c r="S195" s="1">
        <f t="shared" si="21"/>
        <v>3600084.8100096006</v>
      </c>
      <c r="T195" s="1">
        <f t="shared" si="22"/>
        <v>9296310.6350664012</v>
      </c>
      <c r="U195" s="11"/>
      <c r="V195" s="11"/>
      <c r="W195" s="11"/>
      <c r="X195" s="12"/>
      <c r="Y195" s="12"/>
      <c r="Z195" s="12"/>
      <c r="AA195" s="12"/>
      <c r="AB195" s="12"/>
      <c r="AC195" s="12"/>
      <c r="AD195" s="12"/>
      <c r="AE195" s="12"/>
      <c r="AF195" s="12"/>
      <c r="AG195" s="12"/>
      <c r="AH195" s="12"/>
      <c r="AI195" s="12"/>
      <c r="AJ195" s="12"/>
      <c r="AK195" s="12"/>
      <c r="AL195" s="12"/>
      <c r="AM195" s="12"/>
      <c r="AN195" s="12"/>
      <c r="AO195" s="12"/>
      <c r="AP195" s="12"/>
      <c r="AQ195" s="12"/>
      <c r="AR195" s="12"/>
      <c r="AS195" s="12"/>
      <c r="AT195" s="12"/>
      <c r="AU195" s="12"/>
      <c r="AV195" s="12"/>
      <c r="AW195" s="12"/>
      <c r="AX195" s="12"/>
      <c r="AY195" s="12"/>
      <c r="AZ195" s="12"/>
      <c r="BA195" s="12"/>
      <c r="BB195" s="12"/>
      <c r="BC195" s="12"/>
      <c r="BD195" s="12"/>
      <c r="BE195" s="12"/>
      <c r="BF195" s="12"/>
      <c r="BG195" s="12"/>
      <c r="BH195" s="12"/>
      <c r="BI195" s="12"/>
      <c r="BJ195" s="12"/>
      <c r="BK195" s="12"/>
      <c r="BL195" s="12"/>
      <c r="BM195" s="12"/>
      <c r="BN195" s="12"/>
      <c r="BO195" s="12"/>
      <c r="BP195" s="12"/>
      <c r="BQ195" s="12"/>
      <c r="BR195" s="12"/>
      <c r="BS195" s="12"/>
      <c r="BT195" s="12"/>
      <c r="BU195" s="12"/>
      <c r="BV195" s="12"/>
      <c r="BW195" s="12"/>
      <c r="BX195" s="12"/>
      <c r="BY195" s="12"/>
      <c r="BZ195" s="12"/>
      <c r="CA195" s="12"/>
      <c r="CB195" s="12"/>
      <c r="CC195" s="12"/>
      <c r="CD195" s="12"/>
      <c r="CE195" s="12"/>
      <c r="CF195" s="12"/>
      <c r="CG195" s="12"/>
      <c r="CH195" s="12"/>
      <c r="CI195" s="12"/>
      <c r="CJ195" s="12"/>
      <c r="CK195" s="12"/>
      <c r="CL195" s="12"/>
      <c r="CM195" s="12"/>
      <c r="CN195" s="12"/>
      <c r="CO195" s="12"/>
      <c r="CP195" s="12"/>
      <c r="CQ195" s="12"/>
      <c r="CR195" s="12"/>
      <c r="CS195" s="12"/>
      <c r="CT195" s="12"/>
      <c r="CU195" s="12"/>
      <c r="CV195" s="12"/>
      <c r="CW195" s="12"/>
      <c r="CX195" s="12"/>
      <c r="CY195" s="12"/>
      <c r="CZ195" s="12"/>
      <c r="DA195" s="12"/>
      <c r="DB195" s="12"/>
      <c r="DC195" s="12"/>
      <c r="DD195" s="12"/>
      <c r="DE195" s="12"/>
      <c r="DF195" s="12"/>
      <c r="DG195" s="12"/>
      <c r="DH195" s="12"/>
      <c r="DI195" s="12"/>
      <c r="DJ195" s="12"/>
      <c r="DK195" s="12"/>
      <c r="DL195" s="12"/>
      <c r="DM195" s="12"/>
      <c r="DN195" s="12"/>
      <c r="DO195" s="12"/>
      <c r="DP195" s="12"/>
      <c r="DQ195" s="12"/>
      <c r="DR195" s="12"/>
      <c r="DS195" s="12"/>
      <c r="DT195" s="12"/>
      <c r="DU195" s="12"/>
      <c r="DV195" s="12"/>
      <c r="DW195" s="12"/>
      <c r="DX195" s="12"/>
      <c r="DY195" s="12"/>
      <c r="DZ195" s="12"/>
      <c r="EA195" s="12"/>
      <c r="EB195" s="12"/>
      <c r="EC195" s="12"/>
      <c r="ED195" s="12"/>
      <c r="EE195" s="12"/>
      <c r="EF195" s="12"/>
      <c r="EG195" s="12"/>
      <c r="EH195" s="12"/>
      <c r="EI195" s="12"/>
      <c r="EJ195" s="12"/>
      <c r="EK195" s="12"/>
      <c r="EL195" s="12"/>
      <c r="EM195" s="12"/>
      <c r="EN195" s="12"/>
      <c r="EO195" s="12"/>
      <c r="EP195" s="12"/>
      <c r="EQ195" s="12"/>
      <c r="ER195" s="12"/>
      <c r="ES195" s="12"/>
      <c r="ET195" s="12"/>
      <c r="EU195" s="12"/>
      <c r="EV195" s="12"/>
      <c r="EW195" s="12"/>
      <c r="EX195" s="12"/>
      <c r="EY195" s="12"/>
      <c r="EZ195" s="12"/>
      <c r="FA195" s="12"/>
      <c r="FB195" s="12"/>
      <c r="FC195" s="12"/>
      <c r="FD195" s="12"/>
      <c r="FE195" s="12"/>
      <c r="FF195" s="12"/>
      <c r="FG195" s="12"/>
      <c r="FH195" s="12"/>
      <c r="FI195" s="12"/>
      <c r="FJ195" s="12"/>
      <c r="FK195" s="12"/>
      <c r="FL195" s="12"/>
      <c r="FM195" s="12"/>
      <c r="FN195" s="12"/>
      <c r="FO195" s="12"/>
      <c r="FP195" s="12"/>
      <c r="FQ195" s="12"/>
      <c r="FR195" s="12"/>
      <c r="FS195" s="12"/>
      <c r="FT195" s="12"/>
      <c r="FU195" s="12"/>
      <c r="FV195" s="12"/>
      <c r="FW195" s="12"/>
      <c r="FX195" s="12"/>
      <c r="FY195" s="12"/>
      <c r="FZ195" s="12"/>
      <c r="GA195" s="12"/>
      <c r="GB195" s="12"/>
      <c r="GC195" s="12"/>
      <c r="GD195" s="12"/>
      <c r="GE195" s="12"/>
    </row>
    <row r="196" spans="1:187" ht="21" customHeight="1">
      <c r="A196" s="45"/>
      <c r="B196" s="9" t="s">
        <v>24</v>
      </c>
      <c r="C196" s="10" t="s">
        <v>221</v>
      </c>
      <c r="D196" s="10" t="s">
        <v>220</v>
      </c>
      <c r="E196" s="35">
        <v>2345.6950000000002</v>
      </c>
      <c r="F196" s="35">
        <f>3447.042-E196</f>
        <v>1101.3469999999998</v>
      </c>
      <c r="G196" s="35">
        <v>344.05799999999999</v>
      </c>
      <c r="H196" s="35">
        <f>2662.974-G196</f>
        <v>2318.9160000000002</v>
      </c>
      <c r="I196" s="35">
        <f t="shared" si="23"/>
        <v>6110.0159999999996</v>
      </c>
      <c r="J196" s="56">
        <v>7846.1403333333328</v>
      </c>
      <c r="K196" s="49">
        <v>3994.6712000000002</v>
      </c>
      <c r="L196" s="49">
        <v>4154.4580480000004</v>
      </c>
      <c r="M196" s="49">
        <v>2016.7161199999998</v>
      </c>
      <c r="N196" s="49">
        <v>2097.3847648000001</v>
      </c>
      <c r="O196" s="56">
        <f t="shared" si="24"/>
        <v>1977.9550800000004</v>
      </c>
      <c r="P196" s="1">
        <f t="shared" si="25"/>
        <v>4639679.3413806008</v>
      </c>
      <c r="Q196" s="1">
        <f t="shared" si="19"/>
        <v>2178414.8934927601</v>
      </c>
      <c r="R196" s="1">
        <f t="shared" si="20"/>
        <v>707752.51967122569</v>
      </c>
      <c r="S196" s="1">
        <f t="shared" si="21"/>
        <v>4770180.1495850123</v>
      </c>
      <c r="T196" s="1">
        <f t="shared" si="22"/>
        <v>12296026.904129598</v>
      </c>
      <c r="U196" s="11"/>
      <c r="V196" s="11"/>
      <c r="W196" s="11"/>
      <c r="X196" s="12"/>
      <c r="Y196" s="12"/>
      <c r="Z196" s="12"/>
      <c r="AA196" s="12"/>
      <c r="AB196" s="12"/>
      <c r="AC196" s="12"/>
      <c r="AD196" s="12"/>
      <c r="AE196" s="12"/>
      <c r="AF196" s="12"/>
      <c r="AG196" s="12"/>
      <c r="AH196" s="12"/>
      <c r="AI196" s="12"/>
      <c r="AJ196" s="12"/>
      <c r="AK196" s="12"/>
      <c r="AL196" s="12"/>
      <c r="AM196" s="12"/>
      <c r="AN196" s="12"/>
      <c r="AO196" s="12"/>
      <c r="AP196" s="12"/>
      <c r="AQ196" s="12"/>
      <c r="AR196" s="12"/>
      <c r="AS196" s="12"/>
      <c r="AT196" s="12"/>
      <c r="AU196" s="12"/>
      <c r="AV196" s="12"/>
      <c r="AW196" s="12"/>
      <c r="AX196" s="12"/>
      <c r="AY196" s="12"/>
      <c r="AZ196" s="12"/>
      <c r="BA196" s="12"/>
      <c r="BB196" s="12"/>
      <c r="BC196" s="12"/>
      <c r="BD196" s="12"/>
      <c r="BE196" s="12"/>
      <c r="BF196" s="12"/>
      <c r="BG196" s="12"/>
      <c r="BH196" s="12"/>
      <c r="BI196" s="12"/>
      <c r="BJ196" s="12"/>
      <c r="BK196" s="12"/>
      <c r="BL196" s="12"/>
      <c r="BM196" s="12"/>
      <c r="BN196" s="12"/>
      <c r="BO196" s="12"/>
      <c r="BP196" s="12"/>
      <c r="BQ196" s="12"/>
      <c r="BR196" s="12"/>
      <c r="BS196" s="12"/>
      <c r="BT196" s="12"/>
      <c r="BU196" s="12"/>
      <c r="BV196" s="12"/>
      <c r="BW196" s="12"/>
      <c r="BX196" s="12"/>
      <c r="BY196" s="12"/>
      <c r="BZ196" s="12"/>
      <c r="CA196" s="12"/>
      <c r="CB196" s="12"/>
      <c r="CC196" s="12"/>
      <c r="CD196" s="12"/>
      <c r="CE196" s="12"/>
      <c r="CF196" s="12"/>
      <c r="CG196" s="12"/>
      <c r="CH196" s="12"/>
      <c r="CI196" s="12"/>
      <c r="CJ196" s="12"/>
      <c r="CK196" s="12"/>
      <c r="CL196" s="12"/>
      <c r="CM196" s="12"/>
      <c r="CN196" s="12"/>
      <c r="CO196" s="12"/>
      <c r="CP196" s="12"/>
      <c r="CQ196" s="12"/>
      <c r="CR196" s="12"/>
      <c r="CS196" s="12"/>
      <c r="CT196" s="12"/>
      <c r="CU196" s="12"/>
      <c r="CV196" s="12"/>
      <c r="CW196" s="12"/>
      <c r="CX196" s="12"/>
      <c r="CY196" s="12"/>
      <c r="CZ196" s="12"/>
      <c r="DA196" s="12"/>
      <c r="DB196" s="12"/>
      <c r="DC196" s="12"/>
      <c r="DD196" s="12"/>
      <c r="DE196" s="12"/>
      <c r="DF196" s="12"/>
      <c r="DG196" s="12"/>
      <c r="DH196" s="12"/>
      <c r="DI196" s="12"/>
      <c r="DJ196" s="12"/>
      <c r="DK196" s="12"/>
      <c r="DL196" s="12"/>
      <c r="DM196" s="12"/>
      <c r="DN196" s="12"/>
      <c r="DO196" s="12"/>
      <c r="DP196" s="12"/>
      <c r="DQ196" s="12"/>
      <c r="DR196" s="12"/>
      <c r="DS196" s="12"/>
      <c r="DT196" s="12"/>
      <c r="DU196" s="12"/>
      <c r="DV196" s="12"/>
      <c r="DW196" s="12"/>
      <c r="DX196" s="12"/>
      <c r="DY196" s="12"/>
      <c r="DZ196" s="12"/>
      <c r="EA196" s="12"/>
      <c r="EB196" s="12"/>
      <c r="EC196" s="12"/>
      <c r="ED196" s="12"/>
      <c r="EE196" s="12"/>
      <c r="EF196" s="12"/>
      <c r="EG196" s="12"/>
      <c r="EH196" s="12"/>
      <c r="EI196" s="12"/>
      <c r="EJ196" s="12"/>
      <c r="EK196" s="12"/>
      <c r="EL196" s="12"/>
      <c r="EM196" s="12"/>
      <c r="EN196" s="12"/>
      <c r="EO196" s="12"/>
      <c r="EP196" s="12"/>
      <c r="EQ196" s="12"/>
      <c r="ER196" s="12"/>
      <c r="ES196" s="12"/>
      <c r="ET196" s="12"/>
      <c r="EU196" s="12"/>
      <c r="EV196" s="12"/>
      <c r="EW196" s="12"/>
      <c r="EX196" s="12"/>
      <c r="EY196" s="12"/>
      <c r="EZ196" s="12"/>
      <c r="FA196" s="12"/>
      <c r="FB196" s="12"/>
      <c r="FC196" s="12"/>
      <c r="FD196" s="12"/>
      <c r="FE196" s="12"/>
      <c r="FF196" s="12"/>
      <c r="FG196" s="12"/>
      <c r="FH196" s="12"/>
      <c r="FI196" s="12"/>
      <c r="FJ196" s="12"/>
      <c r="FK196" s="12"/>
      <c r="FL196" s="12"/>
      <c r="FM196" s="12"/>
      <c r="FN196" s="12"/>
      <c r="FO196" s="12"/>
      <c r="FP196" s="12"/>
      <c r="FQ196" s="12"/>
      <c r="FR196" s="12"/>
      <c r="FS196" s="12"/>
      <c r="FT196" s="12"/>
      <c r="FU196" s="12"/>
      <c r="FV196" s="12"/>
      <c r="FW196" s="12"/>
      <c r="FX196" s="12"/>
      <c r="FY196" s="12"/>
      <c r="FZ196" s="12"/>
      <c r="GA196" s="12"/>
      <c r="GB196" s="12"/>
      <c r="GC196" s="12"/>
      <c r="GD196" s="12"/>
      <c r="GE196" s="12"/>
    </row>
    <row r="197" spans="1:187" ht="21" customHeight="1">
      <c r="A197" s="45"/>
      <c r="B197" s="9" t="s">
        <v>24</v>
      </c>
      <c r="C197" s="10" t="s">
        <v>221</v>
      </c>
      <c r="D197" s="10" t="s">
        <v>222</v>
      </c>
      <c r="E197" s="35">
        <v>575.31600000000003</v>
      </c>
      <c r="F197" s="35">
        <f>841.097-E197</f>
        <v>265.78099999999995</v>
      </c>
      <c r="G197" s="35">
        <v>107.435</v>
      </c>
      <c r="H197" s="35">
        <f>682.283-G197</f>
        <v>574.84799999999996</v>
      </c>
      <c r="I197" s="35">
        <f t="shared" si="23"/>
        <v>1523.3799999999999</v>
      </c>
      <c r="J197" s="56">
        <v>0</v>
      </c>
      <c r="K197" s="49"/>
      <c r="L197" s="49"/>
      <c r="M197" s="49"/>
      <c r="N197" s="49"/>
      <c r="O197" s="56">
        <f t="shared" si="24"/>
        <v>0</v>
      </c>
      <c r="P197" s="1">
        <f t="shared" si="25"/>
        <v>0</v>
      </c>
      <c r="Q197" s="1">
        <f t="shared" si="19"/>
        <v>0</v>
      </c>
      <c r="R197" s="1">
        <f t="shared" si="20"/>
        <v>0</v>
      </c>
      <c r="S197" s="1">
        <f t="shared" si="21"/>
        <v>0</v>
      </c>
      <c r="T197" s="1">
        <f t="shared" si="22"/>
        <v>0</v>
      </c>
      <c r="U197" s="11"/>
      <c r="V197" s="11"/>
      <c r="W197" s="11"/>
      <c r="X197" s="12"/>
      <c r="Y197" s="12"/>
      <c r="Z197" s="12"/>
      <c r="AA197" s="12"/>
      <c r="AB197" s="12"/>
      <c r="AC197" s="12"/>
      <c r="AD197" s="12"/>
      <c r="AE197" s="12"/>
      <c r="AF197" s="12"/>
      <c r="AG197" s="12"/>
      <c r="AH197" s="12"/>
      <c r="AI197" s="12"/>
      <c r="AJ197" s="12"/>
      <c r="AK197" s="12"/>
      <c r="AL197" s="12"/>
      <c r="AM197" s="12"/>
      <c r="AN197" s="12"/>
      <c r="AO197" s="12"/>
      <c r="AP197" s="12"/>
      <c r="AQ197" s="12"/>
      <c r="AR197" s="12"/>
      <c r="AS197" s="12"/>
      <c r="AT197" s="12"/>
      <c r="AU197" s="12"/>
      <c r="AV197" s="12"/>
      <c r="AW197" s="12"/>
      <c r="AX197" s="12"/>
      <c r="AY197" s="12"/>
      <c r="AZ197" s="12"/>
      <c r="BA197" s="12"/>
      <c r="BB197" s="12"/>
      <c r="BC197" s="12"/>
      <c r="BD197" s="12"/>
      <c r="BE197" s="12"/>
      <c r="BF197" s="12"/>
      <c r="BG197" s="12"/>
      <c r="BH197" s="12"/>
      <c r="BI197" s="12"/>
      <c r="BJ197" s="12"/>
      <c r="BK197" s="12"/>
      <c r="BL197" s="12"/>
      <c r="BM197" s="12"/>
      <c r="BN197" s="12"/>
      <c r="BO197" s="12"/>
      <c r="BP197" s="12"/>
      <c r="BQ197" s="12"/>
      <c r="BR197" s="12"/>
      <c r="BS197" s="12"/>
      <c r="BT197" s="12"/>
      <c r="BU197" s="12"/>
      <c r="BV197" s="12"/>
      <c r="BW197" s="12"/>
      <c r="BX197" s="12"/>
      <c r="BY197" s="12"/>
      <c r="BZ197" s="12"/>
      <c r="CA197" s="12"/>
      <c r="CB197" s="12"/>
      <c r="CC197" s="12"/>
      <c r="CD197" s="12"/>
      <c r="CE197" s="12"/>
      <c r="CF197" s="12"/>
      <c r="CG197" s="12"/>
      <c r="CH197" s="12"/>
      <c r="CI197" s="12"/>
      <c r="CJ197" s="12"/>
      <c r="CK197" s="12"/>
      <c r="CL197" s="12"/>
      <c r="CM197" s="12"/>
      <c r="CN197" s="12"/>
      <c r="CO197" s="12"/>
      <c r="CP197" s="12"/>
      <c r="CQ197" s="12"/>
      <c r="CR197" s="12"/>
      <c r="CS197" s="12"/>
      <c r="CT197" s="12"/>
      <c r="CU197" s="12"/>
      <c r="CV197" s="12"/>
      <c r="CW197" s="12"/>
      <c r="CX197" s="12"/>
      <c r="CY197" s="12"/>
      <c r="CZ197" s="12"/>
      <c r="DA197" s="12"/>
      <c r="DB197" s="12"/>
      <c r="DC197" s="12"/>
      <c r="DD197" s="12"/>
      <c r="DE197" s="12"/>
      <c r="DF197" s="12"/>
      <c r="DG197" s="12"/>
      <c r="DH197" s="12"/>
      <c r="DI197" s="12"/>
      <c r="DJ197" s="12"/>
      <c r="DK197" s="12"/>
      <c r="DL197" s="12"/>
      <c r="DM197" s="12"/>
      <c r="DN197" s="12"/>
      <c r="DO197" s="12"/>
      <c r="DP197" s="12"/>
      <c r="DQ197" s="12"/>
      <c r="DR197" s="12"/>
      <c r="DS197" s="12"/>
      <c r="DT197" s="12"/>
      <c r="DU197" s="12"/>
      <c r="DV197" s="12"/>
      <c r="DW197" s="12"/>
      <c r="DX197" s="12"/>
      <c r="DY197" s="12"/>
      <c r="DZ197" s="12"/>
      <c r="EA197" s="12"/>
      <c r="EB197" s="12"/>
      <c r="EC197" s="12"/>
      <c r="ED197" s="12"/>
      <c r="EE197" s="12"/>
      <c r="EF197" s="12"/>
      <c r="EG197" s="12"/>
      <c r="EH197" s="12"/>
      <c r="EI197" s="12"/>
      <c r="EJ197" s="12"/>
      <c r="EK197" s="12"/>
      <c r="EL197" s="12"/>
      <c r="EM197" s="12"/>
      <c r="EN197" s="12"/>
      <c r="EO197" s="12"/>
      <c r="EP197" s="12"/>
      <c r="EQ197" s="12"/>
      <c r="ER197" s="12"/>
      <c r="ES197" s="12"/>
      <c r="ET197" s="12"/>
      <c r="EU197" s="12"/>
      <c r="EV197" s="12"/>
      <c r="EW197" s="12"/>
      <c r="EX197" s="12"/>
      <c r="EY197" s="12"/>
      <c r="EZ197" s="12"/>
      <c r="FA197" s="12"/>
      <c r="FB197" s="12"/>
      <c r="FC197" s="12"/>
      <c r="FD197" s="12"/>
      <c r="FE197" s="12"/>
      <c r="FF197" s="12"/>
      <c r="FG197" s="12"/>
      <c r="FH197" s="12"/>
      <c r="FI197" s="12"/>
      <c r="FJ197" s="12"/>
      <c r="FK197" s="12"/>
      <c r="FL197" s="12"/>
      <c r="FM197" s="12"/>
      <c r="FN197" s="12"/>
      <c r="FO197" s="12"/>
      <c r="FP197" s="12"/>
      <c r="FQ197" s="12"/>
      <c r="FR197" s="12"/>
      <c r="FS197" s="12"/>
      <c r="FT197" s="12"/>
      <c r="FU197" s="12"/>
      <c r="FV197" s="12"/>
      <c r="FW197" s="12"/>
      <c r="FX197" s="12"/>
      <c r="FY197" s="12"/>
      <c r="FZ197" s="12"/>
      <c r="GA197" s="12"/>
      <c r="GB197" s="12"/>
      <c r="GC197" s="12"/>
      <c r="GD197" s="12"/>
      <c r="GE197" s="12"/>
    </row>
    <row r="198" spans="1:187" ht="21" customHeight="1">
      <c r="A198" s="45"/>
      <c r="B198" s="9" t="s">
        <v>27</v>
      </c>
      <c r="C198" s="10" t="s">
        <v>84</v>
      </c>
      <c r="D198" s="10" t="s">
        <v>223</v>
      </c>
      <c r="E198" s="35">
        <v>114.33</v>
      </c>
      <c r="F198" s="35">
        <f>184.403-E198</f>
        <v>70.072999999999993</v>
      </c>
      <c r="G198" s="35">
        <v>19.169</v>
      </c>
      <c r="H198" s="35">
        <f>133.499-G198</f>
        <v>114.33</v>
      </c>
      <c r="I198" s="35">
        <f t="shared" si="23"/>
        <v>317.90199999999999</v>
      </c>
      <c r="J198" s="56">
        <v>282.02999999999997</v>
      </c>
      <c r="K198" s="49">
        <v>4267.586839999999</v>
      </c>
      <c r="L198" s="49">
        <v>4438.2903135999995</v>
      </c>
      <c r="M198" s="49">
        <v>1667.4026699999999</v>
      </c>
      <c r="N198" s="49">
        <v>1734.0987768</v>
      </c>
      <c r="O198" s="56">
        <f t="shared" si="24"/>
        <v>2600.1841699999991</v>
      </c>
      <c r="P198" s="1">
        <f t="shared" si="25"/>
        <v>297279.05615609989</v>
      </c>
      <c r="Q198" s="1">
        <f t="shared" si="19"/>
        <v>182202.70534440991</v>
      </c>
      <c r="R198" s="1">
        <f t="shared" si="20"/>
        <v>51836.647568919194</v>
      </c>
      <c r="S198" s="1">
        <f t="shared" si="21"/>
        <v>309170.21840234392</v>
      </c>
      <c r="T198" s="1">
        <f t="shared" si="22"/>
        <v>840488.62747177295</v>
      </c>
      <c r="U198" s="11"/>
      <c r="V198" s="11"/>
      <c r="W198" s="11"/>
      <c r="X198" s="12"/>
      <c r="Y198" s="12"/>
      <c r="Z198" s="12"/>
      <c r="AA198" s="12"/>
      <c r="AB198" s="12"/>
      <c r="AC198" s="12"/>
      <c r="AD198" s="12"/>
      <c r="AE198" s="12"/>
      <c r="AF198" s="12"/>
      <c r="AG198" s="12"/>
      <c r="AH198" s="12"/>
      <c r="AI198" s="12"/>
      <c r="AJ198" s="12"/>
      <c r="AK198" s="12"/>
      <c r="AL198" s="12"/>
      <c r="AM198" s="12"/>
      <c r="AN198" s="12"/>
      <c r="AO198" s="12"/>
      <c r="AP198" s="12"/>
      <c r="AQ198" s="12"/>
      <c r="AR198" s="12"/>
      <c r="AS198" s="12"/>
      <c r="AT198" s="12"/>
      <c r="AU198" s="12"/>
      <c r="AV198" s="12"/>
      <c r="AW198" s="12"/>
      <c r="AX198" s="12"/>
      <c r="AY198" s="12"/>
      <c r="AZ198" s="12"/>
      <c r="BA198" s="12"/>
      <c r="BB198" s="12"/>
      <c r="BC198" s="12"/>
      <c r="BD198" s="12"/>
      <c r="BE198" s="12"/>
      <c r="BF198" s="12"/>
      <c r="BG198" s="12"/>
      <c r="BH198" s="12"/>
      <c r="BI198" s="12"/>
      <c r="BJ198" s="12"/>
      <c r="BK198" s="12"/>
      <c r="BL198" s="12"/>
      <c r="BM198" s="12"/>
      <c r="BN198" s="12"/>
      <c r="BO198" s="12"/>
      <c r="BP198" s="12"/>
      <c r="BQ198" s="12"/>
      <c r="BR198" s="12"/>
      <c r="BS198" s="12"/>
      <c r="BT198" s="12"/>
      <c r="BU198" s="12"/>
      <c r="BV198" s="12"/>
      <c r="BW198" s="12"/>
      <c r="BX198" s="12"/>
      <c r="BY198" s="12"/>
      <c r="BZ198" s="12"/>
      <c r="CA198" s="12"/>
      <c r="CB198" s="12"/>
      <c r="CC198" s="12"/>
      <c r="CD198" s="12"/>
      <c r="CE198" s="12"/>
      <c r="CF198" s="12"/>
      <c r="CG198" s="12"/>
      <c r="CH198" s="12"/>
      <c r="CI198" s="12"/>
      <c r="CJ198" s="12"/>
      <c r="CK198" s="12"/>
      <c r="CL198" s="12"/>
      <c r="CM198" s="12"/>
      <c r="CN198" s="12"/>
      <c r="CO198" s="12"/>
      <c r="CP198" s="12"/>
      <c r="CQ198" s="12"/>
      <c r="CR198" s="12"/>
      <c r="CS198" s="12"/>
      <c r="CT198" s="12"/>
      <c r="CU198" s="12"/>
      <c r="CV198" s="12"/>
      <c r="CW198" s="12"/>
      <c r="CX198" s="12"/>
      <c r="CY198" s="12"/>
      <c r="CZ198" s="12"/>
      <c r="DA198" s="12"/>
      <c r="DB198" s="12"/>
      <c r="DC198" s="12"/>
      <c r="DD198" s="12"/>
      <c r="DE198" s="12"/>
      <c r="DF198" s="12"/>
      <c r="DG198" s="12"/>
      <c r="DH198" s="12"/>
      <c r="DI198" s="12"/>
      <c r="DJ198" s="12"/>
      <c r="DK198" s="12"/>
      <c r="DL198" s="12"/>
      <c r="DM198" s="12"/>
      <c r="DN198" s="12"/>
      <c r="DO198" s="12"/>
      <c r="DP198" s="12"/>
      <c r="DQ198" s="12"/>
      <c r="DR198" s="12"/>
      <c r="DS198" s="12"/>
      <c r="DT198" s="12"/>
      <c r="DU198" s="12"/>
      <c r="DV198" s="12"/>
      <c r="DW198" s="12"/>
      <c r="DX198" s="12"/>
      <c r="DY198" s="12"/>
      <c r="DZ198" s="12"/>
      <c r="EA198" s="12"/>
      <c r="EB198" s="12"/>
      <c r="EC198" s="12"/>
      <c r="ED198" s="12"/>
      <c r="EE198" s="12"/>
      <c r="EF198" s="12"/>
      <c r="EG198" s="12"/>
      <c r="EH198" s="12"/>
      <c r="EI198" s="12"/>
      <c r="EJ198" s="12"/>
      <c r="EK198" s="12"/>
      <c r="EL198" s="12"/>
      <c r="EM198" s="12"/>
      <c r="EN198" s="12"/>
      <c r="EO198" s="12"/>
      <c r="EP198" s="12"/>
      <c r="EQ198" s="12"/>
      <c r="ER198" s="12"/>
      <c r="ES198" s="12"/>
      <c r="ET198" s="12"/>
      <c r="EU198" s="12"/>
      <c r="EV198" s="12"/>
      <c r="EW198" s="12"/>
      <c r="EX198" s="12"/>
      <c r="EY198" s="12"/>
      <c r="EZ198" s="12"/>
      <c r="FA198" s="12"/>
      <c r="FB198" s="12"/>
      <c r="FC198" s="12"/>
      <c r="FD198" s="12"/>
      <c r="FE198" s="12"/>
      <c r="FF198" s="12"/>
      <c r="FG198" s="12"/>
      <c r="FH198" s="12"/>
      <c r="FI198" s="12"/>
      <c r="FJ198" s="12"/>
      <c r="FK198" s="12"/>
      <c r="FL198" s="12"/>
      <c r="FM198" s="12"/>
      <c r="FN198" s="12"/>
      <c r="FO198" s="12"/>
      <c r="FP198" s="12"/>
      <c r="FQ198" s="12"/>
      <c r="FR198" s="12"/>
      <c r="FS198" s="12"/>
      <c r="FT198" s="12"/>
      <c r="FU198" s="12"/>
      <c r="FV198" s="12"/>
      <c r="FW198" s="12"/>
      <c r="FX198" s="12"/>
      <c r="FY198" s="12"/>
      <c r="FZ198" s="12"/>
      <c r="GA198" s="12"/>
      <c r="GB198" s="12"/>
      <c r="GC198" s="12"/>
      <c r="GD198" s="12"/>
      <c r="GE198" s="12"/>
    </row>
    <row r="199" spans="1:187" ht="21" customHeight="1">
      <c r="A199" s="45"/>
      <c r="B199" s="9" t="s">
        <v>27</v>
      </c>
      <c r="C199" s="10" t="s">
        <v>84</v>
      </c>
      <c r="D199" s="10" t="s">
        <v>312</v>
      </c>
      <c r="E199" s="35">
        <v>67.397999999999996</v>
      </c>
      <c r="F199" s="35">
        <f>112.33-E199</f>
        <v>44.932000000000002</v>
      </c>
      <c r="G199" s="35">
        <v>12.731</v>
      </c>
      <c r="H199" s="35">
        <f>80.129-G199</f>
        <v>67.39800000000001</v>
      </c>
      <c r="I199" s="35">
        <f t="shared" si="23"/>
        <v>192.459</v>
      </c>
      <c r="J199" s="56">
        <v>186.25166666666667</v>
      </c>
      <c r="K199" s="49">
        <v>5961.9143999999997</v>
      </c>
      <c r="L199" s="49">
        <v>6200.3909759999997</v>
      </c>
      <c r="M199" s="49">
        <v>1667.4026699999999</v>
      </c>
      <c r="N199" s="49">
        <v>1734.0987768</v>
      </c>
      <c r="O199" s="56">
        <f t="shared" si="24"/>
        <v>4294.5117300000002</v>
      </c>
      <c r="P199" s="1">
        <f t="shared" si="25"/>
        <v>289441.50157854002</v>
      </c>
      <c r="Q199" s="1">
        <f t="shared" si="19"/>
        <v>192961.00105236002</v>
      </c>
      <c r="R199" s="1">
        <f t="shared" si="20"/>
        <v>56860.36598801519</v>
      </c>
      <c r="S199" s="1">
        <f t="shared" si="21"/>
        <v>301019.16164168157</v>
      </c>
      <c r="T199" s="1">
        <f t="shared" si="22"/>
        <v>840282.03026059677</v>
      </c>
      <c r="U199" s="11"/>
      <c r="V199" s="11"/>
      <c r="W199" s="11"/>
      <c r="X199" s="12"/>
      <c r="Y199" s="12"/>
      <c r="Z199" s="12"/>
      <c r="AA199" s="12"/>
      <c r="AB199" s="12"/>
      <c r="AC199" s="12"/>
      <c r="AD199" s="12"/>
      <c r="AE199" s="12"/>
      <c r="AF199" s="12"/>
      <c r="AG199" s="12"/>
      <c r="AH199" s="12"/>
      <c r="AI199" s="12"/>
      <c r="AJ199" s="12"/>
      <c r="AK199" s="12"/>
      <c r="AL199" s="12"/>
      <c r="AM199" s="12"/>
      <c r="AN199" s="12"/>
      <c r="AO199" s="12"/>
      <c r="AP199" s="12"/>
      <c r="AQ199" s="12"/>
      <c r="AR199" s="12"/>
      <c r="AS199" s="12"/>
      <c r="AT199" s="12"/>
      <c r="AU199" s="12"/>
      <c r="AV199" s="12"/>
      <c r="AW199" s="12"/>
      <c r="AX199" s="12"/>
      <c r="AY199" s="12"/>
      <c r="AZ199" s="12"/>
      <c r="BA199" s="12"/>
      <c r="BB199" s="12"/>
      <c r="BC199" s="12"/>
      <c r="BD199" s="12"/>
      <c r="BE199" s="12"/>
      <c r="BF199" s="12"/>
      <c r="BG199" s="12"/>
      <c r="BH199" s="12"/>
      <c r="BI199" s="12"/>
      <c r="BJ199" s="12"/>
      <c r="BK199" s="12"/>
      <c r="BL199" s="12"/>
      <c r="BM199" s="12"/>
      <c r="BN199" s="12"/>
      <c r="BO199" s="12"/>
      <c r="BP199" s="12"/>
      <c r="BQ199" s="12"/>
      <c r="BR199" s="12"/>
      <c r="BS199" s="12"/>
      <c r="BT199" s="12"/>
      <c r="BU199" s="12"/>
      <c r="BV199" s="12"/>
      <c r="BW199" s="12"/>
      <c r="BX199" s="12"/>
      <c r="BY199" s="12"/>
      <c r="BZ199" s="12"/>
      <c r="CA199" s="12"/>
      <c r="CB199" s="12"/>
      <c r="CC199" s="12"/>
      <c r="CD199" s="12"/>
      <c r="CE199" s="12"/>
      <c r="CF199" s="12"/>
      <c r="CG199" s="12"/>
      <c r="CH199" s="12"/>
      <c r="CI199" s="12"/>
      <c r="CJ199" s="12"/>
      <c r="CK199" s="12"/>
      <c r="CL199" s="12"/>
      <c r="CM199" s="12"/>
      <c r="CN199" s="12"/>
      <c r="CO199" s="12"/>
      <c r="CP199" s="12"/>
      <c r="CQ199" s="12"/>
      <c r="CR199" s="12"/>
      <c r="CS199" s="12"/>
      <c r="CT199" s="12"/>
      <c r="CU199" s="12"/>
      <c r="CV199" s="12"/>
      <c r="CW199" s="12"/>
      <c r="CX199" s="12"/>
      <c r="CY199" s="12"/>
      <c r="CZ199" s="12"/>
      <c r="DA199" s="12"/>
      <c r="DB199" s="12"/>
      <c r="DC199" s="12"/>
      <c r="DD199" s="12"/>
      <c r="DE199" s="12"/>
      <c r="DF199" s="12"/>
      <c r="DG199" s="12"/>
      <c r="DH199" s="12"/>
      <c r="DI199" s="12"/>
      <c r="DJ199" s="12"/>
      <c r="DK199" s="12"/>
      <c r="DL199" s="12"/>
      <c r="DM199" s="12"/>
      <c r="DN199" s="12"/>
      <c r="DO199" s="12"/>
      <c r="DP199" s="12"/>
      <c r="DQ199" s="12"/>
      <c r="DR199" s="12"/>
      <c r="DS199" s="12"/>
      <c r="DT199" s="12"/>
      <c r="DU199" s="12"/>
      <c r="DV199" s="12"/>
      <c r="DW199" s="12"/>
      <c r="DX199" s="12"/>
      <c r="DY199" s="12"/>
      <c r="DZ199" s="12"/>
      <c r="EA199" s="12"/>
      <c r="EB199" s="12"/>
      <c r="EC199" s="12"/>
      <c r="ED199" s="12"/>
      <c r="EE199" s="12"/>
      <c r="EF199" s="12"/>
      <c r="EG199" s="12"/>
      <c r="EH199" s="12"/>
      <c r="EI199" s="12"/>
      <c r="EJ199" s="12"/>
      <c r="EK199" s="12"/>
      <c r="EL199" s="12"/>
      <c r="EM199" s="12"/>
      <c r="EN199" s="12"/>
      <c r="EO199" s="12"/>
      <c r="EP199" s="12"/>
      <c r="EQ199" s="12"/>
      <c r="ER199" s="12"/>
      <c r="ES199" s="12"/>
      <c r="ET199" s="12"/>
      <c r="EU199" s="12"/>
      <c r="EV199" s="12"/>
      <c r="EW199" s="12"/>
      <c r="EX199" s="12"/>
      <c r="EY199" s="12"/>
      <c r="EZ199" s="12"/>
      <c r="FA199" s="12"/>
      <c r="FB199" s="12"/>
      <c r="FC199" s="12"/>
      <c r="FD199" s="12"/>
      <c r="FE199" s="12"/>
      <c r="FF199" s="12"/>
      <c r="FG199" s="12"/>
      <c r="FH199" s="12"/>
      <c r="FI199" s="12"/>
      <c r="FJ199" s="12"/>
      <c r="FK199" s="12"/>
      <c r="FL199" s="12"/>
      <c r="FM199" s="12"/>
      <c r="FN199" s="12"/>
      <c r="FO199" s="12"/>
      <c r="FP199" s="12"/>
      <c r="FQ199" s="12"/>
      <c r="FR199" s="12"/>
      <c r="FS199" s="12"/>
      <c r="FT199" s="12"/>
      <c r="FU199" s="12"/>
      <c r="FV199" s="12"/>
      <c r="FW199" s="12"/>
      <c r="FX199" s="12"/>
      <c r="FY199" s="12"/>
      <c r="FZ199" s="12"/>
      <c r="GA199" s="12"/>
      <c r="GB199" s="12"/>
      <c r="GC199" s="12"/>
      <c r="GD199" s="12"/>
      <c r="GE199" s="12"/>
    </row>
    <row r="200" spans="1:187" ht="21" customHeight="1">
      <c r="A200" s="45"/>
      <c r="B200" s="9" t="s">
        <v>27</v>
      </c>
      <c r="C200" s="10" t="s">
        <v>84</v>
      </c>
      <c r="D200" s="10" t="s">
        <v>313</v>
      </c>
      <c r="E200" s="35">
        <v>193.13399999999999</v>
      </c>
      <c r="F200" s="35">
        <f>266.47-E200</f>
        <v>73.336000000000041</v>
      </c>
      <c r="G200" s="35">
        <v>36.481000000000002</v>
      </c>
      <c r="H200" s="35">
        <f>229.614-G200</f>
        <v>193.13300000000001</v>
      </c>
      <c r="I200" s="35">
        <f t="shared" si="23"/>
        <v>496.08400000000006</v>
      </c>
      <c r="J200" s="56">
        <v>532.91700000000003</v>
      </c>
      <c r="K200" s="49">
        <v>5301.81</v>
      </c>
      <c r="L200" s="49">
        <v>5513.8824000000004</v>
      </c>
      <c r="M200" s="49">
        <v>1667.4026699999999</v>
      </c>
      <c r="N200" s="49">
        <v>1734.0987768</v>
      </c>
      <c r="O200" s="56">
        <f t="shared" si="24"/>
        <v>3634.4073300000005</v>
      </c>
      <c r="P200" s="1">
        <f t="shared" si="25"/>
        <v>701927.62527222</v>
      </c>
      <c r="Q200" s="1">
        <f t="shared" si="19"/>
        <v>266532.89595288021</v>
      </c>
      <c r="R200" s="1">
        <f t="shared" si="20"/>
        <v>137890.28635795921</v>
      </c>
      <c r="S200" s="1">
        <f t="shared" si="21"/>
        <v>730000.95049948571</v>
      </c>
      <c r="T200" s="1">
        <f t="shared" si="22"/>
        <v>1836351.7580825451</v>
      </c>
      <c r="U200" s="11"/>
      <c r="V200" s="11"/>
      <c r="W200" s="11"/>
      <c r="X200" s="12"/>
      <c r="Y200" s="12"/>
      <c r="Z200" s="12"/>
      <c r="AA200" s="12"/>
      <c r="AB200" s="12"/>
      <c r="AC200" s="12"/>
      <c r="AD200" s="12"/>
      <c r="AE200" s="12"/>
      <c r="AF200" s="12"/>
      <c r="AG200" s="12"/>
      <c r="AH200" s="12"/>
      <c r="AI200" s="12"/>
      <c r="AJ200" s="12"/>
      <c r="AK200" s="12"/>
      <c r="AL200" s="12"/>
      <c r="AM200" s="12"/>
      <c r="AN200" s="12"/>
      <c r="AO200" s="12"/>
      <c r="AP200" s="12"/>
      <c r="AQ200" s="12"/>
      <c r="AR200" s="12"/>
      <c r="AS200" s="12"/>
      <c r="AT200" s="12"/>
      <c r="AU200" s="12"/>
      <c r="AV200" s="12"/>
      <c r="AW200" s="12"/>
      <c r="AX200" s="12"/>
      <c r="AY200" s="12"/>
      <c r="AZ200" s="12"/>
      <c r="BA200" s="12"/>
      <c r="BB200" s="12"/>
      <c r="BC200" s="12"/>
      <c r="BD200" s="12"/>
      <c r="BE200" s="12"/>
      <c r="BF200" s="12"/>
      <c r="BG200" s="12"/>
      <c r="BH200" s="12"/>
      <c r="BI200" s="12"/>
      <c r="BJ200" s="12"/>
      <c r="BK200" s="12"/>
      <c r="BL200" s="12"/>
      <c r="BM200" s="12"/>
      <c r="BN200" s="12"/>
      <c r="BO200" s="12"/>
      <c r="BP200" s="12"/>
      <c r="BQ200" s="12"/>
      <c r="BR200" s="12"/>
      <c r="BS200" s="12"/>
      <c r="BT200" s="12"/>
      <c r="BU200" s="12"/>
      <c r="BV200" s="12"/>
      <c r="BW200" s="12"/>
      <c r="BX200" s="12"/>
      <c r="BY200" s="12"/>
      <c r="BZ200" s="12"/>
      <c r="CA200" s="12"/>
      <c r="CB200" s="12"/>
      <c r="CC200" s="12"/>
      <c r="CD200" s="12"/>
      <c r="CE200" s="12"/>
      <c r="CF200" s="12"/>
      <c r="CG200" s="12"/>
      <c r="CH200" s="12"/>
      <c r="CI200" s="12"/>
      <c r="CJ200" s="12"/>
      <c r="CK200" s="12"/>
      <c r="CL200" s="12"/>
      <c r="CM200" s="12"/>
      <c r="CN200" s="12"/>
      <c r="CO200" s="12"/>
      <c r="CP200" s="12"/>
      <c r="CQ200" s="12"/>
      <c r="CR200" s="12"/>
      <c r="CS200" s="12"/>
      <c r="CT200" s="12"/>
      <c r="CU200" s="12"/>
      <c r="CV200" s="12"/>
      <c r="CW200" s="12"/>
      <c r="CX200" s="12"/>
      <c r="CY200" s="12"/>
      <c r="CZ200" s="12"/>
      <c r="DA200" s="12"/>
      <c r="DB200" s="12"/>
      <c r="DC200" s="12"/>
      <c r="DD200" s="12"/>
      <c r="DE200" s="12"/>
      <c r="DF200" s="12"/>
      <c r="DG200" s="12"/>
      <c r="DH200" s="12"/>
      <c r="DI200" s="12"/>
      <c r="DJ200" s="12"/>
      <c r="DK200" s="12"/>
      <c r="DL200" s="12"/>
      <c r="DM200" s="12"/>
      <c r="DN200" s="12"/>
      <c r="DO200" s="12"/>
      <c r="DP200" s="12"/>
      <c r="DQ200" s="12"/>
      <c r="DR200" s="12"/>
      <c r="DS200" s="12"/>
      <c r="DT200" s="12"/>
      <c r="DU200" s="12"/>
      <c r="DV200" s="12"/>
      <c r="DW200" s="12"/>
      <c r="DX200" s="12"/>
      <c r="DY200" s="12"/>
      <c r="DZ200" s="12"/>
      <c r="EA200" s="12"/>
      <c r="EB200" s="12"/>
      <c r="EC200" s="12"/>
      <c r="ED200" s="12"/>
      <c r="EE200" s="12"/>
      <c r="EF200" s="12"/>
      <c r="EG200" s="12"/>
      <c r="EH200" s="12"/>
      <c r="EI200" s="12"/>
      <c r="EJ200" s="12"/>
      <c r="EK200" s="12"/>
      <c r="EL200" s="12"/>
      <c r="EM200" s="12"/>
      <c r="EN200" s="12"/>
      <c r="EO200" s="12"/>
      <c r="EP200" s="12"/>
      <c r="EQ200" s="12"/>
      <c r="ER200" s="12"/>
      <c r="ES200" s="12"/>
      <c r="ET200" s="12"/>
      <c r="EU200" s="12"/>
      <c r="EV200" s="12"/>
      <c r="EW200" s="12"/>
      <c r="EX200" s="12"/>
      <c r="EY200" s="12"/>
      <c r="EZ200" s="12"/>
      <c r="FA200" s="12"/>
      <c r="FB200" s="12"/>
      <c r="FC200" s="12"/>
      <c r="FD200" s="12"/>
      <c r="FE200" s="12"/>
      <c r="FF200" s="12"/>
      <c r="FG200" s="12"/>
      <c r="FH200" s="12"/>
      <c r="FI200" s="12"/>
      <c r="FJ200" s="12"/>
      <c r="FK200" s="12"/>
      <c r="FL200" s="12"/>
      <c r="FM200" s="12"/>
      <c r="FN200" s="12"/>
      <c r="FO200" s="12"/>
      <c r="FP200" s="12"/>
      <c r="FQ200" s="12"/>
      <c r="FR200" s="12"/>
      <c r="FS200" s="12"/>
      <c r="FT200" s="12"/>
      <c r="FU200" s="12"/>
      <c r="FV200" s="12"/>
      <c r="FW200" s="12"/>
      <c r="FX200" s="12"/>
      <c r="FY200" s="12"/>
      <c r="FZ200" s="12"/>
      <c r="GA200" s="12"/>
      <c r="GB200" s="12"/>
      <c r="GC200" s="12"/>
      <c r="GD200" s="12"/>
      <c r="GE200" s="12"/>
    </row>
    <row r="201" spans="1:187" ht="21" customHeight="1">
      <c r="A201" s="45"/>
      <c r="B201" s="9" t="s">
        <v>27</v>
      </c>
      <c r="C201" s="10" t="s">
        <v>84</v>
      </c>
      <c r="D201" s="10" t="s">
        <v>73</v>
      </c>
      <c r="E201" s="35">
        <v>76.427999999999997</v>
      </c>
      <c r="F201" s="35">
        <f>110.184-E201</f>
        <v>33.756</v>
      </c>
      <c r="G201" s="35">
        <v>11.021000000000001</v>
      </c>
      <c r="H201" s="35">
        <f>85.698-G201</f>
        <v>74.676999999999992</v>
      </c>
      <c r="I201" s="35">
        <f t="shared" si="23"/>
        <v>195.88200000000001</v>
      </c>
      <c r="J201" s="56">
        <v>196.49</v>
      </c>
      <c r="K201" s="49">
        <v>3718.6716299999994</v>
      </c>
      <c r="L201" s="49">
        <v>3867.4184951999996</v>
      </c>
      <c r="M201" s="49">
        <v>1306.8377699999999</v>
      </c>
      <c r="N201" s="49">
        <v>1359.1112807999998</v>
      </c>
      <c r="O201" s="56">
        <f t="shared" si="24"/>
        <v>2411.8338599999997</v>
      </c>
      <c r="P201" s="1">
        <f t="shared" si="25"/>
        <v>184331.63825207998</v>
      </c>
      <c r="Q201" s="1">
        <f t="shared" si="19"/>
        <v>81413.863778159997</v>
      </c>
      <c r="R201" s="1">
        <f t="shared" si="20"/>
        <v>27644.053809902398</v>
      </c>
      <c r="S201" s="1">
        <f t="shared" si="21"/>
        <v>187312.85784974878</v>
      </c>
      <c r="T201" s="1">
        <f t="shared" si="22"/>
        <v>480702.41368989111</v>
      </c>
      <c r="U201" s="11"/>
      <c r="V201" s="11"/>
      <c r="W201" s="11"/>
      <c r="X201" s="12"/>
      <c r="Y201" s="12"/>
      <c r="Z201" s="12"/>
      <c r="AA201" s="12"/>
      <c r="AB201" s="12"/>
      <c r="AC201" s="12"/>
      <c r="AD201" s="12"/>
      <c r="AE201" s="12"/>
      <c r="AF201" s="12"/>
      <c r="AG201" s="12"/>
      <c r="AH201" s="12"/>
      <c r="AI201" s="12"/>
      <c r="AJ201" s="12"/>
      <c r="AK201" s="12"/>
      <c r="AL201" s="12"/>
      <c r="AM201" s="12"/>
      <c r="AN201" s="12"/>
      <c r="AO201" s="12"/>
      <c r="AP201" s="12"/>
      <c r="AQ201" s="12"/>
      <c r="AR201" s="12"/>
      <c r="AS201" s="12"/>
      <c r="AT201" s="12"/>
      <c r="AU201" s="12"/>
      <c r="AV201" s="12"/>
      <c r="AW201" s="12"/>
      <c r="AX201" s="12"/>
      <c r="AY201" s="12"/>
      <c r="AZ201" s="12"/>
      <c r="BA201" s="12"/>
      <c r="BB201" s="12"/>
      <c r="BC201" s="12"/>
      <c r="BD201" s="12"/>
      <c r="BE201" s="12"/>
      <c r="BF201" s="12"/>
      <c r="BG201" s="12"/>
      <c r="BH201" s="12"/>
      <c r="BI201" s="12"/>
      <c r="BJ201" s="12"/>
      <c r="BK201" s="12"/>
      <c r="BL201" s="12"/>
      <c r="BM201" s="12"/>
      <c r="BN201" s="12"/>
      <c r="BO201" s="12"/>
      <c r="BP201" s="12"/>
      <c r="BQ201" s="12"/>
      <c r="BR201" s="12"/>
      <c r="BS201" s="12"/>
      <c r="BT201" s="12"/>
      <c r="BU201" s="12"/>
      <c r="BV201" s="12"/>
      <c r="BW201" s="12"/>
      <c r="BX201" s="12"/>
      <c r="BY201" s="12"/>
      <c r="BZ201" s="12"/>
      <c r="CA201" s="12"/>
      <c r="CB201" s="12"/>
      <c r="CC201" s="12"/>
      <c r="CD201" s="12"/>
      <c r="CE201" s="12"/>
      <c r="CF201" s="12"/>
      <c r="CG201" s="12"/>
      <c r="CH201" s="12"/>
      <c r="CI201" s="12"/>
      <c r="CJ201" s="12"/>
      <c r="CK201" s="12"/>
      <c r="CL201" s="12"/>
      <c r="CM201" s="12"/>
      <c r="CN201" s="12"/>
      <c r="CO201" s="12"/>
      <c r="CP201" s="12"/>
      <c r="CQ201" s="12"/>
      <c r="CR201" s="12"/>
      <c r="CS201" s="12"/>
      <c r="CT201" s="12"/>
      <c r="CU201" s="12"/>
      <c r="CV201" s="12"/>
      <c r="CW201" s="12"/>
      <c r="CX201" s="12"/>
      <c r="CY201" s="12"/>
      <c r="CZ201" s="12"/>
      <c r="DA201" s="12"/>
      <c r="DB201" s="12"/>
      <c r="DC201" s="12"/>
      <c r="DD201" s="12"/>
      <c r="DE201" s="12"/>
      <c r="DF201" s="12"/>
      <c r="DG201" s="12"/>
      <c r="DH201" s="12"/>
      <c r="DI201" s="12"/>
      <c r="DJ201" s="12"/>
      <c r="DK201" s="12"/>
      <c r="DL201" s="12"/>
      <c r="DM201" s="12"/>
      <c r="DN201" s="12"/>
      <c r="DO201" s="12"/>
      <c r="DP201" s="12"/>
      <c r="DQ201" s="12"/>
      <c r="DR201" s="12"/>
      <c r="DS201" s="12"/>
      <c r="DT201" s="12"/>
      <c r="DU201" s="12"/>
      <c r="DV201" s="12"/>
      <c r="DW201" s="12"/>
      <c r="DX201" s="12"/>
      <c r="DY201" s="12"/>
      <c r="DZ201" s="12"/>
      <c r="EA201" s="12"/>
      <c r="EB201" s="12"/>
      <c r="EC201" s="12"/>
      <c r="ED201" s="12"/>
      <c r="EE201" s="12"/>
      <c r="EF201" s="12"/>
      <c r="EG201" s="12"/>
      <c r="EH201" s="12"/>
      <c r="EI201" s="12"/>
      <c r="EJ201" s="12"/>
      <c r="EK201" s="12"/>
      <c r="EL201" s="12"/>
      <c r="EM201" s="12"/>
      <c r="EN201" s="12"/>
      <c r="EO201" s="12"/>
      <c r="EP201" s="12"/>
      <c r="EQ201" s="12"/>
      <c r="ER201" s="12"/>
      <c r="ES201" s="12"/>
      <c r="ET201" s="12"/>
      <c r="EU201" s="12"/>
      <c r="EV201" s="12"/>
      <c r="EW201" s="12"/>
      <c r="EX201" s="12"/>
      <c r="EY201" s="12"/>
      <c r="EZ201" s="12"/>
      <c r="FA201" s="12"/>
      <c r="FB201" s="12"/>
      <c r="FC201" s="12"/>
      <c r="FD201" s="12"/>
      <c r="FE201" s="12"/>
      <c r="FF201" s="12"/>
      <c r="FG201" s="12"/>
      <c r="FH201" s="12"/>
      <c r="FI201" s="12"/>
      <c r="FJ201" s="12"/>
      <c r="FK201" s="12"/>
      <c r="FL201" s="12"/>
      <c r="FM201" s="12"/>
      <c r="FN201" s="12"/>
      <c r="FO201" s="12"/>
      <c r="FP201" s="12"/>
      <c r="FQ201" s="12"/>
      <c r="FR201" s="12"/>
      <c r="FS201" s="12"/>
      <c r="FT201" s="12"/>
      <c r="FU201" s="12"/>
      <c r="FV201" s="12"/>
      <c r="FW201" s="12"/>
      <c r="FX201" s="12"/>
      <c r="FY201" s="12"/>
      <c r="FZ201" s="12"/>
      <c r="GA201" s="12"/>
      <c r="GB201" s="12"/>
      <c r="GC201" s="12"/>
      <c r="GD201" s="12"/>
      <c r="GE201" s="12"/>
    </row>
    <row r="202" spans="1:187" ht="21" customHeight="1">
      <c r="A202" s="45"/>
      <c r="B202" s="101" t="s">
        <v>224</v>
      </c>
      <c r="C202" s="101"/>
      <c r="D202" s="101"/>
      <c r="E202" s="77"/>
      <c r="F202" s="2"/>
      <c r="G202" s="2"/>
      <c r="H202" s="2"/>
      <c r="I202" s="35">
        <f t="shared" si="23"/>
        <v>0</v>
      </c>
      <c r="J202" s="56"/>
      <c r="K202" s="49"/>
      <c r="L202" s="49"/>
      <c r="M202" s="49"/>
      <c r="N202" s="49"/>
      <c r="O202" s="56">
        <f t="shared" si="24"/>
        <v>0</v>
      </c>
      <c r="P202" s="1">
        <f t="shared" si="25"/>
        <v>0</v>
      </c>
      <c r="Q202" s="1">
        <f t="shared" ref="Q202:Q239" si="29">(K202-M202)*F202</f>
        <v>0</v>
      </c>
      <c r="R202" s="1">
        <f t="shared" ref="R202:R239" si="30">(L202-N202)*G202</f>
        <v>0</v>
      </c>
      <c r="S202" s="1">
        <f t="shared" ref="S202:S239" si="31">(H202*(L202-N202))</f>
        <v>0</v>
      </c>
      <c r="T202" s="1">
        <f t="shared" ref="T202:T239" si="32">SUM(P202:S202)</f>
        <v>0</v>
      </c>
      <c r="U202" s="1"/>
      <c r="V202" s="1"/>
      <c r="W202" s="1"/>
    </row>
    <row r="203" spans="1:187" ht="21" customHeight="1">
      <c r="A203" s="45"/>
      <c r="B203" s="15" t="s">
        <v>263</v>
      </c>
      <c r="C203" s="10" t="s">
        <v>68</v>
      </c>
      <c r="D203" s="14" t="s">
        <v>225</v>
      </c>
      <c r="E203" s="2">
        <v>23396.089</v>
      </c>
      <c r="F203" s="2">
        <f>35322.611-E203</f>
        <v>11926.521999999997</v>
      </c>
      <c r="G203" s="2">
        <v>1831.683</v>
      </c>
      <c r="H203" s="2">
        <f>22369.351-G203</f>
        <v>20537.667999999998</v>
      </c>
      <c r="I203" s="35">
        <f t="shared" si="23"/>
        <v>57691.961999999992</v>
      </c>
      <c r="J203" s="56">
        <v>64238.8</v>
      </c>
      <c r="K203" s="49">
        <v>4964.7299999999996</v>
      </c>
      <c r="L203" s="49">
        <v>5163.3191999999999</v>
      </c>
      <c r="M203" s="49">
        <v>1491.76</v>
      </c>
      <c r="N203" s="49">
        <v>1551.4304</v>
      </c>
      <c r="O203" s="56">
        <f t="shared" si="24"/>
        <v>3472.9699999999993</v>
      </c>
      <c r="P203" s="1">
        <f t="shared" si="25"/>
        <v>81253915.214329988</v>
      </c>
      <c r="Q203" s="1">
        <f t="shared" si="29"/>
        <v>41420453.110339984</v>
      </c>
      <c r="R203" s="1">
        <f t="shared" si="30"/>
        <v>6615835.3128503999</v>
      </c>
      <c r="S203" s="1">
        <f t="shared" si="31"/>
        <v>74179773.027318388</v>
      </c>
      <c r="T203" s="1">
        <f t="shared" si="32"/>
        <v>203469976.66483876</v>
      </c>
      <c r="U203" s="1"/>
      <c r="V203" s="1"/>
      <c r="W203" s="45"/>
    </row>
    <row r="204" spans="1:187" ht="21" customHeight="1">
      <c r="A204" s="45"/>
      <c r="B204" s="15" t="s">
        <v>263</v>
      </c>
      <c r="C204" s="10" t="s">
        <v>68</v>
      </c>
      <c r="D204" s="14" t="s">
        <v>226</v>
      </c>
      <c r="E204" s="2">
        <v>1110.8130000000001</v>
      </c>
      <c r="F204" s="2">
        <f>1816.639-E204</f>
        <v>705.82599999999979</v>
      </c>
      <c r="G204" s="2">
        <v>356.37200000000001</v>
      </c>
      <c r="H204" s="2">
        <f>1478.407-G204</f>
        <v>1122.0349999999999</v>
      </c>
      <c r="I204" s="35">
        <f t="shared" si="23"/>
        <v>3295.0459999999998</v>
      </c>
      <c r="J204" s="56">
        <v>2853.19</v>
      </c>
      <c r="K204" s="49">
        <v>11283.96</v>
      </c>
      <c r="L204" s="49">
        <v>11735.3184</v>
      </c>
      <c r="M204" s="49">
        <v>1491.76</v>
      </c>
      <c r="N204" s="49">
        <v>1551.4304</v>
      </c>
      <c r="O204" s="56">
        <f t="shared" si="24"/>
        <v>9792.1999999999989</v>
      </c>
      <c r="P204" s="1">
        <f t="shared" si="25"/>
        <v>10877303.058599999</v>
      </c>
      <c r="Q204" s="1">
        <f t="shared" si="29"/>
        <v>6911589.3571999976</v>
      </c>
      <c r="R204" s="1">
        <f t="shared" si="30"/>
        <v>3629252.5343360002</v>
      </c>
      <c r="S204" s="1">
        <f t="shared" si="31"/>
        <v>11426678.772079999</v>
      </c>
      <c r="T204" s="1">
        <f t="shared" si="32"/>
        <v>32844823.722215995</v>
      </c>
      <c r="U204" s="1"/>
      <c r="V204" s="1"/>
      <c r="W204" s="45"/>
    </row>
    <row r="205" spans="1:187" ht="21" customHeight="1">
      <c r="A205" s="45"/>
      <c r="B205" s="15" t="s">
        <v>28</v>
      </c>
      <c r="C205" s="83" t="s">
        <v>154</v>
      </c>
      <c r="D205" s="14" t="s">
        <v>227</v>
      </c>
      <c r="E205" s="2">
        <v>436.428</v>
      </c>
      <c r="F205" s="2">
        <f>638.217-E205</f>
        <v>201.78899999999999</v>
      </c>
      <c r="G205" s="2">
        <v>33.944000000000003</v>
      </c>
      <c r="H205" s="2">
        <f>470.372-G205</f>
        <v>436.428</v>
      </c>
      <c r="I205" s="35">
        <f t="shared" ref="I205:I237" si="33">SUM(E205:H205)</f>
        <v>1108.5889999999999</v>
      </c>
      <c r="J205" s="56">
        <v>1205.2666666666667</v>
      </c>
      <c r="K205" s="49">
        <v>5168.7870622144364</v>
      </c>
      <c r="L205" s="49">
        <v>5375.5385447030139</v>
      </c>
      <c r="M205" s="49">
        <v>1520.4494</v>
      </c>
      <c r="N205" s="49">
        <v>1581.267376</v>
      </c>
      <c r="O205" s="56">
        <f t="shared" si="24"/>
        <v>3648.3376622144365</v>
      </c>
      <c r="P205" s="1">
        <f t="shared" si="25"/>
        <v>1592236.709244922</v>
      </c>
      <c r="Q205" s="1">
        <f t="shared" si="29"/>
        <v>736194.40852058888</v>
      </c>
      <c r="R205" s="1">
        <f t="shared" si="30"/>
        <v>128792.74055045513</v>
      </c>
      <c r="S205" s="1">
        <f t="shared" si="31"/>
        <v>1655926.1776147191</v>
      </c>
      <c r="T205" s="1">
        <f t="shared" si="32"/>
        <v>4113150.0359306852</v>
      </c>
      <c r="U205" s="1"/>
      <c r="V205" s="1"/>
      <c r="W205" s="45"/>
    </row>
    <row r="206" spans="1:187" ht="21" customHeight="1">
      <c r="A206" s="45"/>
      <c r="B206" s="15" t="s">
        <v>22</v>
      </c>
      <c r="C206" s="83" t="s">
        <v>228</v>
      </c>
      <c r="D206" s="14" t="s">
        <v>225</v>
      </c>
      <c r="E206" s="2">
        <v>17.07</v>
      </c>
      <c r="F206" s="2">
        <f>25.037-E206</f>
        <v>7.9669999999999987</v>
      </c>
      <c r="G206" s="2">
        <v>2.85</v>
      </c>
      <c r="H206" s="2">
        <f>19.92-G206</f>
        <v>17.07</v>
      </c>
      <c r="I206" s="35">
        <f t="shared" si="33"/>
        <v>44.957000000000001</v>
      </c>
      <c r="J206" s="56">
        <v>45.4</v>
      </c>
      <c r="K206" s="49">
        <v>7124.62</v>
      </c>
      <c r="L206" s="49">
        <v>7409.6048000000001</v>
      </c>
      <c r="M206" s="49">
        <v>1794.13</v>
      </c>
      <c r="N206" s="49">
        <v>1865.8952000000002</v>
      </c>
      <c r="O206" s="56">
        <f t="shared" si="24"/>
        <v>5330.49</v>
      </c>
      <c r="P206" s="1">
        <f t="shared" si="25"/>
        <v>90991.464299999992</v>
      </c>
      <c r="Q206" s="1">
        <f t="shared" si="29"/>
        <v>42468.013829999989</v>
      </c>
      <c r="R206" s="1">
        <f t="shared" si="30"/>
        <v>15799.57236</v>
      </c>
      <c r="S206" s="1">
        <f t="shared" si="31"/>
        <v>94631.122872000007</v>
      </c>
      <c r="T206" s="1">
        <f t="shared" si="32"/>
        <v>243890.17336199997</v>
      </c>
      <c r="U206" s="1"/>
      <c r="V206" s="1"/>
      <c r="W206" s="45"/>
    </row>
    <row r="207" spans="1:187" ht="21" customHeight="1">
      <c r="A207" s="45"/>
      <c r="B207" s="15" t="s">
        <v>262</v>
      </c>
      <c r="C207" s="83" t="s">
        <v>229</v>
      </c>
      <c r="D207" s="14" t="s">
        <v>226</v>
      </c>
      <c r="E207" s="2">
        <v>529.71299999999997</v>
      </c>
      <c r="F207" s="2">
        <f>776.354-E207</f>
        <v>246.64100000000008</v>
      </c>
      <c r="G207" s="2">
        <v>41.2</v>
      </c>
      <c r="H207" s="2">
        <v>570.91300000000001</v>
      </c>
      <c r="I207" s="35">
        <f t="shared" si="33"/>
        <v>1388.4670000000001</v>
      </c>
      <c r="J207" s="56">
        <v>1446.1</v>
      </c>
      <c r="K207" s="49">
        <v>6741.66</v>
      </c>
      <c r="L207" s="49">
        <v>7011.3263999999999</v>
      </c>
      <c r="M207" s="49">
        <v>1760.29</v>
      </c>
      <c r="N207" s="49">
        <v>1830.7016000000001</v>
      </c>
      <c r="O207" s="56">
        <f t="shared" si="24"/>
        <v>4981.37</v>
      </c>
      <c r="P207" s="1">
        <f t="shared" si="25"/>
        <v>2638696.4468099996</v>
      </c>
      <c r="Q207" s="1">
        <f t="shared" si="29"/>
        <v>1228610.0781700003</v>
      </c>
      <c r="R207" s="1">
        <f t="shared" si="30"/>
        <v>213441.74176</v>
      </c>
      <c r="S207" s="1">
        <f t="shared" si="31"/>
        <v>2957686.0464423997</v>
      </c>
      <c r="T207" s="1">
        <f t="shared" si="32"/>
        <v>7038434.3131824005</v>
      </c>
      <c r="U207" s="1"/>
      <c r="V207" s="1"/>
      <c r="W207" s="45"/>
    </row>
    <row r="208" spans="1:187" ht="21" customHeight="1">
      <c r="A208" s="45"/>
      <c r="B208" s="15" t="s">
        <v>19</v>
      </c>
      <c r="C208" s="83" t="s">
        <v>111</v>
      </c>
      <c r="D208" s="14" t="s">
        <v>225</v>
      </c>
      <c r="E208" s="40">
        <v>2778.4690000000001</v>
      </c>
      <c r="F208" s="40">
        <f>4280.479-E208</f>
        <v>1502.0100000000002</v>
      </c>
      <c r="G208" s="40">
        <v>359.56299999999999</v>
      </c>
      <c r="H208" s="40">
        <f>2786.562</f>
        <v>2786.5619999999999</v>
      </c>
      <c r="I208" s="35">
        <f t="shared" si="33"/>
        <v>7426.6040000000003</v>
      </c>
      <c r="J208" s="56">
        <v>7327.6459999999997</v>
      </c>
      <c r="K208" s="49">
        <v>3460.1373905087185</v>
      </c>
      <c r="L208" s="49">
        <v>3598.5428861290675</v>
      </c>
      <c r="M208" s="49">
        <v>1491.7556099999999</v>
      </c>
      <c r="N208" s="49">
        <v>1551.4258344</v>
      </c>
      <c r="O208" s="56">
        <f t="shared" si="24"/>
        <v>1968.3817805087185</v>
      </c>
      <c r="P208" s="1">
        <f t="shared" si="25"/>
        <v>5469087.7573082792</v>
      </c>
      <c r="Q208" s="1">
        <f t="shared" si="29"/>
        <v>2956529.1181419007</v>
      </c>
      <c r="R208" s="1">
        <f t="shared" si="30"/>
        <v>736067.54847085872</v>
      </c>
      <c r="S208" s="1">
        <f t="shared" si="31"/>
        <v>5704418.5859002536</v>
      </c>
      <c r="T208" s="1">
        <f t="shared" si="32"/>
        <v>14866103.009821292</v>
      </c>
      <c r="U208" s="1"/>
      <c r="V208" s="1"/>
      <c r="W208" s="45"/>
    </row>
    <row r="209" spans="1:23" ht="21" customHeight="1">
      <c r="A209" s="45"/>
      <c r="B209" s="101" t="s">
        <v>230</v>
      </c>
      <c r="C209" s="101"/>
      <c r="D209" s="55"/>
      <c r="E209" s="2"/>
      <c r="F209" s="2"/>
      <c r="G209" s="2"/>
      <c r="H209" s="2"/>
      <c r="I209" s="35">
        <f t="shared" si="33"/>
        <v>0</v>
      </c>
      <c r="J209" s="56"/>
      <c r="K209" s="49"/>
      <c r="L209" s="49"/>
      <c r="M209" s="49"/>
      <c r="N209" s="49"/>
      <c r="O209" s="56">
        <f t="shared" si="24"/>
        <v>0</v>
      </c>
      <c r="P209" s="1">
        <f t="shared" ref="P209:P239" si="34">(K209-M209)*E209</f>
        <v>0</v>
      </c>
      <c r="Q209" s="1">
        <f t="shared" si="29"/>
        <v>0</v>
      </c>
      <c r="R209" s="1">
        <f t="shared" si="30"/>
        <v>0</v>
      </c>
      <c r="S209" s="1">
        <f t="shared" si="31"/>
        <v>0</v>
      </c>
      <c r="T209" s="1">
        <f t="shared" si="32"/>
        <v>0</v>
      </c>
      <c r="U209" s="1"/>
      <c r="V209" s="1"/>
      <c r="W209" s="45"/>
    </row>
    <row r="210" spans="1:23" ht="21" customHeight="1">
      <c r="A210" s="45"/>
      <c r="B210" s="15">
        <v>2907016373</v>
      </c>
      <c r="C210" s="83" t="s">
        <v>231</v>
      </c>
      <c r="D210" s="14" t="s">
        <v>232</v>
      </c>
      <c r="E210" s="2">
        <v>386.90199999999999</v>
      </c>
      <c r="F210" s="2">
        <f>564.842-E210</f>
        <v>177.94</v>
      </c>
      <c r="G210" s="2">
        <v>23.946999999999999</v>
      </c>
      <c r="H210" s="2">
        <f>432.51-G210</f>
        <v>408.56299999999999</v>
      </c>
      <c r="I210" s="35">
        <f t="shared" si="33"/>
        <v>997.35199999999998</v>
      </c>
      <c r="J210" s="56">
        <v>1088.3</v>
      </c>
      <c r="K210" s="49">
        <v>3743.1603333895155</v>
      </c>
      <c r="L210" s="49">
        <v>3892.8867467250961</v>
      </c>
      <c r="M210" s="49">
        <v>1685.0316699999998</v>
      </c>
      <c r="N210" s="49">
        <v>1752.4329367999999</v>
      </c>
      <c r="O210" s="56">
        <f t="shared" ref="O210:O237" si="35">K210-M210</f>
        <v>2058.1286633895156</v>
      </c>
      <c r="P210" s="1">
        <f t="shared" si="34"/>
        <v>796294.09612273029</v>
      </c>
      <c r="Q210" s="1">
        <f t="shared" si="29"/>
        <v>366223.41436353041</v>
      </c>
      <c r="R210" s="1">
        <f t="shared" si="30"/>
        <v>51257.447386276275</v>
      </c>
      <c r="S210" s="1">
        <f t="shared" si="31"/>
        <v>874510.22994442703</v>
      </c>
      <c r="T210" s="1">
        <f t="shared" si="32"/>
        <v>2088285.187816964</v>
      </c>
      <c r="U210" s="1"/>
      <c r="V210" s="1"/>
      <c r="W210" s="45"/>
    </row>
    <row r="211" spans="1:23" ht="21" customHeight="1">
      <c r="A211" s="45"/>
      <c r="B211" s="15">
        <v>2907016373</v>
      </c>
      <c r="C211" s="83" t="s">
        <v>231</v>
      </c>
      <c r="D211" s="14" t="s">
        <v>233</v>
      </c>
      <c r="E211" s="2">
        <v>1343.6489999999999</v>
      </c>
      <c r="F211" s="2">
        <f>1900.436-E211</f>
        <v>556.78700000000003</v>
      </c>
      <c r="G211" s="2">
        <v>170.78</v>
      </c>
      <c r="H211" s="2">
        <v>1475.18</v>
      </c>
      <c r="I211" s="35">
        <f t="shared" si="33"/>
        <v>3546.3959999999997</v>
      </c>
      <c r="J211" s="56">
        <v>3970.9</v>
      </c>
      <c r="K211" s="49">
        <v>3743.1603333895155</v>
      </c>
      <c r="L211" s="49">
        <v>3892.8867467250961</v>
      </c>
      <c r="M211" s="49">
        <v>1670.8455099999999</v>
      </c>
      <c r="N211" s="49">
        <v>1737.6793304</v>
      </c>
      <c r="O211" s="56">
        <f t="shared" si="35"/>
        <v>2072.3148233895154</v>
      </c>
      <c r="P211" s="1">
        <f t="shared" si="34"/>
        <v>2784463.7401324986</v>
      </c>
      <c r="Q211" s="1">
        <f t="shared" si="29"/>
        <v>1153837.9535705782</v>
      </c>
      <c r="R211" s="1">
        <f t="shared" si="30"/>
        <v>368066.32255999994</v>
      </c>
      <c r="S211" s="1">
        <f t="shared" si="31"/>
        <v>3179318.8764144559</v>
      </c>
      <c r="T211" s="1">
        <f t="shared" si="32"/>
        <v>7485686.8926775325</v>
      </c>
      <c r="U211" s="1"/>
      <c r="V211" s="1"/>
      <c r="W211" s="45"/>
    </row>
    <row r="212" spans="1:23" ht="21" customHeight="1">
      <c r="A212" s="45"/>
      <c r="B212" s="15" t="s">
        <v>45</v>
      </c>
      <c r="C212" s="83" t="s">
        <v>234</v>
      </c>
      <c r="D212" s="14" t="s">
        <v>235</v>
      </c>
      <c r="E212" s="2">
        <v>81.180000000000007</v>
      </c>
      <c r="F212" s="2">
        <f>117.26-E212</f>
        <v>36.08</v>
      </c>
      <c r="G212" s="2">
        <v>13.98</v>
      </c>
      <c r="H212" s="2">
        <f>97.86</f>
        <v>97.86</v>
      </c>
      <c r="I212" s="35">
        <f t="shared" si="33"/>
        <v>229.10000000000002</v>
      </c>
      <c r="J212" s="56">
        <v>244.16</v>
      </c>
      <c r="K212" s="49">
        <v>2161.7024000000001</v>
      </c>
      <c r="L212" s="49">
        <v>2248.1704960000002</v>
      </c>
      <c r="M212" s="49">
        <v>1731.7381499999999</v>
      </c>
      <c r="N212" s="49">
        <v>1801.0076759999999</v>
      </c>
      <c r="O212" s="56">
        <f t="shared" si="35"/>
        <v>429.96425000000022</v>
      </c>
      <c r="P212" s="1">
        <f t="shared" si="34"/>
        <v>34904.497815000024</v>
      </c>
      <c r="Q212" s="1">
        <f t="shared" si="29"/>
        <v>15513.110140000008</v>
      </c>
      <c r="R212" s="1">
        <f t="shared" si="30"/>
        <v>6251.3362236000039</v>
      </c>
      <c r="S212" s="1">
        <f t="shared" si="31"/>
        <v>43759.353565200021</v>
      </c>
      <c r="T212" s="1">
        <f t="shared" si="32"/>
        <v>100428.29774380005</v>
      </c>
      <c r="U212" s="1"/>
      <c r="V212" s="1"/>
      <c r="W212" s="45"/>
    </row>
    <row r="213" spans="1:23" ht="21" customHeight="1">
      <c r="A213" s="45"/>
      <c r="B213" s="15" t="s">
        <v>260</v>
      </c>
      <c r="C213" s="83" t="s">
        <v>236</v>
      </c>
      <c r="D213" s="14" t="s">
        <v>237</v>
      </c>
      <c r="E213" s="2">
        <v>68.394000000000005</v>
      </c>
      <c r="F213" s="2">
        <f>98.546-E213</f>
        <v>30.152000000000001</v>
      </c>
      <c r="G213" s="2">
        <v>4.5599999999999996</v>
      </c>
      <c r="H213" s="2">
        <f>72.954-G213</f>
        <v>68.393999999999991</v>
      </c>
      <c r="I213" s="35">
        <f t="shared" si="33"/>
        <v>171.5</v>
      </c>
      <c r="J213" s="56">
        <v>173.3</v>
      </c>
      <c r="K213" s="49">
        <v>5905.3904000000002</v>
      </c>
      <c r="L213" s="49">
        <v>6141.6060160000006</v>
      </c>
      <c r="M213" s="49">
        <v>1511.35491</v>
      </c>
      <c r="N213" s="49">
        <v>1571.8091064</v>
      </c>
      <c r="O213" s="56">
        <f t="shared" si="35"/>
        <v>4394.0354900000002</v>
      </c>
      <c r="P213" s="1">
        <f t="shared" si="34"/>
        <v>300525.66330306005</v>
      </c>
      <c r="Q213" s="1">
        <f t="shared" si="29"/>
        <v>132488.95809448001</v>
      </c>
      <c r="R213" s="1">
        <f t="shared" si="30"/>
        <v>20838.273907776002</v>
      </c>
      <c r="S213" s="1">
        <f t="shared" si="31"/>
        <v>312546.68983518239</v>
      </c>
      <c r="T213" s="1">
        <f t="shared" si="32"/>
        <v>766399.58514049847</v>
      </c>
      <c r="U213" s="1"/>
      <c r="V213" s="1"/>
      <c r="W213" s="45"/>
    </row>
    <row r="214" spans="1:23" ht="21" customHeight="1">
      <c r="A214" s="45"/>
      <c r="B214" s="15">
        <v>2907016373</v>
      </c>
      <c r="C214" s="83" t="s">
        <v>231</v>
      </c>
      <c r="D214" s="14" t="s">
        <v>238</v>
      </c>
      <c r="E214" s="2">
        <v>107.289</v>
      </c>
      <c r="F214" s="2">
        <f>154.588-E214</f>
        <v>47.298999999999992</v>
      </c>
      <c r="G214" s="2">
        <v>7.415</v>
      </c>
      <c r="H214" s="2">
        <f>118.645-G214</f>
        <v>111.22999999999999</v>
      </c>
      <c r="I214" s="35">
        <f t="shared" si="33"/>
        <v>273.23299999999995</v>
      </c>
      <c r="J214" s="56">
        <v>385.8</v>
      </c>
      <c r="K214" s="49">
        <v>3743.1603333895155</v>
      </c>
      <c r="L214" s="49">
        <v>3892.8867467250961</v>
      </c>
      <c r="M214" s="49">
        <v>1869.4724899999999</v>
      </c>
      <c r="N214" s="49">
        <v>1944.2513896</v>
      </c>
      <c r="O214" s="56">
        <f t="shared" si="35"/>
        <v>1873.6878433895156</v>
      </c>
      <c r="P214" s="1">
        <f t="shared" si="34"/>
        <v>201026.09502941775</v>
      </c>
      <c r="Q214" s="1">
        <f t="shared" si="29"/>
        <v>88623.561304480681</v>
      </c>
      <c r="R214" s="1">
        <f t="shared" si="30"/>
        <v>14449.131173082587</v>
      </c>
      <c r="S214" s="1">
        <f t="shared" si="31"/>
        <v>216746.71077302442</v>
      </c>
      <c r="T214" s="1">
        <f t="shared" si="32"/>
        <v>520845.49828000541</v>
      </c>
      <c r="U214" s="1"/>
      <c r="V214" s="1"/>
      <c r="W214" s="45"/>
    </row>
    <row r="215" spans="1:23" ht="21" customHeight="1">
      <c r="A215" s="45"/>
      <c r="B215" s="15">
        <v>2907016373</v>
      </c>
      <c r="C215" s="83" t="s">
        <v>231</v>
      </c>
      <c r="D215" s="14" t="s">
        <v>239</v>
      </c>
      <c r="E215" s="2">
        <v>182.262</v>
      </c>
      <c r="F215" s="2">
        <f>190.857-E215</f>
        <v>8.5949999999999989</v>
      </c>
      <c r="G215" s="2">
        <v>12.292</v>
      </c>
      <c r="H215" s="2">
        <f>190.516-G215</f>
        <v>178.22399999999999</v>
      </c>
      <c r="I215" s="35">
        <f t="shared" si="33"/>
        <v>381.37299999999999</v>
      </c>
      <c r="J215" s="56">
        <v>618.9</v>
      </c>
      <c r="K215" s="49">
        <v>3743.1603333895155</v>
      </c>
      <c r="L215" s="49">
        <v>3892.8867467250961</v>
      </c>
      <c r="M215" s="49">
        <v>1342.1165099999998</v>
      </c>
      <c r="N215" s="49">
        <v>1395.8011703999998</v>
      </c>
      <c r="O215" s="56">
        <f t="shared" si="35"/>
        <v>2401.0438233895156</v>
      </c>
      <c r="P215" s="1">
        <f t="shared" si="34"/>
        <v>437619.04933861992</v>
      </c>
      <c r="Q215" s="1">
        <f t="shared" si="29"/>
        <v>20636.971662032884</v>
      </c>
      <c r="R215" s="1">
        <f t="shared" si="30"/>
        <v>30694.175904188087</v>
      </c>
      <c r="S215" s="1">
        <f t="shared" si="31"/>
        <v>445040.57975496398</v>
      </c>
      <c r="T215" s="1">
        <f t="shared" si="32"/>
        <v>933990.77665980486</v>
      </c>
      <c r="U215" s="1"/>
      <c r="V215" s="1"/>
      <c r="W215" s="45"/>
    </row>
    <row r="216" spans="1:23" ht="21" customHeight="1">
      <c r="A216" s="45"/>
      <c r="B216" s="15" t="s">
        <v>260</v>
      </c>
      <c r="C216" s="83" t="s">
        <v>236</v>
      </c>
      <c r="D216" s="14" t="s">
        <v>240</v>
      </c>
      <c r="E216" s="2">
        <v>289.19400000000002</v>
      </c>
      <c r="F216" s="2">
        <f>416.688-E216</f>
        <v>127.49399999999997</v>
      </c>
      <c r="G216" s="2">
        <v>18.370999999999999</v>
      </c>
      <c r="H216" s="2">
        <f>308.456-G216</f>
        <v>290.08500000000004</v>
      </c>
      <c r="I216" s="35">
        <f t="shared" si="33"/>
        <v>725.14400000000001</v>
      </c>
      <c r="J216" s="56">
        <v>614.4</v>
      </c>
      <c r="K216" s="49">
        <v>3743.1603333895155</v>
      </c>
      <c r="L216" s="49">
        <v>3892.8867467250961</v>
      </c>
      <c r="M216" s="49">
        <v>1779.9482799999998</v>
      </c>
      <c r="N216" s="49">
        <v>1851.1462111999999</v>
      </c>
      <c r="O216" s="56">
        <f t="shared" si="35"/>
        <v>1963.2120533895156</v>
      </c>
      <c r="P216" s="1">
        <f t="shared" si="34"/>
        <v>567749.14656792767</v>
      </c>
      <c r="Q216" s="1">
        <f t="shared" si="29"/>
        <v>250297.75753484285</v>
      </c>
      <c r="R216" s="1">
        <f t="shared" si="30"/>
        <v>37508.815378131541</v>
      </c>
      <c r="S216" s="1">
        <f t="shared" si="31"/>
        <v>592278.30324779765</v>
      </c>
      <c r="T216" s="1">
        <f t="shared" si="32"/>
        <v>1447834.0227286997</v>
      </c>
      <c r="U216" s="1"/>
      <c r="V216" s="1"/>
      <c r="W216" s="45"/>
    </row>
    <row r="217" spans="1:23" ht="21" customHeight="1">
      <c r="A217" s="45"/>
      <c r="B217" s="15" t="s">
        <v>261</v>
      </c>
      <c r="C217" s="83" t="s">
        <v>241</v>
      </c>
      <c r="D217" s="14" t="s">
        <v>242</v>
      </c>
      <c r="E217" s="2">
        <v>462.46499999999997</v>
      </c>
      <c r="F217" s="2">
        <f>666.347-E217</f>
        <v>203.88200000000001</v>
      </c>
      <c r="G217" s="2">
        <v>43.509</v>
      </c>
      <c r="H217" s="2">
        <v>494.46699999999998</v>
      </c>
      <c r="I217" s="35">
        <f t="shared" si="33"/>
        <v>1204.3229999999999</v>
      </c>
      <c r="J217" s="56">
        <v>1113</v>
      </c>
      <c r="K217" s="49">
        <v>2724.0512000000003</v>
      </c>
      <c r="L217" s="49">
        <v>2833.0132480000007</v>
      </c>
      <c r="M217" s="49">
        <v>1279.27431</v>
      </c>
      <c r="N217" s="49">
        <v>1330.4452824</v>
      </c>
      <c r="O217" s="56">
        <f t="shared" si="35"/>
        <v>1444.7768900000003</v>
      </c>
      <c r="P217" s="1">
        <f t="shared" si="34"/>
        <v>668158.74443385017</v>
      </c>
      <c r="Q217" s="1">
        <f t="shared" si="29"/>
        <v>294564.00188698008</v>
      </c>
      <c r="R217" s="1">
        <f t="shared" si="30"/>
        <v>65375.229615290431</v>
      </c>
      <c r="S217" s="1">
        <f t="shared" si="31"/>
        <v>742970.2742463355</v>
      </c>
      <c r="T217" s="1">
        <f t="shared" si="32"/>
        <v>1771068.2501824561</v>
      </c>
      <c r="U217" s="1"/>
      <c r="V217" s="1"/>
      <c r="W217" s="45"/>
    </row>
    <row r="218" spans="1:23" ht="21" customHeight="1">
      <c r="A218" s="45"/>
      <c r="B218" s="15">
        <v>2907016373</v>
      </c>
      <c r="C218" s="83" t="s">
        <v>231</v>
      </c>
      <c r="D218" s="14" t="s">
        <v>243</v>
      </c>
      <c r="E218" s="2">
        <v>825.476</v>
      </c>
      <c r="F218" s="2">
        <f>1190.596-E218</f>
        <v>365.12</v>
      </c>
      <c r="G218" s="2">
        <v>54.725999999999999</v>
      </c>
      <c r="H218" s="2">
        <f>884.125-G218</f>
        <v>829.399</v>
      </c>
      <c r="I218" s="35">
        <f t="shared" si="33"/>
        <v>2074.721</v>
      </c>
      <c r="J218" s="56">
        <v>2207.5300000000002</v>
      </c>
      <c r="K218" s="49">
        <v>3743.1603333895155</v>
      </c>
      <c r="L218" s="49">
        <v>3892.8867467250961</v>
      </c>
      <c r="M218" s="49">
        <v>1849.8109699999998</v>
      </c>
      <c r="N218" s="49">
        <v>1923.8034087999997</v>
      </c>
      <c r="O218" s="56">
        <f t="shared" si="35"/>
        <v>1893.3493633895157</v>
      </c>
      <c r="P218" s="1">
        <f t="shared" si="34"/>
        <v>1562914.4590933239</v>
      </c>
      <c r="Q218" s="1">
        <f t="shared" si="29"/>
        <v>691299.71956077998</v>
      </c>
      <c r="R218" s="1">
        <f t="shared" si="30"/>
        <v>107760.05475128883</v>
      </c>
      <c r="S218" s="1">
        <f t="shared" si="31"/>
        <v>1633155.751391737</v>
      </c>
      <c r="T218" s="1">
        <f t="shared" si="32"/>
        <v>3995129.9847971294</v>
      </c>
      <c r="U218" s="1"/>
      <c r="V218" s="1"/>
      <c r="W218" s="45"/>
    </row>
    <row r="219" spans="1:23" ht="21" customHeight="1">
      <c r="A219" s="45"/>
      <c r="B219" s="15" t="s">
        <v>44</v>
      </c>
      <c r="C219" s="83" t="s">
        <v>244</v>
      </c>
      <c r="D219" s="14" t="s">
        <v>245</v>
      </c>
      <c r="E219" s="2">
        <v>250.64099999999999</v>
      </c>
      <c r="F219" s="2">
        <f>373.176-E219</f>
        <v>122.535</v>
      </c>
      <c r="G219" s="2">
        <v>44.558999999999997</v>
      </c>
      <c r="H219" s="2">
        <f>295.2-G219</f>
        <v>250.64099999999999</v>
      </c>
      <c r="I219" s="35">
        <f t="shared" si="33"/>
        <v>668.37599999999998</v>
      </c>
      <c r="J219" s="56">
        <v>682.4</v>
      </c>
      <c r="K219" s="49">
        <v>2195.2736000000004</v>
      </c>
      <c r="L219" s="49">
        <v>2283.0845440000007</v>
      </c>
      <c r="M219" s="49">
        <v>1322.0505599999999</v>
      </c>
      <c r="N219" s="49">
        <v>1374.9325824</v>
      </c>
      <c r="O219" s="56">
        <f t="shared" si="35"/>
        <v>873.22304000000054</v>
      </c>
      <c r="P219" s="1">
        <f t="shared" si="34"/>
        <v>218865.49596864011</v>
      </c>
      <c r="Q219" s="1">
        <f t="shared" si="29"/>
        <v>107000.38520640007</v>
      </c>
      <c r="R219" s="1">
        <f t="shared" si="30"/>
        <v>40466.34325693443</v>
      </c>
      <c r="S219" s="1">
        <f t="shared" si="31"/>
        <v>227620.11580738577</v>
      </c>
      <c r="T219" s="1">
        <f t="shared" si="32"/>
        <v>593952.34023936035</v>
      </c>
      <c r="U219" s="1"/>
      <c r="V219" s="1"/>
      <c r="W219" s="45"/>
    </row>
    <row r="220" spans="1:23" ht="21" customHeight="1">
      <c r="A220" s="45"/>
      <c r="B220" s="15">
        <v>2907016373</v>
      </c>
      <c r="C220" s="83" t="s">
        <v>231</v>
      </c>
      <c r="D220" s="14" t="s">
        <v>246</v>
      </c>
      <c r="E220" s="2">
        <v>562.71699999999998</v>
      </c>
      <c r="F220" s="2">
        <f>811.883-E220</f>
        <v>249.16600000000005</v>
      </c>
      <c r="G220" s="2">
        <v>37.667999999999999</v>
      </c>
      <c r="H220" s="2">
        <f>602.685-G220</f>
        <v>565.01699999999994</v>
      </c>
      <c r="I220" s="35">
        <f t="shared" si="33"/>
        <v>1414.568</v>
      </c>
      <c r="J220" s="56">
        <v>1370.6</v>
      </c>
      <c r="K220" s="49">
        <v>3743.1603333895155</v>
      </c>
      <c r="L220" s="49">
        <v>3892.8867467250961</v>
      </c>
      <c r="M220" s="49">
        <v>1723.0584599999997</v>
      </c>
      <c r="N220" s="49">
        <v>1791.9807983999997</v>
      </c>
      <c r="O220" s="56">
        <f t="shared" si="35"/>
        <v>2020.1018733895157</v>
      </c>
      <c r="P220" s="1">
        <f t="shared" si="34"/>
        <v>1136745.6658881281</v>
      </c>
      <c r="Q220" s="1">
        <f t="shared" si="29"/>
        <v>503340.70338497218</v>
      </c>
      <c r="R220" s="1">
        <f t="shared" si="30"/>
        <v>79136.925261509736</v>
      </c>
      <c r="S220" s="1">
        <f t="shared" si="31"/>
        <v>1187047.576204801</v>
      </c>
      <c r="T220" s="1">
        <f t="shared" si="32"/>
        <v>2906270.8707394111</v>
      </c>
      <c r="U220" s="1"/>
      <c r="V220" s="1"/>
      <c r="W220" s="45"/>
    </row>
    <row r="221" spans="1:23" ht="21" customHeight="1">
      <c r="A221" s="45"/>
      <c r="B221" s="15">
        <v>2907016373</v>
      </c>
      <c r="C221" s="83" t="s">
        <v>231</v>
      </c>
      <c r="D221" s="14" t="s">
        <v>247</v>
      </c>
      <c r="E221" s="2">
        <v>125.459</v>
      </c>
      <c r="F221" s="2">
        <f>181.974-E221</f>
        <v>56.514999999999986</v>
      </c>
      <c r="G221" s="2">
        <v>13.56</v>
      </c>
      <c r="H221" s="2">
        <v>133.63</v>
      </c>
      <c r="I221" s="35">
        <f t="shared" si="33"/>
        <v>329.16399999999999</v>
      </c>
      <c r="J221" s="56">
        <v>350.46</v>
      </c>
      <c r="K221" s="49">
        <v>3743.1603333895155</v>
      </c>
      <c r="L221" s="49">
        <v>3892.8867467250961</v>
      </c>
      <c r="M221" s="49">
        <v>2009.1667599999998</v>
      </c>
      <c r="N221" s="49">
        <v>2089.5334303999998</v>
      </c>
      <c r="O221" s="56">
        <f t="shared" si="35"/>
        <v>1733.9935733895156</v>
      </c>
      <c r="P221" s="1">
        <f t="shared" si="34"/>
        <v>217545.09972387526</v>
      </c>
      <c r="Q221" s="1">
        <f t="shared" si="29"/>
        <v>97996.646800108458</v>
      </c>
      <c r="R221" s="1">
        <f t="shared" si="30"/>
        <v>24453.470969368307</v>
      </c>
      <c r="S221" s="1">
        <f t="shared" si="31"/>
        <v>240982.10366052261</v>
      </c>
      <c r="T221" s="1">
        <f t="shared" si="32"/>
        <v>580977.32115387463</v>
      </c>
      <c r="U221" s="1"/>
      <c r="V221" s="1"/>
      <c r="W221" s="45"/>
    </row>
    <row r="222" spans="1:23" ht="21" customHeight="1">
      <c r="A222" s="45"/>
      <c r="B222" s="15" t="s">
        <v>260</v>
      </c>
      <c r="C222" s="83" t="s">
        <v>236</v>
      </c>
      <c r="D222" s="14" t="s">
        <v>248</v>
      </c>
      <c r="E222" s="2">
        <v>680.85299999999995</v>
      </c>
      <c r="F222" s="2">
        <f>981.132-E222</f>
        <v>300.279</v>
      </c>
      <c r="G222" s="2">
        <v>45.875</v>
      </c>
      <c r="H222" s="2">
        <f>737.929-G222</f>
        <v>692.05399999999997</v>
      </c>
      <c r="I222" s="35">
        <f t="shared" si="33"/>
        <v>1719.0610000000001</v>
      </c>
      <c r="J222" s="56">
        <v>1892.4</v>
      </c>
      <c r="K222" s="49">
        <v>3743.1603333895155</v>
      </c>
      <c r="L222" s="49">
        <v>3892.8867467250961</v>
      </c>
      <c r="M222" s="49">
        <v>1588.1551299999999</v>
      </c>
      <c r="N222" s="49">
        <v>1651.6813351999999</v>
      </c>
      <c r="O222" s="56">
        <f t="shared" si="35"/>
        <v>2155.0052033895154</v>
      </c>
      <c r="P222" s="1">
        <f t="shared" si="34"/>
        <v>1467241.7577433616</v>
      </c>
      <c r="Q222" s="1">
        <f t="shared" si="29"/>
        <v>647102.80746860022</v>
      </c>
      <c r="R222" s="1">
        <f t="shared" si="30"/>
        <v>102815.29825371379</v>
      </c>
      <c r="S222" s="1">
        <f t="shared" si="31"/>
        <v>1551035.1698675889</v>
      </c>
      <c r="T222" s="1">
        <f t="shared" si="32"/>
        <v>3768195.0333332643</v>
      </c>
      <c r="U222" s="1"/>
      <c r="V222" s="1"/>
      <c r="W222" s="45"/>
    </row>
    <row r="223" spans="1:23" ht="21" customHeight="1">
      <c r="A223" s="45"/>
      <c r="B223" s="15" t="s">
        <v>2</v>
      </c>
      <c r="C223" s="83" t="s">
        <v>68</v>
      </c>
      <c r="D223" s="14" t="s">
        <v>249</v>
      </c>
      <c r="E223" s="2">
        <v>2406.0349999999999</v>
      </c>
      <c r="F223" s="2">
        <f>3096.807-E223</f>
        <v>690.77199999999993</v>
      </c>
      <c r="G223" s="2">
        <v>138.09</v>
      </c>
      <c r="H223" s="2">
        <f>1843.6-G223</f>
        <v>1705.51</v>
      </c>
      <c r="I223" s="35">
        <f t="shared" si="33"/>
        <v>4940.4070000000002</v>
      </c>
      <c r="J223" s="56">
        <v>5018.8999999999996</v>
      </c>
      <c r="K223" s="49">
        <v>3828.0918701820133</v>
      </c>
      <c r="L223" s="49">
        <v>3981.2155449892939</v>
      </c>
      <c r="M223" s="49">
        <v>1486.5498699999998</v>
      </c>
      <c r="N223" s="49">
        <v>1546.0118647999998</v>
      </c>
      <c r="O223" s="56">
        <f t="shared" si="35"/>
        <v>2341.5420001820135</v>
      </c>
      <c r="P223" s="1">
        <f t="shared" si="34"/>
        <v>5633832.0064079305</v>
      </c>
      <c r="Q223" s="1">
        <f t="shared" si="29"/>
        <v>1617471.6505497296</v>
      </c>
      <c r="R223" s="1">
        <f t="shared" si="30"/>
        <v>336277.27619733964</v>
      </c>
      <c r="S223" s="1">
        <f t="shared" si="31"/>
        <v>4153264.2285996429</v>
      </c>
      <c r="T223" s="1">
        <f t="shared" si="32"/>
        <v>11740845.161754642</v>
      </c>
      <c r="U223" s="1"/>
      <c r="V223" s="1"/>
      <c r="W223" s="45"/>
    </row>
    <row r="224" spans="1:23" ht="21" customHeight="1">
      <c r="A224" s="45"/>
      <c r="B224" s="33" t="s">
        <v>332</v>
      </c>
      <c r="C224" s="83" t="s">
        <v>370</v>
      </c>
      <c r="D224" s="14" t="s">
        <v>250</v>
      </c>
      <c r="E224" s="2">
        <v>5787.1480000000001</v>
      </c>
      <c r="F224" s="2">
        <f>7761.256-E224</f>
        <v>1974.1080000000002</v>
      </c>
      <c r="G224" s="2">
        <v>778.02</v>
      </c>
      <c r="H224" s="2">
        <v>4985.1000000000004</v>
      </c>
      <c r="I224" s="35">
        <f t="shared" si="33"/>
        <v>13524.376</v>
      </c>
      <c r="J224" s="56">
        <v>13098</v>
      </c>
      <c r="K224" s="49">
        <v>3857.4432000000002</v>
      </c>
      <c r="L224" s="49">
        <v>4011.7409280000002</v>
      </c>
      <c r="M224" s="49">
        <v>2200.6695500000001</v>
      </c>
      <c r="N224" s="49">
        <v>2288.696332</v>
      </c>
      <c r="O224" s="56">
        <f t="shared" si="35"/>
        <v>1656.7736500000001</v>
      </c>
      <c r="P224" s="1">
        <f t="shared" si="34"/>
        <v>9587994.3150502015</v>
      </c>
      <c r="Q224" s="1">
        <f t="shared" si="29"/>
        <v>3270650.1166542005</v>
      </c>
      <c r="R224" s="1">
        <f t="shared" si="30"/>
        <v>1340563.1565799201</v>
      </c>
      <c r="S224" s="1">
        <f t="shared" si="31"/>
        <v>8589549.6155196019</v>
      </c>
      <c r="T224" s="1">
        <f t="shared" si="32"/>
        <v>22788757.203803923</v>
      </c>
      <c r="U224" s="1"/>
      <c r="V224" s="1"/>
      <c r="W224" s="45"/>
    </row>
    <row r="225" spans="1:23" ht="21" customHeight="1">
      <c r="A225" s="45"/>
      <c r="B225" s="15" t="s">
        <v>5</v>
      </c>
      <c r="C225" s="83" t="s">
        <v>251</v>
      </c>
      <c r="D225" s="14" t="s">
        <v>252</v>
      </c>
      <c r="E225" s="2">
        <v>158.44999999999999</v>
      </c>
      <c r="F225" s="2">
        <f>224.51-E225</f>
        <v>66.06</v>
      </c>
      <c r="G225" s="2">
        <v>6.57</v>
      </c>
      <c r="H225" s="2">
        <f>144.23-G225</f>
        <v>137.66</v>
      </c>
      <c r="I225" s="35">
        <f t="shared" si="33"/>
        <v>368.74</v>
      </c>
      <c r="J225" s="56">
        <v>368</v>
      </c>
      <c r="K225" s="49">
        <v>2431.4499999999998</v>
      </c>
      <c r="L225" s="49">
        <v>2528.7080000000001</v>
      </c>
      <c r="M225" s="49">
        <v>1723.45</v>
      </c>
      <c r="N225" s="49">
        <v>1792.3880000000001</v>
      </c>
      <c r="O225" s="56">
        <f t="shared" si="35"/>
        <v>707.99999999999977</v>
      </c>
      <c r="P225" s="1">
        <f t="shared" si="34"/>
        <v>112182.59999999996</v>
      </c>
      <c r="Q225" s="1">
        <f t="shared" si="29"/>
        <v>46770.479999999989</v>
      </c>
      <c r="R225" s="1">
        <f t="shared" si="30"/>
        <v>4837.6224000000002</v>
      </c>
      <c r="S225" s="1">
        <f t="shared" si="31"/>
        <v>101361.81119999998</v>
      </c>
      <c r="T225" s="1">
        <f t="shared" si="32"/>
        <v>265152.51359999995</v>
      </c>
      <c r="U225" s="1"/>
      <c r="V225" s="1"/>
      <c r="W225" s="45"/>
    </row>
    <row r="226" spans="1:23" ht="21" customHeight="1">
      <c r="A226" s="45"/>
      <c r="B226" s="15" t="s">
        <v>259</v>
      </c>
      <c r="C226" s="83" t="s">
        <v>68</v>
      </c>
      <c r="D226" s="14" t="s">
        <v>252</v>
      </c>
      <c r="E226" s="2">
        <v>25629.039000000001</v>
      </c>
      <c r="F226" s="2">
        <f>34741.357-E226</f>
        <v>9112.3180000000029</v>
      </c>
      <c r="G226" s="2">
        <v>1947.2529999999999</v>
      </c>
      <c r="H226" s="2">
        <f>20301.345-G226</f>
        <v>18354.092000000001</v>
      </c>
      <c r="I226" s="35">
        <f t="shared" si="33"/>
        <v>55042.702000000005</v>
      </c>
      <c r="J226" s="56">
        <v>60234.7</v>
      </c>
      <c r="K226" s="49">
        <v>3405.8478847802612</v>
      </c>
      <c r="L226" s="49">
        <v>3542.081800171472</v>
      </c>
      <c r="M226" s="49">
        <v>1461.9729699999998</v>
      </c>
      <c r="N226" s="49">
        <v>1520.4518887999998</v>
      </c>
      <c r="O226" s="56">
        <f t="shared" si="35"/>
        <v>1943.8749147802614</v>
      </c>
      <c r="P226" s="1">
        <f t="shared" si="34"/>
        <v>49819646.002025001</v>
      </c>
      <c r="Q226" s="1">
        <f t="shared" si="29"/>
        <v>17713206.375700649</v>
      </c>
      <c r="R226" s="1">
        <f t="shared" si="30"/>
        <v>3936624.9098078334</v>
      </c>
      <c r="S226" s="1">
        <f t="shared" si="31"/>
        <v>37105181.383263849</v>
      </c>
      <c r="T226" s="1">
        <f t="shared" si="32"/>
        <v>108574658.67079732</v>
      </c>
      <c r="U226" s="1"/>
      <c r="V226" s="1"/>
      <c r="W226" s="45"/>
    </row>
    <row r="227" spans="1:23" ht="21" customHeight="1">
      <c r="A227" s="45"/>
      <c r="B227" s="15">
        <v>2907016373</v>
      </c>
      <c r="C227" s="83" t="s">
        <v>231</v>
      </c>
      <c r="D227" s="14" t="s">
        <v>253</v>
      </c>
      <c r="E227" s="2">
        <v>232.71600000000001</v>
      </c>
      <c r="F227" s="2">
        <f>335.311-E227</f>
        <v>102.59499999999997</v>
      </c>
      <c r="G227" s="2">
        <v>15.513999999999999</v>
      </c>
      <c r="H227" s="2">
        <f>248.232-G227</f>
        <v>232.71799999999999</v>
      </c>
      <c r="I227" s="35">
        <f t="shared" si="33"/>
        <v>583.54300000000001</v>
      </c>
      <c r="J227" s="56">
        <v>461.4</v>
      </c>
      <c r="K227" s="49">
        <v>3743.1603333895155</v>
      </c>
      <c r="L227" s="49">
        <v>3892.8867467250961</v>
      </c>
      <c r="M227" s="49">
        <v>1722.8925400000001</v>
      </c>
      <c r="N227" s="49">
        <v>1791.8082416000002</v>
      </c>
      <c r="O227" s="56">
        <f t="shared" si="35"/>
        <v>2020.2677933895154</v>
      </c>
      <c r="P227" s="1">
        <f t="shared" si="34"/>
        <v>470148.63980643451</v>
      </c>
      <c r="Q227" s="1">
        <f t="shared" si="29"/>
        <v>207269.37426279727</v>
      </c>
      <c r="R227" s="1">
        <f t="shared" si="30"/>
        <v>32596.131928510738</v>
      </c>
      <c r="S227" s="1">
        <f t="shared" si="31"/>
        <v>488958.78755570203</v>
      </c>
      <c r="T227" s="1">
        <f t="shared" si="32"/>
        <v>1198972.9335534447</v>
      </c>
      <c r="U227" s="1"/>
      <c r="V227" s="1"/>
      <c r="W227" s="45"/>
    </row>
    <row r="228" spans="1:23" ht="21" customHeight="1">
      <c r="A228" s="45"/>
      <c r="B228" s="15">
        <v>2907016373</v>
      </c>
      <c r="C228" s="83" t="s">
        <v>231</v>
      </c>
      <c r="D228" s="14" t="s">
        <v>254</v>
      </c>
      <c r="E228" s="2">
        <v>176.477</v>
      </c>
      <c r="F228" s="2">
        <f>255.059-E228</f>
        <v>78.581999999999994</v>
      </c>
      <c r="G228" s="2">
        <v>11.765000000000001</v>
      </c>
      <c r="H228" s="2">
        <f>171.403-G228</f>
        <v>159.63799999999998</v>
      </c>
      <c r="I228" s="35">
        <f t="shared" si="33"/>
        <v>426.46199999999999</v>
      </c>
      <c r="J228" s="56">
        <v>377.6</v>
      </c>
      <c r="K228" s="49">
        <v>3743.1603333895155</v>
      </c>
      <c r="L228" s="49">
        <v>3892.8867467250961</v>
      </c>
      <c r="M228" s="49">
        <v>1407.1260399999999</v>
      </c>
      <c r="N228" s="49">
        <v>1463.4110816</v>
      </c>
      <c r="O228" s="56">
        <f t="shared" si="35"/>
        <v>2336.0342933895154</v>
      </c>
      <c r="P228" s="1">
        <f t="shared" si="34"/>
        <v>412256.32399450149</v>
      </c>
      <c r="Q228" s="1">
        <f t="shared" si="29"/>
        <v>183570.24684313487</v>
      </c>
      <c r="R228" s="1">
        <f t="shared" si="30"/>
        <v>28582.781200196761</v>
      </c>
      <c r="S228" s="1">
        <f t="shared" si="31"/>
        <v>387836.6362292401</v>
      </c>
      <c r="T228" s="1">
        <f t="shared" si="32"/>
        <v>1012245.9882670732</v>
      </c>
      <c r="U228" s="1"/>
      <c r="V228" s="1"/>
      <c r="W228" s="45"/>
    </row>
    <row r="229" spans="1:23" ht="21" customHeight="1">
      <c r="A229" s="45"/>
      <c r="B229" s="15" t="s">
        <v>258</v>
      </c>
      <c r="C229" s="83" t="s">
        <v>255</v>
      </c>
      <c r="D229" s="14" t="s">
        <v>252</v>
      </c>
      <c r="E229" s="2">
        <v>320.81</v>
      </c>
      <c r="F229" s="2">
        <f>433.188-E229</f>
        <v>112.37799999999999</v>
      </c>
      <c r="G229" s="2">
        <v>3.8319999999999999</v>
      </c>
      <c r="H229" s="2">
        <f>226.567-G229</f>
        <v>222.73500000000001</v>
      </c>
      <c r="I229" s="35">
        <f t="shared" si="33"/>
        <v>659.755</v>
      </c>
      <c r="J229" s="56">
        <v>670</v>
      </c>
      <c r="K229" s="49">
        <v>2844.3584000000001</v>
      </c>
      <c r="L229" s="49">
        <v>2958.132736</v>
      </c>
      <c r="M229" s="49">
        <v>1723.4525199999998</v>
      </c>
      <c r="N229" s="49">
        <v>1792.3906207999999</v>
      </c>
      <c r="O229" s="56">
        <f t="shared" si="35"/>
        <v>1120.9058800000003</v>
      </c>
      <c r="P229" s="1">
        <f t="shared" si="34"/>
        <v>359597.81536280009</v>
      </c>
      <c r="Q229" s="1">
        <f t="shared" si="29"/>
        <v>125965.16098264001</v>
      </c>
      <c r="R229" s="1">
        <f t="shared" si="30"/>
        <v>4467.1237854464007</v>
      </c>
      <c r="S229" s="1">
        <f t="shared" si="31"/>
        <v>259651.57002907206</v>
      </c>
      <c r="T229" s="1">
        <f t="shared" si="32"/>
        <v>749681.67015995854</v>
      </c>
      <c r="U229" s="1"/>
      <c r="V229" s="1"/>
      <c r="W229" s="45"/>
    </row>
    <row r="230" spans="1:23" ht="21" customHeight="1">
      <c r="A230" s="45"/>
      <c r="B230" s="15">
        <v>2907017610</v>
      </c>
      <c r="C230" s="83" t="s">
        <v>384</v>
      </c>
      <c r="D230" s="14" t="s">
        <v>252</v>
      </c>
      <c r="E230" s="2">
        <v>441.74</v>
      </c>
      <c r="F230" s="2">
        <f>649.76-E230</f>
        <v>208.01999999999998</v>
      </c>
      <c r="G230" s="2">
        <v>55</v>
      </c>
      <c r="H230" s="2">
        <v>390</v>
      </c>
      <c r="I230" s="35">
        <f t="shared" si="33"/>
        <v>1094.76</v>
      </c>
      <c r="J230" s="56">
        <v>1055</v>
      </c>
      <c r="K230" s="49">
        <v>2458.1439999999998</v>
      </c>
      <c r="L230" s="49">
        <v>2556.46976</v>
      </c>
      <c r="M230" s="49">
        <v>1725.1220899999998</v>
      </c>
      <c r="N230" s="49">
        <v>1794.1269735999999</v>
      </c>
      <c r="O230" s="56"/>
      <c r="P230" s="1">
        <f t="shared" ref="P230" si="36">(K230-M230)*E230</f>
        <v>323805.09852339997</v>
      </c>
      <c r="Q230" s="1">
        <f t="shared" si="29"/>
        <v>152483.21771819997</v>
      </c>
      <c r="R230" s="1">
        <f t="shared" si="30"/>
        <v>41928.853252000001</v>
      </c>
      <c r="S230" s="1">
        <f t="shared" si="31"/>
        <v>297313.68669599999</v>
      </c>
      <c r="T230" s="1">
        <f t="shared" si="32"/>
        <v>815530.85618959996</v>
      </c>
      <c r="U230" s="1"/>
      <c r="V230" s="1"/>
      <c r="W230" s="45"/>
    </row>
    <row r="231" spans="1:23" ht="21" customHeight="1">
      <c r="A231" s="45"/>
      <c r="B231" s="15" t="s">
        <v>257</v>
      </c>
      <c r="C231" s="83" t="s">
        <v>256</v>
      </c>
      <c r="D231" s="14" t="s">
        <v>250</v>
      </c>
      <c r="E231" s="2">
        <v>81.459000000000003</v>
      </c>
      <c r="F231" s="2">
        <f>1148.283-E231</f>
        <v>1066.8239999999998</v>
      </c>
      <c r="G231" s="2">
        <v>106.55</v>
      </c>
      <c r="H231" s="2">
        <f>818.48-G231</f>
        <v>711.93000000000006</v>
      </c>
      <c r="I231" s="35">
        <f t="shared" si="33"/>
        <v>1966.7629999999999</v>
      </c>
      <c r="J231" s="56">
        <v>2328.6</v>
      </c>
      <c r="K231" s="49">
        <v>5431.9511999999995</v>
      </c>
      <c r="L231" s="49">
        <v>5649.2292479999996</v>
      </c>
      <c r="M231" s="49">
        <v>2175.4497099999999</v>
      </c>
      <c r="N231" s="49">
        <v>2262.4676983999998</v>
      </c>
      <c r="O231" s="56">
        <f t="shared" si="35"/>
        <v>3256.5014899999996</v>
      </c>
      <c r="P231" s="1">
        <f t="shared" si="34"/>
        <v>265271.35487390996</v>
      </c>
      <c r="Q231" s="1">
        <f t="shared" si="29"/>
        <v>3474113.9455677592</v>
      </c>
      <c r="R231" s="1">
        <f t="shared" si="30"/>
        <v>360859.44310987997</v>
      </c>
      <c r="S231" s="1">
        <f t="shared" si="31"/>
        <v>2411137.1500067282</v>
      </c>
      <c r="T231" s="1">
        <f t="shared" si="32"/>
        <v>6511381.8935582777</v>
      </c>
      <c r="U231" s="1"/>
      <c r="V231" s="1"/>
      <c r="W231" s="45"/>
    </row>
    <row r="232" spans="1:23" ht="24.75" customHeight="1">
      <c r="A232" s="45" t="s">
        <v>337</v>
      </c>
      <c r="B232" s="15" t="s">
        <v>350</v>
      </c>
      <c r="C232" s="83" t="s">
        <v>349</v>
      </c>
      <c r="D232" s="14" t="s">
        <v>249</v>
      </c>
      <c r="E232" s="2">
        <f>45.1773333333333*0.6</f>
        <v>27.106399999999979</v>
      </c>
      <c r="F232" s="2">
        <f>45.1773333333333*0.4</f>
        <v>18.070933333333322</v>
      </c>
      <c r="G232" s="2">
        <f>45.906*0.2</f>
        <v>9.1812000000000005</v>
      </c>
      <c r="H232" s="2">
        <f>45.906*0.8</f>
        <v>36.724800000000002</v>
      </c>
      <c r="I232" s="35">
        <f t="shared" si="33"/>
        <v>91.0833333333333</v>
      </c>
      <c r="J232" s="56">
        <v>91.1</v>
      </c>
      <c r="K232" s="49">
        <v>3151.8031999999998</v>
      </c>
      <c r="L232" s="49">
        <v>3277.8753280000001</v>
      </c>
      <c r="M232" s="49">
        <v>1740.1793299999997</v>
      </c>
      <c r="N232" s="49">
        <v>1809.7865031999997</v>
      </c>
      <c r="O232" s="56">
        <f t="shared" si="35"/>
        <v>1411.6238700000001</v>
      </c>
      <c r="P232" s="1">
        <f t="shared" si="34"/>
        <v>38264.041269767971</v>
      </c>
      <c r="Q232" s="1">
        <f t="shared" si="29"/>
        <v>25509.360846511987</v>
      </c>
      <c r="R232" s="1">
        <f t="shared" si="30"/>
        <v>13478.817118253764</v>
      </c>
      <c r="S232" s="1">
        <f t="shared" si="31"/>
        <v>53915.268473015058</v>
      </c>
      <c r="T232" s="1">
        <f t="shared" si="32"/>
        <v>131167.48770754877</v>
      </c>
      <c r="U232" s="1"/>
      <c r="V232" s="1"/>
      <c r="W232" s="45"/>
    </row>
    <row r="233" spans="1:23" ht="21" customHeight="1">
      <c r="A233" s="45"/>
      <c r="B233" s="101" t="s">
        <v>340</v>
      </c>
      <c r="C233" s="101"/>
      <c r="D233" s="14"/>
      <c r="E233" s="2"/>
      <c r="F233" s="2"/>
      <c r="G233" s="2"/>
      <c r="H233" s="2"/>
      <c r="I233" s="35">
        <f t="shared" si="33"/>
        <v>0</v>
      </c>
      <c r="J233" s="56"/>
      <c r="K233" s="49"/>
      <c r="L233" s="49"/>
      <c r="M233" s="49"/>
      <c r="N233" s="49"/>
      <c r="O233" s="56">
        <f t="shared" si="35"/>
        <v>0</v>
      </c>
      <c r="P233" s="1">
        <f t="shared" si="34"/>
        <v>0</v>
      </c>
      <c r="Q233" s="1">
        <f t="shared" si="29"/>
        <v>0</v>
      </c>
      <c r="R233" s="1">
        <f t="shared" si="30"/>
        <v>0</v>
      </c>
      <c r="S233" s="1">
        <f t="shared" si="31"/>
        <v>0</v>
      </c>
      <c r="T233" s="1">
        <f t="shared" si="32"/>
        <v>0</v>
      </c>
      <c r="U233" s="1"/>
      <c r="V233" s="1"/>
      <c r="W233" s="45"/>
    </row>
    <row r="234" spans="1:23" ht="21" customHeight="1">
      <c r="A234" s="45" t="s">
        <v>337</v>
      </c>
      <c r="B234" s="15">
        <v>7729314745</v>
      </c>
      <c r="C234" s="83" t="s">
        <v>341</v>
      </c>
      <c r="D234" s="14"/>
      <c r="E234" s="35">
        <f>523.721*0.6</f>
        <v>314.23259999999999</v>
      </c>
      <c r="F234" s="35">
        <f>523.721*0.4</f>
        <v>209.48840000000001</v>
      </c>
      <c r="G234" s="35">
        <f>428.499*0.2</f>
        <v>85.69980000000001</v>
      </c>
      <c r="H234" s="35">
        <f>428.499*0.8</f>
        <v>342.79920000000004</v>
      </c>
      <c r="I234" s="35">
        <f t="shared" si="33"/>
        <v>952.22</v>
      </c>
      <c r="J234" s="56">
        <v>952.22</v>
      </c>
      <c r="K234" s="49">
        <v>7567.0920000000006</v>
      </c>
      <c r="L234" s="49">
        <v>7869.7756800000006</v>
      </c>
      <c r="M234" s="49">
        <v>1590.3639399999997</v>
      </c>
      <c r="N234" s="49">
        <v>1653.9784975999999</v>
      </c>
      <c r="O234" s="56">
        <f t="shared" si="35"/>
        <v>5976.7280600000013</v>
      </c>
      <c r="P234" s="1">
        <f t="shared" si="34"/>
        <v>1878082.7977867564</v>
      </c>
      <c r="Q234" s="1">
        <f t="shared" si="29"/>
        <v>1252055.1985245044</v>
      </c>
      <c r="R234" s="1">
        <f t="shared" si="30"/>
        <v>532692.57537224365</v>
      </c>
      <c r="S234" s="1">
        <f t="shared" si="31"/>
        <v>2130770.3014889746</v>
      </c>
      <c r="T234" s="1">
        <f t="shared" si="32"/>
        <v>5793600.8731724788</v>
      </c>
      <c r="U234" s="1"/>
      <c r="V234" s="1"/>
      <c r="W234" s="45"/>
    </row>
    <row r="235" spans="1:23" ht="21" customHeight="1">
      <c r="A235" s="45"/>
      <c r="B235" s="63">
        <v>7606053324</v>
      </c>
      <c r="C235" s="18" t="s">
        <v>411</v>
      </c>
      <c r="D235" s="14"/>
      <c r="E235" s="62">
        <v>682524.34057667619</v>
      </c>
      <c r="F235" s="62">
        <v>367673.97361413721</v>
      </c>
      <c r="G235" s="35">
        <v>153873.79866323207</v>
      </c>
      <c r="H235" s="35">
        <v>592188.67380904942</v>
      </c>
      <c r="I235" s="35">
        <v>1796260.7866630948</v>
      </c>
      <c r="J235" s="56">
        <v>1796260.786663095</v>
      </c>
      <c r="K235" s="49">
        <v>1634.05</v>
      </c>
      <c r="L235" s="49">
        <v>1699.412</v>
      </c>
      <c r="M235" s="49">
        <v>1530.7156999999997</v>
      </c>
      <c r="N235" s="49">
        <v>1591.9443279999998</v>
      </c>
      <c r="O235" s="56"/>
      <c r="P235" s="1">
        <f t="shared" ref="P235" si="37">(K235-M235)*E235</f>
        <v>70528174.966452569</v>
      </c>
      <c r="Q235" s="1">
        <f t="shared" si="29"/>
        <v>37993332.691635415</v>
      </c>
      <c r="R235" s="1">
        <f t="shared" si="30"/>
        <v>16536458.924134295</v>
      </c>
      <c r="S235" s="1">
        <f t="shared" si="31"/>
        <v>63641138.159026042</v>
      </c>
      <c r="T235" s="1">
        <f t="shared" si="32"/>
        <v>188699104.74124831</v>
      </c>
      <c r="U235" s="1"/>
      <c r="V235" s="1"/>
      <c r="W235" s="45"/>
    </row>
    <row r="236" spans="1:23" ht="21" customHeight="1">
      <c r="A236" s="45"/>
      <c r="B236" s="101" t="s">
        <v>343</v>
      </c>
      <c r="C236" s="101"/>
      <c r="D236" s="14"/>
      <c r="E236" s="2"/>
      <c r="F236" s="2"/>
      <c r="G236" s="2"/>
      <c r="H236" s="2"/>
      <c r="I236" s="35">
        <f t="shared" si="33"/>
        <v>0</v>
      </c>
      <c r="J236" s="56"/>
      <c r="K236" s="49"/>
      <c r="L236" s="49"/>
      <c r="M236" s="49"/>
      <c r="N236" s="49"/>
      <c r="O236" s="56">
        <f t="shared" si="35"/>
        <v>0</v>
      </c>
      <c r="P236" s="1">
        <f t="shared" si="34"/>
        <v>0</v>
      </c>
      <c r="Q236" s="1">
        <f t="shared" si="29"/>
        <v>0</v>
      </c>
      <c r="R236" s="1">
        <f t="shared" si="30"/>
        <v>0</v>
      </c>
      <c r="S236" s="1">
        <f t="shared" si="31"/>
        <v>0</v>
      </c>
      <c r="T236" s="1">
        <f t="shared" si="32"/>
        <v>0</v>
      </c>
      <c r="U236" s="1"/>
      <c r="V236" s="1"/>
      <c r="W236" s="45"/>
    </row>
    <row r="237" spans="1:23" ht="21" customHeight="1">
      <c r="A237" s="45" t="s">
        <v>337</v>
      </c>
      <c r="B237" s="15">
        <v>7729314745</v>
      </c>
      <c r="C237" s="83" t="s">
        <v>341</v>
      </c>
      <c r="D237" s="14"/>
      <c r="E237" s="35">
        <f>8464.885*0.6</f>
        <v>5078.9309999999996</v>
      </c>
      <c r="F237" s="35">
        <f>8464.885*0.4</f>
        <v>3385.9540000000002</v>
      </c>
      <c r="G237" s="35">
        <f>6925.815*0.2</f>
        <v>1385.163</v>
      </c>
      <c r="H237" s="35">
        <f>6925.815*0.8</f>
        <v>5540.652</v>
      </c>
      <c r="I237" s="35">
        <f t="shared" si="33"/>
        <v>15390.7</v>
      </c>
      <c r="J237" s="56">
        <v>15390.7</v>
      </c>
      <c r="K237" s="49">
        <v>7093.8920000000007</v>
      </c>
      <c r="L237" s="49">
        <v>7377.6476800000009</v>
      </c>
      <c r="M237" s="49">
        <v>2067.5602299999996</v>
      </c>
      <c r="N237" s="49">
        <v>2150.2626391999997</v>
      </c>
      <c r="O237" s="56">
        <f t="shared" si="35"/>
        <v>5026.3317700000007</v>
      </c>
      <c r="P237" s="1">
        <f t="shared" si="34"/>
        <v>25528392.24293787</v>
      </c>
      <c r="Q237" s="1">
        <f t="shared" si="29"/>
        <v>17018928.161958583</v>
      </c>
      <c r="R237" s="1">
        <f t="shared" si="30"/>
        <v>7240780.345269653</v>
      </c>
      <c r="S237" s="1">
        <f t="shared" si="31"/>
        <v>28963121.381078612</v>
      </c>
      <c r="T237" s="1">
        <f t="shared" si="32"/>
        <v>78751222.131244719</v>
      </c>
      <c r="U237" s="1"/>
      <c r="V237" s="1"/>
      <c r="W237" s="45"/>
    </row>
    <row r="238" spans="1:23" ht="21" customHeight="1">
      <c r="A238" s="45"/>
      <c r="B238" s="101" t="s">
        <v>428</v>
      </c>
      <c r="C238" s="101"/>
      <c r="D238" s="14"/>
      <c r="E238" s="2"/>
      <c r="F238" s="2"/>
      <c r="G238" s="2"/>
      <c r="H238" s="2"/>
      <c r="I238" s="35">
        <f t="shared" ref="I238:I239" si="38">SUM(E238:H238)</f>
        <v>0</v>
      </c>
      <c r="J238" s="56"/>
      <c r="K238" s="49"/>
      <c r="L238" s="49"/>
      <c r="M238" s="49"/>
      <c r="N238" s="49"/>
      <c r="O238" s="56"/>
      <c r="P238" s="1">
        <f t="shared" si="34"/>
        <v>0</v>
      </c>
      <c r="Q238" s="1">
        <f t="shared" si="29"/>
        <v>0</v>
      </c>
      <c r="R238" s="1">
        <f t="shared" si="30"/>
        <v>0</v>
      </c>
      <c r="S238" s="1">
        <f t="shared" si="31"/>
        <v>0</v>
      </c>
      <c r="T238" s="1">
        <f t="shared" si="32"/>
        <v>0</v>
      </c>
      <c r="U238" s="1"/>
      <c r="V238" s="1"/>
      <c r="W238" s="45"/>
    </row>
    <row r="239" spans="1:23" ht="21" customHeight="1">
      <c r="A239" s="45"/>
      <c r="B239" s="63">
        <v>2903011092</v>
      </c>
      <c r="C239" s="18" t="s">
        <v>429</v>
      </c>
      <c r="D239" s="14"/>
      <c r="E239" s="35">
        <v>72437.160999999993</v>
      </c>
      <c r="F239" s="35">
        <v>45103.659</v>
      </c>
      <c r="G239" s="35">
        <v>21721.248</v>
      </c>
      <c r="H239" s="35">
        <v>75527.932000000001</v>
      </c>
      <c r="I239" s="35">
        <f t="shared" si="38"/>
        <v>214790</v>
      </c>
      <c r="J239" s="35">
        <v>214790</v>
      </c>
      <c r="K239" s="49">
        <v>1520.36</v>
      </c>
      <c r="L239" s="49">
        <v>1581.1743999999999</v>
      </c>
      <c r="M239" s="49">
        <v>1307.4703399999999</v>
      </c>
      <c r="N239" s="49">
        <v>1359.7691536</v>
      </c>
      <c r="O239" s="56"/>
      <c r="P239" s="1">
        <f t="shared" si="34"/>
        <v>15421122.576655261</v>
      </c>
      <c r="Q239" s="1">
        <f t="shared" si="29"/>
        <v>9602102.6292659417</v>
      </c>
      <c r="R239" s="1">
        <f t="shared" si="30"/>
        <v>4809198.2655555047</v>
      </c>
      <c r="S239" s="1">
        <f t="shared" si="31"/>
        <v>16722280.394542437</v>
      </c>
      <c r="T239" s="1">
        <f t="shared" si="32"/>
        <v>46554703.866019145</v>
      </c>
      <c r="U239" s="1"/>
      <c r="V239" s="1"/>
      <c r="W239" s="45"/>
    </row>
    <row r="240" spans="1:23" s="79" customFormat="1" ht="21" customHeight="1">
      <c r="A240" s="78"/>
      <c r="B240" s="102" t="s">
        <v>47</v>
      </c>
      <c r="C240" s="102"/>
      <c r="D240" s="22"/>
      <c r="E240" s="36">
        <f>SUM(E9:E239)</f>
        <v>1609099.4433004302</v>
      </c>
      <c r="F240" s="36">
        <f t="shared" ref="F240:I240" si="39">SUM(F9:F239)</f>
        <v>840790.09339330671</v>
      </c>
      <c r="G240" s="36">
        <f t="shared" si="39"/>
        <v>335589.16876477428</v>
      </c>
      <c r="H240" s="36">
        <f t="shared" si="39"/>
        <v>1410075.8808759165</v>
      </c>
      <c r="I240" s="36">
        <f t="shared" si="39"/>
        <v>4195554.5863344278</v>
      </c>
      <c r="J240" s="36">
        <f>SUM(J9:J239)</f>
        <v>4240152.4012110783</v>
      </c>
      <c r="K240" s="23"/>
      <c r="L240" s="23"/>
      <c r="M240" s="23"/>
      <c r="N240" s="23"/>
      <c r="O240" s="23"/>
      <c r="P240" s="23">
        <f>SUM(P9:P239)</f>
        <v>1159471665.187676</v>
      </c>
      <c r="Q240" s="23">
        <f t="shared" ref="Q240:T240" si="40">SUM(Q9:Q239)</f>
        <v>598158309.74687111</v>
      </c>
      <c r="R240" s="23">
        <f t="shared" si="40"/>
        <v>212038823.21647319</v>
      </c>
      <c r="S240" s="23">
        <f t="shared" si="40"/>
        <v>1072864501.9488522</v>
      </c>
      <c r="T240" s="23">
        <f t="shared" si="40"/>
        <v>3042533300.099874</v>
      </c>
      <c r="U240" s="23">
        <f>'2020'!V240</f>
        <v>371376113.38363189</v>
      </c>
      <c r="V240" s="23">
        <f>S240*0.36</f>
        <v>386231220.70158678</v>
      </c>
      <c r="W240" s="23">
        <f>T240+U240-V240</f>
        <v>3027678192.781919</v>
      </c>
    </row>
    <row r="241" spans="1:23" s="79" customFormat="1" ht="21" customHeight="1">
      <c r="A241" s="80"/>
      <c r="B241" s="26"/>
      <c r="C241" s="26"/>
      <c r="D241" s="27"/>
      <c r="E241" s="28"/>
      <c r="F241" s="28"/>
      <c r="G241" s="28"/>
      <c r="H241" s="28"/>
      <c r="I241" s="28"/>
      <c r="J241" s="28"/>
      <c r="K241" s="28"/>
      <c r="L241" s="28"/>
      <c r="M241" s="28"/>
      <c r="N241" s="28"/>
      <c r="O241" s="28"/>
      <c r="P241" s="28"/>
      <c r="Q241" s="28"/>
      <c r="R241" s="28"/>
      <c r="S241" s="28"/>
      <c r="T241" s="28"/>
      <c r="U241" s="28"/>
      <c r="V241" s="28"/>
      <c r="W241" s="28"/>
    </row>
    <row r="242" spans="1:23" ht="18" customHeight="1"/>
  </sheetData>
  <mergeCells count="41">
    <mergeCell ref="A5:A6"/>
    <mergeCell ref="B5:B6"/>
    <mergeCell ref="C5:C6"/>
    <mergeCell ref="D5:D6"/>
    <mergeCell ref="E5:I5"/>
    <mergeCell ref="B43:D43"/>
    <mergeCell ref="J51:J52"/>
    <mergeCell ref="B55:D55"/>
    <mergeCell ref="B68:D68"/>
    <mergeCell ref="W5:W6"/>
    <mergeCell ref="B8:D8"/>
    <mergeCell ref="B15:D15"/>
    <mergeCell ref="B25:D25"/>
    <mergeCell ref="K5:L5"/>
    <mergeCell ref="M5:N5"/>
    <mergeCell ref="P5:T5"/>
    <mergeCell ref="U5:U6"/>
    <mergeCell ref="V5:V6"/>
    <mergeCell ref="B233:C233"/>
    <mergeCell ref="B236:C236"/>
    <mergeCell ref="B240:C240"/>
    <mergeCell ref="B238:C238"/>
    <mergeCell ref="B155:D155"/>
    <mergeCell ref="B175:D175"/>
    <mergeCell ref="B161:D161"/>
    <mergeCell ref="E2:K2"/>
    <mergeCell ref="E1:N1"/>
    <mergeCell ref="B194:D194"/>
    <mergeCell ref="B202:D202"/>
    <mergeCell ref="B209:C209"/>
    <mergeCell ref="B71:D71"/>
    <mergeCell ref="J101:J103"/>
    <mergeCell ref="B108:D108"/>
    <mergeCell ref="B127:D127"/>
    <mergeCell ref="B96:D96"/>
    <mergeCell ref="B87:D87"/>
    <mergeCell ref="B90:D90"/>
    <mergeCell ref="B75:D75"/>
    <mergeCell ref="B82:D82"/>
    <mergeCell ref="B84:D84"/>
    <mergeCell ref="B33:D33"/>
  </mergeCells>
  <pageMargins left="0.19685039370078741" right="0.19685039370078741" top="0.70866141732283472" bottom="0.47244094488188981" header="0.31496062992125984" footer="0.19685039370078741"/>
  <pageSetup paperSize="9" scale="65" fitToHeight="0" orientation="landscape" r:id="rId1"/>
  <headerFooter>
    <oddFooter>&amp;C&amp;P</oddFoot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GE242"/>
  <sheetViews>
    <sheetView topLeftCell="B1" zoomScale="80" zoomScaleNormal="80" workbookViewId="0">
      <pane xSplit="3" ySplit="6" topLeftCell="E229" activePane="bottomRight" state="frozen"/>
      <selection activeCell="B1" sqref="B1"/>
      <selection pane="topRight" activeCell="E1" sqref="E1"/>
      <selection pane="bottomLeft" activeCell="B6" sqref="B6"/>
      <selection pane="bottomRight" activeCell="E1" sqref="E1:N1"/>
    </sheetView>
  </sheetViews>
  <sheetFormatPr defaultRowHeight="15" outlineLevelRow="1" outlineLevelCol="1"/>
  <cols>
    <col min="1" max="1" width="19.28515625" style="25" hidden="1" customWidth="1" outlineLevel="1"/>
    <col min="2" max="2" width="13.7109375" style="81" customWidth="1" collapsed="1"/>
    <col min="3" max="3" width="35.7109375" style="85" customWidth="1"/>
    <col min="4" max="4" width="19.5703125" style="25" customWidth="1"/>
    <col min="5" max="9" width="17.140625" style="25" customWidth="1"/>
    <col min="10" max="10" width="17.28515625" style="25" hidden="1" customWidth="1" outlineLevel="1"/>
    <col min="11" max="11" width="15.85546875" style="25" customWidth="1" collapsed="1"/>
    <col min="12" max="14" width="15.85546875" style="25" customWidth="1"/>
    <col min="15" max="15" width="15.140625" style="25" hidden="1" customWidth="1"/>
    <col min="16" max="16" width="19.85546875" style="25" customWidth="1"/>
    <col min="17" max="18" width="17.42578125" style="25" customWidth="1"/>
    <col min="19" max="20" width="19.85546875" style="25" customWidth="1"/>
    <col min="21" max="21" width="18" style="25" customWidth="1"/>
    <col min="22" max="22" width="17.85546875" style="25" customWidth="1"/>
    <col min="23" max="23" width="19.5703125" style="25" customWidth="1"/>
    <col min="24" max="249" width="9.140625" style="25"/>
    <col min="250" max="250" width="13.28515625" style="25" customWidth="1"/>
    <col min="251" max="251" width="34.7109375" style="25" customWidth="1"/>
    <col min="252" max="252" width="26.85546875" style="25" customWidth="1"/>
    <col min="253" max="261" width="15.140625" style="25" customWidth="1"/>
    <col min="262" max="262" width="14" style="25" customWidth="1"/>
    <col min="263" max="263" width="13.42578125" style="25" customWidth="1"/>
    <col min="264" max="265" width="15" style="25" customWidth="1"/>
    <col min="266" max="266" width="16.5703125" style="25" customWidth="1"/>
    <col min="267" max="270" width="18.7109375" style="25" customWidth="1"/>
    <col min="271" max="505" width="9.140625" style="25"/>
    <col min="506" max="506" width="13.28515625" style="25" customWidth="1"/>
    <col min="507" max="507" width="34.7109375" style="25" customWidth="1"/>
    <col min="508" max="508" width="26.85546875" style="25" customWidth="1"/>
    <col min="509" max="517" width="15.140625" style="25" customWidth="1"/>
    <col min="518" max="518" width="14" style="25" customWidth="1"/>
    <col min="519" max="519" width="13.42578125" style="25" customWidth="1"/>
    <col min="520" max="521" width="15" style="25" customWidth="1"/>
    <col min="522" max="522" width="16.5703125" style="25" customWidth="1"/>
    <col min="523" max="526" width="18.7109375" style="25" customWidth="1"/>
    <col min="527" max="761" width="9.140625" style="25"/>
    <col min="762" max="762" width="13.28515625" style="25" customWidth="1"/>
    <col min="763" max="763" width="34.7109375" style="25" customWidth="1"/>
    <col min="764" max="764" width="26.85546875" style="25" customWidth="1"/>
    <col min="765" max="773" width="15.140625" style="25" customWidth="1"/>
    <col min="774" max="774" width="14" style="25" customWidth="1"/>
    <col min="775" max="775" width="13.42578125" style="25" customWidth="1"/>
    <col min="776" max="777" width="15" style="25" customWidth="1"/>
    <col min="778" max="778" width="16.5703125" style="25" customWidth="1"/>
    <col min="779" max="782" width="18.7109375" style="25" customWidth="1"/>
    <col min="783" max="1017" width="9.140625" style="25"/>
    <col min="1018" max="1018" width="13.28515625" style="25" customWidth="1"/>
    <col min="1019" max="1019" width="34.7109375" style="25" customWidth="1"/>
    <col min="1020" max="1020" width="26.85546875" style="25" customWidth="1"/>
    <col min="1021" max="1029" width="15.140625" style="25" customWidth="1"/>
    <col min="1030" max="1030" width="14" style="25" customWidth="1"/>
    <col min="1031" max="1031" width="13.42578125" style="25" customWidth="1"/>
    <col min="1032" max="1033" width="15" style="25" customWidth="1"/>
    <col min="1034" max="1034" width="16.5703125" style="25" customWidth="1"/>
    <col min="1035" max="1038" width="18.7109375" style="25" customWidth="1"/>
    <col min="1039" max="1273" width="9.140625" style="25"/>
    <col min="1274" max="1274" width="13.28515625" style="25" customWidth="1"/>
    <col min="1275" max="1275" width="34.7109375" style="25" customWidth="1"/>
    <col min="1276" max="1276" width="26.85546875" style="25" customWidth="1"/>
    <col min="1277" max="1285" width="15.140625" style="25" customWidth="1"/>
    <col min="1286" max="1286" width="14" style="25" customWidth="1"/>
    <col min="1287" max="1287" width="13.42578125" style="25" customWidth="1"/>
    <col min="1288" max="1289" width="15" style="25" customWidth="1"/>
    <col min="1290" max="1290" width="16.5703125" style="25" customWidth="1"/>
    <col min="1291" max="1294" width="18.7109375" style="25" customWidth="1"/>
    <col min="1295" max="1529" width="9.140625" style="25"/>
    <col min="1530" max="1530" width="13.28515625" style="25" customWidth="1"/>
    <col min="1531" max="1531" width="34.7109375" style="25" customWidth="1"/>
    <col min="1532" max="1532" width="26.85546875" style="25" customWidth="1"/>
    <col min="1533" max="1541" width="15.140625" style="25" customWidth="1"/>
    <col min="1542" max="1542" width="14" style="25" customWidth="1"/>
    <col min="1543" max="1543" width="13.42578125" style="25" customWidth="1"/>
    <col min="1544" max="1545" width="15" style="25" customWidth="1"/>
    <col min="1546" max="1546" width="16.5703125" style="25" customWidth="1"/>
    <col min="1547" max="1550" width="18.7109375" style="25" customWidth="1"/>
    <col min="1551" max="1785" width="9.140625" style="25"/>
    <col min="1786" max="1786" width="13.28515625" style="25" customWidth="1"/>
    <col min="1787" max="1787" width="34.7109375" style="25" customWidth="1"/>
    <col min="1788" max="1788" width="26.85546875" style="25" customWidth="1"/>
    <col min="1789" max="1797" width="15.140625" style="25" customWidth="1"/>
    <col min="1798" max="1798" width="14" style="25" customWidth="1"/>
    <col min="1799" max="1799" width="13.42578125" style="25" customWidth="1"/>
    <col min="1800" max="1801" width="15" style="25" customWidth="1"/>
    <col min="1802" max="1802" width="16.5703125" style="25" customWidth="1"/>
    <col min="1803" max="1806" width="18.7109375" style="25" customWidth="1"/>
    <col min="1807" max="2041" width="9.140625" style="25"/>
    <col min="2042" max="2042" width="13.28515625" style="25" customWidth="1"/>
    <col min="2043" max="2043" width="34.7109375" style="25" customWidth="1"/>
    <col min="2044" max="2044" width="26.85546875" style="25" customWidth="1"/>
    <col min="2045" max="2053" width="15.140625" style="25" customWidth="1"/>
    <col min="2054" max="2054" width="14" style="25" customWidth="1"/>
    <col min="2055" max="2055" width="13.42578125" style="25" customWidth="1"/>
    <col min="2056" max="2057" width="15" style="25" customWidth="1"/>
    <col min="2058" max="2058" width="16.5703125" style="25" customWidth="1"/>
    <col min="2059" max="2062" width="18.7109375" style="25" customWidth="1"/>
    <col min="2063" max="2297" width="9.140625" style="25"/>
    <col min="2298" max="2298" width="13.28515625" style="25" customWidth="1"/>
    <col min="2299" max="2299" width="34.7109375" style="25" customWidth="1"/>
    <col min="2300" max="2300" width="26.85546875" style="25" customWidth="1"/>
    <col min="2301" max="2309" width="15.140625" style="25" customWidth="1"/>
    <col min="2310" max="2310" width="14" style="25" customWidth="1"/>
    <col min="2311" max="2311" width="13.42578125" style="25" customWidth="1"/>
    <col min="2312" max="2313" width="15" style="25" customWidth="1"/>
    <col min="2314" max="2314" width="16.5703125" style="25" customWidth="1"/>
    <col min="2315" max="2318" width="18.7109375" style="25" customWidth="1"/>
    <col min="2319" max="2553" width="9.140625" style="25"/>
    <col min="2554" max="2554" width="13.28515625" style="25" customWidth="1"/>
    <col min="2555" max="2555" width="34.7109375" style="25" customWidth="1"/>
    <col min="2556" max="2556" width="26.85546875" style="25" customWidth="1"/>
    <col min="2557" max="2565" width="15.140625" style="25" customWidth="1"/>
    <col min="2566" max="2566" width="14" style="25" customWidth="1"/>
    <col min="2567" max="2567" width="13.42578125" style="25" customWidth="1"/>
    <col min="2568" max="2569" width="15" style="25" customWidth="1"/>
    <col min="2570" max="2570" width="16.5703125" style="25" customWidth="1"/>
    <col min="2571" max="2574" width="18.7109375" style="25" customWidth="1"/>
    <col min="2575" max="2809" width="9.140625" style="25"/>
    <col min="2810" max="2810" width="13.28515625" style="25" customWidth="1"/>
    <col min="2811" max="2811" width="34.7109375" style="25" customWidth="1"/>
    <col min="2812" max="2812" width="26.85546875" style="25" customWidth="1"/>
    <col min="2813" max="2821" width="15.140625" style="25" customWidth="1"/>
    <col min="2822" max="2822" width="14" style="25" customWidth="1"/>
    <col min="2823" max="2823" width="13.42578125" style="25" customWidth="1"/>
    <col min="2824" max="2825" width="15" style="25" customWidth="1"/>
    <col min="2826" max="2826" width="16.5703125" style="25" customWidth="1"/>
    <col min="2827" max="2830" width="18.7109375" style="25" customWidth="1"/>
    <col min="2831" max="3065" width="9.140625" style="25"/>
    <col min="3066" max="3066" width="13.28515625" style="25" customWidth="1"/>
    <col min="3067" max="3067" width="34.7109375" style="25" customWidth="1"/>
    <col min="3068" max="3068" width="26.85546875" style="25" customWidth="1"/>
    <col min="3069" max="3077" width="15.140625" style="25" customWidth="1"/>
    <col min="3078" max="3078" width="14" style="25" customWidth="1"/>
    <col min="3079" max="3079" width="13.42578125" style="25" customWidth="1"/>
    <col min="3080" max="3081" width="15" style="25" customWidth="1"/>
    <col min="3082" max="3082" width="16.5703125" style="25" customWidth="1"/>
    <col min="3083" max="3086" width="18.7109375" style="25" customWidth="1"/>
    <col min="3087" max="3321" width="9.140625" style="25"/>
    <col min="3322" max="3322" width="13.28515625" style="25" customWidth="1"/>
    <col min="3323" max="3323" width="34.7109375" style="25" customWidth="1"/>
    <col min="3324" max="3324" width="26.85546875" style="25" customWidth="1"/>
    <col min="3325" max="3333" width="15.140625" style="25" customWidth="1"/>
    <col min="3334" max="3334" width="14" style="25" customWidth="1"/>
    <col min="3335" max="3335" width="13.42578125" style="25" customWidth="1"/>
    <col min="3336" max="3337" width="15" style="25" customWidth="1"/>
    <col min="3338" max="3338" width="16.5703125" style="25" customWidth="1"/>
    <col min="3339" max="3342" width="18.7109375" style="25" customWidth="1"/>
    <col min="3343" max="3577" width="9.140625" style="25"/>
    <col min="3578" max="3578" width="13.28515625" style="25" customWidth="1"/>
    <col min="3579" max="3579" width="34.7109375" style="25" customWidth="1"/>
    <col min="3580" max="3580" width="26.85546875" style="25" customWidth="1"/>
    <col min="3581" max="3589" width="15.140625" style="25" customWidth="1"/>
    <col min="3590" max="3590" width="14" style="25" customWidth="1"/>
    <col min="3591" max="3591" width="13.42578125" style="25" customWidth="1"/>
    <col min="3592" max="3593" width="15" style="25" customWidth="1"/>
    <col min="3594" max="3594" width="16.5703125" style="25" customWidth="1"/>
    <col min="3595" max="3598" width="18.7109375" style="25" customWidth="1"/>
    <col min="3599" max="3833" width="9.140625" style="25"/>
    <col min="3834" max="3834" width="13.28515625" style="25" customWidth="1"/>
    <col min="3835" max="3835" width="34.7109375" style="25" customWidth="1"/>
    <col min="3836" max="3836" width="26.85546875" style="25" customWidth="1"/>
    <col min="3837" max="3845" width="15.140625" style="25" customWidth="1"/>
    <col min="3846" max="3846" width="14" style="25" customWidth="1"/>
    <col min="3847" max="3847" width="13.42578125" style="25" customWidth="1"/>
    <col min="3848" max="3849" width="15" style="25" customWidth="1"/>
    <col min="3850" max="3850" width="16.5703125" style="25" customWidth="1"/>
    <col min="3851" max="3854" width="18.7109375" style="25" customWidth="1"/>
    <col min="3855" max="4089" width="9.140625" style="25"/>
    <col min="4090" max="4090" width="13.28515625" style="25" customWidth="1"/>
    <col min="4091" max="4091" width="34.7109375" style="25" customWidth="1"/>
    <col min="4092" max="4092" width="26.85546875" style="25" customWidth="1"/>
    <col min="4093" max="4101" width="15.140625" style="25" customWidth="1"/>
    <col min="4102" max="4102" width="14" style="25" customWidth="1"/>
    <col min="4103" max="4103" width="13.42578125" style="25" customWidth="1"/>
    <col min="4104" max="4105" width="15" style="25" customWidth="1"/>
    <col min="4106" max="4106" width="16.5703125" style="25" customWidth="1"/>
    <col min="4107" max="4110" width="18.7109375" style="25" customWidth="1"/>
    <col min="4111" max="4345" width="9.140625" style="25"/>
    <col min="4346" max="4346" width="13.28515625" style="25" customWidth="1"/>
    <col min="4347" max="4347" width="34.7109375" style="25" customWidth="1"/>
    <col min="4348" max="4348" width="26.85546875" style="25" customWidth="1"/>
    <col min="4349" max="4357" width="15.140625" style="25" customWidth="1"/>
    <col min="4358" max="4358" width="14" style="25" customWidth="1"/>
    <col min="4359" max="4359" width="13.42578125" style="25" customWidth="1"/>
    <col min="4360" max="4361" width="15" style="25" customWidth="1"/>
    <col min="4362" max="4362" width="16.5703125" style="25" customWidth="1"/>
    <col min="4363" max="4366" width="18.7109375" style="25" customWidth="1"/>
    <col min="4367" max="4601" width="9.140625" style="25"/>
    <col min="4602" max="4602" width="13.28515625" style="25" customWidth="1"/>
    <col min="4603" max="4603" width="34.7109375" style="25" customWidth="1"/>
    <col min="4604" max="4604" width="26.85546875" style="25" customWidth="1"/>
    <col min="4605" max="4613" width="15.140625" style="25" customWidth="1"/>
    <col min="4614" max="4614" width="14" style="25" customWidth="1"/>
    <col min="4615" max="4615" width="13.42578125" style="25" customWidth="1"/>
    <col min="4616" max="4617" width="15" style="25" customWidth="1"/>
    <col min="4618" max="4618" width="16.5703125" style="25" customWidth="1"/>
    <col min="4619" max="4622" width="18.7109375" style="25" customWidth="1"/>
    <col min="4623" max="4857" width="9.140625" style="25"/>
    <col min="4858" max="4858" width="13.28515625" style="25" customWidth="1"/>
    <col min="4859" max="4859" width="34.7109375" style="25" customWidth="1"/>
    <col min="4860" max="4860" width="26.85546875" style="25" customWidth="1"/>
    <col min="4861" max="4869" width="15.140625" style="25" customWidth="1"/>
    <col min="4870" max="4870" width="14" style="25" customWidth="1"/>
    <col min="4871" max="4871" width="13.42578125" style="25" customWidth="1"/>
    <col min="4872" max="4873" width="15" style="25" customWidth="1"/>
    <col min="4874" max="4874" width="16.5703125" style="25" customWidth="1"/>
    <col min="4875" max="4878" width="18.7109375" style="25" customWidth="1"/>
    <col min="4879" max="5113" width="9.140625" style="25"/>
    <col min="5114" max="5114" width="13.28515625" style="25" customWidth="1"/>
    <col min="5115" max="5115" width="34.7109375" style="25" customWidth="1"/>
    <col min="5116" max="5116" width="26.85546875" style="25" customWidth="1"/>
    <col min="5117" max="5125" width="15.140625" style="25" customWidth="1"/>
    <col min="5126" max="5126" width="14" style="25" customWidth="1"/>
    <col min="5127" max="5127" width="13.42578125" style="25" customWidth="1"/>
    <col min="5128" max="5129" width="15" style="25" customWidth="1"/>
    <col min="5130" max="5130" width="16.5703125" style="25" customWidth="1"/>
    <col min="5131" max="5134" width="18.7109375" style="25" customWidth="1"/>
    <col min="5135" max="5369" width="9.140625" style="25"/>
    <col min="5370" max="5370" width="13.28515625" style="25" customWidth="1"/>
    <col min="5371" max="5371" width="34.7109375" style="25" customWidth="1"/>
    <col min="5372" max="5372" width="26.85546875" style="25" customWidth="1"/>
    <col min="5373" max="5381" width="15.140625" style="25" customWidth="1"/>
    <col min="5382" max="5382" width="14" style="25" customWidth="1"/>
    <col min="5383" max="5383" width="13.42578125" style="25" customWidth="1"/>
    <col min="5384" max="5385" width="15" style="25" customWidth="1"/>
    <col min="5386" max="5386" width="16.5703125" style="25" customWidth="1"/>
    <col min="5387" max="5390" width="18.7109375" style="25" customWidth="1"/>
    <col min="5391" max="5625" width="9.140625" style="25"/>
    <col min="5626" max="5626" width="13.28515625" style="25" customWidth="1"/>
    <col min="5627" max="5627" width="34.7109375" style="25" customWidth="1"/>
    <col min="5628" max="5628" width="26.85546875" style="25" customWidth="1"/>
    <col min="5629" max="5637" width="15.140625" style="25" customWidth="1"/>
    <col min="5638" max="5638" width="14" style="25" customWidth="1"/>
    <col min="5639" max="5639" width="13.42578125" style="25" customWidth="1"/>
    <col min="5640" max="5641" width="15" style="25" customWidth="1"/>
    <col min="5642" max="5642" width="16.5703125" style="25" customWidth="1"/>
    <col min="5643" max="5646" width="18.7109375" style="25" customWidth="1"/>
    <col min="5647" max="5881" width="9.140625" style="25"/>
    <col min="5882" max="5882" width="13.28515625" style="25" customWidth="1"/>
    <col min="5883" max="5883" width="34.7109375" style="25" customWidth="1"/>
    <col min="5884" max="5884" width="26.85546875" style="25" customWidth="1"/>
    <col min="5885" max="5893" width="15.140625" style="25" customWidth="1"/>
    <col min="5894" max="5894" width="14" style="25" customWidth="1"/>
    <col min="5895" max="5895" width="13.42578125" style="25" customWidth="1"/>
    <col min="5896" max="5897" width="15" style="25" customWidth="1"/>
    <col min="5898" max="5898" width="16.5703125" style="25" customWidth="1"/>
    <col min="5899" max="5902" width="18.7109375" style="25" customWidth="1"/>
    <col min="5903" max="6137" width="9.140625" style="25"/>
    <col min="6138" max="6138" width="13.28515625" style="25" customWidth="1"/>
    <col min="6139" max="6139" width="34.7109375" style="25" customWidth="1"/>
    <col min="6140" max="6140" width="26.85546875" style="25" customWidth="1"/>
    <col min="6141" max="6149" width="15.140625" style="25" customWidth="1"/>
    <col min="6150" max="6150" width="14" style="25" customWidth="1"/>
    <col min="6151" max="6151" width="13.42578125" style="25" customWidth="1"/>
    <col min="6152" max="6153" width="15" style="25" customWidth="1"/>
    <col min="6154" max="6154" width="16.5703125" style="25" customWidth="1"/>
    <col min="6155" max="6158" width="18.7109375" style="25" customWidth="1"/>
    <col min="6159" max="6393" width="9.140625" style="25"/>
    <col min="6394" max="6394" width="13.28515625" style="25" customWidth="1"/>
    <col min="6395" max="6395" width="34.7109375" style="25" customWidth="1"/>
    <col min="6396" max="6396" width="26.85546875" style="25" customWidth="1"/>
    <col min="6397" max="6405" width="15.140625" style="25" customWidth="1"/>
    <col min="6406" max="6406" width="14" style="25" customWidth="1"/>
    <col min="6407" max="6407" width="13.42578125" style="25" customWidth="1"/>
    <col min="6408" max="6409" width="15" style="25" customWidth="1"/>
    <col min="6410" max="6410" width="16.5703125" style="25" customWidth="1"/>
    <col min="6411" max="6414" width="18.7109375" style="25" customWidth="1"/>
    <col min="6415" max="6649" width="9.140625" style="25"/>
    <col min="6650" max="6650" width="13.28515625" style="25" customWidth="1"/>
    <col min="6651" max="6651" width="34.7109375" style="25" customWidth="1"/>
    <col min="6652" max="6652" width="26.85546875" style="25" customWidth="1"/>
    <col min="6653" max="6661" width="15.140625" style="25" customWidth="1"/>
    <col min="6662" max="6662" width="14" style="25" customWidth="1"/>
    <col min="6663" max="6663" width="13.42578125" style="25" customWidth="1"/>
    <col min="6664" max="6665" width="15" style="25" customWidth="1"/>
    <col min="6666" max="6666" width="16.5703125" style="25" customWidth="1"/>
    <col min="6667" max="6670" width="18.7109375" style="25" customWidth="1"/>
    <col min="6671" max="6905" width="9.140625" style="25"/>
    <col min="6906" max="6906" width="13.28515625" style="25" customWidth="1"/>
    <col min="6907" max="6907" width="34.7109375" style="25" customWidth="1"/>
    <col min="6908" max="6908" width="26.85546875" style="25" customWidth="1"/>
    <col min="6909" max="6917" width="15.140625" style="25" customWidth="1"/>
    <col min="6918" max="6918" width="14" style="25" customWidth="1"/>
    <col min="6919" max="6919" width="13.42578125" style="25" customWidth="1"/>
    <col min="6920" max="6921" width="15" style="25" customWidth="1"/>
    <col min="6922" max="6922" width="16.5703125" style="25" customWidth="1"/>
    <col min="6923" max="6926" width="18.7109375" style="25" customWidth="1"/>
    <col min="6927" max="7161" width="9.140625" style="25"/>
    <col min="7162" max="7162" width="13.28515625" style="25" customWidth="1"/>
    <col min="7163" max="7163" width="34.7109375" style="25" customWidth="1"/>
    <col min="7164" max="7164" width="26.85546875" style="25" customWidth="1"/>
    <col min="7165" max="7173" width="15.140625" style="25" customWidth="1"/>
    <col min="7174" max="7174" width="14" style="25" customWidth="1"/>
    <col min="7175" max="7175" width="13.42578125" style="25" customWidth="1"/>
    <col min="7176" max="7177" width="15" style="25" customWidth="1"/>
    <col min="7178" max="7178" width="16.5703125" style="25" customWidth="1"/>
    <col min="7179" max="7182" width="18.7109375" style="25" customWidth="1"/>
    <col min="7183" max="7417" width="9.140625" style="25"/>
    <col min="7418" max="7418" width="13.28515625" style="25" customWidth="1"/>
    <col min="7419" max="7419" width="34.7109375" style="25" customWidth="1"/>
    <col min="7420" max="7420" width="26.85546875" style="25" customWidth="1"/>
    <col min="7421" max="7429" width="15.140625" style="25" customWidth="1"/>
    <col min="7430" max="7430" width="14" style="25" customWidth="1"/>
    <col min="7431" max="7431" width="13.42578125" style="25" customWidth="1"/>
    <col min="7432" max="7433" width="15" style="25" customWidth="1"/>
    <col min="7434" max="7434" width="16.5703125" style="25" customWidth="1"/>
    <col min="7435" max="7438" width="18.7109375" style="25" customWidth="1"/>
    <col min="7439" max="7673" width="9.140625" style="25"/>
    <col min="7674" max="7674" width="13.28515625" style="25" customWidth="1"/>
    <col min="7675" max="7675" width="34.7109375" style="25" customWidth="1"/>
    <col min="7676" max="7676" width="26.85546875" style="25" customWidth="1"/>
    <col min="7677" max="7685" width="15.140625" style="25" customWidth="1"/>
    <col min="7686" max="7686" width="14" style="25" customWidth="1"/>
    <col min="7687" max="7687" width="13.42578125" style="25" customWidth="1"/>
    <col min="7688" max="7689" width="15" style="25" customWidth="1"/>
    <col min="7690" max="7690" width="16.5703125" style="25" customWidth="1"/>
    <col min="7691" max="7694" width="18.7109375" style="25" customWidth="1"/>
    <col min="7695" max="7929" width="9.140625" style="25"/>
    <col min="7930" max="7930" width="13.28515625" style="25" customWidth="1"/>
    <col min="7931" max="7931" width="34.7109375" style="25" customWidth="1"/>
    <col min="7932" max="7932" width="26.85546875" style="25" customWidth="1"/>
    <col min="7933" max="7941" width="15.140625" style="25" customWidth="1"/>
    <col min="7942" max="7942" width="14" style="25" customWidth="1"/>
    <col min="7943" max="7943" width="13.42578125" style="25" customWidth="1"/>
    <col min="7944" max="7945" width="15" style="25" customWidth="1"/>
    <col min="7946" max="7946" width="16.5703125" style="25" customWidth="1"/>
    <col min="7947" max="7950" width="18.7109375" style="25" customWidth="1"/>
    <col min="7951" max="8185" width="9.140625" style="25"/>
    <col min="8186" max="8186" width="13.28515625" style="25" customWidth="1"/>
    <col min="8187" max="8187" width="34.7109375" style="25" customWidth="1"/>
    <col min="8188" max="8188" width="26.85546875" style="25" customWidth="1"/>
    <col min="8189" max="8197" width="15.140625" style="25" customWidth="1"/>
    <col min="8198" max="8198" width="14" style="25" customWidth="1"/>
    <col min="8199" max="8199" width="13.42578125" style="25" customWidth="1"/>
    <col min="8200" max="8201" width="15" style="25" customWidth="1"/>
    <col min="8202" max="8202" width="16.5703125" style="25" customWidth="1"/>
    <col min="8203" max="8206" width="18.7109375" style="25" customWidth="1"/>
    <col min="8207" max="8441" width="9.140625" style="25"/>
    <col min="8442" max="8442" width="13.28515625" style="25" customWidth="1"/>
    <col min="8443" max="8443" width="34.7109375" style="25" customWidth="1"/>
    <col min="8444" max="8444" width="26.85546875" style="25" customWidth="1"/>
    <col min="8445" max="8453" width="15.140625" style="25" customWidth="1"/>
    <col min="8454" max="8454" width="14" style="25" customWidth="1"/>
    <col min="8455" max="8455" width="13.42578125" style="25" customWidth="1"/>
    <col min="8456" max="8457" width="15" style="25" customWidth="1"/>
    <col min="8458" max="8458" width="16.5703125" style="25" customWidth="1"/>
    <col min="8459" max="8462" width="18.7109375" style="25" customWidth="1"/>
    <col min="8463" max="8697" width="9.140625" style="25"/>
    <col min="8698" max="8698" width="13.28515625" style="25" customWidth="1"/>
    <col min="8699" max="8699" width="34.7109375" style="25" customWidth="1"/>
    <col min="8700" max="8700" width="26.85546875" style="25" customWidth="1"/>
    <col min="8701" max="8709" width="15.140625" style="25" customWidth="1"/>
    <col min="8710" max="8710" width="14" style="25" customWidth="1"/>
    <col min="8711" max="8711" width="13.42578125" style="25" customWidth="1"/>
    <col min="8712" max="8713" width="15" style="25" customWidth="1"/>
    <col min="8714" max="8714" width="16.5703125" style="25" customWidth="1"/>
    <col min="8715" max="8718" width="18.7109375" style="25" customWidth="1"/>
    <col min="8719" max="8953" width="9.140625" style="25"/>
    <col min="8954" max="8954" width="13.28515625" style="25" customWidth="1"/>
    <col min="8955" max="8955" width="34.7109375" style="25" customWidth="1"/>
    <col min="8956" max="8956" width="26.85546875" style="25" customWidth="1"/>
    <col min="8957" max="8965" width="15.140625" style="25" customWidth="1"/>
    <col min="8966" max="8966" width="14" style="25" customWidth="1"/>
    <col min="8967" max="8967" width="13.42578125" style="25" customWidth="1"/>
    <col min="8968" max="8969" width="15" style="25" customWidth="1"/>
    <col min="8970" max="8970" width="16.5703125" style="25" customWidth="1"/>
    <col min="8971" max="8974" width="18.7109375" style="25" customWidth="1"/>
    <col min="8975" max="9209" width="9.140625" style="25"/>
    <col min="9210" max="9210" width="13.28515625" style="25" customWidth="1"/>
    <col min="9211" max="9211" width="34.7109375" style="25" customWidth="1"/>
    <col min="9212" max="9212" width="26.85546875" style="25" customWidth="1"/>
    <col min="9213" max="9221" width="15.140625" style="25" customWidth="1"/>
    <col min="9222" max="9222" width="14" style="25" customWidth="1"/>
    <col min="9223" max="9223" width="13.42578125" style="25" customWidth="1"/>
    <col min="9224" max="9225" width="15" style="25" customWidth="1"/>
    <col min="9226" max="9226" width="16.5703125" style="25" customWidth="1"/>
    <col min="9227" max="9230" width="18.7109375" style="25" customWidth="1"/>
    <col min="9231" max="9465" width="9.140625" style="25"/>
    <col min="9466" max="9466" width="13.28515625" style="25" customWidth="1"/>
    <col min="9467" max="9467" width="34.7109375" style="25" customWidth="1"/>
    <col min="9468" max="9468" width="26.85546875" style="25" customWidth="1"/>
    <col min="9469" max="9477" width="15.140625" style="25" customWidth="1"/>
    <col min="9478" max="9478" width="14" style="25" customWidth="1"/>
    <col min="9479" max="9479" width="13.42578125" style="25" customWidth="1"/>
    <col min="9480" max="9481" width="15" style="25" customWidth="1"/>
    <col min="9482" max="9482" width="16.5703125" style="25" customWidth="1"/>
    <col min="9483" max="9486" width="18.7109375" style="25" customWidth="1"/>
    <col min="9487" max="9721" width="9.140625" style="25"/>
    <col min="9722" max="9722" width="13.28515625" style="25" customWidth="1"/>
    <col min="9723" max="9723" width="34.7109375" style="25" customWidth="1"/>
    <col min="9724" max="9724" width="26.85546875" style="25" customWidth="1"/>
    <col min="9725" max="9733" width="15.140625" style="25" customWidth="1"/>
    <col min="9734" max="9734" width="14" style="25" customWidth="1"/>
    <col min="9735" max="9735" width="13.42578125" style="25" customWidth="1"/>
    <col min="9736" max="9737" width="15" style="25" customWidth="1"/>
    <col min="9738" max="9738" width="16.5703125" style="25" customWidth="1"/>
    <col min="9739" max="9742" width="18.7109375" style="25" customWidth="1"/>
    <col min="9743" max="9977" width="9.140625" style="25"/>
    <col min="9978" max="9978" width="13.28515625" style="25" customWidth="1"/>
    <col min="9979" max="9979" width="34.7109375" style="25" customWidth="1"/>
    <col min="9980" max="9980" width="26.85546875" style="25" customWidth="1"/>
    <col min="9981" max="9989" width="15.140625" style="25" customWidth="1"/>
    <col min="9990" max="9990" width="14" style="25" customWidth="1"/>
    <col min="9991" max="9991" width="13.42578125" style="25" customWidth="1"/>
    <col min="9992" max="9993" width="15" style="25" customWidth="1"/>
    <col min="9994" max="9994" width="16.5703125" style="25" customWidth="1"/>
    <col min="9995" max="9998" width="18.7109375" style="25" customWidth="1"/>
    <col min="9999" max="10233" width="9.140625" style="25"/>
    <col min="10234" max="10234" width="13.28515625" style="25" customWidth="1"/>
    <col min="10235" max="10235" width="34.7109375" style="25" customWidth="1"/>
    <col min="10236" max="10236" width="26.85546875" style="25" customWidth="1"/>
    <col min="10237" max="10245" width="15.140625" style="25" customWidth="1"/>
    <col min="10246" max="10246" width="14" style="25" customWidth="1"/>
    <col min="10247" max="10247" width="13.42578125" style="25" customWidth="1"/>
    <col min="10248" max="10249" width="15" style="25" customWidth="1"/>
    <col min="10250" max="10250" width="16.5703125" style="25" customWidth="1"/>
    <col min="10251" max="10254" width="18.7109375" style="25" customWidth="1"/>
    <col min="10255" max="10489" width="9.140625" style="25"/>
    <col min="10490" max="10490" width="13.28515625" style="25" customWidth="1"/>
    <col min="10491" max="10491" width="34.7109375" style="25" customWidth="1"/>
    <col min="10492" max="10492" width="26.85546875" style="25" customWidth="1"/>
    <col min="10493" max="10501" width="15.140625" style="25" customWidth="1"/>
    <col min="10502" max="10502" width="14" style="25" customWidth="1"/>
    <col min="10503" max="10503" width="13.42578125" style="25" customWidth="1"/>
    <col min="10504" max="10505" width="15" style="25" customWidth="1"/>
    <col min="10506" max="10506" width="16.5703125" style="25" customWidth="1"/>
    <col min="10507" max="10510" width="18.7109375" style="25" customWidth="1"/>
    <col min="10511" max="10745" width="9.140625" style="25"/>
    <col min="10746" max="10746" width="13.28515625" style="25" customWidth="1"/>
    <col min="10747" max="10747" width="34.7109375" style="25" customWidth="1"/>
    <col min="10748" max="10748" width="26.85546875" style="25" customWidth="1"/>
    <col min="10749" max="10757" width="15.140625" style="25" customWidth="1"/>
    <col min="10758" max="10758" width="14" style="25" customWidth="1"/>
    <col min="10759" max="10759" width="13.42578125" style="25" customWidth="1"/>
    <col min="10760" max="10761" width="15" style="25" customWidth="1"/>
    <col min="10762" max="10762" width="16.5703125" style="25" customWidth="1"/>
    <col min="10763" max="10766" width="18.7109375" style="25" customWidth="1"/>
    <col min="10767" max="11001" width="9.140625" style="25"/>
    <col min="11002" max="11002" width="13.28515625" style="25" customWidth="1"/>
    <col min="11003" max="11003" width="34.7109375" style="25" customWidth="1"/>
    <col min="11004" max="11004" width="26.85546875" style="25" customWidth="1"/>
    <col min="11005" max="11013" width="15.140625" style="25" customWidth="1"/>
    <col min="11014" max="11014" width="14" style="25" customWidth="1"/>
    <col min="11015" max="11015" width="13.42578125" style="25" customWidth="1"/>
    <col min="11016" max="11017" width="15" style="25" customWidth="1"/>
    <col min="11018" max="11018" width="16.5703125" style="25" customWidth="1"/>
    <col min="11019" max="11022" width="18.7109375" style="25" customWidth="1"/>
    <col min="11023" max="11257" width="9.140625" style="25"/>
    <col min="11258" max="11258" width="13.28515625" style="25" customWidth="1"/>
    <col min="11259" max="11259" width="34.7109375" style="25" customWidth="1"/>
    <col min="11260" max="11260" width="26.85546875" style="25" customWidth="1"/>
    <col min="11261" max="11269" width="15.140625" style="25" customWidth="1"/>
    <col min="11270" max="11270" width="14" style="25" customWidth="1"/>
    <col min="11271" max="11271" width="13.42578125" style="25" customWidth="1"/>
    <col min="11272" max="11273" width="15" style="25" customWidth="1"/>
    <col min="11274" max="11274" width="16.5703125" style="25" customWidth="1"/>
    <col min="11275" max="11278" width="18.7109375" style="25" customWidth="1"/>
    <col min="11279" max="11513" width="9.140625" style="25"/>
    <col min="11514" max="11514" width="13.28515625" style="25" customWidth="1"/>
    <col min="11515" max="11515" width="34.7109375" style="25" customWidth="1"/>
    <col min="11516" max="11516" width="26.85546875" style="25" customWidth="1"/>
    <col min="11517" max="11525" width="15.140625" style="25" customWidth="1"/>
    <col min="11526" max="11526" width="14" style="25" customWidth="1"/>
    <col min="11527" max="11527" width="13.42578125" style="25" customWidth="1"/>
    <col min="11528" max="11529" width="15" style="25" customWidth="1"/>
    <col min="11530" max="11530" width="16.5703125" style="25" customWidth="1"/>
    <col min="11531" max="11534" width="18.7109375" style="25" customWidth="1"/>
    <col min="11535" max="11769" width="9.140625" style="25"/>
    <col min="11770" max="11770" width="13.28515625" style="25" customWidth="1"/>
    <col min="11771" max="11771" width="34.7109375" style="25" customWidth="1"/>
    <col min="11772" max="11772" width="26.85546875" style="25" customWidth="1"/>
    <col min="11773" max="11781" width="15.140625" style="25" customWidth="1"/>
    <col min="11782" max="11782" width="14" style="25" customWidth="1"/>
    <col min="11783" max="11783" width="13.42578125" style="25" customWidth="1"/>
    <col min="11784" max="11785" width="15" style="25" customWidth="1"/>
    <col min="11786" max="11786" width="16.5703125" style="25" customWidth="1"/>
    <col min="11787" max="11790" width="18.7109375" style="25" customWidth="1"/>
    <col min="11791" max="12025" width="9.140625" style="25"/>
    <col min="12026" max="12026" width="13.28515625" style="25" customWidth="1"/>
    <col min="12027" max="12027" width="34.7109375" style="25" customWidth="1"/>
    <col min="12028" max="12028" width="26.85546875" style="25" customWidth="1"/>
    <col min="12029" max="12037" width="15.140625" style="25" customWidth="1"/>
    <col min="12038" max="12038" width="14" style="25" customWidth="1"/>
    <col min="12039" max="12039" width="13.42578125" style="25" customWidth="1"/>
    <col min="12040" max="12041" width="15" style="25" customWidth="1"/>
    <col min="12042" max="12042" width="16.5703125" style="25" customWidth="1"/>
    <col min="12043" max="12046" width="18.7109375" style="25" customWidth="1"/>
    <col min="12047" max="12281" width="9.140625" style="25"/>
    <col min="12282" max="12282" width="13.28515625" style="25" customWidth="1"/>
    <col min="12283" max="12283" width="34.7109375" style="25" customWidth="1"/>
    <col min="12284" max="12284" width="26.85546875" style="25" customWidth="1"/>
    <col min="12285" max="12293" width="15.140625" style="25" customWidth="1"/>
    <col min="12294" max="12294" width="14" style="25" customWidth="1"/>
    <col min="12295" max="12295" width="13.42578125" style="25" customWidth="1"/>
    <col min="12296" max="12297" width="15" style="25" customWidth="1"/>
    <col min="12298" max="12298" width="16.5703125" style="25" customWidth="1"/>
    <col min="12299" max="12302" width="18.7109375" style="25" customWidth="1"/>
    <col min="12303" max="12537" width="9.140625" style="25"/>
    <col min="12538" max="12538" width="13.28515625" style="25" customWidth="1"/>
    <col min="12539" max="12539" width="34.7109375" style="25" customWidth="1"/>
    <col min="12540" max="12540" width="26.85546875" style="25" customWidth="1"/>
    <col min="12541" max="12549" width="15.140625" style="25" customWidth="1"/>
    <col min="12550" max="12550" width="14" style="25" customWidth="1"/>
    <col min="12551" max="12551" width="13.42578125" style="25" customWidth="1"/>
    <col min="12552" max="12553" width="15" style="25" customWidth="1"/>
    <col min="12554" max="12554" width="16.5703125" style="25" customWidth="1"/>
    <col min="12555" max="12558" width="18.7109375" style="25" customWidth="1"/>
    <col min="12559" max="12793" width="9.140625" style="25"/>
    <col min="12794" max="12794" width="13.28515625" style="25" customWidth="1"/>
    <col min="12795" max="12795" width="34.7109375" style="25" customWidth="1"/>
    <col min="12796" max="12796" width="26.85546875" style="25" customWidth="1"/>
    <col min="12797" max="12805" width="15.140625" style="25" customWidth="1"/>
    <col min="12806" max="12806" width="14" style="25" customWidth="1"/>
    <col min="12807" max="12807" width="13.42578125" style="25" customWidth="1"/>
    <col min="12808" max="12809" width="15" style="25" customWidth="1"/>
    <col min="12810" max="12810" width="16.5703125" style="25" customWidth="1"/>
    <col min="12811" max="12814" width="18.7109375" style="25" customWidth="1"/>
    <col min="12815" max="13049" width="9.140625" style="25"/>
    <col min="13050" max="13050" width="13.28515625" style="25" customWidth="1"/>
    <col min="13051" max="13051" width="34.7109375" style="25" customWidth="1"/>
    <col min="13052" max="13052" width="26.85546875" style="25" customWidth="1"/>
    <col min="13053" max="13061" width="15.140625" style="25" customWidth="1"/>
    <col min="13062" max="13062" width="14" style="25" customWidth="1"/>
    <col min="13063" max="13063" width="13.42578125" style="25" customWidth="1"/>
    <col min="13064" max="13065" width="15" style="25" customWidth="1"/>
    <col min="13066" max="13066" width="16.5703125" style="25" customWidth="1"/>
    <col min="13067" max="13070" width="18.7109375" style="25" customWidth="1"/>
    <col min="13071" max="13305" width="9.140625" style="25"/>
    <col min="13306" max="13306" width="13.28515625" style="25" customWidth="1"/>
    <col min="13307" max="13307" width="34.7109375" style="25" customWidth="1"/>
    <col min="13308" max="13308" width="26.85546875" style="25" customWidth="1"/>
    <col min="13309" max="13317" width="15.140625" style="25" customWidth="1"/>
    <col min="13318" max="13318" width="14" style="25" customWidth="1"/>
    <col min="13319" max="13319" width="13.42578125" style="25" customWidth="1"/>
    <col min="13320" max="13321" width="15" style="25" customWidth="1"/>
    <col min="13322" max="13322" width="16.5703125" style="25" customWidth="1"/>
    <col min="13323" max="13326" width="18.7109375" style="25" customWidth="1"/>
    <col min="13327" max="13561" width="9.140625" style="25"/>
    <col min="13562" max="13562" width="13.28515625" style="25" customWidth="1"/>
    <col min="13563" max="13563" width="34.7109375" style="25" customWidth="1"/>
    <col min="13564" max="13564" width="26.85546875" style="25" customWidth="1"/>
    <col min="13565" max="13573" width="15.140625" style="25" customWidth="1"/>
    <col min="13574" max="13574" width="14" style="25" customWidth="1"/>
    <col min="13575" max="13575" width="13.42578125" style="25" customWidth="1"/>
    <col min="13576" max="13577" width="15" style="25" customWidth="1"/>
    <col min="13578" max="13578" width="16.5703125" style="25" customWidth="1"/>
    <col min="13579" max="13582" width="18.7109375" style="25" customWidth="1"/>
    <col min="13583" max="13817" width="9.140625" style="25"/>
    <col min="13818" max="13818" width="13.28515625" style="25" customWidth="1"/>
    <col min="13819" max="13819" width="34.7109375" style="25" customWidth="1"/>
    <col min="13820" max="13820" width="26.85546875" style="25" customWidth="1"/>
    <col min="13821" max="13829" width="15.140625" style="25" customWidth="1"/>
    <col min="13830" max="13830" width="14" style="25" customWidth="1"/>
    <col min="13831" max="13831" width="13.42578125" style="25" customWidth="1"/>
    <col min="13832" max="13833" width="15" style="25" customWidth="1"/>
    <col min="13834" max="13834" width="16.5703125" style="25" customWidth="1"/>
    <col min="13835" max="13838" width="18.7109375" style="25" customWidth="1"/>
    <col min="13839" max="14073" width="9.140625" style="25"/>
    <col min="14074" max="14074" width="13.28515625" style="25" customWidth="1"/>
    <col min="14075" max="14075" width="34.7109375" style="25" customWidth="1"/>
    <col min="14076" max="14076" width="26.85546875" style="25" customWidth="1"/>
    <col min="14077" max="14085" width="15.140625" style="25" customWidth="1"/>
    <col min="14086" max="14086" width="14" style="25" customWidth="1"/>
    <col min="14087" max="14087" width="13.42578125" style="25" customWidth="1"/>
    <col min="14088" max="14089" width="15" style="25" customWidth="1"/>
    <col min="14090" max="14090" width="16.5703125" style="25" customWidth="1"/>
    <col min="14091" max="14094" width="18.7109375" style="25" customWidth="1"/>
    <col min="14095" max="14329" width="9.140625" style="25"/>
    <col min="14330" max="14330" width="13.28515625" style="25" customWidth="1"/>
    <col min="14331" max="14331" width="34.7109375" style="25" customWidth="1"/>
    <col min="14332" max="14332" width="26.85546875" style="25" customWidth="1"/>
    <col min="14333" max="14341" width="15.140625" style="25" customWidth="1"/>
    <col min="14342" max="14342" width="14" style="25" customWidth="1"/>
    <col min="14343" max="14343" width="13.42578125" style="25" customWidth="1"/>
    <col min="14344" max="14345" width="15" style="25" customWidth="1"/>
    <col min="14346" max="14346" width="16.5703125" style="25" customWidth="1"/>
    <col min="14347" max="14350" width="18.7109375" style="25" customWidth="1"/>
    <col min="14351" max="14585" width="9.140625" style="25"/>
    <col min="14586" max="14586" width="13.28515625" style="25" customWidth="1"/>
    <col min="14587" max="14587" width="34.7109375" style="25" customWidth="1"/>
    <col min="14588" max="14588" width="26.85546875" style="25" customWidth="1"/>
    <col min="14589" max="14597" width="15.140625" style="25" customWidth="1"/>
    <col min="14598" max="14598" width="14" style="25" customWidth="1"/>
    <col min="14599" max="14599" width="13.42578125" style="25" customWidth="1"/>
    <col min="14600" max="14601" width="15" style="25" customWidth="1"/>
    <col min="14602" max="14602" width="16.5703125" style="25" customWidth="1"/>
    <col min="14603" max="14606" width="18.7109375" style="25" customWidth="1"/>
    <col min="14607" max="14841" width="9.140625" style="25"/>
    <col min="14842" max="14842" width="13.28515625" style="25" customWidth="1"/>
    <col min="14843" max="14843" width="34.7109375" style="25" customWidth="1"/>
    <col min="14844" max="14844" width="26.85546875" style="25" customWidth="1"/>
    <col min="14845" max="14853" width="15.140625" style="25" customWidth="1"/>
    <col min="14854" max="14854" width="14" style="25" customWidth="1"/>
    <col min="14855" max="14855" width="13.42578125" style="25" customWidth="1"/>
    <col min="14856" max="14857" width="15" style="25" customWidth="1"/>
    <col min="14858" max="14858" width="16.5703125" style="25" customWidth="1"/>
    <col min="14859" max="14862" width="18.7109375" style="25" customWidth="1"/>
    <col min="14863" max="15097" width="9.140625" style="25"/>
    <col min="15098" max="15098" width="13.28515625" style="25" customWidth="1"/>
    <col min="15099" max="15099" width="34.7109375" style="25" customWidth="1"/>
    <col min="15100" max="15100" width="26.85546875" style="25" customWidth="1"/>
    <col min="15101" max="15109" width="15.140625" style="25" customWidth="1"/>
    <col min="15110" max="15110" width="14" style="25" customWidth="1"/>
    <col min="15111" max="15111" width="13.42578125" style="25" customWidth="1"/>
    <col min="15112" max="15113" width="15" style="25" customWidth="1"/>
    <col min="15114" max="15114" width="16.5703125" style="25" customWidth="1"/>
    <col min="15115" max="15118" width="18.7109375" style="25" customWidth="1"/>
    <col min="15119" max="15353" width="9.140625" style="25"/>
    <col min="15354" max="15354" width="13.28515625" style="25" customWidth="1"/>
    <col min="15355" max="15355" width="34.7109375" style="25" customWidth="1"/>
    <col min="15356" max="15356" width="26.85546875" style="25" customWidth="1"/>
    <col min="15357" max="15365" width="15.140625" style="25" customWidth="1"/>
    <col min="15366" max="15366" width="14" style="25" customWidth="1"/>
    <col min="15367" max="15367" width="13.42578125" style="25" customWidth="1"/>
    <col min="15368" max="15369" width="15" style="25" customWidth="1"/>
    <col min="15370" max="15370" width="16.5703125" style="25" customWidth="1"/>
    <col min="15371" max="15374" width="18.7109375" style="25" customWidth="1"/>
    <col min="15375" max="15609" width="9.140625" style="25"/>
    <col min="15610" max="15610" width="13.28515625" style="25" customWidth="1"/>
    <col min="15611" max="15611" width="34.7109375" style="25" customWidth="1"/>
    <col min="15612" max="15612" width="26.85546875" style="25" customWidth="1"/>
    <col min="15613" max="15621" width="15.140625" style="25" customWidth="1"/>
    <col min="15622" max="15622" width="14" style="25" customWidth="1"/>
    <col min="15623" max="15623" width="13.42578125" style="25" customWidth="1"/>
    <col min="15624" max="15625" width="15" style="25" customWidth="1"/>
    <col min="15626" max="15626" width="16.5703125" style="25" customWidth="1"/>
    <col min="15627" max="15630" width="18.7109375" style="25" customWidth="1"/>
    <col min="15631" max="15865" width="9.140625" style="25"/>
    <col min="15866" max="15866" width="13.28515625" style="25" customWidth="1"/>
    <col min="15867" max="15867" width="34.7109375" style="25" customWidth="1"/>
    <col min="15868" max="15868" width="26.85546875" style="25" customWidth="1"/>
    <col min="15869" max="15877" width="15.140625" style="25" customWidth="1"/>
    <col min="15878" max="15878" width="14" style="25" customWidth="1"/>
    <col min="15879" max="15879" width="13.42578125" style="25" customWidth="1"/>
    <col min="15880" max="15881" width="15" style="25" customWidth="1"/>
    <col min="15882" max="15882" width="16.5703125" style="25" customWidth="1"/>
    <col min="15883" max="15886" width="18.7109375" style="25" customWidth="1"/>
    <col min="15887" max="16121" width="9.140625" style="25"/>
    <col min="16122" max="16122" width="13.28515625" style="25" customWidth="1"/>
    <col min="16123" max="16123" width="34.7109375" style="25" customWidth="1"/>
    <col min="16124" max="16124" width="26.85546875" style="25" customWidth="1"/>
    <col min="16125" max="16133" width="15.140625" style="25" customWidth="1"/>
    <col min="16134" max="16134" width="14" style="25" customWidth="1"/>
    <col min="16135" max="16135" width="13.42578125" style="25" customWidth="1"/>
    <col min="16136" max="16137" width="15" style="25" customWidth="1"/>
    <col min="16138" max="16138" width="16.5703125" style="25" customWidth="1"/>
    <col min="16139" max="16142" width="18.7109375" style="25" customWidth="1"/>
    <col min="16143" max="16384" width="9.140625" style="25"/>
  </cols>
  <sheetData>
    <row r="1" spans="1:187">
      <c r="E1" s="100"/>
      <c r="F1" s="100"/>
      <c r="G1" s="100"/>
      <c r="H1" s="100"/>
      <c r="I1" s="100"/>
      <c r="J1" s="100"/>
      <c r="K1" s="100"/>
      <c r="L1" s="100"/>
      <c r="M1" s="100"/>
      <c r="N1" s="100"/>
    </row>
    <row r="2" spans="1:187" s="5" customFormat="1" ht="72.75" customHeight="1">
      <c r="B2" s="96"/>
      <c r="C2" s="96"/>
      <c r="D2" s="96"/>
      <c r="E2" s="99" t="s">
        <v>417</v>
      </c>
      <c r="F2" s="99"/>
      <c r="G2" s="99"/>
      <c r="H2" s="99"/>
      <c r="I2" s="99"/>
      <c r="J2" s="99"/>
      <c r="K2" s="99"/>
      <c r="L2" s="96"/>
      <c r="M2" s="96"/>
      <c r="N2" s="96"/>
      <c r="O2" s="95"/>
      <c r="P2" s="95"/>
      <c r="Q2" s="95"/>
      <c r="R2" s="95"/>
      <c r="S2" s="95"/>
      <c r="T2" s="95"/>
      <c r="U2" s="95"/>
      <c r="V2" s="95"/>
      <c r="W2" s="95"/>
    </row>
    <row r="3" spans="1:187" s="5" customFormat="1" ht="15" customHeight="1">
      <c r="B3" s="6"/>
      <c r="C3" s="82"/>
      <c r="L3" s="94"/>
      <c r="N3" s="94"/>
    </row>
    <row r="4" spans="1:187" s="7" customFormat="1" ht="167.25" customHeight="1">
      <c r="A4" s="107" t="s">
        <v>333</v>
      </c>
      <c r="B4" s="105" t="s">
        <v>0</v>
      </c>
      <c r="C4" s="103" t="s">
        <v>48</v>
      </c>
      <c r="D4" s="103" t="s">
        <v>49</v>
      </c>
      <c r="E4" s="103" t="s">
        <v>418</v>
      </c>
      <c r="F4" s="103"/>
      <c r="G4" s="103"/>
      <c r="H4" s="103"/>
      <c r="I4" s="103"/>
      <c r="J4" s="59" t="s">
        <v>371</v>
      </c>
      <c r="K4" s="103" t="s">
        <v>366</v>
      </c>
      <c r="L4" s="103"/>
      <c r="M4" s="103" t="s">
        <v>367</v>
      </c>
      <c r="N4" s="103"/>
      <c r="O4" s="59"/>
      <c r="P4" s="103" t="s">
        <v>50</v>
      </c>
      <c r="Q4" s="103"/>
      <c r="R4" s="103"/>
      <c r="S4" s="103"/>
      <c r="T4" s="103"/>
      <c r="U4" s="103" t="s">
        <v>419</v>
      </c>
      <c r="V4" s="103" t="s">
        <v>420</v>
      </c>
      <c r="W4" s="103" t="s">
        <v>415</v>
      </c>
    </row>
    <row r="5" spans="1:187" s="7" customFormat="1" ht="33.75" customHeight="1">
      <c r="A5" s="107"/>
      <c r="B5" s="105"/>
      <c r="C5" s="103"/>
      <c r="D5" s="103"/>
      <c r="E5" s="59" t="s">
        <v>409</v>
      </c>
      <c r="F5" s="59" t="s">
        <v>56</v>
      </c>
      <c r="G5" s="59" t="s">
        <v>51</v>
      </c>
      <c r="H5" s="59" t="s">
        <v>57</v>
      </c>
      <c r="I5" s="59" t="s">
        <v>52</v>
      </c>
      <c r="J5" s="59"/>
      <c r="K5" s="59" t="s">
        <v>53</v>
      </c>
      <c r="L5" s="59" t="s">
        <v>54</v>
      </c>
      <c r="M5" s="59" t="s">
        <v>53</v>
      </c>
      <c r="N5" s="59" t="s">
        <v>54</v>
      </c>
      <c r="O5" s="59"/>
      <c r="P5" s="59" t="s">
        <v>55</v>
      </c>
      <c r="Q5" s="59" t="s">
        <v>56</v>
      </c>
      <c r="R5" s="59" t="s">
        <v>51</v>
      </c>
      <c r="S5" s="59" t="s">
        <v>57</v>
      </c>
      <c r="T5" s="59" t="s">
        <v>58</v>
      </c>
      <c r="U5" s="103"/>
      <c r="V5" s="103"/>
      <c r="W5" s="103"/>
    </row>
    <row r="6" spans="1:187" s="7" customFormat="1" ht="15" customHeight="1">
      <c r="A6" s="60"/>
      <c r="B6" s="16"/>
      <c r="C6" s="16"/>
      <c r="D6" s="8"/>
      <c r="E6" s="60"/>
      <c r="F6" s="60"/>
      <c r="G6" s="60"/>
      <c r="H6" s="60"/>
      <c r="I6" s="60"/>
      <c r="J6" s="60"/>
      <c r="K6" s="60"/>
      <c r="L6" s="60"/>
      <c r="M6" s="60"/>
      <c r="N6" s="60"/>
      <c r="O6" s="60"/>
      <c r="P6" s="60"/>
      <c r="Q6" s="60"/>
      <c r="R6" s="60"/>
      <c r="S6" s="60"/>
      <c r="T6" s="60"/>
      <c r="U6" s="60"/>
      <c r="V6" s="60"/>
      <c r="W6" s="60"/>
    </row>
    <row r="7" spans="1:187" s="7" customFormat="1" ht="21" customHeight="1">
      <c r="A7" s="60"/>
      <c r="B7" s="101" t="s">
        <v>59</v>
      </c>
      <c r="C7" s="101"/>
      <c r="D7" s="101"/>
      <c r="E7" s="34"/>
      <c r="F7" s="34"/>
      <c r="G7" s="34"/>
      <c r="H7" s="34"/>
      <c r="I7" s="34"/>
      <c r="J7" s="60"/>
      <c r="K7" s="60"/>
      <c r="L7" s="60"/>
      <c r="M7" s="60"/>
      <c r="N7" s="60"/>
      <c r="O7" s="60"/>
      <c r="P7" s="60"/>
      <c r="Q7" s="60"/>
      <c r="R7" s="60"/>
      <c r="S7" s="60"/>
      <c r="T7" s="60"/>
      <c r="U7" s="60"/>
      <c r="V7" s="60"/>
      <c r="W7" s="60"/>
    </row>
    <row r="8" spans="1:187" s="13" customFormat="1" ht="22.5" customHeight="1">
      <c r="A8" s="24"/>
      <c r="B8" s="9" t="s">
        <v>292</v>
      </c>
      <c r="C8" s="10" t="s">
        <v>64</v>
      </c>
      <c r="D8" s="10" t="s">
        <v>61</v>
      </c>
      <c r="E8" s="35">
        <v>157.869</v>
      </c>
      <c r="F8" s="35">
        <f>261.751-E8</f>
        <v>103.88199999999998</v>
      </c>
      <c r="G8" s="35">
        <v>38.049999999999997</v>
      </c>
      <c r="H8" s="35">
        <f>166.639-G8</f>
        <v>128.589</v>
      </c>
      <c r="I8" s="35">
        <f>SUM(E8:H8)</f>
        <v>428.39</v>
      </c>
      <c r="J8" s="56">
        <f>'2021'!J9</f>
        <v>543.57000000000005</v>
      </c>
      <c r="K8" s="49">
        <v>6434.2511999999997</v>
      </c>
      <c r="L8" s="49">
        <v>6691.6212479999995</v>
      </c>
      <c r="M8" s="49">
        <v>1520.3240000000001</v>
      </c>
      <c r="N8" s="49">
        <v>1581.13696</v>
      </c>
      <c r="O8" s="56">
        <f>K8-M8</f>
        <v>4913.9272000000001</v>
      </c>
      <c r="P8" s="1">
        <f>(K8-M8)*E8</f>
        <v>775756.77313680004</v>
      </c>
      <c r="Q8" s="1">
        <f>(K8-M8)*F8</f>
        <v>510468.58539039991</v>
      </c>
      <c r="R8" s="1">
        <f>(L8-N8)*G8</f>
        <v>194453.92715839998</v>
      </c>
      <c r="S8" s="1">
        <f>(H8*(L8-N8))</f>
        <v>657152.06410963193</v>
      </c>
      <c r="T8" s="1">
        <f>SUM(P8:S8)</f>
        <v>2137831.3497952316</v>
      </c>
      <c r="U8" s="11"/>
      <c r="V8" s="11"/>
      <c r="W8" s="11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  <c r="BO8" s="12"/>
      <c r="BP8" s="12"/>
      <c r="BQ8" s="12"/>
      <c r="BR8" s="12"/>
      <c r="BS8" s="12"/>
      <c r="BT8" s="12"/>
      <c r="BU8" s="12"/>
      <c r="BV8" s="12"/>
      <c r="BW8" s="12"/>
      <c r="BX8" s="12"/>
      <c r="BY8" s="12"/>
      <c r="BZ8" s="12"/>
      <c r="CA8" s="12"/>
      <c r="CB8" s="12"/>
      <c r="CC8" s="12"/>
      <c r="CD8" s="12"/>
      <c r="CE8" s="12"/>
      <c r="CF8" s="12"/>
      <c r="CG8" s="12"/>
      <c r="CH8" s="12"/>
      <c r="CI8" s="12"/>
      <c r="CJ8" s="12"/>
      <c r="CK8" s="12"/>
      <c r="CL8" s="12"/>
      <c r="CM8" s="12"/>
      <c r="CN8" s="12"/>
      <c r="CO8" s="12"/>
      <c r="CP8" s="12"/>
      <c r="CQ8" s="12"/>
      <c r="CR8" s="12"/>
      <c r="CS8" s="12"/>
      <c r="CT8" s="12"/>
      <c r="CU8" s="12"/>
      <c r="CV8" s="12"/>
      <c r="CW8" s="12"/>
      <c r="CX8" s="12"/>
      <c r="CY8" s="12"/>
      <c r="CZ8" s="12"/>
      <c r="DA8" s="12"/>
      <c r="DB8" s="12"/>
      <c r="DC8" s="12"/>
      <c r="DD8" s="12"/>
      <c r="DE8" s="12"/>
      <c r="DF8" s="12"/>
      <c r="DG8" s="12"/>
      <c r="DH8" s="12"/>
      <c r="DI8" s="12"/>
      <c r="DJ8" s="12"/>
      <c r="DK8" s="12"/>
      <c r="DL8" s="12"/>
      <c r="DM8" s="12"/>
      <c r="DN8" s="12"/>
      <c r="DO8" s="12"/>
      <c r="DP8" s="12"/>
      <c r="DQ8" s="12"/>
      <c r="DR8" s="12"/>
      <c r="DS8" s="12"/>
      <c r="DT8" s="12"/>
      <c r="DU8" s="12"/>
      <c r="DV8" s="12"/>
      <c r="DW8" s="12"/>
      <c r="DX8" s="12"/>
      <c r="DY8" s="12"/>
      <c r="DZ8" s="12"/>
      <c r="EA8" s="12"/>
      <c r="EB8" s="12"/>
      <c r="EC8" s="12"/>
      <c r="ED8" s="12"/>
      <c r="EE8" s="12"/>
      <c r="EF8" s="12"/>
      <c r="EG8" s="12"/>
      <c r="EH8" s="12"/>
      <c r="EI8" s="12"/>
      <c r="EJ8" s="12"/>
      <c r="EK8" s="12"/>
      <c r="EL8" s="12"/>
      <c r="EM8" s="12"/>
      <c r="EN8" s="12"/>
      <c r="EO8" s="12"/>
      <c r="EP8" s="12"/>
      <c r="EQ8" s="12"/>
      <c r="ER8" s="12"/>
      <c r="ES8" s="12"/>
      <c r="ET8" s="12"/>
      <c r="EU8" s="12"/>
      <c r="EV8" s="12"/>
      <c r="EW8" s="12"/>
      <c r="EX8" s="12"/>
      <c r="EY8" s="12"/>
      <c r="EZ8" s="12"/>
      <c r="FA8" s="12"/>
      <c r="FB8" s="12"/>
      <c r="FC8" s="12"/>
      <c r="FD8" s="12"/>
      <c r="FE8" s="12"/>
      <c r="FF8" s="12"/>
      <c r="FG8" s="12"/>
      <c r="FH8" s="12"/>
      <c r="FI8" s="12"/>
      <c r="FJ8" s="12"/>
      <c r="FK8" s="12"/>
      <c r="FL8" s="12"/>
      <c r="FM8" s="12"/>
      <c r="FN8" s="12"/>
      <c r="FO8" s="12"/>
      <c r="FP8" s="12"/>
      <c r="FQ8" s="12"/>
      <c r="FR8" s="12"/>
      <c r="FS8" s="12"/>
      <c r="FT8" s="12"/>
      <c r="FU8" s="12"/>
      <c r="FV8" s="12"/>
      <c r="FW8" s="12"/>
      <c r="FX8" s="12"/>
      <c r="FY8" s="12"/>
      <c r="FZ8" s="12"/>
      <c r="GA8" s="12"/>
      <c r="GB8" s="12"/>
      <c r="GC8" s="12"/>
      <c r="GD8" s="12"/>
      <c r="GE8" s="12"/>
    </row>
    <row r="9" spans="1:187" ht="22.5" customHeight="1">
      <c r="A9" s="45"/>
      <c r="B9" s="9" t="s">
        <v>291</v>
      </c>
      <c r="C9" s="10" t="s">
        <v>66</v>
      </c>
      <c r="D9" s="10" t="s">
        <v>67</v>
      </c>
      <c r="E9" s="35">
        <v>175.43</v>
      </c>
      <c r="F9" s="35">
        <f>267.392-E9</f>
        <v>91.961999999999989</v>
      </c>
      <c r="G9" s="35">
        <v>47.5</v>
      </c>
      <c r="H9" s="35">
        <f>213.019-G9</f>
        <v>165.51900000000001</v>
      </c>
      <c r="I9" s="35">
        <f t="shared" ref="I9:I71" si="0">SUM(E9:H9)</f>
        <v>480.411</v>
      </c>
      <c r="J9" s="56">
        <f>'2021'!J10</f>
        <v>438</v>
      </c>
      <c r="K9" s="49">
        <v>4407.9048000000003</v>
      </c>
      <c r="L9" s="49">
        <v>4584.2209920000005</v>
      </c>
      <c r="M9" s="49">
        <v>1417.26</v>
      </c>
      <c r="N9" s="49">
        <v>1473.9503999999999</v>
      </c>
      <c r="O9" s="56">
        <f t="shared" ref="O9:O74" si="1">K9-M9</f>
        <v>2990.6448</v>
      </c>
      <c r="P9" s="1">
        <f t="shared" ref="P9:P72" si="2">(K9-M9)*E9</f>
        <v>524648.81726400007</v>
      </c>
      <c r="Q9" s="1">
        <f t="shared" ref="Q9:Q72" si="3">(K9-M9)*F9</f>
        <v>275025.67709759995</v>
      </c>
      <c r="R9" s="1">
        <f t="shared" ref="R9:R72" si="4">(L9-N9)*G9</f>
        <v>147737.85312000004</v>
      </c>
      <c r="S9" s="1">
        <f t="shared" ref="S9:S72" si="5">(H9*(L9-N9))</f>
        <v>514808.87811724812</v>
      </c>
      <c r="T9" s="1">
        <f t="shared" ref="T9:T72" si="6">SUM(P9:S9)</f>
        <v>1462221.2255988482</v>
      </c>
      <c r="U9" s="11"/>
      <c r="V9" s="11"/>
      <c r="W9" s="11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12"/>
      <c r="BN9" s="12"/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2"/>
      <c r="BZ9" s="12"/>
      <c r="CA9" s="12"/>
      <c r="CB9" s="12"/>
      <c r="CC9" s="12"/>
      <c r="CD9" s="12"/>
      <c r="CE9" s="12"/>
      <c r="CF9" s="12"/>
      <c r="CG9" s="12"/>
      <c r="CH9" s="12"/>
      <c r="CI9" s="12"/>
      <c r="CJ9" s="12"/>
      <c r="CK9" s="12"/>
      <c r="CL9" s="12"/>
      <c r="CM9" s="12"/>
      <c r="CN9" s="12"/>
      <c r="CO9" s="12"/>
      <c r="CP9" s="12"/>
      <c r="CQ9" s="12"/>
      <c r="CR9" s="12"/>
      <c r="CS9" s="12"/>
      <c r="CT9" s="12"/>
      <c r="CU9" s="12"/>
      <c r="CV9" s="12"/>
      <c r="CW9" s="12"/>
      <c r="CX9" s="12"/>
      <c r="CY9" s="12"/>
      <c r="CZ9" s="12"/>
      <c r="DA9" s="12"/>
      <c r="DB9" s="12"/>
      <c r="DC9" s="12"/>
      <c r="DD9" s="12"/>
      <c r="DE9" s="12"/>
      <c r="DF9" s="12"/>
      <c r="DG9" s="12"/>
      <c r="DH9" s="12"/>
      <c r="DI9" s="12"/>
      <c r="DJ9" s="12"/>
      <c r="DK9" s="12"/>
      <c r="DL9" s="12"/>
      <c r="DM9" s="12"/>
      <c r="DN9" s="12"/>
      <c r="DO9" s="12"/>
      <c r="DP9" s="12"/>
      <c r="DQ9" s="12"/>
      <c r="DR9" s="12"/>
      <c r="DS9" s="12"/>
      <c r="DT9" s="12"/>
      <c r="DU9" s="12"/>
      <c r="DV9" s="12"/>
      <c r="DW9" s="12"/>
      <c r="DX9" s="12"/>
      <c r="DY9" s="12"/>
      <c r="DZ9" s="12"/>
      <c r="EA9" s="12"/>
      <c r="EB9" s="12"/>
      <c r="EC9" s="12"/>
      <c r="ED9" s="12"/>
      <c r="EE9" s="12"/>
      <c r="EF9" s="12"/>
      <c r="EG9" s="12"/>
      <c r="EH9" s="12"/>
      <c r="EI9" s="12"/>
      <c r="EJ9" s="12"/>
      <c r="EK9" s="12"/>
      <c r="EL9" s="12"/>
      <c r="EM9" s="12"/>
      <c r="EN9" s="12"/>
      <c r="EO9" s="12"/>
      <c r="EP9" s="12"/>
      <c r="EQ9" s="12"/>
      <c r="ER9" s="12"/>
      <c r="ES9" s="12"/>
      <c r="ET9" s="12"/>
      <c r="EU9" s="12"/>
      <c r="EV9" s="12"/>
      <c r="EW9" s="12"/>
      <c r="EX9" s="12"/>
      <c r="EY9" s="12"/>
      <c r="EZ9" s="12"/>
      <c r="FA9" s="12"/>
      <c r="FB9" s="12"/>
      <c r="FC9" s="12"/>
      <c r="FD9" s="12"/>
      <c r="FE9" s="12"/>
      <c r="FF9" s="12"/>
      <c r="FG9" s="12"/>
      <c r="FH9" s="12"/>
      <c r="FI9" s="12"/>
      <c r="FJ9" s="12"/>
      <c r="FK9" s="12"/>
      <c r="FL9" s="12"/>
      <c r="FM9" s="12"/>
      <c r="FN9" s="12"/>
      <c r="FO9" s="12"/>
      <c r="FP9" s="12"/>
      <c r="FQ9" s="12"/>
      <c r="FR9" s="12"/>
      <c r="FS9" s="12"/>
      <c r="FT9" s="12"/>
      <c r="FU9" s="12"/>
      <c r="FV9" s="12"/>
      <c r="FW9" s="12"/>
      <c r="FX9" s="12"/>
      <c r="FY9" s="12"/>
      <c r="FZ9" s="12"/>
      <c r="GA9" s="12"/>
      <c r="GB9" s="12"/>
      <c r="GC9" s="12"/>
      <c r="GD9" s="12"/>
      <c r="GE9" s="12"/>
    </row>
    <row r="10" spans="1:187" ht="22.5" customHeight="1">
      <c r="A10" s="45"/>
      <c r="B10" s="9" t="s">
        <v>294</v>
      </c>
      <c r="C10" s="10" t="s">
        <v>295</v>
      </c>
      <c r="D10" s="10" t="s">
        <v>65</v>
      </c>
      <c r="E10" s="35">
        <v>419.7</v>
      </c>
      <c r="F10" s="35">
        <f>695.303-E10</f>
        <v>275.60300000000001</v>
      </c>
      <c r="G10" s="35">
        <v>97.06</v>
      </c>
      <c r="H10" s="35">
        <f>443.017-G10</f>
        <v>345.95699999999999</v>
      </c>
      <c r="I10" s="35">
        <f t="shared" si="0"/>
        <v>1138.3200000000002</v>
      </c>
      <c r="J10" s="56">
        <f>'2021'!J11</f>
        <v>1119.2</v>
      </c>
      <c r="K10" s="49">
        <v>3904.6487999999999</v>
      </c>
      <c r="L10" s="49">
        <v>4060.84</v>
      </c>
      <c r="M10" s="49">
        <v>1276.1007999999999</v>
      </c>
      <c r="N10" s="49">
        <v>1327.144832</v>
      </c>
      <c r="O10" s="56">
        <f t="shared" si="1"/>
        <v>2628.5479999999998</v>
      </c>
      <c r="P10" s="1">
        <f t="shared" si="2"/>
        <v>1103201.5955999999</v>
      </c>
      <c r="Q10" s="1">
        <f t="shared" si="3"/>
        <v>724435.71444399992</v>
      </c>
      <c r="R10" s="1">
        <f t="shared" si="4"/>
        <v>265332.45300608</v>
      </c>
      <c r="S10" s="1">
        <f t="shared" si="5"/>
        <v>945740.979235776</v>
      </c>
      <c r="T10" s="1">
        <f t="shared" si="6"/>
        <v>3038710.742285856</v>
      </c>
      <c r="U10" s="11"/>
      <c r="V10" s="11"/>
      <c r="W10" s="11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12"/>
      <c r="AV10" s="12"/>
      <c r="AW10" s="12"/>
      <c r="AX10" s="12"/>
      <c r="AY10" s="12"/>
      <c r="AZ10" s="12"/>
      <c r="BA10" s="12"/>
      <c r="BB10" s="12"/>
      <c r="BC10" s="12"/>
      <c r="BD10" s="12"/>
      <c r="BE10" s="12"/>
      <c r="BF10" s="12"/>
      <c r="BG10" s="12"/>
      <c r="BH10" s="12"/>
      <c r="BI10" s="12"/>
      <c r="BJ10" s="12"/>
      <c r="BK10" s="12"/>
      <c r="BL10" s="12"/>
      <c r="BM10" s="12"/>
      <c r="BN10" s="12"/>
      <c r="BO10" s="12"/>
      <c r="BP10" s="12"/>
      <c r="BQ10" s="12"/>
      <c r="BR10" s="12"/>
      <c r="BS10" s="12"/>
      <c r="BT10" s="12"/>
      <c r="BU10" s="12"/>
      <c r="BV10" s="12"/>
      <c r="BW10" s="12"/>
      <c r="BX10" s="12"/>
      <c r="BY10" s="12"/>
      <c r="BZ10" s="12"/>
      <c r="CA10" s="12"/>
      <c r="CB10" s="12"/>
      <c r="CC10" s="12"/>
      <c r="CD10" s="12"/>
      <c r="CE10" s="12"/>
      <c r="CF10" s="12"/>
      <c r="CG10" s="12"/>
      <c r="CH10" s="12"/>
      <c r="CI10" s="12"/>
      <c r="CJ10" s="12"/>
      <c r="CK10" s="12"/>
      <c r="CL10" s="12"/>
      <c r="CM10" s="12"/>
      <c r="CN10" s="12"/>
      <c r="CO10" s="12"/>
      <c r="CP10" s="12"/>
      <c r="CQ10" s="12"/>
      <c r="CR10" s="12"/>
      <c r="CS10" s="12"/>
      <c r="CT10" s="12"/>
      <c r="CU10" s="12"/>
      <c r="CV10" s="12"/>
      <c r="CW10" s="12"/>
      <c r="CX10" s="12"/>
      <c r="CY10" s="12"/>
      <c r="CZ10" s="12"/>
      <c r="DA10" s="12"/>
      <c r="DB10" s="12"/>
      <c r="DC10" s="12"/>
      <c r="DD10" s="12"/>
      <c r="DE10" s="12"/>
      <c r="DF10" s="12"/>
      <c r="DG10" s="12"/>
      <c r="DH10" s="12"/>
      <c r="DI10" s="12"/>
      <c r="DJ10" s="12"/>
      <c r="DK10" s="12"/>
      <c r="DL10" s="12"/>
      <c r="DM10" s="12"/>
      <c r="DN10" s="12"/>
      <c r="DO10" s="12"/>
      <c r="DP10" s="12"/>
      <c r="DQ10" s="12"/>
      <c r="DR10" s="12"/>
      <c r="DS10" s="12"/>
      <c r="DT10" s="12"/>
      <c r="DU10" s="12"/>
      <c r="DV10" s="12"/>
      <c r="DW10" s="12"/>
      <c r="DX10" s="12"/>
      <c r="DY10" s="12"/>
      <c r="DZ10" s="12"/>
      <c r="EA10" s="12"/>
      <c r="EB10" s="12"/>
      <c r="EC10" s="12"/>
      <c r="ED10" s="12"/>
      <c r="EE10" s="12"/>
      <c r="EF10" s="12"/>
      <c r="EG10" s="12"/>
      <c r="EH10" s="12"/>
      <c r="EI10" s="12"/>
      <c r="EJ10" s="12"/>
      <c r="EK10" s="12"/>
      <c r="EL10" s="12"/>
      <c r="EM10" s="12"/>
      <c r="EN10" s="12"/>
      <c r="EO10" s="12"/>
      <c r="EP10" s="12"/>
      <c r="EQ10" s="12"/>
      <c r="ER10" s="12"/>
      <c r="ES10" s="12"/>
      <c r="ET10" s="12"/>
      <c r="EU10" s="12"/>
      <c r="EV10" s="12"/>
      <c r="EW10" s="12"/>
      <c r="EX10" s="12"/>
      <c r="EY10" s="12"/>
      <c r="EZ10" s="12"/>
      <c r="FA10" s="12"/>
      <c r="FB10" s="12"/>
      <c r="FC10" s="12"/>
      <c r="FD10" s="12"/>
      <c r="FE10" s="12"/>
      <c r="FF10" s="12"/>
      <c r="FG10" s="12"/>
      <c r="FH10" s="12"/>
      <c r="FI10" s="12"/>
      <c r="FJ10" s="12"/>
      <c r="FK10" s="12"/>
      <c r="FL10" s="12"/>
      <c r="FM10" s="12"/>
      <c r="FN10" s="12"/>
      <c r="FO10" s="12"/>
      <c r="FP10" s="12"/>
      <c r="FQ10" s="12"/>
      <c r="FR10" s="12"/>
      <c r="FS10" s="12"/>
      <c r="FT10" s="12"/>
      <c r="FU10" s="12"/>
      <c r="FV10" s="12"/>
      <c r="FW10" s="12"/>
      <c r="FX10" s="12"/>
      <c r="FY10" s="12"/>
      <c r="FZ10" s="12"/>
      <c r="GA10" s="12"/>
      <c r="GB10" s="12"/>
      <c r="GC10" s="12"/>
      <c r="GD10" s="12"/>
      <c r="GE10" s="12"/>
    </row>
    <row r="11" spans="1:187" ht="22.5" customHeight="1">
      <c r="A11" s="45"/>
      <c r="B11" s="9" t="s">
        <v>2</v>
      </c>
      <c r="C11" s="10" t="s">
        <v>68</v>
      </c>
      <c r="D11" s="10" t="s">
        <v>67</v>
      </c>
      <c r="E11" s="35">
        <v>3003.4209999999998</v>
      </c>
      <c r="F11" s="35">
        <f>4330.493-E11</f>
        <v>1327.0720000000006</v>
      </c>
      <c r="G11" s="35">
        <v>335.471</v>
      </c>
      <c r="H11" s="35">
        <f>2385.512-G11</f>
        <v>2050.0410000000002</v>
      </c>
      <c r="I11" s="35">
        <f t="shared" si="0"/>
        <v>6716.0050000000001</v>
      </c>
      <c r="J11" s="56">
        <f>'2021'!J12</f>
        <v>7045.42</v>
      </c>
      <c r="K11" s="49">
        <v>5703.947392</v>
      </c>
      <c r="L11" s="49">
        <v>5932.1052876800004</v>
      </c>
      <c r="M11" s="49">
        <v>1712.1732784000001</v>
      </c>
      <c r="N11" s="49">
        <v>1780.6602095360001</v>
      </c>
      <c r="O11" s="56">
        <f t="shared" si="1"/>
        <v>3991.7741136</v>
      </c>
      <c r="P11" s="1">
        <f t="shared" si="2"/>
        <v>11988978.200042624</v>
      </c>
      <c r="Q11" s="1">
        <f t="shared" si="3"/>
        <v>5297371.6564833811</v>
      </c>
      <c r="R11" s="1">
        <f t="shared" si="4"/>
        <v>1392689.4318100458</v>
      </c>
      <c r="S11" s="1">
        <f t="shared" si="5"/>
        <v>8510632.6194434054</v>
      </c>
      <c r="T11" s="1">
        <f t="shared" si="6"/>
        <v>27189671.907779459</v>
      </c>
      <c r="U11" s="11"/>
      <c r="V11" s="11"/>
      <c r="W11" s="11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2"/>
      <c r="BI11" s="12"/>
      <c r="BJ11" s="12"/>
      <c r="BK11" s="12"/>
      <c r="BL11" s="12"/>
      <c r="BM11" s="12"/>
      <c r="BN11" s="12"/>
      <c r="BO11" s="12"/>
      <c r="BP11" s="12"/>
      <c r="BQ11" s="12"/>
      <c r="BR11" s="12"/>
      <c r="BS11" s="12"/>
      <c r="BT11" s="12"/>
      <c r="BU11" s="12"/>
      <c r="BV11" s="12"/>
      <c r="BW11" s="12"/>
      <c r="BX11" s="12"/>
      <c r="BY11" s="12"/>
      <c r="BZ11" s="12"/>
      <c r="CA11" s="12"/>
      <c r="CB11" s="12"/>
      <c r="CC11" s="12"/>
      <c r="CD11" s="12"/>
      <c r="CE11" s="12"/>
      <c r="CF11" s="12"/>
      <c r="CG11" s="12"/>
      <c r="CH11" s="12"/>
      <c r="CI11" s="12"/>
      <c r="CJ11" s="12"/>
      <c r="CK11" s="12"/>
      <c r="CL11" s="12"/>
      <c r="CM11" s="12"/>
      <c r="CN11" s="12"/>
      <c r="CO11" s="12"/>
      <c r="CP11" s="12"/>
      <c r="CQ11" s="12"/>
      <c r="CR11" s="12"/>
      <c r="CS11" s="12"/>
      <c r="CT11" s="12"/>
      <c r="CU11" s="12"/>
      <c r="CV11" s="12"/>
      <c r="CW11" s="12"/>
      <c r="CX11" s="12"/>
      <c r="CY11" s="12"/>
      <c r="CZ11" s="12"/>
      <c r="DA11" s="12"/>
      <c r="DB11" s="12"/>
      <c r="DC11" s="12"/>
      <c r="DD11" s="12"/>
      <c r="DE11" s="12"/>
      <c r="DF11" s="12"/>
      <c r="DG11" s="12"/>
      <c r="DH11" s="12"/>
      <c r="DI11" s="12"/>
      <c r="DJ11" s="12"/>
      <c r="DK11" s="12"/>
      <c r="DL11" s="12"/>
      <c r="DM11" s="12"/>
      <c r="DN11" s="12"/>
      <c r="DO11" s="12"/>
      <c r="DP11" s="12"/>
      <c r="DQ11" s="12"/>
      <c r="DR11" s="12"/>
      <c r="DS11" s="12"/>
      <c r="DT11" s="12"/>
      <c r="DU11" s="12"/>
      <c r="DV11" s="12"/>
      <c r="DW11" s="12"/>
      <c r="DX11" s="12"/>
      <c r="DY11" s="12"/>
      <c r="DZ11" s="12"/>
      <c r="EA11" s="12"/>
      <c r="EB11" s="12"/>
      <c r="EC11" s="12"/>
      <c r="ED11" s="12"/>
      <c r="EE11" s="12"/>
      <c r="EF11" s="12"/>
      <c r="EG11" s="12"/>
      <c r="EH11" s="12"/>
      <c r="EI11" s="12"/>
      <c r="EJ11" s="12"/>
      <c r="EK11" s="12"/>
      <c r="EL11" s="12"/>
      <c r="EM11" s="12"/>
      <c r="EN11" s="12"/>
      <c r="EO11" s="12"/>
      <c r="EP11" s="12"/>
      <c r="EQ11" s="12"/>
      <c r="ER11" s="12"/>
      <c r="ES11" s="12"/>
      <c r="ET11" s="12"/>
      <c r="EU11" s="12"/>
      <c r="EV11" s="12"/>
      <c r="EW11" s="12"/>
      <c r="EX11" s="12"/>
      <c r="EY11" s="12"/>
      <c r="EZ11" s="12"/>
      <c r="FA11" s="12"/>
      <c r="FB11" s="12"/>
      <c r="FC11" s="12"/>
      <c r="FD11" s="12"/>
      <c r="FE11" s="12"/>
      <c r="FF11" s="12"/>
      <c r="FG11" s="12"/>
      <c r="FH11" s="12"/>
      <c r="FI11" s="12"/>
      <c r="FJ11" s="12"/>
      <c r="FK11" s="12"/>
      <c r="FL11" s="12"/>
      <c r="FM11" s="12"/>
      <c r="FN11" s="12"/>
      <c r="FO11" s="12"/>
      <c r="FP11" s="12"/>
      <c r="FQ11" s="12"/>
      <c r="FR11" s="12"/>
      <c r="FS11" s="12"/>
      <c r="FT11" s="12"/>
      <c r="FU11" s="12"/>
      <c r="FV11" s="12"/>
      <c r="FW11" s="12"/>
      <c r="FX11" s="12"/>
      <c r="FY11" s="12"/>
      <c r="FZ11" s="12"/>
      <c r="GA11" s="12"/>
      <c r="GB11" s="12"/>
      <c r="GC11" s="12"/>
      <c r="GD11" s="12"/>
      <c r="GE11" s="12"/>
    </row>
    <row r="12" spans="1:187" ht="22.5" customHeight="1">
      <c r="A12" s="45"/>
      <c r="B12" s="9" t="s">
        <v>293</v>
      </c>
      <c r="C12" s="10" t="s">
        <v>62</v>
      </c>
      <c r="D12" s="10" t="s">
        <v>63</v>
      </c>
      <c r="E12" s="35">
        <v>1603.2270000000001</v>
      </c>
      <c r="F12" s="35">
        <f>2603.919-E12</f>
        <v>1000.6919999999998</v>
      </c>
      <c r="G12" s="35">
        <v>278.95</v>
      </c>
      <c r="H12" s="35">
        <f>1977.28-G12</f>
        <v>1698.33</v>
      </c>
      <c r="I12" s="35">
        <f t="shared" si="0"/>
        <v>4581.1989999999996</v>
      </c>
      <c r="J12" s="56">
        <f>'2021'!J13</f>
        <v>4533</v>
      </c>
      <c r="K12" s="49">
        <v>5810.0432000000001</v>
      </c>
      <c r="L12" s="49">
        <v>6042.4449279999999</v>
      </c>
      <c r="M12" s="49">
        <v>1505.8056000000001</v>
      </c>
      <c r="N12" s="49">
        <v>1566.0378240000002</v>
      </c>
      <c r="O12" s="56">
        <f t="shared" si="1"/>
        <v>4304.2376000000004</v>
      </c>
      <c r="P12" s="1">
        <f t="shared" si="2"/>
        <v>6900669.9347352013</v>
      </c>
      <c r="Q12" s="1">
        <f t="shared" si="3"/>
        <v>4307216.1324191997</v>
      </c>
      <c r="R12" s="1">
        <f t="shared" si="4"/>
        <v>1248693.7616607998</v>
      </c>
      <c r="S12" s="1">
        <f t="shared" si="5"/>
        <v>7602416.4769363198</v>
      </c>
      <c r="T12" s="1">
        <f t="shared" si="6"/>
        <v>20058996.305751517</v>
      </c>
      <c r="U12" s="11"/>
      <c r="V12" s="11"/>
      <c r="W12" s="11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2"/>
      <c r="BH12" s="12"/>
      <c r="BI12" s="12"/>
      <c r="BJ12" s="12"/>
      <c r="BK12" s="12"/>
      <c r="BL12" s="12"/>
      <c r="BM12" s="12"/>
      <c r="BN12" s="12"/>
      <c r="BO12" s="12"/>
      <c r="BP12" s="12"/>
      <c r="BQ12" s="12"/>
      <c r="BR12" s="12"/>
      <c r="BS12" s="12"/>
      <c r="BT12" s="12"/>
      <c r="BU12" s="12"/>
      <c r="BV12" s="12"/>
      <c r="BW12" s="12"/>
      <c r="BX12" s="12"/>
      <c r="BY12" s="12"/>
      <c r="BZ12" s="12"/>
      <c r="CA12" s="12"/>
      <c r="CB12" s="12"/>
      <c r="CC12" s="12"/>
      <c r="CD12" s="12"/>
      <c r="CE12" s="12"/>
      <c r="CF12" s="12"/>
      <c r="CG12" s="12"/>
      <c r="CH12" s="12"/>
      <c r="CI12" s="12"/>
      <c r="CJ12" s="12"/>
      <c r="CK12" s="12"/>
      <c r="CL12" s="12"/>
      <c r="CM12" s="12"/>
      <c r="CN12" s="12"/>
      <c r="CO12" s="12"/>
      <c r="CP12" s="12"/>
      <c r="CQ12" s="12"/>
      <c r="CR12" s="12"/>
      <c r="CS12" s="12"/>
      <c r="CT12" s="12"/>
      <c r="CU12" s="12"/>
      <c r="CV12" s="12"/>
      <c r="CW12" s="12"/>
      <c r="CX12" s="12"/>
      <c r="CY12" s="12"/>
      <c r="CZ12" s="12"/>
      <c r="DA12" s="12"/>
      <c r="DB12" s="12"/>
      <c r="DC12" s="12"/>
      <c r="DD12" s="12"/>
      <c r="DE12" s="12"/>
      <c r="DF12" s="12"/>
      <c r="DG12" s="12"/>
      <c r="DH12" s="12"/>
      <c r="DI12" s="12"/>
      <c r="DJ12" s="12"/>
      <c r="DK12" s="12"/>
      <c r="DL12" s="12"/>
      <c r="DM12" s="12"/>
      <c r="DN12" s="12"/>
      <c r="DO12" s="12"/>
      <c r="DP12" s="12"/>
      <c r="DQ12" s="12"/>
      <c r="DR12" s="12"/>
      <c r="DS12" s="12"/>
      <c r="DT12" s="12"/>
      <c r="DU12" s="12"/>
      <c r="DV12" s="12"/>
      <c r="DW12" s="12"/>
      <c r="DX12" s="12"/>
      <c r="DY12" s="12"/>
      <c r="DZ12" s="12"/>
      <c r="EA12" s="12"/>
      <c r="EB12" s="12"/>
      <c r="EC12" s="12"/>
      <c r="ED12" s="12"/>
      <c r="EE12" s="12"/>
      <c r="EF12" s="12"/>
      <c r="EG12" s="12"/>
      <c r="EH12" s="12"/>
      <c r="EI12" s="12"/>
      <c r="EJ12" s="12"/>
      <c r="EK12" s="12"/>
      <c r="EL12" s="12"/>
      <c r="EM12" s="12"/>
      <c r="EN12" s="12"/>
      <c r="EO12" s="12"/>
      <c r="EP12" s="12"/>
      <c r="EQ12" s="12"/>
      <c r="ER12" s="12"/>
      <c r="ES12" s="12"/>
      <c r="ET12" s="12"/>
      <c r="EU12" s="12"/>
      <c r="EV12" s="12"/>
      <c r="EW12" s="12"/>
      <c r="EX12" s="12"/>
      <c r="EY12" s="12"/>
      <c r="EZ12" s="12"/>
      <c r="FA12" s="12"/>
      <c r="FB12" s="12"/>
      <c r="FC12" s="12"/>
      <c r="FD12" s="12"/>
      <c r="FE12" s="12"/>
      <c r="FF12" s="12"/>
      <c r="FG12" s="12"/>
      <c r="FH12" s="12"/>
      <c r="FI12" s="12"/>
      <c r="FJ12" s="12"/>
      <c r="FK12" s="12"/>
      <c r="FL12" s="12"/>
      <c r="FM12" s="12"/>
      <c r="FN12" s="12"/>
      <c r="FO12" s="12"/>
      <c r="FP12" s="12"/>
      <c r="FQ12" s="12"/>
      <c r="FR12" s="12"/>
      <c r="FS12" s="12"/>
      <c r="FT12" s="12"/>
      <c r="FU12" s="12"/>
      <c r="FV12" s="12"/>
      <c r="FW12" s="12"/>
      <c r="FX12" s="12"/>
      <c r="FY12" s="12"/>
      <c r="FZ12" s="12"/>
      <c r="GA12" s="12"/>
      <c r="GB12" s="12"/>
      <c r="GC12" s="12"/>
      <c r="GD12" s="12"/>
      <c r="GE12" s="12"/>
    </row>
    <row r="13" spans="1:187" ht="22.5" customHeight="1">
      <c r="A13" s="45" t="s">
        <v>337</v>
      </c>
      <c r="B13" s="9" t="s">
        <v>353</v>
      </c>
      <c r="C13" s="10" t="s">
        <v>351</v>
      </c>
      <c r="D13" s="10" t="s">
        <v>352</v>
      </c>
      <c r="E13" s="35">
        <f>13.2*0.6</f>
        <v>7.919999999999999</v>
      </c>
      <c r="F13" s="35">
        <f>13.2-E13</f>
        <v>5.28</v>
      </c>
      <c r="G13" s="35">
        <f>10.8*0.2</f>
        <v>2.16</v>
      </c>
      <c r="H13" s="35">
        <f>10.8-G13</f>
        <v>8.64</v>
      </c>
      <c r="I13" s="35">
        <f t="shared" si="0"/>
        <v>24</v>
      </c>
      <c r="J13" s="56">
        <f>'2021'!J14</f>
        <v>24</v>
      </c>
      <c r="K13" s="49">
        <v>2977.1976</v>
      </c>
      <c r="L13" s="49">
        <v>3096.2855039999999</v>
      </c>
      <c r="M13" s="49">
        <v>1977.1024</v>
      </c>
      <c r="N13" s="49">
        <v>2056.1864960000003</v>
      </c>
      <c r="O13" s="56">
        <f t="shared" si="1"/>
        <v>1000.0952</v>
      </c>
      <c r="P13" s="1">
        <f t="shared" si="2"/>
        <v>7920.753983999999</v>
      </c>
      <c r="Q13" s="1">
        <f t="shared" si="3"/>
        <v>5280.5026560000006</v>
      </c>
      <c r="R13" s="1">
        <f t="shared" si="4"/>
        <v>2246.6138572799996</v>
      </c>
      <c r="S13" s="1">
        <f t="shared" si="5"/>
        <v>8986.4554291199984</v>
      </c>
      <c r="T13" s="1">
        <f t="shared" si="6"/>
        <v>24434.325926399997</v>
      </c>
      <c r="U13" s="11"/>
      <c r="V13" s="11"/>
      <c r="W13" s="11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2"/>
      <c r="BJ13" s="12"/>
      <c r="BK13" s="12"/>
      <c r="BL13" s="12"/>
      <c r="BM13" s="12"/>
      <c r="BN13" s="12"/>
      <c r="BO13" s="12"/>
      <c r="BP13" s="12"/>
      <c r="BQ13" s="12"/>
      <c r="BR13" s="12"/>
      <c r="BS13" s="12"/>
      <c r="BT13" s="12"/>
      <c r="BU13" s="12"/>
      <c r="BV13" s="12"/>
      <c r="BW13" s="12"/>
      <c r="BX13" s="12"/>
      <c r="BY13" s="12"/>
      <c r="BZ13" s="12"/>
      <c r="CA13" s="12"/>
      <c r="CB13" s="12"/>
      <c r="CC13" s="12"/>
      <c r="CD13" s="12"/>
      <c r="CE13" s="12"/>
      <c r="CF13" s="12"/>
      <c r="CG13" s="12"/>
      <c r="CH13" s="12"/>
      <c r="CI13" s="12"/>
      <c r="CJ13" s="12"/>
      <c r="CK13" s="12"/>
      <c r="CL13" s="12"/>
      <c r="CM13" s="12"/>
      <c r="CN13" s="12"/>
      <c r="CO13" s="12"/>
      <c r="CP13" s="12"/>
      <c r="CQ13" s="12"/>
      <c r="CR13" s="12"/>
      <c r="CS13" s="12"/>
      <c r="CT13" s="12"/>
      <c r="CU13" s="12"/>
      <c r="CV13" s="12"/>
      <c r="CW13" s="12"/>
      <c r="CX13" s="12"/>
      <c r="CY13" s="12"/>
      <c r="CZ13" s="12"/>
      <c r="DA13" s="12"/>
      <c r="DB13" s="12"/>
      <c r="DC13" s="12"/>
      <c r="DD13" s="12"/>
      <c r="DE13" s="12"/>
      <c r="DF13" s="12"/>
      <c r="DG13" s="12"/>
      <c r="DH13" s="12"/>
      <c r="DI13" s="12"/>
      <c r="DJ13" s="12"/>
      <c r="DK13" s="12"/>
      <c r="DL13" s="12"/>
      <c r="DM13" s="12"/>
      <c r="DN13" s="12"/>
      <c r="DO13" s="12"/>
      <c r="DP13" s="12"/>
      <c r="DQ13" s="12"/>
      <c r="DR13" s="12"/>
      <c r="DS13" s="12"/>
      <c r="DT13" s="12"/>
      <c r="DU13" s="12"/>
      <c r="DV13" s="12"/>
      <c r="DW13" s="12"/>
      <c r="DX13" s="12"/>
      <c r="DY13" s="12"/>
      <c r="DZ13" s="12"/>
      <c r="EA13" s="12"/>
      <c r="EB13" s="12"/>
      <c r="EC13" s="12"/>
      <c r="ED13" s="12"/>
      <c r="EE13" s="12"/>
      <c r="EF13" s="12"/>
      <c r="EG13" s="12"/>
      <c r="EH13" s="12"/>
      <c r="EI13" s="12"/>
      <c r="EJ13" s="12"/>
      <c r="EK13" s="12"/>
      <c r="EL13" s="12"/>
      <c r="EM13" s="12"/>
      <c r="EN13" s="12"/>
      <c r="EO13" s="12"/>
      <c r="EP13" s="12"/>
      <c r="EQ13" s="12"/>
      <c r="ER13" s="12"/>
      <c r="ES13" s="12"/>
      <c r="ET13" s="12"/>
      <c r="EU13" s="12"/>
      <c r="EV13" s="12"/>
      <c r="EW13" s="12"/>
      <c r="EX13" s="12"/>
      <c r="EY13" s="12"/>
      <c r="EZ13" s="12"/>
      <c r="FA13" s="12"/>
      <c r="FB13" s="12"/>
      <c r="FC13" s="12"/>
      <c r="FD13" s="12"/>
      <c r="FE13" s="12"/>
      <c r="FF13" s="12"/>
      <c r="FG13" s="12"/>
      <c r="FH13" s="12"/>
      <c r="FI13" s="12"/>
      <c r="FJ13" s="12"/>
      <c r="FK13" s="12"/>
      <c r="FL13" s="12"/>
      <c r="FM13" s="12"/>
      <c r="FN13" s="12"/>
      <c r="FO13" s="12"/>
      <c r="FP13" s="12"/>
      <c r="FQ13" s="12"/>
      <c r="FR13" s="12"/>
      <c r="FS13" s="12"/>
      <c r="FT13" s="12"/>
      <c r="FU13" s="12"/>
      <c r="FV13" s="12"/>
      <c r="FW13" s="12"/>
      <c r="FX13" s="12"/>
      <c r="FY13" s="12"/>
      <c r="FZ13" s="12"/>
      <c r="GA13" s="12"/>
      <c r="GB13" s="12"/>
      <c r="GC13" s="12"/>
      <c r="GD13" s="12"/>
      <c r="GE13" s="12"/>
    </row>
    <row r="14" spans="1:187" ht="21" customHeight="1">
      <c r="A14" s="45"/>
      <c r="B14" s="101" t="s">
        <v>69</v>
      </c>
      <c r="C14" s="101"/>
      <c r="D14" s="101"/>
      <c r="E14" s="34"/>
      <c r="F14" s="34"/>
      <c r="G14" s="34"/>
      <c r="H14" s="34"/>
      <c r="I14" s="35">
        <f t="shared" si="0"/>
        <v>0</v>
      </c>
      <c r="J14" s="56"/>
      <c r="K14" s="49"/>
      <c r="L14" s="49"/>
      <c r="M14" s="49"/>
      <c r="N14" s="49"/>
      <c r="O14" s="56">
        <f t="shared" si="1"/>
        <v>0</v>
      </c>
      <c r="P14" s="1">
        <f t="shared" si="2"/>
        <v>0</v>
      </c>
      <c r="Q14" s="1">
        <f t="shared" si="3"/>
        <v>0</v>
      </c>
      <c r="R14" s="1">
        <f t="shared" si="4"/>
        <v>0</v>
      </c>
      <c r="S14" s="1">
        <f t="shared" si="5"/>
        <v>0</v>
      </c>
      <c r="T14" s="1">
        <f t="shared" si="6"/>
        <v>0</v>
      </c>
      <c r="U14" s="45"/>
      <c r="V14" s="45"/>
      <c r="W14" s="45"/>
    </row>
    <row r="15" spans="1:187" ht="21" customHeight="1">
      <c r="A15" s="45"/>
      <c r="B15" s="9" t="s">
        <v>10</v>
      </c>
      <c r="C15" s="10" t="s">
        <v>74</v>
      </c>
      <c r="D15" s="10" t="s">
        <v>75</v>
      </c>
      <c r="E15" s="35">
        <v>94.2</v>
      </c>
      <c r="F15" s="35">
        <f>150.72-E15</f>
        <v>56.519999999999996</v>
      </c>
      <c r="G15" s="35">
        <v>6.27</v>
      </c>
      <c r="H15" s="35">
        <f>100.47-G15</f>
        <v>94.2</v>
      </c>
      <c r="I15" s="35">
        <f t="shared" si="0"/>
        <v>251.19</v>
      </c>
      <c r="J15" s="56">
        <f>'2021'!J16</f>
        <v>282.59100000000001</v>
      </c>
      <c r="K15" s="49">
        <v>6761.4493440000006</v>
      </c>
      <c r="L15" s="49">
        <v>7031.9073177600012</v>
      </c>
      <c r="M15" s="49">
        <v>2111.6746247999999</v>
      </c>
      <c r="N15" s="49">
        <v>2196.1416097920001</v>
      </c>
      <c r="O15" s="56">
        <f t="shared" si="1"/>
        <v>4649.7747192000006</v>
      </c>
      <c r="P15" s="1">
        <f t="shared" si="2"/>
        <v>438008.77854864008</v>
      </c>
      <c r="Q15" s="1">
        <f t="shared" si="3"/>
        <v>262805.26712918404</v>
      </c>
      <c r="R15" s="1">
        <f t="shared" si="4"/>
        <v>30320.250988959364</v>
      </c>
      <c r="S15" s="1">
        <f t="shared" si="5"/>
        <v>455529.12969058572</v>
      </c>
      <c r="T15" s="1">
        <f t="shared" si="6"/>
        <v>1186663.4263573692</v>
      </c>
      <c r="U15" s="11"/>
      <c r="V15" s="11"/>
      <c r="W15" s="11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2"/>
      <c r="AY15" s="12"/>
      <c r="AZ15" s="12"/>
      <c r="BA15" s="12"/>
      <c r="BB15" s="12"/>
      <c r="BC15" s="12"/>
      <c r="BD15" s="12"/>
      <c r="BE15" s="12"/>
      <c r="BF15" s="12"/>
      <c r="BG15" s="12"/>
      <c r="BH15" s="12"/>
      <c r="BI15" s="12"/>
      <c r="BJ15" s="12"/>
      <c r="BK15" s="12"/>
      <c r="BL15" s="12"/>
      <c r="BM15" s="12"/>
      <c r="BN15" s="12"/>
      <c r="BO15" s="12"/>
      <c r="BP15" s="12"/>
      <c r="BQ15" s="12"/>
      <c r="BR15" s="12"/>
      <c r="BS15" s="12"/>
      <c r="BT15" s="12"/>
      <c r="BU15" s="12"/>
      <c r="BV15" s="12"/>
      <c r="BW15" s="12"/>
      <c r="BX15" s="12"/>
      <c r="BY15" s="12"/>
      <c r="BZ15" s="12"/>
      <c r="CA15" s="12"/>
      <c r="CB15" s="12"/>
      <c r="CC15" s="12"/>
      <c r="CD15" s="12"/>
      <c r="CE15" s="12"/>
      <c r="CF15" s="12"/>
      <c r="CG15" s="12"/>
      <c r="CH15" s="12"/>
      <c r="CI15" s="12"/>
      <c r="CJ15" s="12"/>
      <c r="CK15" s="12"/>
      <c r="CL15" s="12"/>
      <c r="CM15" s="12"/>
      <c r="CN15" s="12"/>
      <c r="CO15" s="12"/>
      <c r="CP15" s="12"/>
      <c r="CQ15" s="12"/>
      <c r="CR15" s="12"/>
      <c r="CS15" s="12"/>
      <c r="CT15" s="12"/>
      <c r="CU15" s="12"/>
      <c r="CV15" s="12"/>
      <c r="CW15" s="12"/>
      <c r="CX15" s="12"/>
      <c r="CY15" s="12"/>
      <c r="CZ15" s="12"/>
      <c r="DA15" s="12"/>
      <c r="DB15" s="12"/>
      <c r="DC15" s="12"/>
      <c r="DD15" s="12"/>
      <c r="DE15" s="12"/>
      <c r="DF15" s="12"/>
      <c r="DG15" s="12"/>
      <c r="DH15" s="12"/>
      <c r="DI15" s="12"/>
      <c r="DJ15" s="12"/>
      <c r="DK15" s="12"/>
      <c r="DL15" s="12"/>
      <c r="DM15" s="12"/>
      <c r="DN15" s="12"/>
      <c r="DO15" s="12"/>
      <c r="DP15" s="12"/>
      <c r="DQ15" s="12"/>
      <c r="DR15" s="12"/>
      <c r="DS15" s="12"/>
      <c r="DT15" s="12"/>
      <c r="DU15" s="12"/>
      <c r="DV15" s="12"/>
      <c r="DW15" s="12"/>
      <c r="DX15" s="12"/>
      <c r="DY15" s="12"/>
      <c r="DZ15" s="12"/>
      <c r="EA15" s="12"/>
      <c r="EB15" s="12"/>
      <c r="EC15" s="12"/>
      <c r="ED15" s="12"/>
      <c r="EE15" s="12"/>
      <c r="EF15" s="12"/>
      <c r="EG15" s="12"/>
      <c r="EH15" s="12"/>
      <c r="EI15" s="12"/>
      <c r="EJ15" s="12"/>
      <c r="EK15" s="12"/>
      <c r="EL15" s="12"/>
      <c r="EM15" s="12"/>
      <c r="EN15" s="12"/>
      <c r="EO15" s="12"/>
      <c r="EP15" s="12"/>
      <c r="EQ15" s="12"/>
      <c r="ER15" s="12"/>
      <c r="ES15" s="12"/>
      <c r="ET15" s="12"/>
      <c r="EU15" s="12"/>
      <c r="EV15" s="12"/>
      <c r="EW15" s="12"/>
      <c r="EX15" s="12"/>
      <c r="EY15" s="12"/>
      <c r="EZ15" s="12"/>
      <c r="FA15" s="12"/>
      <c r="FB15" s="12"/>
      <c r="FC15" s="12"/>
      <c r="FD15" s="12"/>
      <c r="FE15" s="12"/>
      <c r="FF15" s="12"/>
      <c r="FG15" s="12"/>
      <c r="FH15" s="12"/>
      <c r="FI15" s="12"/>
      <c r="FJ15" s="12"/>
      <c r="FK15" s="12"/>
      <c r="FL15" s="12"/>
      <c r="FM15" s="12"/>
      <c r="FN15" s="12"/>
      <c r="FO15" s="12"/>
      <c r="FP15" s="12"/>
      <c r="FQ15" s="12"/>
      <c r="FR15" s="12"/>
      <c r="FS15" s="12"/>
      <c r="FT15" s="12"/>
      <c r="FU15" s="12"/>
      <c r="FV15" s="12"/>
      <c r="FW15" s="12"/>
      <c r="FX15" s="12"/>
      <c r="FY15" s="12"/>
      <c r="FZ15" s="12"/>
      <c r="GA15" s="12"/>
      <c r="GB15" s="12"/>
      <c r="GC15" s="12"/>
      <c r="GD15" s="12"/>
      <c r="GE15" s="12"/>
    </row>
    <row r="16" spans="1:187" ht="23.25" customHeight="1">
      <c r="A16" s="45"/>
      <c r="B16" s="9" t="s">
        <v>290</v>
      </c>
      <c r="C16" s="10" t="s">
        <v>76</v>
      </c>
      <c r="D16" s="10" t="s">
        <v>323</v>
      </c>
      <c r="E16" s="35">
        <v>112.71299999999999</v>
      </c>
      <c r="F16" s="35">
        <f>165.904-E16</f>
        <v>53.191000000000003</v>
      </c>
      <c r="G16" s="35">
        <v>19.88</v>
      </c>
      <c r="H16" s="35">
        <f>132.643-G16</f>
        <v>112.76300000000001</v>
      </c>
      <c r="I16" s="35">
        <f t="shared" si="0"/>
        <v>298.54700000000003</v>
      </c>
      <c r="J16" s="56">
        <f>'2021'!J17</f>
        <v>328.9</v>
      </c>
      <c r="K16" s="49">
        <v>3971.9813120000003</v>
      </c>
      <c r="L16" s="49">
        <v>4130.8605644800009</v>
      </c>
      <c r="M16" s="49">
        <v>1268.8640743999999</v>
      </c>
      <c r="N16" s="49">
        <v>1319.6186373759999</v>
      </c>
      <c r="O16" s="56">
        <f t="shared" si="1"/>
        <v>2703.1172376000004</v>
      </c>
      <c r="P16" s="1">
        <f t="shared" si="2"/>
        <v>304676.45320160885</v>
      </c>
      <c r="Q16" s="1">
        <f t="shared" si="3"/>
        <v>143781.50898518163</v>
      </c>
      <c r="R16" s="1">
        <f t="shared" si="4"/>
        <v>55887.48951082753</v>
      </c>
      <c r="S16" s="1">
        <f t="shared" si="5"/>
        <v>317004.07342602842</v>
      </c>
      <c r="T16" s="1">
        <f t="shared" si="6"/>
        <v>821349.52512364648</v>
      </c>
      <c r="U16" s="11"/>
      <c r="V16" s="11"/>
      <c r="W16" s="11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  <c r="BM16" s="12"/>
      <c r="BN16" s="12"/>
      <c r="BO16" s="12"/>
      <c r="BP16" s="12"/>
      <c r="BQ16" s="12"/>
      <c r="BR16" s="12"/>
      <c r="BS16" s="12"/>
      <c r="BT16" s="12"/>
      <c r="BU16" s="12"/>
      <c r="BV16" s="12"/>
      <c r="BW16" s="12"/>
      <c r="BX16" s="12"/>
      <c r="BY16" s="12"/>
      <c r="BZ16" s="12"/>
      <c r="CA16" s="12"/>
      <c r="CB16" s="12"/>
      <c r="CC16" s="12"/>
      <c r="CD16" s="12"/>
      <c r="CE16" s="12"/>
      <c r="CF16" s="12"/>
      <c r="CG16" s="12"/>
      <c r="CH16" s="12"/>
      <c r="CI16" s="12"/>
      <c r="CJ16" s="12"/>
      <c r="CK16" s="12"/>
      <c r="CL16" s="12"/>
      <c r="CM16" s="12"/>
      <c r="CN16" s="12"/>
      <c r="CO16" s="12"/>
      <c r="CP16" s="12"/>
      <c r="CQ16" s="12"/>
      <c r="CR16" s="12"/>
      <c r="CS16" s="12"/>
      <c r="CT16" s="12"/>
      <c r="CU16" s="12"/>
      <c r="CV16" s="12"/>
      <c r="CW16" s="12"/>
      <c r="CX16" s="12"/>
      <c r="CY16" s="12"/>
      <c r="CZ16" s="12"/>
      <c r="DA16" s="12"/>
      <c r="DB16" s="12"/>
      <c r="DC16" s="12"/>
      <c r="DD16" s="12"/>
      <c r="DE16" s="12"/>
      <c r="DF16" s="12"/>
      <c r="DG16" s="12"/>
      <c r="DH16" s="12"/>
      <c r="DI16" s="12"/>
      <c r="DJ16" s="12"/>
      <c r="DK16" s="12"/>
      <c r="DL16" s="12"/>
      <c r="DM16" s="12"/>
      <c r="DN16" s="12"/>
      <c r="DO16" s="12"/>
      <c r="DP16" s="12"/>
      <c r="DQ16" s="12"/>
      <c r="DR16" s="12"/>
      <c r="DS16" s="12"/>
      <c r="DT16" s="12"/>
      <c r="DU16" s="12"/>
      <c r="DV16" s="12"/>
      <c r="DW16" s="12"/>
      <c r="DX16" s="12"/>
      <c r="DY16" s="12"/>
      <c r="DZ16" s="12"/>
      <c r="EA16" s="12"/>
      <c r="EB16" s="12"/>
      <c r="EC16" s="12"/>
      <c r="ED16" s="12"/>
      <c r="EE16" s="12"/>
      <c r="EF16" s="12"/>
      <c r="EG16" s="12"/>
      <c r="EH16" s="12"/>
      <c r="EI16" s="12"/>
      <c r="EJ16" s="12"/>
      <c r="EK16" s="12"/>
      <c r="EL16" s="12"/>
      <c r="EM16" s="12"/>
      <c r="EN16" s="12"/>
      <c r="EO16" s="12"/>
      <c r="EP16" s="12"/>
      <c r="EQ16" s="12"/>
      <c r="ER16" s="12"/>
      <c r="ES16" s="12"/>
      <c r="ET16" s="12"/>
      <c r="EU16" s="12"/>
      <c r="EV16" s="12"/>
      <c r="EW16" s="12"/>
      <c r="EX16" s="12"/>
      <c r="EY16" s="12"/>
      <c r="EZ16" s="12"/>
      <c r="FA16" s="12"/>
      <c r="FB16" s="12"/>
      <c r="FC16" s="12"/>
      <c r="FD16" s="12"/>
      <c r="FE16" s="12"/>
      <c r="FF16" s="12"/>
      <c r="FG16" s="12"/>
      <c r="FH16" s="12"/>
      <c r="FI16" s="12"/>
      <c r="FJ16" s="12"/>
      <c r="FK16" s="12"/>
      <c r="FL16" s="12"/>
      <c r="FM16" s="12"/>
      <c r="FN16" s="12"/>
      <c r="FO16" s="12"/>
      <c r="FP16" s="12"/>
      <c r="FQ16" s="12"/>
      <c r="FR16" s="12"/>
      <c r="FS16" s="12"/>
      <c r="FT16" s="12"/>
      <c r="FU16" s="12"/>
      <c r="FV16" s="12"/>
      <c r="FW16" s="12"/>
      <c r="FX16" s="12"/>
      <c r="FY16" s="12"/>
      <c r="FZ16" s="12"/>
      <c r="GA16" s="12"/>
      <c r="GB16" s="12"/>
      <c r="GC16" s="12"/>
      <c r="GD16" s="12"/>
      <c r="GE16" s="12"/>
    </row>
    <row r="17" spans="1:187" ht="23.25" customHeight="1">
      <c r="A17" s="45"/>
      <c r="B17" s="9" t="s">
        <v>290</v>
      </c>
      <c r="C17" s="10" t="s">
        <v>76</v>
      </c>
      <c r="D17" s="10" t="s">
        <v>324</v>
      </c>
      <c r="E17" s="35">
        <v>145.21</v>
      </c>
      <c r="F17" s="35">
        <f>214.31-E17</f>
        <v>69.099999999999994</v>
      </c>
      <c r="G17" s="35">
        <v>23.91</v>
      </c>
      <c r="H17" s="35">
        <f>176.12-G17</f>
        <v>152.21</v>
      </c>
      <c r="I17" s="35">
        <f t="shared" si="0"/>
        <v>390.43</v>
      </c>
      <c r="J17" s="56">
        <f>'2021'!J18</f>
        <v>432.91</v>
      </c>
      <c r="K17" s="49">
        <v>5909.1160960000007</v>
      </c>
      <c r="L17" s="49">
        <v>6145.4807398400008</v>
      </c>
      <c r="M17" s="49">
        <v>1529.9209431999998</v>
      </c>
      <c r="N17" s="49">
        <v>1591.1177809279998</v>
      </c>
      <c r="O17" s="56">
        <f t="shared" si="1"/>
        <v>4379.1951528000009</v>
      </c>
      <c r="P17" s="1">
        <f t="shared" si="2"/>
        <v>635902.9281380882</v>
      </c>
      <c r="Q17" s="1">
        <f t="shared" si="3"/>
        <v>302602.38505848002</v>
      </c>
      <c r="R17" s="1">
        <f t="shared" si="4"/>
        <v>108894.81834758594</v>
      </c>
      <c r="S17" s="1">
        <f t="shared" si="5"/>
        <v>693219.58597599575</v>
      </c>
      <c r="T17" s="1">
        <f t="shared" si="6"/>
        <v>1740619.7175201499</v>
      </c>
      <c r="U17" s="11"/>
      <c r="V17" s="11"/>
      <c r="W17" s="11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  <c r="AZ17" s="12"/>
      <c r="BA17" s="12"/>
      <c r="BB17" s="12"/>
      <c r="BC17" s="12"/>
      <c r="BD17" s="12"/>
      <c r="BE17" s="12"/>
      <c r="BF17" s="12"/>
      <c r="BG17" s="12"/>
      <c r="BH17" s="12"/>
      <c r="BI17" s="12"/>
      <c r="BJ17" s="12"/>
      <c r="BK17" s="12"/>
      <c r="BL17" s="12"/>
      <c r="BM17" s="12"/>
      <c r="BN17" s="12"/>
      <c r="BO17" s="12"/>
      <c r="BP17" s="12"/>
      <c r="BQ17" s="12"/>
      <c r="BR17" s="12"/>
      <c r="BS17" s="12"/>
      <c r="BT17" s="12"/>
      <c r="BU17" s="12"/>
      <c r="BV17" s="12"/>
      <c r="BW17" s="12"/>
      <c r="BX17" s="12"/>
      <c r="BY17" s="12"/>
      <c r="BZ17" s="12"/>
      <c r="CA17" s="12"/>
      <c r="CB17" s="12"/>
      <c r="CC17" s="12"/>
      <c r="CD17" s="12"/>
      <c r="CE17" s="12"/>
      <c r="CF17" s="12"/>
      <c r="CG17" s="12"/>
      <c r="CH17" s="12"/>
      <c r="CI17" s="12"/>
      <c r="CJ17" s="12"/>
      <c r="CK17" s="12"/>
      <c r="CL17" s="12"/>
      <c r="CM17" s="12"/>
      <c r="CN17" s="12"/>
      <c r="CO17" s="12"/>
      <c r="CP17" s="12"/>
      <c r="CQ17" s="12"/>
      <c r="CR17" s="12"/>
      <c r="CS17" s="12"/>
      <c r="CT17" s="12"/>
      <c r="CU17" s="12"/>
      <c r="CV17" s="12"/>
      <c r="CW17" s="12"/>
      <c r="CX17" s="12"/>
      <c r="CY17" s="12"/>
      <c r="CZ17" s="12"/>
      <c r="DA17" s="12"/>
      <c r="DB17" s="12"/>
      <c r="DC17" s="12"/>
      <c r="DD17" s="12"/>
      <c r="DE17" s="12"/>
      <c r="DF17" s="12"/>
      <c r="DG17" s="12"/>
      <c r="DH17" s="12"/>
      <c r="DI17" s="12"/>
      <c r="DJ17" s="12"/>
      <c r="DK17" s="12"/>
      <c r="DL17" s="12"/>
      <c r="DM17" s="12"/>
      <c r="DN17" s="12"/>
      <c r="DO17" s="12"/>
      <c r="DP17" s="12"/>
      <c r="DQ17" s="12"/>
      <c r="DR17" s="12"/>
      <c r="DS17" s="12"/>
      <c r="DT17" s="12"/>
      <c r="DU17" s="12"/>
      <c r="DV17" s="12"/>
      <c r="DW17" s="12"/>
      <c r="DX17" s="12"/>
      <c r="DY17" s="12"/>
      <c r="DZ17" s="12"/>
      <c r="EA17" s="12"/>
      <c r="EB17" s="12"/>
      <c r="EC17" s="12"/>
      <c r="ED17" s="12"/>
      <c r="EE17" s="12"/>
      <c r="EF17" s="12"/>
      <c r="EG17" s="12"/>
      <c r="EH17" s="12"/>
      <c r="EI17" s="12"/>
      <c r="EJ17" s="12"/>
      <c r="EK17" s="12"/>
      <c r="EL17" s="12"/>
      <c r="EM17" s="12"/>
      <c r="EN17" s="12"/>
      <c r="EO17" s="12"/>
      <c r="EP17" s="12"/>
      <c r="EQ17" s="12"/>
      <c r="ER17" s="12"/>
      <c r="ES17" s="12"/>
      <c r="ET17" s="12"/>
      <c r="EU17" s="12"/>
      <c r="EV17" s="12"/>
      <c r="EW17" s="12"/>
      <c r="EX17" s="12"/>
      <c r="EY17" s="12"/>
      <c r="EZ17" s="12"/>
      <c r="FA17" s="12"/>
      <c r="FB17" s="12"/>
      <c r="FC17" s="12"/>
      <c r="FD17" s="12"/>
      <c r="FE17" s="12"/>
      <c r="FF17" s="12"/>
      <c r="FG17" s="12"/>
      <c r="FH17" s="12"/>
      <c r="FI17" s="12"/>
      <c r="FJ17" s="12"/>
      <c r="FK17" s="12"/>
      <c r="FL17" s="12"/>
      <c r="FM17" s="12"/>
      <c r="FN17" s="12"/>
      <c r="FO17" s="12"/>
      <c r="FP17" s="12"/>
      <c r="FQ17" s="12"/>
      <c r="FR17" s="12"/>
      <c r="FS17" s="12"/>
      <c r="FT17" s="12"/>
      <c r="FU17" s="12"/>
      <c r="FV17" s="12"/>
      <c r="FW17" s="12"/>
      <c r="FX17" s="12"/>
      <c r="FY17" s="12"/>
      <c r="FZ17" s="12"/>
      <c r="GA17" s="12"/>
      <c r="GB17" s="12"/>
      <c r="GC17" s="12"/>
      <c r="GD17" s="12"/>
      <c r="GE17" s="12"/>
    </row>
    <row r="18" spans="1:187" ht="21" customHeight="1">
      <c r="A18" s="45"/>
      <c r="B18" s="9" t="s">
        <v>15</v>
      </c>
      <c r="C18" s="10" t="s">
        <v>79</v>
      </c>
      <c r="D18" s="10" t="s">
        <v>80</v>
      </c>
      <c r="E18" s="35">
        <v>411.36</v>
      </c>
      <c r="F18" s="35">
        <f>617.04-E18</f>
        <v>205.67999999999995</v>
      </c>
      <c r="G18" s="35">
        <v>68.56</v>
      </c>
      <c r="H18" s="35">
        <f>479.92-G18</f>
        <v>411.36</v>
      </c>
      <c r="I18" s="35">
        <f t="shared" si="0"/>
        <v>1096.96</v>
      </c>
      <c r="J18" s="56">
        <f>'2021'!J19</f>
        <v>1127.27</v>
      </c>
      <c r="K18" s="49">
        <v>3073.9612800000004</v>
      </c>
      <c r="L18" s="49">
        <v>3196.9197312000006</v>
      </c>
      <c r="M18" s="49">
        <v>1936.7559535999997</v>
      </c>
      <c r="N18" s="49">
        <v>2014.2261917439996</v>
      </c>
      <c r="O18" s="56">
        <f t="shared" si="1"/>
        <v>1137.2053264000008</v>
      </c>
      <c r="P18" s="1">
        <f t="shared" si="2"/>
        <v>467800.78306790435</v>
      </c>
      <c r="Q18" s="1">
        <f t="shared" si="3"/>
        <v>233900.39153395212</v>
      </c>
      <c r="R18" s="1">
        <f t="shared" si="4"/>
        <v>81085.469065103433</v>
      </c>
      <c r="S18" s="1">
        <f t="shared" si="5"/>
        <v>486512.81439062057</v>
      </c>
      <c r="T18" s="1">
        <f t="shared" si="6"/>
        <v>1269299.4580575805</v>
      </c>
      <c r="U18" s="11"/>
      <c r="V18" s="11"/>
      <c r="W18" s="11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  <c r="AZ18" s="12"/>
      <c r="BA18" s="12"/>
      <c r="BB18" s="12"/>
      <c r="BC18" s="12"/>
      <c r="BD18" s="12"/>
      <c r="BE18" s="12"/>
      <c r="BF18" s="12"/>
      <c r="BG18" s="12"/>
      <c r="BH18" s="12"/>
      <c r="BI18" s="12"/>
      <c r="BJ18" s="12"/>
      <c r="BK18" s="12"/>
      <c r="BL18" s="12"/>
      <c r="BM18" s="12"/>
      <c r="BN18" s="12"/>
      <c r="BO18" s="12"/>
      <c r="BP18" s="12"/>
      <c r="BQ18" s="12"/>
      <c r="BR18" s="12"/>
      <c r="BS18" s="12"/>
      <c r="BT18" s="12"/>
      <c r="BU18" s="12"/>
      <c r="BV18" s="12"/>
      <c r="BW18" s="12"/>
      <c r="BX18" s="12"/>
      <c r="BY18" s="12"/>
      <c r="BZ18" s="12"/>
      <c r="CA18" s="12"/>
      <c r="CB18" s="12"/>
      <c r="CC18" s="12"/>
      <c r="CD18" s="12"/>
      <c r="CE18" s="12"/>
      <c r="CF18" s="12"/>
      <c r="CG18" s="12"/>
      <c r="CH18" s="12"/>
      <c r="CI18" s="12"/>
      <c r="CJ18" s="12"/>
      <c r="CK18" s="12"/>
      <c r="CL18" s="12"/>
      <c r="CM18" s="12"/>
      <c r="CN18" s="12"/>
      <c r="CO18" s="12"/>
      <c r="CP18" s="12"/>
      <c r="CQ18" s="12"/>
      <c r="CR18" s="12"/>
      <c r="CS18" s="12"/>
      <c r="CT18" s="12"/>
      <c r="CU18" s="12"/>
      <c r="CV18" s="12"/>
      <c r="CW18" s="12"/>
      <c r="CX18" s="12"/>
      <c r="CY18" s="12"/>
      <c r="CZ18" s="12"/>
      <c r="DA18" s="12"/>
      <c r="DB18" s="12"/>
      <c r="DC18" s="12"/>
      <c r="DD18" s="12"/>
      <c r="DE18" s="12"/>
      <c r="DF18" s="12"/>
      <c r="DG18" s="12"/>
      <c r="DH18" s="12"/>
      <c r="DI18" s="12"/>
      <c r="DJ18" s="12"/>
      <c r="DK18" s="12"/>
      <c r="DL18" s="12"/>
      <c r="DM18" s="12"/>
      <c r="DN18" s="12"/>
      <c r="DO18" s="12"/>
      <c r="DP18" s="12"/>
      <c r="DQ18" s="12"/>
      <c r="DR18" s="12"/>
      <c r="DS18" s="12"/>
      <c r="DT18" s="12"/>
      <c r="DU18" s="12"/>
      <c r="DV18" s="12"/>
      <c r="DW18" s="12"/>
      <c r="DX18" s="12"/>
      <c r="DY18" s="12"/>
      <c r="DZ18" s="12"/>
      <c r="EA18" s="12"/>
      <c r="EB18" s="12"/>
      <c r="EC18" s="12"/>
      <c r="ED18" s="12"/>
      <c r="EE18" s="12"/>
      <c r="EF18" s="12"/>
      <c r="EG18" s="12"/>
      <c r="EH18" s="12"/>
      <c r="EI18" s="12"/>
      <c r="EJ18" s="12"/>
      <c r="EK18" s="12"/>
      <c r="EL18" s="12"/>
      <c r="EM18" s="12"/>
      <c r="EN18" s="12"/>
      <c r="EO18" s="12"/>
      <c r="EP18" s="12"/>
      <c r="EQ18" s="12"/>
      <c r="ER18" s="12"/>
      <c r="ES18" s="12"/>
      <c r="ET18" s="12"/>
      <c r="EU18" s="12"/>
      <c r="EV18" s="12"/>
      <c r="EW18" s="12"/>
      <c r="EX18" s="12"/>
      <c r="EY18" s="12"/>
      <c r="EZ18" s="12"/>
      <c r="FA18" s="12"/>
      <c r="FB18" s="12"/>
      <c r="FC18" s="12"/>
      <c r="FD18" s="12"/>
      <c r="FE18" s="12"/>
      <c r="FF18" s="12"/>
      <c r="FG18" s="12"/>
      <c r="FH18" s="12"/>
      <c r="FI18" s="12"/>
      <c r="FJ18" s="12"/>
      <c r="FK18" s="12"/>
      <c r="FL18" s="12"/>
      <c r="FM18" s="12"/>
      <c r="FN18" s="12"/>
      <c r="FO18" s="12"/>
      <c r="FP18" s="12"/>
      <c r="FQ18" s="12"/>
      <c r="FR18" s="12"/>
      <c r="FS18" s="12"/>
      <c r="FT18" s="12"/>
      <c r="FU18" s="12"/>
      <c r="FV18" s="12"/>
      <c r="FW18" s="12"/>
      <c r="FX18" s="12"/>
      <c r="FY18" s="12"/>
      <c r="FZ18" s="12"/>
      <c r="GA18" s="12"/>
      <c r="GB18" s="12"/>
      <c r="GC18" s="12"/>
      <c r="GD18" s="12"/>
      <c r="GE18" s="12"/>
    </row>
    <row r="19" spans="1:187" ht="21" customHeight="1">
      <c r="A19" s="45"/>
      <c r="B19" s="9" t="s">
        <v>11</v>
      </c>
      <c r="C19" s="10" t="s">
        <v>70</v>
      </c>
      <c r="D19" s="10" t="s">
        <v>322</v>
      </c>
      <c r="E19" s="35">
        <v>40.53</v>
      </c>
      <c r="F19" s="35">
        <f>60.14-E19</f>
        <v>19.61</v>
      </c>
      <c r="G19" s="35">
        <v>6.7549999999999999</v>
      </c>
      <c r="H19" s="35">
        <f>47.73-G19</f>
        <v>40.974999999999994</v>
      </c>
      <c r="I19" s="35">
        <f t="shared" si="0"/>
        <v>107.86999999999999</v>
      </c>
      <c r="J19" s="56">
        <f>'2021'!J20</f>
        <v>108.08000000000001</v>
      </c>
      <c r="K19" s="49">
        <v>14010.429888000002</v>
      </c>
      <c r="L19" s="49">
        <v>14570.847083520002</v>
      </c>
      <c r="M19" s="49">
        <v>1749.8122303999999</v>
      </c>
      <c r="N19" s="49">
        <v>1819.8047196159998</v>
      </c>
      <c r="O19" s="56">
        <f t="shared" si="1"/>
        <v>12260.617657600003</v>
      </c>
      <c r="P19" s="1">
        <f t="shared" si="2"/>
        <v>496922.83366252814</v>
      </c>
      <c r="Q19" s="1">
        <f t="shared" si="3"/>
        <v>240430.71226553607</v>
      </c>
      <c r="R19" s="1">
        <f t="shared" si="4"/>
        <v>86133.291168171534</v>
      </c>
      <c r="S19" s="1">
        <f t="shared" si="5"/>
        <v>522473.96086096641</v>
      </c>
      <c r="T19" s="1">
        <f t="shared" si="6"/>
        <v>1345960.7979572022</v>
      </c>
      <c r="U19" s="11"/>
      <c r="V19" s="11"/>
      <c r="W19" s="11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  <c r="AZ19" s="12"/>
      <c r="BA19" s="12"/>
      <c r="BB19" s="12"/>
      <c r="BC19" s="12"/>
      <c r="BD19" s="12"/>
      <c r="BE19" s="12"/>
      <c r="BF19" s="12"/>
      <c r="BG19" s="12"/>
      <c r="BH19" s="12"/>
      <c r="BI19" s="12"/>
      <c r="BJ19" s="12"/>
      <c r="BK19" s="12"/>
      <c r="BL19" s="12"/>
      <c r="BM19" s="12"/>
      <c r="BN19" s="12"/>
      <c r="BO19" s="12"/>
      <c r="BP19" s="12"/>
      <c r="BQ19" s="12"/>
      <c r="BR19" s="12"/>
      <c r="BS19" s="12"/>
      <c r="BT19" s="12"/>
      <c r="BU19" s="12"/>
      <c r="BV19" s="12"/>
      <c r="BW19" s="12"/>
      <c r="BX19" s="12"/>
      <c r="BY19" s="12"/>
      <c r="BZ19" s="12"/>
      <c r="CA19" s="12"/>
      <c r="CB19" s="12"/>
      <c r="CC19" s="12"/>
      <c r="CD19" s="12"/>
      <c r="CE19" s="12"/>
      <c r="CF19" s="12"/>
      <c r="CG19" s="12"/>
      <c r="CH19" s="12"/>
      <c r="CI19" s="12"/>
      <c r="CJ19" s="12"/>
      <c r="CK19" s="12"/>
      <c r="CL19" s="12"/>
      <c r="CM19" s="12"/>
      <c r="CN19" s="12"/>
      <c r="CO19" s="12"/>
      <c r="CP19" s="12"/>
      <c r="CQ19" s="12"/>
      <c r="CR19" s="12"/>
      <c r="CS19" s="12"/>
      <c r="CT19" s="12"/>
      <c r="CU19" s="12"/>
      <c r="CV19" s="12"/>
      <c r="CW19" s="12"/>
      <c r="CX19" s="12"/>
      <c r="CY19" s="12"/>
      <c r="CZ19" s="12"/>
      <c r="DA19" s="12"/>
      <c r="DB19" s="12"/>
      <c r="DC19" s="12"/>
      <c r="DD19" s="12"/>
      <c r="DE19" s="12"/>
      <c r="DF19" s="12"/>
      <c r="DG19" s="12"/>
      <c r="DH19" s="12"/>
      <c r="DI19" s="12"/>
      <c r="DJ19" s="12"/>
      <c r="DK19" s="12"/>
      <c r="DL19" s="12"/>
      <c r="DM19" s="12"/>
      <c r="DN19" s="12"/>
      <c r="DO19" s="12"/>
      <c r="DP19" s="12"/>
      <c r="DQ19" s="12"/>
      <c r="DR19" s="12"/>
      <c r="DS19" s="12"/>
      <c r="DT19" s="12"/>
      <c r="DU19" s="12"/>
      <c r="DV19" s="12"/>
      <c r="DW19" s="12"/>
      <c r="DX19" s="12"/>
      <c r="DY19" s="12"/>
      <c r="DZ19" s="12"/>
      <c r="EA19" s="12"/>
      <c r="EB19" s="12"/>
      <c r="EC19" s="12"/>
      <c r="ED19" s="12"/>
      <c r="EE19" s="12"/>
      <c r="EF19" s="12"/>
      <c r="EG19" s="12"/>
      <c r="EH19" s="12"/>
      <c r="EI19" s="12"/>
      <c r="EJ19" s="12"/>
      <c r="EK19" s="12"/>
      <c r="EL19" s="12"/>
      <c r="EM19" s="12"/>
      <c r="EN19" s="12"/>
      <c r="EO19" s="12"/>
      <c r="EP19" s="12"/>
      <c r="EQ19" s="12"/>
      <c r="ER19" s="12"/>
      <c r="ES19" s="12"/>
      <c r="ET19" s="12"/>
      <c r="EU19" s="12"/>
      <c r="EV19" s="12"/>
      <c r="EW19" s="12"/>
      <c r="EX19" s="12"/>
      <c r="EY19" s="12"/>
      <c r="EZ19" s="12"/>
      <c r="FA19" s="12"/>
      <c r="FB19" s="12"/>
      <c r="FC19" s="12"/>
      <c r="FD19" s="12"/>
      <c r="FE19" s="12"/>
      <c r="FF19" s="12"/>
      <c r="FG19" s="12"/>
      <c r="FH19" s="12"/>
      <c r="FI19" s="12"/>
      <c r="FJ19" s="12"/>
      <c r="FK19" s="12"/>
      <c r="FL19" s="12"/>
      <c r="FM19" s="12"/>
      <c r="FN19" s="12"/>
      <c r="FO19" s="12"/>
      <c r="FP19" s="12"/>
      <c r="FQ19" s="12"/>
      <c r="FR19" s="12"/>
      <c r="FS19" s="12"/>
      <c r="FT19" s="12"/>
      <c r="FU19" s="12"/>
      <c r="FV19" s="12"/>
      <c r="FW19" s="12"/>
      <c r="FX19" s="12"/>
      <c r="FY19" s="12"/>
      <c r="FZ19" s="12"/>
      <c r="GA19" s="12"/>
      <c r="GB19" s="12"/>
      <c r="GC19" s="12"/>
      <c r="GD19" s="12"/>
      <c r="GE19" s="12"/>
    </row>
    <row r="20" spans="1:187" ht="21" customHeight="1">
      <c r="A20" s="45"/>
      <c r="B20" s="9" t="s">
        <v>11</v>
      </c>
      <c r="C20" s="10" t="s">
        <v>70</v>
      </c>
      <c r="D20" s="10" t="s">
        <v>321</v>
      </c>
      <c r="E20" s="35">
        <v>498.798</v>
      </c>
      <c r="F20" s="35">
        <f>690.259-E20</f>
        <v>191.46100000000001</v>
      </c>
      <c r="G20" s="35">
        <v>38.567</v>
      </c>
      <c r="H20" s="35">
        <f>387-G20</f>
        <v>348.43299999999999</v>
      </c>
      <c r="I20" s="35">
        <f t="shared" si="0"/>
        <v>1077.259</v>
      </c>
      <c r="J20" s="56">
        <f>'2021'!J21</f>
        <v>1058.6299999999999</v>
      </c>
      <c r="K20" s="49">
        <v>2443.2695040000003</v>
      </c>
      <c r="L20" s="49">
        <v>2541.0002841600003</v>
      </c>
      <c r="M20" s="49">
        <v>2015.8624616</v>
      </c>
      <c r="N20" s="49">
        <v>2096.4969600640002</v>
      </c>
      <c r="O20" s="56">
        <f t="shared" si="1"/>
        <v>427.40704240000036</v>
      </c>
      <c r="P20" s="1">
        <f t="shared" si="2"/>
        <v>213189.77793503538</v>
      </c>
      <c r="Q20" s="1">
        <f t="shared" si="3"/>
        <v>81831.779744946471</v>
      </c>
      <c r="R20" s="1">
        <f t="shared" si="4"/>
        <v>17143.159700410437</v>
      </c>
      <c r="S20" s="1">
        <f t="shared" si="5"/>
        <v>154879.62672474163</v>
      </c>
      <c r="T20" s="1">
        <f t="shared" si="6"/>
        <v>467044.3441051339</v>
      </c>
      <c r="U20" s="11"/>
      <c r="V20" s="11"/>
      <c r="W20" s="11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12"/>
      <c r="AU20" s="12"/>
      <c r="AV20" s="12"/>
      <c r="AW20" s="12"/>
      <c r="AX20" s="12"/>
      <c r="AY20" s="12"/>
      <c r="AZ20" s="12"/>
      <c r="BA20" s="12"/>
      <c r="BB20" s="12"/>
      <c r="BC20" s="12"/>
      <c r="BD20" s="12"/>
      <c r="BE20" s="12"/>
      <c r="BF20" s="12"/>
      <c r="BG20" s="12"/>
      <c r="BH20" s="12"/>
      <c r="BI20" s="12"/>
      <c r="BJ20" s="12"/>
      <c r="BK20" s="12"/>
      <c r="BL20" s="12"/>
      <c r="BM20" s="12"/>
      <c r="BN20" s="12"/>
      <c r="BO20" s="12"/>
      <c r="BP20" s="12"/>
      <c r="BQ20" s="12"/>
      <c r="BR20" s="12"/>
      <c r="BS20" s="12"/>
      <c r="BT20" s="12"/>
      <c r="BU20" s="12"/>
      <c r="BV20" s="12"/>
      <c r="BW20" s="12"/>
      <c r="BX20" s="12"/>
      <c r="BY20" s="12"/>
      <c r="BZ20" s="12"/>
      <c r="CA20" s="12"/>
      <c r="CB20" s="12"/>
      <c r="CC20" s="12"/>
      <c r="CD20" s="12"/>
      <c r="CE20" s="12"/>
      <c r="CF20" s="12"/>
      <c r="CG20" s="12"/>
      <c r="CH20" s="12"/>
      <c r="CI20" s="12"/>
      <c r="CJ20" s="12"/>
      <c r="CK20" s="12"/>
      <c r="CL20" s="12"/>
      <c r="CM20" s="12"/>
      <c r="CN20" s="12"/>
      <c r="CO20" s="12"/>
      <c r="CP20" s="12"/>
      <c r="CQ20" s="12"/>
      <c r="CR20" s="12"/>
      <c r="CS20" s="12"/>
      <c r="CT20" s="12"/>
      <c r="CU20" s="12"/>
      <c r="CV20" s="12"/>
      <c r="CW20" s="12"/>
      <c r="CX20" s="12"/>
      <c r="CY20" s="12"/>
      <c r="CZ20" s="12"/>
      <c r="DA20" s="12"/>
      <c r="DB20" s="12"/>
      <c r="DC20" s="12"/>
      <c r="DD20" s="12"/>
      <c r="DE20" s="12"/>
      <c r="DF20" s="12"/>
      <c r="DG20" s="12"/>
      <c r="DH20" s="12"/>
      <c r="DI20" s="12"/>
      <c r="DJ20" s="12"/>
      <c r="DK20" s="12"/>
      <c r="DL20" s="12"/>
      <c r="DM20" s="12"/>
      <c r="DN20" s="12"/>
      <c r="DO20" s="12"/>
      <c r="DP20" s="12"/>
      <c r="DQ20" s="12"/>
      <c r="DR20" s="12"/>
      <c r="DS20" s="12"/>
      <c r="DT20" s="12"/>
      <c r="DU20" s="12"/>
      <c r="DV20" s="12"/>
      <c r="DW20" s="12"/>
      <c r="DX20" s="12"/>
      <c r="DY20" s="12"/>
      <c r="DZ20" s="12"/>
      <c r="EA20" s="12"/>
      <c r="EB20" s="12"/>
      <c r="EC20" s="12"/>
      <c r="ED20" s="12"/>
      <c r="EE20" s="12"/>
      <c r="EF20" s="12"/>
      <c r="EG20" s="12"/>
      <c r="EH20" s="12"/>
      <c r="EI20" s="12"/>
      <c r="EJ20" s="12"/>
      <c r="EK20" s="12"/>
      <c r="EL20" s="12"/>
      <c r="EM20" s="12"/>
      <c r="EN20" s="12"/>
      <c r="EO20" s="12"/>
      <c r="EP20" s="12"/>
      <c r="EQ20" s="12"/>
      <c r="ER20" s="12"/>
      <c r="ES20" s="12"/>
      <c r="ET20" s="12"/>
      <c r="EU20" s="12"/>
      <c r="EV20" s="12"/>
      <c r="EW20" s="12"/>
      <c r="EX20" s="12"/>
      <c r="EY20" s="12"/>
      <c r="EZ20" s="12"/>
      <c r="FA20" s="12"/>
      <c r="FB20" s="12"/>
      <c r="FC20" s="12"/>
      <c r="FD20" s="12"/>
      <c r="FE20" s="12"/>
      <c r="FF20" s="12"/>
      <c r="FG20" s="12"/>
      <c r="FH20" s="12"/>
      <c r="FI20" s="12"/>
      <c r="FJ20" s="12"/>
      <c r="FK20" s="12"/>
      <c r="FL20" s="12"/>
      <c r="FM20" s="12"/>
      <c r="FN20" s="12"/>
      <c r="FO20" s="12"/>
      <c r="FP20" s="12"/>
      <c r="FQ20" s="12"/>
      <c r="FR20" s="12"/>
      <c r="FS20" s="12"/>
      <c r="FT20" s="12"/>
      <c r="FU20" s="12"/>
      <c r="FV20" s="12"/>
      <c r="FW20" s="12"/>
      <c r="FX20" s="12"/>
      <c r="FY20" s="12"/>
      <c r="FZ20" s="12"/>
      <c r="GA20" s="12"/>
      <c r="GB20" s="12"/>
      <c r="GC20" s="12"/>
      <c r="GD20" s="12"/>
      <c r="GE20" s="12"/>
    </row>
    <row r="21" spans="1:187" ht="21" customHeight="1">
      <c r="A21" s="45"/>
      <c r="B21" s="9" t="s">
        <v>2</v>
      </c>
      <c r="C21" s="10" t="s">
        <v>68</v>
      </c>
      <c r="D21" s="10" t="s">
        <v>71</v>
      </c>
      <c r="E21" s="35">
        <v>5288.2389999999996</v>
      </c>
      <c r="F21" s="35">
        <f>6956.221-E21</f>
        <v>1667.982</v>
      </c>
      <c r="G21" s="35">
        <v>642.14</v>
      </c>
      <c r="H21" s="35">
        <f>4467.264-G21</f>
        <v>3825.1240000000003</v>
      </c>
      <c r="I21" s="35">
        <f t="shared" si="0"/>
        <v>11423.485000000001</v>
      </c>
      <c r="J21" s="56">
        <f>'2021'!J22</f>
        <v>11830.583000000001</v>
      </c>
      <c r="K21" s="49">
        <v>4800.7336000000005</v>
      </c>
      <c r="L21" s="49">
        <v>4992.762944000001</v>
      </c>
      <c r="M21" s="49">
        <v>1741.2167448</v>
      </c>
      <c r="N21" s="49">
        <v>1810.865414592</v>
      </c>
      <c r="O21" s="56">
        <f t="shared" si="1"/>
        <v>3059.5168552000005</v>
      </c>
      <c r="P21" s="1">
        <f t="shared" si="2"/>
        <v>16179456.354825994</v>
      </c>
      <c r="Q21" s="1">
        <f t="shared" si="3"/>
        <v>5103219.0431702072</v>
      </c>
      <c r="R21" s="1">
        <f t="shared" si="4"/>
        <v>2043223.6795340537</v>
      </c>
      <c r="S21" s="1">
        <f t="shared" si="5"/>
        <v>12171152.605279252</v>
      </c>
      <c r="T21" s="1">
        <f t="shared" si="6"/>
        <v>35497051.682809509</v>
      </c>
      <c r="U21" s="11"/>
      <c r="V21" s="11"/>
      <c r="W21" s="11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12"/>
      <c r="AR21" s="12"/>
      <c r="AS21" s="12"/>
      <c r="AT21" s="12"/>
      <c r="AU21" s="12"/>
      <c r="AV21" s="12"/>
      <c r="AW21" s="12"/>
      <c r="AX21" s="12"/>
      <c r="AY21" s="12"/>
      <c r="AZ21" s="12"/>
      <c r="BA21" s="12"/>
      <c r="BB21" s="12"/>
      <c r="BC21" s="12"/>
      <c r="BD21" s="12"/>
      <c r="BE21" s="12"/>
      <c r="BF21" s="12"/>
      <c r="BG21" s="12"/>
      <c r="BH21" s="12"/>
      <c r="BI21" s="12"/>
      <c r="BJ21" s="12"/>
      <c r="BK21" s="12"/>
      <c r="BL21" s="12"/>
      <c r="BM21" s="12"/>
      <c r="BN21" s="12"/>
      <c r="BO21" s="12"/>
      <c r="BP21" s="12"/>
      <c r="BQ21" s="12"/>
      <c r="BR21" s="12"/>
      <c r="BS21" s="12"/>
      <c r="BT21" s="12"/>
      <c r="BU21" s="12"/>
      <c r="BV21" s="12"/>
      <c r="BW21" s="12"/>
      <c r="BX21" s="12"/>
      <c r="BY21" s="12"/>
      <c r="BZ21" s="12"/>
      <c r="CA21" s="12"/>
      <c r="CB21" s="12"/>
      <c r="CC21" s="12"/>
      <c r="CD21" s="12"/>
      <c r="CE21" s="12"/>
      <c r="CF21" s="12"/>
      <c r="CG21" s="12"/>
      <c r="CH21" s="12"/>
      <c r="CI21" s="12"/>
      <c r="CJ21" s="12"/>
      <c r="CK21" s="12"/>
      <c r="CL21" s="12"/>
      <c r="CM21" s="12"/>
      <c r="CN21" s="12"/>
      <c r="CO21" s="12"/>
      <c r="CP21" s="12"/>
      <c r="CQ21" s="12"/>
      <c r="CR21" s="12"/>
      <c r="CS21" s="12"/>
      <c r="CT21" s="12"/>
      <c r="CU21" s="12"/>
      <c r="CV21" s="12"/>
      <c r="CW21" s="12"/>
      <c r="CX21" s="12"/>
      <c r="CY21" s="12"/>
      <c r="CZ21" s="12"/>
      <c r="DA21" s="12"/>
      <c r="DB21" s="12"/>
      <c r="DC21" s="12"/>
      <c r="DD21" s="12"/>
      <c r="DE21" s="12"/>
      <c r="DF21" s="12"/>
      <c r="DG21" s="12"/>
      <c r="DH21" s="12"/>
      <c r="DI21" s="12"/>
      <c r="DJ21" s="12"/>
      <c r="DK21" s="12"/>
      <c r="DL21" s="12"/>
      <c r="DM21" s="12"/>
      <c r="DN21" s="12"/>
      <c r="DO21" s="12"/>
      <c r="DP21" s="12"/>
      <c r="DQ21" s="12"/>
      <c r="DR21" s="12"/>
      <c r="DS21" s="12"/>
      <c r="DT21" s="12"/>
      <c r="DU21" s="12"/>
      <c r="DV21" s="12"/>
      <c r="DW21" s="12"/>
      <c r="DX21" s="12"/>
      <c r="DY21" s="12"/>
      <c r="DZ21" s="12"/>
      <c r="EA21" s="12"/>
      <c r="EB21" s="12"/>
      <c r="EC21" s="12"/>
      <c r="ED21" s="12"/>
      <c r="EE21" s="12"/>
      <c r="EF21" s="12"/>
      <c r="EG21" s="12"/>
      <c r="EH21" s="12"/>
      <c r="EI21" s="12"/>
      <c r="EJ21" s="12"/>
      <c r="EK21" s="12"/>
      <c r="EL21" s="12"/>
      <c r="EM21" s="12"/>
      <c r="EN21" s="12"/>
      <c r="EO21" s="12"/>
      <c r="EP21" s="12"/>
      <c r="EQ21" s="12"/>
      <c r="ER21" s="12"/>
      <c r="ES21" s="12"/>
      <c r="ET21" s="12"/>
      <c r="EU21" s="12"/>
      <c r="EV21" s="12"/>
      <c r="EW21" s="12"/>
      <c r="EX21" s="12"/>
      <c r="EY21" s="12"/>
      <c r="EZ21" s="12"/>
      <c r="FA21" s="12"/>
      <c r="FB21" s="12"/>
      <c r="FC21" s="12"/>
      <c r="FD21" s="12"/>
      <c r="FE21" s="12"/>
      <c r="FF21" s="12"/>
      <c r="FG21" s="12"/>
      <c r="FH21" s="12"/>
      <c r="FI21" s="12"/>
      <c r="FJ21" s="12"/>
      <c r="FK21" s="12"/>
      <c r="FL21" s="12"/>
      <c r="FM21" s="12"/>
      <c r="FN21" s="12"/>
      <c r="FO21" s="12"/>
      <c r="FP21" s="12"/>
      <c r="FQ21" s="12"/>
      <c r="FR21" s="12"/>
      <c r="FS21" s="12"/>
      <c r="FT21" s="12"/>
      <c r="FU21" s="12"/>
      <c r="FV21" s="12"/>
      <c r="FW21" s="12"/>
      <c r="FX21" s="12"/>
      <c r="FY21" s="12"/>
      <c r="FZ21" s="12"/>
      <c r="GA21" s="12"/>
      <c r="GB21" s="12"/>
      <c r="GC21" s="12"/>
      <c r="GD21" s="12"/>
      <c r="GE21" s="12"/>
    </row>
    <row r="22" spans="1:187" ht="21" customHeight="1">
      <c r="A22" s="45"/>
      <c r="B22" s="9" t="s">
        <v>25</v>
      </c>
      <c r="C22" s="10" t="s">
        <v>72</v>
      </c>
      <c r="D22" s="10" t="s">
        <v>73</v>
      </c>
      <c r="E22" s="35">
        <v>574.46799999999996</v>
      </c>
      <c r="F22" s="35">
        <f>861.702-E22</f>
        <v>287.23400000000004</v>
      </c>
      <c r="G22" s="35">
        <v>101.232</v>
      </c>
      <c r="H22" s="35">
        <f>675.844-G22</f>
        <v>574.61200000000008</v>
      </c>
      <c r="I22" s="35">
        <f t="shared" si="0"/>
        <v>1537.546</v>
      </c>
      <c r="J22" s="56">
        <f>'2021'!J23</f>
        <v>1525.2446666666667</v>
      </c>
      <c r="K22" s="49">
        <v>3010.7633920000003</v>
      </c>
      <c r="L22" s="49">
        <v>3131.1939276800003</v>
      </c>
      <c r="M22" s="49">
        <v>1710.6741911999998</v>
      </c>
      <c r="N22" s="49">
        <v>1779.1011588479998</v>
      </c>
      <c r="O22" s="56">
        <f t="shared" si="1"/>
        <v>1300.0892008000005</v>
      </c>
      <c r="P22" s="1">
        <f t="shared" si="2"/>
        <v>746859.6430051747</v>
      </c>
      <c r="Q22" s="1">
        <f t="shared" si="3"/>
        <v>373429.82150258741</v>
      </c>
      <c r="R22" s="1">
        <f t="shared" si="4"/>
        <v>136875.05517440109</v>
      </c>
      <c r="S22" s="1">
        <f t="shared" si="5"/>
        <v>776928.73008409364</v>
      </c>
      <c r="T22" s="1">
        <f t="shared" si="6"/>
        <v>2034093.2497662567</v>
      </c>
      <c r="U22" s="11"/>
      <c r="V22" s="11"/>
      <c r="W22" s="11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12"/>
      <c r="AR22" s="12"/>
      <c r="AS22" s="12"/>
      <c r="AT22" s="12"/>
      <c r="AU22" s="12"/>
      <c r="AV22" s="12"/>
      <c r="AW22" s="12"/>
      <c r="AX22" s="12"/>
      <c r="AY22" s="12"/>
      <c r="AZ22" s="12"/>
      <c r="BA22" s="12"/>
      <c r="BB22" s="12"/>
      <c r="BC22" s="12"/>
      <c r="BD22" s="12"/>
      <c r="BE22" s="12"/>
      <c r="BF22" s="12"/>
      <c r="BG22" s="12"/>
      <c r="BH22" s="12"/>
      <c r="BI22" s="12"/>
      <c r="BJ22" s="12"/>
      <c r="BK22" s="12"/>
      <c r="BL22" s="12"/>
      <c r="BM22" s="12"/>
      <c r="BN22" s="12"/>
      <c r="BO22" s="12"/>
      <c r="BP22" s="12"/>
      <c r="BQ22" s="12"/>
      <c r="BR22" s="12"/>
      <c r="BS22" s="12"/>
      <c r="BT22" s="12"/>
      <c r="BU22" s="12"/>
      <c r="BV22" s="12"/>
      <c r="BW22" s="12"/>
      <c r="BX22" s="12"/>
      <c r="BY22" s="12"/>
      <c r="BZ22" s="12"/>
      <c r="CA22" s="12"/>
      <c r="CB22" s="12"/>
      <c r="CC22" s="12"/>
      <c r="CD22" s="12"/>
      <c r="CE22" s="12"/>
      <c r="CF22" s="12"/>
      <c r="CG22" s="12"/>
      <c r="CH22" s="12"/>
      <c r="CI22" s="12"/>
      <c r="CJ22" s="12"/>
      <c r="CK22" s="12"/>
      <c r="CL22" s="12"/>
      <c r="CM22" s="12"/>
      <c r="CN22" s="12"/>
      <c r="CO22" s="12"/>
      <c r="CP22" s="12"/>
      <c r="CQ22" s="12"/>
      <c r="CR22" s="12"/>
      <c r="CS22" s="12"/>
      <c r="CT22" s="12"/>
      <c r="CU22" s="12"/>
      <c r="CV22" s="12"/>
      <c r="CW22" s="12"/>
      <c r="CX22" s="12"/>
      <c r="CY22" s="12"/>
      <c r="CZ22" s="12"/>
      <c r="DA22" s="12"/>
      <c r="DB22" s="12"/>
      <c r="DC22" s="12"/>
      <c r="DD22" s="12"/>
      <c r="DE22" s="12"/>
      <c r="DF22" s="12"/>
      <c r="DG22" s="12"/>
      <c r="DH22" s="12"/>
      <c r="DI22" s="12"/>
      <c r="DJ22" s="12"/>
      <c r="DK22" s="12"/>
      <c r="DL22" s="12"/>
      <c r="DM22" s="12"/>
      <c r="DN22" s="12"/>
      <c r="DO22" s="12"/>
      <c r="DP22" s="12"/>
      <c r="DQ22" s="12"/>
      <c r="DR22" s="12"/>
      <c r="DS22" s="12"/>
      <c r="DT22" s="12"/>
      <c r="DU22" s="12"/>
      <c r="DV22" s="12"/>
      <c r="DW22" s="12"/>
      <c r="DX22" s="12"/>
      <c r="DY22" s="12"/>
      <c r="DZ22" s="12"/>
      <c r="EA22" s="12"/>
      <c r="EB22" s="12"/>
      <c r="EC22" s="12"/>
      <c r="ED22" s="12"/>
      <c r="EE22" s="12"/>
      <c r="EF22" s="12"/>
      <c r="EG22" s="12"/>
      <c r="EH22" s="12"/>
      <c r="EI22" s="12"/>
      <c r="EJ22" s="12"/>
      <c r="EK22" s="12"/>
      <c r="EL22" s="12"/>
      <c r="EM22" s="12"/>
      <c r="EN22" s="12"/>
      <c r="EO22" s="12"/>
      <c r="EP22" s="12"/>
      <c r="EQ22" s="12"/>
      <c r="ER22" s="12"/>
      <c r="ES22" s="12"/>
      <c r="ET22" s="12"/>
      <c r="EU22" s="12"/>
      <c r="EV22" s="12"/>
      <c r="EW22" s="12"/>
      <c r="EX22" s="12"/>
      <c r="EY22" s="12"/>
      <c r="EZ22" s="12"/>
      <c r="FA22" s="12"/>
      <c r="FB22" s="12"/>
      <c r="FC22" s="12"/>
      <c r="FD22" s="12"/>
      <c r="FE22" s="12"/>
      <c r="FF22" s="12"/>
      <c r="FG22" s="12"/>
      <c r="FH22" s="12"/>
      <c r="FI22" s="12"/>
      <c r="FJ22" s="12"/>
      <c r="FK22" s="12"/>
      <c r="FL22" s="12"/>
      <c r="FM22" s="12"/>
      <c r="FN22" s="12"/>
      <c r="FO22" s="12"/>
      <c r="FP22" s="12"/>
      <c r="FQ22" s="12"/>
      <c r="FR22" s="12"/>
      <c r="FS22" s="12"/>
      <c r="FT22" s="12"/>
      <c r="FU22" s="12"/>
      <c r="FV22" s="12"/>
      <c r="FW22" s="12"/>
      <c r="FX22" s="12"/>
      <c r="FY22" s="12"/>
      <c r="FZ22" s="12"/>
      <c r="GA22" s="12"/>
      <c r="GB22" s="12"/>
      <c r="GC22" s="12"/>
      <c r="GD22" s="12"/>
      <c r="GE22" s="12"/>
    </row>
    <row r="23" spans="1:187" ht="21" customHeight="1">
      <c r="A23" s="45"/>
      <c r="B23" s="9" t="s">
        <v>6</v>
      </c>
      <c r="C23" s="10" t="s">
        <v>77</v>
      </c>
      <c r="D23" s="10" t="s">
        <v>78</v>
      </c>
      <c r="E23" s="35">
        <v>296.10000000000002</v>
      </c>
      <c r="F23" s="35">
        <f>444.15-E23</f>
        <v>148.04999999999995</v>
      </c>
      <c r="G23" s="35">
        <v>49.35</v>
      </c>
      <c r="H23" s="35">
        <f>345.45-G23</f>
        <v>296.09999999999997</v>
      </c>
      <c r="I23" s="35">
        <f t="shared" si="0"/>
        <v>789.59999999999991</v>
      </c>
      <c r="J23" s="56">
        <f>'2021'!J24</f>
        <v>789.33</v>
      </c>
      <c r="K23" s="49">
        <v>2968.8405760000005</v>
      </c>
      <c r="L23" s="49">
        <v>3087.5941990400006</v>
      </c>
      <c r="M23" s="49">
        <v>1956.2980112</v>
      </c>
      <c r="N23" s="49">
        <v>2034.549931648</v>
      </c>
      <c r="O23" s="56">
        <f t="shared" si="1"/>
        <v>1012.5425648000005</v>
      </c>
      <c r="P23" s="1">
        <f t="shared" si="2"/>
        <v>299813.85343728017</v>
      </c>
      <c r="Q23" s="1">
        <f t="shared" si="3"/>
        <v>149906.92671864002</v>
      </c>
      <c r="R23" s="1">
        <f t="shared" si="4"/>
        <v>51967.734595795235</v>
      </c>
      <c r="S23" s="1">
        <f t="shared" si="5"/>
        <v>311806.40757477132</v>
      </c>
      <c r="T23" s="1">
        <f t="shared" si="6"/>
        <v>813494.92232648679</v>
      </c>
      <c r="U23" s="11"/>
      <c r="V23" s="11"/>
      <c r="W23" s="11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12"/>
      <c r="AR23" s="12"/>
      <c r="AS23" s="12"/>
      <c r="AT23" s="12"/>
      <c r="AU23" s="12"/>
      <c r="AV23" s="12"/>
      <c r="AW23" s="12"/>
      <c r="AX23" s="12"/>
      <c r="AY23" s="12"/>
      <c r="AZ23" s="12"/>
      <c r="BA23" s="12"/>
      <c r="BB23" s="12"/>
      <c r="BC23" s="12"/>
      <c r="BD23" s="12"/>
      <c r="BE23" s="12"/>
      <c r="BF23" s="12"/>
      <c r="BG23" s="12"/>
      <c r="BH23" s="12"/>
      <c r="BI23" s="12"/>
      <c r="BJ23" s="12"/>
      <c r="BK23" s="12"/>
      <c r="BL23" s="12"/>
      <c r="BM23" s="12"/>
      <c r="BN23" s="12"/>
      <c r="BO23" s="12"/>
      <c r="BP23" s="12"/>
      <c r="BQ23" s="12"/>
      <c r="BR23" s="12"/>
      <c r="BS23" s="12"/>
      <c r="BT23" s="12"/>
      <c r="BU23" s="12"/>
      <c r="BV23" s="12"/>
      <c r="BW23" s="12"/>
      <c r="BX23" s="12"/>
      <c r="BY23" s="12"/>
      <c r="BZ23" s="12"/>
      <c r="CA23" s="12"/>
      <c r="CB23" s="12"/>
      <c r="CC23" s="12"/>
      <c r="CD23" s="12"/>
      <c r="CE23" s="12"/>
      <c r="CF23" s="12"/>
      <c r="CG23" s="12"/>
      <c r="CH23" s="12"/>
      <c r="CI23" s="12"/>
      <c r="CJ23" s="12"/>
      <c r="CK23" s="12"/>
      <c r="CL23" s="12"/>
      <c r="CM23" s="12"/>
      <c r="CN23" s="12"/>
      <c r="CO23" s="12"/>
      <c r="CP23" s="12"/>
      <c r="CQ23" s="12"/>
      <c r="CR23" s="12"/>
      <c r="CS23" s="12"/>
      <c r="CT23" s="12"/>
      <c r="CU23" s="12"/>
      <c r="CV23" s="12"/>
      <c r="CW23" s="12"/>
      <c r="CX23" s="12"/>
      <c r="CY23" s="12"/>
      <c r="CZ23" s="12"/>
      <c r="DA23" s="12"/>
      <c r="DB23" s="12"/>
      <c r="DC23" s="12"/>
      <c r="DD23" s="12"/>
      <c r="DE23" s="12"/>
      <c r="DF23" s="12"/>
      <c r="DG23" s="12"/>
      <c r="DH23" s="12"/>
      <c r="DI23" s="12"/>
      <c r="DJ23" s="12"/>
      <c r="DK23" s="12"/>
      <c r="DL23" s="12"/>
      <c r="DM23" s="12"/>
      <c r="DN23" s="12"/>
      <c r="DO23" s="12"/>
      <c r="DP23" s="12"/>
      <c r="DQ23" s="12"/>
      <c r="DR23" s="12"/>
      <c r="DS23" s="12"/>
      <c r="DT23" s="12"/>
      <c r="DU23" s="12"/>
      <c r="DV23" s="12"/>
      <c r="DW23" s="12"/>
      <c r="DX23" s="12"/>
      <c r="DY23" s="12"/>
      <c r="DZ23" s="12"/>
      <c r="EA23" s="12"/>
      <c r="EB23" s="12"/>
      <c r="EC23" s="12"/>
      <c r="ED23" s="12"/>
      <c r="EE23" s="12"/>
      <c r="EF23" s="12"/>
      <c r="EG23" s="12"/>
      <c r="EH23" s="12"/>
      <c r="EI23" s="12"/>
      <c r="EJ23" s="12"/>
      <c r="EK23" s="12"/>
      <c r="EL23" s="12"/>
      <c r="EM23" s="12"/>
      <c r="EN23" s="12"/>
      <c r="EO23" s="12"/>
      <c r="EP23" s="12"/>
      <c r="EQ23" s="12"/>
      <c r="ER23" s="12"/>
      <c r="ES23" s="12"/>
      <c r="ET23" s="12"/>
      <c r="EU23" s="12"/>
      <c r="EV23" s="12"/>
      <c r="EW23" s="12"/>
      <c r="EX23" s="12"/>
      <c r="EY23" s="12"/>
      <c r="EZ23" s="12"/>
      <c r="FA23" s="12"/>
      <c r="FB23" s="12"/>
      <c r="FC23" s="12"/>
      <c r="FD23" s="12"/>
      <c r="FE23" s="12"/>
      <c r="FF23" s="12"/>
      <c r="FG23" s="12"/>
      <c r="FH23" s="12"/>
      <c r="FI23" s="12"/>
      <c r="FJ23" s="12"/>
      <c r="FK23" s="12"/>
      <c r="FL23" s="12"/>
      <c r="FM23" s="12"/>
      <c r="FN23" s="12"/>
      <c r="FO23" s="12"/>
      <c r="FP23" s="12"/>
      <c r="FQ23" s="12"/>
      <c r="FR23" s="12"/>
      <c r="FS23" s="12"/>
      <c r="FT23" s="12"/>
      <c r="FU23" s="12"/>
      <c r="FV23" s="12"/>
      <c r="FW23" s="12"/>
      <c r="FX23" s="12"/>
      <c r="FY23" s="12"/>
      <c r="FZ23" s="12"/>
      <c r="GA23" s="12"/>
      <c r="GB23" s="12"/>
      <c r="GC23" s="12"/>
      <c r="GD23" s="12"/>
      <c r="GE23" s="12"/>
    </row>
    <row r="24" spans="1:187" ht="21" customHeight="1">
      <c r="A24" s="45"/>
      <c r="B24" s="101" t="s">
        <v>81</v>
      </c>
      <c r="C24" s="101"/>
      <c r="D24" s="101"/>
      <c r="E24" s="34"/>
      <c r="F24" s="34"/>
      <c r="G24" s="34"/>
      <c r="H24" s="34"/>
      <c r="I24" s="35">
        <f t="shared" si="0"/>
        <v>0</v>
      </c>
      <c r="J24" s="56"/>
      <c r="K24" s="49"/>
      <c r="L24" s="49"/>
      <c r="M24" s="49"/>
      <c r="N24" s="49"/>
      <c r="O24" s="56">
        <f t="shared" si="1"/>
        <v>0</v>
      </c>
      <c r="P24" s="1">
        <f t="shared" si="2"/>
        <v>0</v>
      </c>
      <c r="Q24" s="1">
        <f t="shared" si="3"/>
        <v>0</v>
      </c>
      <c r="R24" s="1">
        <f t="shared" si="4"/>
        <v>0</v>
      </c>
      <c r="S24" s="1">
        <f t="shared" si="5"/>
        <v>0</v>
      </c>
      <c r="T24" s="1">
        <f t="shared" si="6"/>
        <v>0</v>
      </c>
      <c r="U24" s="45"/>
      <c r="V24" s="45"/>
      <c r="W24" s="45"/>
    </row>
    <row r="25" spans="1:187" ht="21" customHeight="1">
      <c r="A25" s="45"/>
      <c r="B25" s="9" t="s">
        <v>433</v>
      </c>
      <c r="C25" s="10" t="s">
        <v>439</v>
      </c>
      <c r="D25" s="10" t="s">
        <v>83</v>
      </c>
      <c r="E25" s="35">
        <v>48.66</v>
      </c>
      <c r="F25" s="35">
        <f>79.47-E25</f>
        <v>30.810000000000002</v>
      </c>
      <c r="G25" s="35">
        <v>8.0299999999999994</v>
      </c>
      <c r="H25" s="35">
        <f>56.69-G25</f>
        <v>48.66</v>
      </c>
      <c r="I25" s="35">
        <f t="shared" si="0"/>
        <v>136.16</v>
      </c>
      <c r="J25" s="56">
        <f>'2021'!J26</f>
        <v>139.4</v>
      </c>
      <c r="K25" s="49">
        <v>4397.8064000000004</v>
      </c>
      <c r="L25" s="49">
        <v>4573.7186560000009</v>
      </c>
      <c r="M25" s="49">
        <v>1639</v>
      </c>
      <c r="N25" s="49">
        <v>1704.56</v>
      </c>
      <c r="O25" s="56">
        <f t="shared" si="1"/>
        <v>2758.8064000000004</v>
      </c>
      <c r="P25" s="1">
        <f t="shared" si="2"/>
        <v>134243.519424</v>
      </c>
      <c r="Q25" s="1">
        <f t="shared" si="3"/>
        <v>84998.825184000016</v>
      </c>
      <c r="R25" s="1">
        <f t="shared" si="4"/>
        <v>23039.344007680007</v>
      </c>
      <c r="S25" s="1">
        <f t="shared" si="5"/>
        <v>139613.26020096004</v>
      </c>
      <c r="T25" s="1">
        <f t="shared" si="6"/>
        <v>381894.94881664007</v>
      </c>
      <c r="U25" s="11"/>
      <c r="V25" s="11"/>
      <c r="W25" s="11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12"/>
      <c r="AR25" s="12"/>
      <c r="AS25" s="12"/>
      <c r="AT25" s="12"/>
      <c r="AU25" s="12"/>
      <c r="AV25" s="12"/>
      <c r="AW25" s="12"/>
      <c r="AX25" s="12"/>
      <c r="AY25" s="12"/>
      <c r="AZ25" s="12"/>
      <c r="BA25" s="12"/>
      <c r="BB25" s="12"/>
      <c r="BC25" s="12"/>
      <c r="BD25" s="12"/>
      <c r="BE25" s="12"/>
      <c r="BF25" s="12"/>
      <c r="BG25" s="12"/>
      <c r="BH25" s="12"/>
      <c r="BI25" s="12"/>
      <c r="BJ25" s="12"/>
      <c r="BK25" s="12"/>
      <c r="BL25" s="12"/>
      <c r="BM25" s="12"/>
      <c r="BN25" s="12"/>
      <c r="BO25" s="12"/>
      <c r="BP25" s="12"/>
      <c r="BQ25" s="12"/>
      <c r="BR25" s="12"/>
      <c r="BS25" s="12"/>
      <c r="BT25" s="12"/>
      <c r="BU25" s="12"/>
      <c r="BV25" s="12"/>
      <c r="BW25" s="12"/>
      <c r="BX25" s="12"/>
      <c r="BY25" s="12"/>
      <c r="BZ25" s="12"/>
      <c r="CA25" s="12"/>
      <c r="CB25" s="12"/>
      <c r="CC25" s="12"/>
      <c r="CD25" s="12"/>
      <c r="CE25" s="12"/>
      <c r="CF25" s="12"/>
      <c r="CG25" s="12"/>
      <c r="CH25" s="12"/>
      <c r="CI25" s="12"/>
      <c r="CJ25" s="12"/>
      <c r="CK25" s="12"/>
      <c r="CL25" s="12"/>
      <c r="CM25" s="12"/>
      <c r="CN25" s="12"/>
      <c r="CO25" s="12"/>
      <c r="CP25" s="12"/>
      <c r="CQ25" s="12"/>
      <c r="CR25" s="12"/>
      <c r="CS25" s="12"/>
      <c r="CT25" s="12"/>
      <c r="CU25" s="12"/>
      <c r="CV25" s="12"/>
      <c r="CW25" s="12"/>
      <c r="CX25" s="12"/>
      <c r="CY25" s="12"/>
      <c r="CZ25" s="12"/>
      <c r="DA25" s="12"/>
      <c r="DB25" s="12"/>
      <c r="DC25" s="12"/>
      <c r="DD25" s="12"/>
      <c r="DE25" s="12"/>
      <c r="DF25" s="12"/>
      <c r="DG25" s="12"/>
      <c r="DH25" s="12"/>
      <c r="DI25" s="12"/>
      <c r="DJ25" s="12"/>
      <c r="DK25" s="12"/>
      <c r="DL25" s="12"/>
      <c r="DM25" s="12"/>
      <c r="DN25" s="12"/>
      <c r="DO25" s="12"/>
      <c r="DP25" s="12"/>
      <c r="DQ25" s="12"/>
      <c r="DR25" s="12"/>
      <c r="DS25" s="12"/>
      <c r="DT25" s="12"/>
      <c r="DU25" s="12"/>
      <c r="DV25" s="12"/>
      <c r="DW25" s="12"/>
      <c r="DX25" s="12"/>
      <c r="DY25" s="12"/>
      <c r="DZ25" s="12"/>
      <c r="EA25" s="12"/>
      <c r="EB25" s="12"/>
      <c r="EC25" s="12"/>
      <c r="ED25" s="12"/>
      <c r="EE25" s="12"/>
      <c r="EF25" s="12"/>
      <c r="EG25" s="12"/>
      <c r="EH25" s="12"/>
      <c r="EI25" s="12"/>
      <c r="EJ25" s="12"/>
      <c r="EK25" s="12"/>
      <c r="EL25" s="12"/>
      <c r="EM25" s="12"/>
      <c r="EN25" s="12"/>
      <c r="EO25" s="12"/>
      <c r="EP25" s="12"/>
      <c r="EQ25" s="12"/>
      <c r="ER25" s="12"/>
      <c r="ES25" s="12"/>
      <c r="ET25" s="12"/>
      <c r="EU25" s="12"/>
      <c r="EV25" s="12"/>
      <c r="EW25" s="12"/>
      <c r="EX25" s="12"/>
      <c r="EY25" s="12"/>
      <c r="EZ25" s="12"/>
      <c r="FA25" s="12"/>
      <c r="FB25" s="12"/>
      <c r="FC25" s="12"/>
      <c r="FD25" s="12"/>
      <c r="FE25" s="12"/>
      <c r="FF25" s="12"/>
      <c r="FG25" s="12"/>
      <c r="FH25" s="12"/>
      <c r="FI25" s="12"/>
      <c r="FJ25" s="12"/>
      <c r="FK25" s="12"/>
      <c r="FL25" s="12"/>
      <c r="FM25" s="12"/>
      <c r="FN25" s="12"/>
      <c r="FO25" s="12"/>
      <c r="FP25" s="12"/>
      <c r="FQ25" s="12"/>
      <c r="FR25" s="12"/>
      <c r="FS25" s="12"/>
      <c r="FT25" s="12"/>
      <c r="FU25" s="12"/>
      <c r="FV25" s="12"/>
      <c r="FW25" s="12"/>
      <c r="FX25" s="12"/>
      <c r="FY25" s="12"/>
      <c r="FZ25" s="12"/>
      <c r="GA25" s="12"/>
      <c r="GB25" s="12"/>
      <c r="GC25" s="12"/>
      <c r="GD25" s="12"/>
      <c r="GE25" s="12"/>
    </row>
    <row r="26" spans="1:187">
      <c r="A26" s="45"/>
      <c r="B26" s="9" t="s">
        <v>289</v>
      </c>
      <c r="C26" s="10" t="s">
        <v>60</v>
      </c>
      <c r="D26" s="10" t="s">
        <v>82</v>
      </c>
      <c r="E26" s="35">
        <v>107.28</v>
      </c>
      <c r="F26" s="35">
        <f>178.8-E26</f>
        <v>71.52000000000001</v>
      </c>
      <c r="G26" s="35">
        <v>35.76</v>
      </c>
      <c r="H26" s="35">
        <f>143.04-G26</f>
        <v>107.28</v>
      </c>
      <c r="I26" s="35">
        <f t="shared" si="0"/>
        <v>321.84000000000003</v>
      </c>
      <c r="J26" s="56">
        <f>'2021'!J27</f>
        <v>288.51</v>
      </c>
      <c r="K26" s="49">
        <v>4586.2336000000005</v>
      </c>
      <c r="L26" s="49">
        <v>4769.682944000001</v>
      </c>
      <c r="M26" s="49">
        <v>1670.5104000000001</v>
      </c>
      <c r="N26" s="49">
        <v>1737.3308160000001</v>
      </c>
      <c r="O26" s="56">
        <f t="shared" si="1"/>
        <v>2915.7232000000004</v>
      </c>
      <c r="P26" s="1">
        <f t="shared" si="2"/>
        <v>312798.78489600006</v>
      </c>
      <c r="Q26" s="1">
        <f t="shared" si="3"/>
        <v>208532.52326400005</v>
      </c>
      <c r="R26" s="1">
        <f t="shared" si="4"/>
        <v>108436.91209728003</v>
      </c>
      <c r="S26" s="1">
        <f t="shared" si="5"/>
        <v>325310.73629184009</v>
      </c>
      <c r="T26" s="1">
        <f t="shared" si="6"/>
        <v>955078.95654912025</v>
      </c>
      <c r="U26" s="11"/>
      <c r="V26" s="11"/>
      <c r="W26" s="11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  <c r="AZ26" s="12"/>
      <c r="BA26" s="12"/>
      <c r="BB26" s="12"/>
      <c r="BC26" s="12"/>
      <c r="BD26" s="12"/>
      <c r="BE26" s="12"/>
      <c r="BF26" s="12"/>
      <c r="BG26" s="12"/>
      <c r="BH26" s="12"/>
      <c r="BI26" s="12"/>
      <c r="BJ26" s="12"/>
      <c r="BK26" s="12"/>
      <c r="BL26" s="12"/>
      <c r="BM26" s="12"/>
      <c r="BN26" s="12"/>
      <c r="BO26" s="12"/>
      <c r="BP26" s="12"/>
      <c r="BQ26" s="12"/>
      <c r="BR26" s="12"/>
      <c r="BS26" s="12"/>
      <c r="BT26" s="12"/>
      <c r="BU26" s="12"/>
      <c r="BV26" s="12"/>
      <c r="BW26" s="12"/>
      <c r="BX26" s="12"/>
      <c r="BY26" s="12"/>
      <c r="BZ26" s="12"/>
      <c r="CA26" s="12"/>
      <c r="CB26" s="12"/>
      <c r="CC26" s="12"/>
      <c r="CD26" s="12"/>
      <c r="CE26" s="12"/>
      <c r="CF26" s="12"/>
      <c r="CG26" s="12"/>
      <c r="CH26" s="12"/>
      <c r="CI26" s="12"/>
      <c r="CJ26" s="12"/>
      <c r="CK26" s="12"/>
      <c r="CL26" s="12"/>
      <c r="CM26" s="12"/>
      <c r="CN26" s="12"/>
      <c r="CO26" s="12"/>
      <c r="CP26" s="12"/>
      <c r="CQ26" s="12"/>
      <c r="CR26" s="12"/>
      <c r="CS26" s="12"/>
      <c r="CT26" s="12"/>
      <c r="CU26" s="12"/>
      <c r="CV26" s="12"/>
      <c r="CW26" s="12"/>
      <c r="CX26" s="12"/>
      <c r="CY26" s="12"/>
      <c r="CZ26" s="12"/>
      <c r="DA26" s="12"/>
      <c r="DB26" s="12"/>
      <c r="DC26" s="12"/>
      <c r="DD26" s="12"/>
      <c r="DE26" s="12"/>
      <c r="DF26" s="12"/>
      <c r="DG26" s="12"/>
      <c r="DH26" s="12"/>
      <c r="DI26" s="12"/>
      <c r="DJ26" s="12"/>
      <c r="DK26" s="12"/>
      <c r="DL26" s="12"/>
      <c r="DM26" s="12"/>
      <c r="DN26" s="12"/>
      <c r="DO26" s="12"/>
      <c r="DP26" s="12"/>
      <c r="DQ26" s="12"/>
      <c r="DR26" s="12"/>
      <c r="DS26" s="12"/>
      <c r="DT26" s="12"/>
      <c r="DU26" s="12"/>
      <c r="DV26" s="12"/>
      <c r="DW26" s="12"/>
      <c r="DX26" s="12"/>
      <c r="DY26" s="12"/>
      <c r="DZ26" s="12"/>
      <c r="EA26" s="12"/>
      <c r="EB26" s="12"/>
      <c r="EC26" s="12"/>
      <c r="ED26" s="12"/>
      <c r="EE26" s="12"/>
      <c r="EF26" s="12"/>
      <c r="EG26" s="12"/>
      <c r="EH26" s="12"/>
      <c r="EI26" s="12"/>
      <c r="EJ26" s="12"/>
      <c r="EK26" s="12"/>
      <c r="EL26" s="12"/>
      <c r="EM26" s="12"/>
      <c r="EN26" s="12"/>
      <c r="EO26" s="12"/>
      <c r="EP26" s="12"/>
      <c r="EQ26" s="12"/>
      <c r="ER26" s="12"/>
      <c r="ES26" s="12"/>
      <c r="ET26" s="12"/>
      <c r="EU26" s="12"/>
      <c r="EV26" s="12"/>
      <c r="EW26" s="12"/>
      <c r="EX26" s="12"/>
      <c r="EY26" s="12"/>
      <c r="EZ26" s="12"/>
      <c r="FA26" s="12"/>
      <c r="FB26" s="12"/>
      <c r="FC26" s="12"/>
      <c r="FD26" s="12"/>
      <c r="FE26" s="12"/>
      <c r="FF26" s="12"/>
      <c r="FG26" s="12"/>
      <c r="FH26" s="12"/>
      <c r="FI26" s="12"/>
      <c r="FJ26" s="12"/>
      <c r="FK26" s="12"/>
      <c r="FL26" s="12"/>
      <c r="FM26" s="12"/>
      <c r="FN26" s="12"/>
      <c r="FO26" s="12"/>
      <c r="FP26" s="12"/>
      <c r="FQ26" s="12"/>
      <c r="FR26" s="12"/>
      <c r="FS26" s="12"/>
      <c r="FT26" s="12"/>
      <c r="FU26" s="12"/>
      <c r="FV26" s="12"/>
      <c r="FW26" s="12"/>
      <c r="FX26" s="12"/>
      <c r="FY26" s="12"/>
      <c r="FZ26" s="12"/>
      <c r="GA26" s="12"/>
      <c r="GB26" s="12"/>
      <c r="GC26" s="12"/>
      <c r="GD26" s="12"/>
      <c r="GE26" s="12"/>
    </row>
    <row r="27" spans="1:187" ht="21" customHeight="1">
      <c r="A27" s="45"/>
      <c r="B27" s="9" t="s">
        <v>289</v>
      </c>
      <c r="C27" s="10" t="s">
        <v>60</v>
      </c>
      <c r="D27" s="10" t="s">
        <v>83</v>
      </c>
      <c r="E27" s="35">
        <v>423.51900000000001</v>
      </c>
      <c r="F27" s="35">
        <f>705.865-E27</f>
        <v>282.346</v>
      </c>
      <c r="G27" s="35">
        <v>141.173</v>
      </c>
      <c r="H27" s="35">
        <f>564.692-G27</f>
        <v>423.51900000000001</v>
      </c>
      <c r="I27" s="35">
        <f t="shared" si="0"/>
        <v>1270.557</v>
      </c>
      <c r="J27" s="56">
        <f>'2021'!J28</f>
        <v>1258.2</v>
      </c>
      <c r="K27" s="49">
        <v>4310.0200000000004</v>
      </c>
      <c r="L27" s="49">
        <v>4482.4208000000008</v>
      </c>
      <c r="M27" s="49">
        <v>1670.5104000000001</v>
      </c>
      <c r="N27" s="49">
        <v>1737.3308160000001</v>
      </c>
      <c r="O27" s="56">
        <f t="shared" si="1"/>
        <v>2639.5096000000003</v>
      </c>
      <c r="P27" s="1">
        <f t="shared" si="2"/>
        <v>1117882.4662824001</v>
      </c>
      <c r="Q27" s="1">
        <f t="shared" si="3"/>
        <v>745254.97752160009</v>
      </c>
      <c r="R27" s="1">
        <f t="shared" si="4"/>
        <v>387532.5883112321</v>
      </c>
      <c r="S27" s="1">
        <f t="shared" si="5"/>
        <v>1162597.7649336962</v>
      </c>
      <c r="T27" s="1">
        <f t="shared" si="6"/>
        <v>3413267.7970489282</v>
      </c>
      <c r="U27" s="11"/>
      <c r="V27" s="11"/>
      <c r="W27" s="11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2"/>
      <c r="BF27" s="12"/>
      <c r="BG27" s="12"/>
      <c r="BH27" s="12"/>
      <c r="BI27" s="12"/>
      <c r="BJ27" s="12"/>
      <c r="BK27" s="12"/>
      <c r="BL27" s="12"/>
      <c r="BM27" s="12"/>
      <c r="BN27" s="12"/>
      <c r="BO27" s="12"/>
      <c r="BP27" s="12"/>
      <c r="BQ27" s="12"/>
      <c r="BR27" s="12"/>
      <c r="BS27" s="12"/>
      <c r="BT27" s="12"/>
      <c r="BU27" s="12"/>
      <c r="BV27" s="12"/>
      <c r="BW27" s="12"/>
      <c r="BX27" s="12"/>
      <c r="BY27" s="12"/>
      <c r="BZ27" s="12"/>
      <c r="CA27" s="12"/>
      <c r="CB27" s="12"/>
      <c r="CC27" s="12"/>
      <c r="CD27" s="12"/>
      <c r="CE27" s="12"/>
      <c r="CF27" s="12"/>
      <c r="CG27" s="12"/>
      <c r="CH27" s="12"/>
      <c r="CI27" s="12"/>
      <c r="CJ27" s="12"/>
      <c r="CK27" s="12"/>
      <c r="CL27" s="12"/>
      <c r="CM27" s="12"/>
      <c r="CN27" s="12"/>
      <c r="CO27" s="12"/>
      <c r="CP27" s="12"/>
      <c r="CQ27" s="12"/>
      <c r="CR27" s="12"/>
      <c r="CS27" s="12"/>
      <c r="CT27" s="12"/>
      <c r="CU27" s="12"/>
      <c r="CV27" s="12"/>
      <c r="CW27" s="12"/>
      <c r="CX27" s="12"/>
      <c r="CY27" s="12"/>
      <c r="CZ27" s="12"/>
      <c r="DA27" s="12"/>
      <c r="DB27" s="12"/>
      <c r="DC27" s="12"/>
      <c r="DD27" s="12"/>
      <c r="DE27" s="12"/>
      <c r="DF27" s="12"/>
      <c r="DG27" s="12"/>
      <c r="DH27" s="12"/>
      <c r="DI27" s="12"/>
      <c r="DJ27" s="12"/>
      <c r="DK27" s="12"/>
      <c r="DL27" s="12"/>
      <c r="DM27" s="12"/>
      <c r="DN27" s="12"/>
      <c r="DO27" s="12"/>
      <c r="DP27" s="12"/>
      <c r="DQ27" s="12"/>
      <c r="DR27" s="12"/>
      <c r="DS27" s="12"/>
      <c r="DT27" s="12"/>
      <c r="DU27" s="12"/>
      <c r="DV27" s="12"/>
      <c r="DW27" s="12"/>
      <c r="DX27" s="12"/>
      <c r="DY27" s="12"/>
      <c r="DZ27" s="12"/>
      <c r="EA27" s="12"/>
      <c r="EB27" s="12"/>
      <c r="EC27" s="12"/>
      <c r="ED27" s="12"/>
      <c r="EE27" s="12"/>
      <c r="EF27" s="12"/>
      <c r="EG27" s="12"/>
      <c r="EH27" s="12"/>
      <c r="EI27" s="12"/>
      <c r="EJ27" s="12"/>
      <c r="EK27" s="12"/>
      <c r="EL27" s="12"/>
      <c r="EM27" s="12"/>
      <c r="EN27" s="12"/>
      <c r="EO27" s="12"/>
      <c r="EP27" s="12"/>
      <c r="EQ27" s="12"/>
      <c r="ER27" s="12"/>
      <c r="ES27" s="12"/>
      <c r="ET27" s="12"/>
      <c r="EU27" s="12"/>
      <c r="EV27" s="12"/>
      <c r="EW27" s="12"/>
      <c r="EX27" s="12"/>
      <c r="EY27" s="12"/>
      <c r="EZ27" s="12"/>
      <c r="FA27" s="12"/>
      <c r="FB27" s="12"/>
      <c r="FC27" s="12"/>
      <c r="FD27" s="12"/>
      <c r="FE27" s="12"/>
      <c r="FF27" s="12"/>
      <c r="FG27" s="12"/>
      <c r="FH27" s="12"/>
      <c r="FI27" s="12"/>
      <c r="FJ27" s="12"/>
      <c r="FK27" s="12"/>
      <c r="FL27" s="12"/>
      <c r="FM27" s="12"/>
      <c r="FN27" s="12"/>
      <c r="FO27" s="12"/>
      <c r="FP27" s="12"/>
      <c r="FQ27" s="12"/>
      <c r="FR27" s="12"/>
      <c r="FS27" s="12"/>
      <c r="FT27" s="12"/>
      <c r="FU27" s="12"/>
      <c r="FV27" s="12"/>
      <c r="FW27" s="12"/>
      <c r="FX27" s="12"/>
      <c r="FY27" s="12"/>
      <c r="FZ27" s="12"/>
      <c r="GA27" s="12"/>
      <c r="GB27" s="12"/>
      <c r="GC27" s="12"/>
      <c r="GD27" s="12"/>
      <c r="GE27" s="12"/>
    </row>
    <row r="28" spans="1:187" ht="21" customHeight="1">
      <c r="A28" s="45"/>
      <c r="B28" s="9" t="s">
        <v>289</v>
      </c>
      <c r="C28" s="10" t="s">
        <v>60</v>
      </c>
      <c r="D28" s="10" t="s">
        <v>89</v>
      </c>
      <c r="E28" s="35">
        <v>525.59699999999998</v>
      </c>
      <c r="F28" s="35">
        <f>875.995-E28</f>
        <v>350.39800000000002</v>
      </c>
      <c r="G28" s="35">
        <v>175.19900000000001</v>
      </c>
      <c r="H28" s="35">
        <f>700.796-G28</f>
        <v>525.59699999999998</v>
      </c>
      <c r="I28" s="35">
        <f t="shared" si="0"/>
        <v>1576.7909999999999</v>
      </c>
      <c r="J28" s="56">
        <f>'2021'!J29</f>
        <v>1613</v>
      </c>
      <c r="K28" s="49">
        <v>4586.2336000000005</v>
      </c>
      <c r="L28" s="49">
        <v>4769.682944000001</v>
      </c>
      <c r="M28" s="49">
        <v>1852.1568000000002</v>
      </c>
      <c r="N28" s="49">
        <v>1926.25</v>
      </c>
      <c r="O28" s="56">
        <f t="shared" si="1"/>
        <v>2734.0768000000003</v>
      </c>
      <c r="P28" s="1">
        <f t="shared" si="2"/>
        <v>1437022.5638496</v>
      </c>
      <c r="Q28" s="1">
        <f t="shared" si="3"/>
        <v>958015.04256640014</v>
      </c>
      <c r="R28" s="1">
        <f t="shared" si="4"/>
        <v>498166.60835585621</v>
      </c>
      <c r="S28" s="1">
        <f t="shared" si="5"/>
        <v>1494499.8250675686</v>
      </c>
      <c r="T28" s="1">
        <f t="shared" si="6"/>
        <v>4387704.0398394242</v>
      </c>
      <c r="U28" s="11"/>
      <c r="V28" s="11"/>
      <c r="W28" s="11"/>
      <c r="X28" s="12"/>
      <c r="Y28" s="12"/>
      <c r="Z28" s="12"/>
      <c r="AA28" s="12"/>
      <c r="AB28" s="12"/>
      <c r="AC28" s="12"/>
      <c r="AD28" s="12"/>
      <c r="AE28" s="12"/>
      <c r="AF28" s="12"/>
      <c r="AG28" s="12"/>
      <c r="AH28" s="12"/>
      <c r="AI28" s="12"/>
      <c r="AJ28" s="12"/>
      <c r="AK28" s="12"/>
      <c r="AL28" s="12"/>
      <c r="AM28" s="12"/>
      <c r="AN28" s="12"/>
      <c r="AO28" s="12"/>
      <c r="AP28" s="12"/>
      <c r="AQ28" s="12"/>
      <c r="AR28" s="12"/>
      <c r="AS28" s="12"/>
      <c r="AT28" s="12"/>
      <c r="AU28" s="12"/>
      <c r="AV28" s="12"/>
      <c r="AW28" s="12"/>
      <c r="AX28" s="12"/>
      <c r="AY28" s="12"/>
      <c r="AZ28" s="12"/>
      <c r="BA28" s="12"/>
      <c r="BB28" s="12"/>
      <c r="BC28" s="12"/>
      <c r="BD28" s="12"/>
      <c r="BE28" s="12"/>
      <c r="BF28" s="12"/>
      <c r="BG28" s="12"/>
      <c r="BH28" s="12"/>
      <c r="BI28" s="12"/>
      <c r="BJ28" s="12"/>
      <c r="BK28" s="12"/>
      <c r="BL28" s="12"/>
      <c r="BM28" s="12"/>
      <c r="BN28" s="12"/>
      <c r="BO28" s="12"/>
      <c r="BP28" s="12"/>
      <c r="BQ28" s="12"/>
      <c r="BR28" s="12"/>
      <c r="BS28" s="12"/>
      <c r="BT28" s="12"/>
      <c r="BU28" s="12"/>
      <c r="BV28" s="12"/>
      <c r="BW28" s="12"/>
      <c r="BX28" s="12"/>
      <c r="BY28" s="12"/>
      <c r="BZ28" s="12"/>
      <c r="CA28" s="12"/>
      <c r="CB28" s="12"/>
      <c r="CC28" s="12"/>
      <c r="CD28" s="12"/>
      <c r="CE28" s="12"/>
      <c r="CF28" s="12"/>
      <c r="CG28" s="12"/>
      <c r="CH28" s="12"/>
      <c r="CI28" s="12"/>
      <c r="CJ28" s="12"/>
      <c r="CK28" s="12"/>
      <c r="CL28" s="12"/>
      <c r="CM28" s="12"/>
      <c r="CN28" s="12"/>
      <c r="CO28" s="12"/>
      <c r="CP28" s="12"/>
      <c r="CQ28" s="12"/>
      <c r="CR28" s="12"/>
      <c r="CS28" s="12"/>
      <c r="CT28" s="12"/>
      <c r="CU28" s="12"/>
      <c r="CV28" s="12"/>
      <c r="CW28" s="12"/>
      <c r="CX28" s="12"/>
      <c r="CY28" s="12"/>
      <c r="CZ28" s="12"/>
      <c r="DA28" s="12"/>
      <c r="DB28" s="12"/>
      <c r="DC28" s="12"/>
      <c r="DD28" s="12"/>
      <c r="DE28" s="12"/>
      <c r="DF28" s="12"/>
      <c r="DG28" s="12"/>
      <c r="DH28" s="12"/>
      <c r="DI28" s="12"/>
      <c r="DJ28" s="12"/>
      <c r="DK28" s="12"/>
      <c r="DL28" s="12"/>
      <c r="DM28" s="12"/>
      <c r="DN28" s="12"/>
      <c r="DO28" s="12"/>
      <c r="DP28" s="12"/>
      <c r="DQ28" s="12"/>
      <c r="DR28" s="12"/>
      <c r="DS28" s="12"/>
      <c r="DT28" s="12"/>
      <c r="DU28" s="12"/>
      <c r="DV28" s="12"/>
      <c r="DW28" s="12"/>
      <c r="DX28" s="12"/>
      <c r="DY28" s="12"/>
      <c r="DZ28" s="12"/>
      <c r="EA28" s="12"/>
      <c r="EB28" s="12"/>
      <c r="EC28" s="12"/>
      <c r="ED28" s="12"/>
      <c r="EE28" s="12"/>
      <c r="EF28" s="12"/>
      <c r="EG28" s="12"/>
      <c r="EH28" s="12"/>
      <c r="EI28" s="12"/>
      <c r="EJ28" s="12"/>
      <c r="EK28" s="12"/>
      <c r="EL28" s="12"/>
      <c r="EM28" s="12"/>
      <c r="EN28" s="12"/>
      <c r="EO28" s="12"/>
      <c r="EP28" s="12"/>
      <c r="EQ28" s="12"/>
      <c r="ER28" s="12"/>
      <c r="ES28" s="12"/>
      <c r="ET28" s="12"/>
      <c r="EU28" s="12"/>
      <c r="EV28" s="12"/>
      <c r="EW28" s="12"/>
      <c r="EX28" s="12"/>
      <c r="EY28" s="12"/>
      <c r="EZ28" s="12"/>
      <c r="FA28" s="12"/>
      <c r="FB28" s="12"/>
      <c r="FC28" s="12"/>
      <c r="FD28" s="12"/>
      <c r="FE28" s="12"/>
      <c r="FF28" s="12"/>
      <c r="FG28" s="12"/>
      <c r="FH28" s="12"/>
      <c r="FI28" s="12"/>
      <c r="FJ28" s="12"/>
      <c r="FK28" s="12"/>
      <c r="FL28" s="12"/>
      <c r="FM28" s="12"/>
      <c r="FN28" s="12"/>
      <c r="FO28" s="12"/>
      <c r="FP28" s="12"/>
      <c r="FQ28" s="12"/>
      <c r="FR28" s="12"/>
      <c r="FS28" s="12"/>
      <c r="FT28" s="12"/>
      <c r="FU28" s="12"/>
      <c r="FV28" s="12"/>
      <c r="FW28" s="12"/>
      <c r="FX28" s="12"/>
      <c r="FY28" s="12"/>
      <c r="FZ28" s="12"/>
      <c r="GA28" s="12"/>
      <c r="GB28" s="12"/>
      <c r="GC28" s="12"/>
      <c r="GD28" s="12"/>
      <c r="GE28" s="12"/>
    </row>
    <row r="29" spans="1:187" ht="21" customHeight="1">
      <c r="A29" s="45"/>
      <c r="B29" s="9" t="s">
        <v>4</v>
      </c>
      <c r="C29" s="10" t="s">
        <v>87</v>
      </c>
      <c r="D29" s="10" t="s">
        <v>83</v>
      </c>
      <c r="E29" s="35">
        <v>6888.8509999999997</v>
      </c>
      <c r="F29" s="35">
        <f>11451.705-E29</f>
        <v>4562.8540000000003</v>
      </c>
      <c r="G29" s="35">
        <v>2275.94</v>
      </c>
      <c r="H29" s="35">
        <f>9161.333-G29</f>
        <v>6885.393</v>
      </c>
      <c r="I29" s="35">
        <f t="shared" si="0"/>
        <v>20613.038</v>
      </c>
      <c r="J29" s="56">
        <f>'2021'!J30</f>
        <v>20894</v>
      </c>
      <c r="K29" s="49">
        <v>4761.8895999999995</v>
      </c>
      <c r="L29" s="49">
        <v>4952.3651839999993</v>
      </c>
      <c r="M29" s="49">
        <v>1638.9984000000002</v>
      </c>
      <c r="N29" s="49">
        <v>1704.5583360000003</v>
      </c>
      <c r="O29" s="56">
        <f t="shared" si="1"/>
        <v>3122.8911999999991</v>
      </c>
      <c r="P29" s="1">
        <f t="shared" si="2"/>
        <v>21513132.166011192</v>
      </c>
      <c r="Q29" s="1">
        <f t="shared" si="3"/>
        <v>14249296.603484796</v>
      </c>
      <c r="R29" s="1">
        <f t="shared" si="4"/>
        <v>7391813.5176371187</v>
      </c>
      <c r="S29" s="1">
        <f t="shared" si="5"/>
        <v>22362426.536571261</v>
      </c>
      <c r="T29" s="1">
        <f t="shared" si="6"/>
        <v>65516668.823704362</v>
      </c>
      <c r="U29" s="11"/>
      <c r="V29" s="11"/>
      <c r="W29" s="11"/>
      <c r="X29" s="12"/>
      <c r="Y29" s="12"/>
      <c r="Z29" s="12"/>
      <c r="AA29" s="12"/>
      <c r="AB29" s="12"/>
      <c r="AC29" s="12"/>
      <c r="AD29" s="12"/>
      <c r="AE29" s="12"/>
      <c r="AF29" s="12"/>
      <c r="AG29" s="12"/>
      <c r="AH29" s="12"/>
      <c r="AI29" s="12"/>
      <c r="AJ29" s="12"/>
      <c r="AK29" s="12"/>
      <c r="AL29" s="12"/>
      <c r="AM29" s="12"/>
      <c r="AN29" s="12"/>
      <c r="AO29" s="12"/>
      <c r="AP29" s="12"/>
      <c r="AQ29" s="12"/>
      <c r="AR29" s="12"/>
      <c r="AS29" s="12"/>
      <c r="AT29" s="12"/>
      <c r="AU29" s="12"/>
      <c r="AV29" s="12"/>
      <c r="AW29" s="12"/>
      <c r="AX29" s="12"/>
      <c r="AY29" s="12"/>
      <c r="AZ29" s="12"/>
      <c r="BA29" s="12"/>
      <c r="BB29" s="12"/>
      <c r="BC29" s="12"/>
      <c r="BD29" s="12"/>
      <c r="BE29" s="12"/>
      <c r="BF29" s="12"/>
      <c r="BG29" s="12"/>
      <c r="BH29" s="12"/>
      <c r="BI29" s="12"/>
      <c r="BJ29" s="12"/>
      <c r="BK29" s="12"/>
      <c r="BL29" s="12"/>
      <c r="BM29" s="12"/>
      <c r="BN29" s="12"/>
      <c r="BO29" s="12"/>
      <c r="BP29" s="12"/>
      <c r="BQ29" s="12"/>
      <c r="BR29" s="12"/>
      <c r="BS29" s="12"/>
      <c r="BT29" s="12"/>
      <c r="BU29" s="12"/>
      <c r="BV29" s="12"/>
      <c r="BW29" s="12"/>
      <c r="BX29" s="12"/>
      <c r="BY29" s="12"/>
      <c r="BZ29" s="12"/>
      <c r="CA29" s="12"/>
      <c r="CB29" s="12"/>
      <c r="CC29" s="12"/>
      <c r="CD29" s="12"/>
      <c r="CE29" s="12"/>
      <c r="CF29" s="12"/>
      <c r="CG29" s="12"/>
      <c r="CH29" s="12"/>
      <c r="CI29" s="12"/>
      <c r="CJ29" s="12"/>
      <c r="CK29" s="12"/>
      <c r="CL29" s="12"/>
      <c r="CM29" s="12"/>
      <c r="CN29" s="12"/>
      <c r="CO29" s="12"/>
      <c r="CP29" s="12"/>
      <c r="CQ29" s="12"/>
      <c r="CR29" s="12"/>
      <c r="CS29" s="12"/>
      <c r="CT29" s="12"/>
      <c r="CU29" s="12"/>
      <c r="CV29" s="12"/>
      <c r="CW29" s="12"/>
      <c r="CX29" s="12"/>
      <c r="CY29" s="12"/>
      <c r="CZ29" s="12"/>
      <c r="DA29" s="12"/>
      <c r="DB29" s="12"/>
      <c r="DC29" s="12"/>
      <c r="DD29" s="12"/>
      <c r="DE29" s="12"/>
      <c r="DF29" s="12"/>
      <c r="DG29" s="12"/>
      <c r="DH29" s="12"/>
      <c r="DI29" s="12"/>
      <c r="DJ29" s="12"/>
      <c r="DK29" s="12"/>
      <c r="DL29" s="12"/>
      <c r="DM29" s="12"/>
      <c r="DN29" s="12"/>
      <c r="DO29" s="12"/>
      <c r="DP29" s="12"/>
      <c r="DQ29" s="12"/>
      <c r="DR29" s="12"/>
      <c r="DS29" s="12"/>
      <c r="DT29" s="12"/>
      <c r="DU29" s="12"/>
      <c r="DV29" s="12"/>
      <c r="DW29" s="12"/>
      <c r="DX29" s="12"/>
      <c r="DY29" s="12"/>
      <c r="DZ29" s="12"/>
      <c r="EA29" s="12"/>
      <c r="EB29" s="12"/>
      <c r="EC29" s="12"/>
      <c r="ED29" s="12"/>
      <c r="EE29" s="12"/>
      <c r="EF29" s="12"/>
      <c r="EG29" s="12"/>
      <c r="EH29" s="12"/>
      <c r="EI29" s="12"/>
      <c r="EJ29" s="12"/>
      <c r="EK29" s="12"/>
      <c r="EL29" s="12"/>
      <c r="EM29" s="12"/>
      <c r="EN29" s="12"/>
      <c r="EO29" s="12"/>
      <c r="EP29" s="12"/>
      <c r="EQ29" s="12"/>
      <c r="ER29" s="12"/>
      <c r="ES29" s="12"/>
      <c r="ET29" s="12"/>
      <c r="EU29" s="12"/>
      <c r="EV29" s="12"/>
      <c r="EW29" s="12"/>
      <c r="EX29" s="12"/>
      <c r="EY29" s="12"/>
      <c r="EZ29" s="12"/>
      <c r="FA29" s="12"/>
      <c r="FB29" s="12"/>
      <c r="FC29" s="12"/>
      <c r="FD29" s="12"/>
      <c r="FE29" s="12"/>
      <c r="FF29" s="12"/>
      <c r="FG29" s="12"/>
      <c r="FH29" s="12"/>
      <c r="FI29" s="12"/>
      <c r="FJ29" s="12"/>
      <c r="FK29" s="12"/>
      <c r="FL29" s="12"/>
      <c r="FM29" s="12"/>
      <c r="FN29" s="12"/>
      <c r="FO29" s="12"/>
      <c r="FP29" s="12"/>
      <c r="FQ29" s="12"/>
      <c r="FR29" s="12"/>
      <c r="FS29" s="12"/>
      <c r="FT29" s="12"/>
      <c r="FU29" s="12"/>
      <c r="FV29" s="12"/>
      <c r="FW29" s="12"/>
      <c r="FX29" s="12"/>
      <c r="FY29" s="12"/>
      <c r="FZ29" s="12"/>
      <c r="GA29" s="12"/>
      <c r="GB29" s="12"/>
      <c r="GC29" s="12"/>
      <c r="GD29" s="12"/>
      <c r="GE29" s="12"/>
    </row>
    <row r="30" spans="1:187" ht="21" customHeight="1">
      <c r="A30" s="45"/>
      <c r="B30" s="9" t="s">
        <v>27</v>
      </c>
      <c r="C30" s="10" t="s">
        <v>84</v>
      </c>
      <c r="D30" s="10" t="s">
        <v>85</v>
      </c>
      <c r="E30" s="35">
        <v>2033.8820000000001</v>
      </c>
      <c r="F30" s="35">
        <f>3118.18941-E30</f>
        <v>1084.3074099999999</v>
      </c>
      <c r="G30" s="35">
        <v>549.54</v>
      </c>
      <c r="H30" s="35">
        <f>2580.537-G30</f>
        <v>2030.9969999999998</v>
      </c>
      <c r="I30" s="35">
        <f t="shared" si="0"/>
        <v>5698.7264099999993</v>
      </c>
      <c r="J30" s="56">
        <f>'2021'!J31</f>
        <v>5916.95</v>
      </c>
      <c r="K30" s="49">
        <v>5321.5909759999995</v>
      </c>
      <c r="L30" s="49">
        <v>5534.4546150399992</v>
      </c>
      <c r="M30" s="49">
        <v>1852.1491975999998</v>
      </c>
      <c r="N30" s="49">
        <v>1926.2351655039997</v>
      </c>
      <c r="O30" s="56">
        <f t="shared" si="1"/>
        <v>3469.4417783999997</v>
      </c>
      <c r="P30" s="1">
        <f t="shared" si="2"/>
        <v>7056435.1831357488</v>
      </c>
      <c r="Q30" s="1">
        <f t="shared" si="3"/>
        <v>3761941.4288826971</v>
      </c>
      <c r="R30" s="1">
        <f t="shared" si="4"/>
        <v>1982860.9162980129</v>
      </c>
      <c r="S30" s="1">
        <f t="shared" si="5"/>
        <v>7328282.8773492659</v>
      </c>
      <c r="T30" s="1">
        <f t="shared" si="6"/>
        <v>20129520.405665725</v>
      </c>
      <c r="U30" s="11"/>
      <c r="V30" s="11"/>
      <c r="W30" s="11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2"/>
      <c r="AJ30" s="12"/>
      <c r="AK30" s="12"/>
      <c r="AL30" s="12"/>
      <c r="AM30" s="12"/>
      <c r="AN30" s="12"/>
      <c r="AO30" s="12"/>
      <c r="AP30" s="12"/>
      <c r="AQ30" s="12"/>
      <c r="AR30" s="12"/>
      <c r="AS30" s="12"/>
      <c r="AT30" s="12"/>
      <c r="AU30" s="12"/>
      <c r="AV30" s="12"/>
      <c r="AW30" s="12"/>
      <c r="AX30" s="12"/>
      <c r="AY30" s="12"/>
      <c r="AZ30" s="12"/>
      <c r="BA30" s="12"/>
      <c r="BB30" s="12"/>
      <c r="BC30" s="12"/>
      <c r="BD30" s="12"/>
      <c r="BE30" s="12"/>
      <c r="BF30" s="12"/>
      <c r="BG30" s="12"/>
      <c r="BH30" s="12"/>
      <c r="BI30" s="12"/>
      <c r="BJ30" s="12"/>
      <c r="BK30" s="12"/>
      <c r="BL30" s="12"/>
      <c r="BM30" s="12"/>
      <c r="BN30" s="12"/>
      <c r="BO30" s="12"/>
      <c r="BP30" s="12"/>
      <c r="BQ30" s="12"/>
      <c r="BR30" s="12"/>
      <c r="BS30" s="12"/>
      <c r="BT30" s="12"/>
      <c r="BU30" s="12"/>
      <c r="BV30" s="12"/>
      <c r="BW30" s="12"/>
      <c r="BX30" s="12"/>
      <c r="BY30" s="12"/>
      <c r="BZ30" s="12"/>
      <c r="CA30" s="12"/>
      <c r="CB30" s="12"/>
      <c r="CC30" s="12"/>
      <c r="CD30" s="12"/>
      <c r="CE30" s="12"/>
      <c r="CF30" s="12"/>
      <c r="CG30" s="12"/>
      <c r="CH30" s="12"/>
      <c r="CI30" s="12"/>
      <c r="CJ30" s="12"/>
      <c r="CK30" s="12"/>
      <c r="CL30" s="12"/>
      <c r="CM30" s="12"/>
      <c r="CN30" s="12"/>
      <c r="CO30" s="12"/>
      <c r="CP30" s="12"/>
      <c r="CQ30" s="12"/>
      <c r="CR30" s="12"/>
      <c r="CS30" s="12"/>
      <c r="CT30" s="12"/>
      <c r="CU30" s="12"/>
      <c r="CV30" s="12"/>
      <c r="CW30" s="12"/>
      <c r="CX30" s="12"/>
      <c r="CY30" s="12"/>
      <c r="CZ30" s="12"/>
      <c r="DA30" s="12"/>
      <c r="DB30" s="12"/>
      <c r="DC30" s="12"/>
      <c r="DD30" s="12"/>
      <c r="DE30" s="12"/>
      <c r="DF30" s="12"/>
      <c r="DG30" s="12"/>
      <c r="DH30" s="12"/>
      <c r="DI30" s="12"/>
      <c r="DJ30" s="12"/>
      <c r="DK30" s="12"/>
      <c r="DL30" s="12"/>
      <c r="DM30" s="12"/>
      <c r="DN30" s="12"/>
      <c r="DO30" s="12"/>
      <c r="DP30" s="12"/>
      <c r="DQ30" s="12"/>
      <c r="DR30" s="12"/>
      <c r="DS30" s="12"/>
      <c r="DT30" s="12"/>
      <c r="DU30" s="12"/>
      <c r="DV30" s="12"/>
      <c r="DW30" s="12"/>
      <c r="DX30" s="12"/>
      <c r="DY30" s="12"/>
      <c r="DZ30" s="12"/>
      <c r="EA30" s="12"/>
      <c r="EB30" s="12"/>
      <c r="EC30" s="12"/>
      <c r="ED30" s="12"/>
      <c r="EE30" s="12"/>
      <c r="EF30" s="12"/>
      <c r="EG30" s="12"/>
      <c r="EH30" s="12"/>
      <c r="EI30" s="12"/>
      <c r="EJ30" s="12"/>
      <c r="EK30" s="12"/>
      <c r="EL30" s="12"/>
      <c r="EM30" s="12"/>
      <c r="EN30" s="12"/>
      <c r="EO30" s="12"/>
      <c r="EP30" s="12"/>
      <c r="EQ30" s="12"/>
      <c r="ER30" s="12"/>
      <c r="ES30" s="12"/>
      <c r="ET30" s="12"/>
      <c r="EU30" s="12"/>
      <c r="EV30" s="12"/>
      <c r="EW30" s="12"/>
      <c r="EX30" s="12"/>
      <c r="EY30" s="12"/>
      <c r="EZ30" s="12"/>
      <c r="FA30" s="12"/>
      <c r="FB30" s="12"/>
      <c r="FC30" s="12"/>
      <c r="FD30" s="12"/>
      <c r="FE30" s="12"/>
      <c r="FF30" s="12"/>
      <c r="FG30" s="12"/>
      <c r="FH30" s="12"/>
      <c r="FI30" s="12"/>
      <c r="FJ30" s="12"/>
      <c r="FK30" s="12"/>
      <c r="FL30" s="12"/>
      <c r="FM30" s="12"/>
      <c r="FN30" s="12"/>
      <c r="FO30" s="12"/>
      <c r="FP30" s="12"/>
      <c r="FQ30" s="12"/>
      <c r="FR30" s="12"/>
      <c r="FS30" s="12"/>
      <c r="FT30" s="12"/>
      <c r="FU30" s="12"/>
      <c r="FV30" s="12"/>
      <c r="FW30" s="12"/>
      <c r="FX30" s="12"/>
      <c r="FY30" s="12"/>
      <c r="FZ30" s="12"/>
      <c r="GA30" s="12"/>
      <c r="GB30" s="12"/>
      <c r="GC30" s="12"/>
      <c r="GD30" s="12"/>
      <c r="GE30" s="12"/>
    </row>
    <row r="31" spans="1:187" ht="21" customHeight="1">
      <c r="A31" s="45"/>
      <c r="B31" s="9" t="s">
        <v>385</v>
      </c>
      <c r="C31" s="10" t="s">
        <v>386</v>
      </c>
      <c r="D31" s="10" t="s">
        <v>86</v>
      </c>
      <c r="E31" s="35">
        <v>3104.0459999999998</v>
      </c>
      <c r="F31" s="35">
        <f>5124.507-E31</f>
        <v>2020.4609999999998</v>
      </c>
      <c r="G31" s="35">
        <v>1121.43</v>
      </c>
      <c r="H31" s="35">
        <v>3439.04</v>
      </c>
      <c r="I31" s="35">
        <f t="shared" si="0"/>
        <v>9684.976999999999</v>
      </c>
      <c r="J31" s="56">
        <f>'2021'!J32</f>
        <v>10364.700000000001</v>
      </c>
      <c r="K31" s="49">
        <v>4114.5</v>
      </c>
      <c r="L31" s="49">
        <v>4279.08</v>
      </c>
      <c r="M31" s="49">
        <v>1385.2176000000002</v>
      </c>
      <c r="N31" s="49">
        <v>1440.6263040000001</v>
      </c>
      <c r="O31" s="56">
        <f t="shared" si="1"/>
        <v>2729.2824000000001</v>
      </c>
      <c r="P31" s="1">
        <f t="shared" si="2"/>
        <v>8471818.1165903993</v>
      </c>
      <c r="Q31" s="1">
        <f t="shared" si="3"/>
        <v>5514408.6471863994</v>
      </c>
      <c r="R31" s="1">
        <f t="shared" si="4"/>
        <v>3183127.1283052796</v>
      </c>
      <c r="S31" s="1">
        <f t="shared" si="5"/>
        <v>9761555.798691839</v>
      </c>
      <c r="T31" s="1">
        <f t="shared" si="6"/>
        <v>26930909.690773915</v>
      </c>
      <c r="U31" s="11"/>
      <c r="V31" s="11"/>
      <c r="W31" s="11"/>
      <c r="X31" s="12"/>
      <c r="Y31" s="12"/>
      <c r="Z31" s="12"/>
      <c r="AA31" s="12"/>
      <c r="AB31" s="12"/>
      <c r="AC31" s="12"/>
      <c r="AD31" s="12"/>
      <c r="AE31" s="12"/>
      <c r="AF31" s="12"/>
      <c r="AG31" s="12"/>
      <c r="AH31" s="12"/>
      <c r="AI31" s="12"/>
      <c r="AJ31" s="12"/>
      <c r="AK31" s="12"/>
      <c r="AL31" s="12"/>
      <c r="AM31" s="12"/>
      <c r="AN31" s="12"/>
      <c r="AO31" s="12"/>
      <c r="AP31" s="12"/>
      <c r="AQ31" s="12"/>
      <c r="AR31" s="12"/>
      <c r="AS31" s="12"/>
      <c r="AT31" s="12"/>
      <c r="AU31" s="12"/>
      <c r="AV31" s="12"/>
      <c r="AW31" s="12"/>
      <c r="AX31" s="12"/>
      <c r="AY31" s="12"/>
      <c r="AZ31" s="12"/>
      <c r="BA31" s="12"/>
      <c r="BB31" s="12"/>
      <c r="BC31" s="12"/>
      <c r="BD31" s="12"/>
      <c r="BE31" s="12"/>
      <c r="BF31" s="12"/>
      <c r="BG31" s="12"/>
      <c r="BH31" s="12"/>
      <c r="BI31" s="12"/>
      <c r="BJ31" s="12"/>
      <c r="BK31" s="12"/>
      <c r="BL31" s="12"/>
      <c r="BM31" s="12"/>
      <c r="BN31" s="12"/>
      <c r="BO31" s="12"/>
      <c r="BP31" s="12"/>
      <c r="BQ31" s="12"/>
      <c r="BR31" s="12"/>
      <c r="BS31" s="12"/>
      <c r="BT31" s="12"/>
      <c r="BU31" s="12"/>
      <c r="BV31" s="12"/>
      <c r="BW31" s="12"/>
      <c r="BX31" s="12"/>
      <c r="BY31" s="12"/>
      <c r="BZ31" s="12"/>
      <c r="CA31" s="12"/>
      <c r="CB31" s="12"/>
      <c r="CC31" s="12"/>
      <c r="CD31" s="12"/>
      <c r="CE31" s="12"/>
      <c r="CF31" s="12"/>
      <c r="CG31" s="12"/>
      <c r="CH31" s="12"/>
      <c r="CI31" s="12"/>
      <c r="CJ31" s="12"/>
      <c r="CK31" s="12"/>
      <c r="CL31" s="12"/>
      <c r="CM31" s="12"/>
      <c r="CN31" s="12"/>
      <c r="CO31" s="12"/>
      <c r="CP31" s="12"/>
      <c r="CQ31" s="12"/>
      <c r="CR31" s="12"/>
      <c r="CS31" s="12"/>
      <c r="CT31" s="12"/>
      <c r="CU31" s="12"/>
      <c r="CV31" s="12"/>
      <c r="CW31" s="12"/>
      <c r="CX31" s="12"/>
      <c r="CY31" s="12"/>
      <c r="CZ31" s="12"/>
      <c r="DA31" s="12"/>
      <c r="DB31" s="12"/>
      <c r="DC31" s="12"/>
      <c r="DD31" s="12"/>
      <c r="DE31" s="12"/>
      <c r="DF31" s="12"/>
      <c r="DG31" s="12"/>
      <c r="DH31" s="12"/>
      <c r="DI31" s="12"/>
      <c r="DJ31" s="12"/>
      <c r="DK31" s="12"/>
      <c r="DL31" s="12"/>
      <c r="DM31" s="12"/>
      <c r="DN31" s="12"/>
      <c r="DO31" s="12"/>
      <c r="DP31" s="12"/>
      <c r="DQ31" s="12"/>
      <c r="DR31" s="12"/>
      <c r="DS31" s="12"/>
      <c r="DT31" s="12"/>
      <c r="DU31" s="12"/>
      <c r="DV31" s="12"/>
      <c r="DW31" s="12"/>
      <c r="DX31" s="12"/>
      <c r="DY31" s="12"/>
      <c r="DZ31" s="12"/>
      <c r="EA31" s="12"/>
      <c r="EB31" s="12"/>
      <c r="EC31" s="12"/>
      <c r="ED31" s="12"/>
      <c r="EE31" s="12"/>
      <c r="EF31" s="12"/>
      <c r="EG31" s="12"/>
      <c r="EH31" s="12"/>
      <c r="EI31" s="12"/>
      <c r="EJ31" s="12"/>
      <c r="EK31" s="12"/>
      <c r="EL31" s="12"/>
      <c r="EM31" s="12"/>
      <c r="EN31" s="12"/>
      <c r="EO31" s="12"/>
      <c r="EP31" s="12"/>
      <c r="EQ31" s="12"/>
      <c r="ER31" s="12"/>
      <c r="ES31" s="12"/>
      <c r="ET31" s="12"/>
      <c r="EU31" s="12"/>
      <c r="EV31" s="12"/>
      <c r="EW31" s="12"/>
      <c r="EX31" s="12"/>
      <c r="EY31" s="12"/>
      <c r="EZ31" s="12"/>
      <c r="FA31" s="12"/>
      <c r="FB31" s="12"/>
      <c r="FC31" s="12"/>
      <c r="FD31" s="12"/>
      <c r="FE31" s="12"/>
      <c r="FF31" s="12"/>
      <c r="FG31" s="12"/>
      <c r="FH31" s="12"/>
      <c r="FI31" s="12"/>
      <c r="FJ31" s="12"/>
      <c r="FK31" s="12"/>
      <c r="FL31" s="12"/>
      <c r="FM31" s="12"/>
      <c r="FN31" s="12"/>
      <c r="FO31" s="12"/>
      <c r="FP31" s="12"/>
      <c r="FQ31" s="12"/>
      <c r="FR31" s="12"/>
      <c r="FS31" s="12"/>
      <c r="FT31" s="12"/>
      <c r="FU31" s="12"/>
      <c r="FV31" s="12"/>
      <c r="FW31" s="12"/>
      <c r="FX31" s="12"/>
      <c r="FY31" s="12"/>
      <c r="FZ31" s="12"/>
      <c r="GA31" s="12"/>
      <c r="GB31" s="12"/>
      <c r="GC31" s="12"/>
      <c r="GD31" s="12"/>
      <c r="GE31" s="12"/>
    </row>
    <row r="32" spans="1:187" ht="21" customHeight="1">
      <c r="A32" s="45"/>
      <c r="B32" s="101" t="s">
        <v>90</v>
      </c>
      <c r="C32" s="101"/>
      <c r="D32" s="101"/>
      <c r="E32" s="34"/>
      <c r="F32" s="34"/>
      <c r="G32" s="34"/>
      <c r="H32" s="34"/>
      <c r="I32" s="35">
        <f t="shared" si="0"/>
        <v>0</v>
      </c>
      <c r="J32" s="56"/>
      <c r="K32" s="49"/>
      <c r="L32" s="49"/>
      <c r="M32" s="49"/>
      <c r="N32" s="49"/>
      <c r="O32" s="56">
        <f t="shared" si="1"/>
        <v>0</v>
      </c>
      <c r="P32" s="1">
        <f t="shared" si="2"/>
        <v>0</v>
      </c>
      <c r="Q32" s="1">
        <f t="shared" si="3"/>
        <v>0</v>
      </c>
      <c r="R32" s="1">
        <f t="shared" si="4"/>
        <v>0</v>
      </c>
      <c r="S32" s="1">
        <f t="shared" si="5"/>
        <v>0</v>
      </c>
      <c r="T32" s="1">
        <f t="shared" si="6"/>
        <v>0</v>
      </c>
      <c r="U32" s="45"/>
      <c r="V32" s="45"/>
      <c r="W32" s="45"/>
    </row>
    <row r="33" spans="1:187" ht="25.5" customHeight="1">
      <c r="A33" s="45"/>
      <c r="B33" s="9" t="s">
        <v>12</v>
      </c>
      <c r="C33" s="10" t="s">
        <v>296</v>
      </c>
      <c r="D33" s="10" t="s">
        <v>95</v>
      </c>
      <c r="E33" s="35">
        <v>4943.6170000000002</v>
      </c>
      <c r="F33" s="35">
        <f>6988.967-E33</f>
        <v>2045.3499999999995</v>
      </c>
      <c r="G33" s="35">
        <v>676.85400000000004</v>
      </c>
      <c r="H33" s="35">
        <f>4738.53-G33</f>
        <v>4061.6759999999995</v>
      </c>
      <c r="I33" s="35">
        <f t="shared" si="0"/>
        <v>11727.496999999999</v>
      </c>
      <c r="J33" s="56">
        <f>'2021'!J34</f>
        <v>12183.3</v>
      </c>
      <c r="K33" s="49">
        <v>3165.0528000000004</v>
      </c>
      <c r="L33" s="49">
        <v>3291.6549120000004</v>
      </c>
      <c r="M33" s="49">
        <v>1602.6296</v>
      </c>
      <c r="N33" s="49">
        <v>1666.734784</v>
      </c>
      <c r="O33" s="56">
        <f t="shared" si="1"/>
        <v>1562.4232000000004</v>
      </c>
      <c r="P33" s="1">
        <f t="shared" si="2"/>
        <v>7724021.8927144026</v>
      </c>
      <c r="Q33" s="1">
        <f t="shared" si="3"/>
        <v>3195702.2921199999</v>
      </c>
      <c r="R33" s="1">
        <f t="shared" si="4"/>
        <v>1099833.6883173124</v>
      </c>
      <c r="S33" s="1">
        <f t="shared" si="5"/>
        <v>6599899.0858145291</v>
      </c>
      <c r="T33" s="1">
        <f t="shared" si="6"/>
        <v>18619456.958966244</v>
      </c>
      <c r="U33" s="11"/>
      <c r="V33" s="11"/>
      <c r="W33" s="11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/>
      <c r="CH33" s="12"/>
      <c r="CI33" s="12"/>
      <c r="CJ33" s="12"/>
      <c r="CK33" s="12"/>
      <c r="CL33" s="12"/>
      <c r="CM33" s="12"/>
      <c r="CN33" s="12"/>
      <c r="CO33" s="12"/>
      <c r="CP33" s="12"/>
      <c r="CQ33" s="12"/>
      <c r="CR33" s="12"/>
      <c r="CS33" s="12"/>
      <c r="CT33" s="12"/>
      <c r="CU33" s="12"/>
      <c r="CV33" s="12"/>
      <c r="CW33" s="12"/>
      <c r="CX33" s="12"/>
      <c r="CY33" s="12"/>
      <c r="CZ33" s="12"/>
      <c r="DA33" s="12"/>
      <c r="DB33" s="12"/>
      <c r="DC33" s="12"/>
      <c r="DD33" s="12"/>
      <c r="DE33" s="12"/>
      <c r="DF33" s="12"/>
      <c r="DG33" s="12"/>
      <c r="DH33" s="12"/>
      <c r="DI33" s="12"/>
      <c r="DJ33" s="12"/>
      <c r="DK33" s="12"/>
      <c r="DL33" s="12"/>
      <c r="DM33" s="12"/>
      <c r="DN33" s="12"/>
      <c r="DO33" s="12"/>
      <c r="DP33" s="12"/>
      <c r="DQ33" s="12"/>
      <c r="DR33" s="12"/>
      <c r="DS33" s="12"/>
      <c r="DT33" s="12"/>
      <c r="DU33" s="12"/>
      <c r="DV33" s="12"/>
      <c r="DW33" s="12"/>
      <c r="DX33" s="12"/>
      <c r="DY33" s="12"/>
      <c r="DZ33" s="12"/>
      <c r="EA33" s="12"/>
      <c r="EB33" s="12"/>
      <c r="EC33" s="12"/>
      <c r="ED33" s="12"/>
      <c r="EE33" s="12"/>
      <c r="EF33" s="12"/>
      <c r="EG33" s="12"/>
      <c r="EH33" s="12"/>
      <c r="EI33" s="12"/>
      <c r="EJ33" s="12"/>
      <c r="EK33" s="12"/>
      <c r="EL33" s="12"/>
      <c r="EM33" s="12"/>
      <c r="EN33" s="12"/>
      <c r="EO33" s="12"/>
      <c r="EP33" s="12"/>
      <c r="EQ33" s="12"/>
      <c r="ER33" s="12"/>
      <c r="ES33" s="12"/>
      <c r="ET33" s="12"/>
      <c r="EU33" s="12"/>
      <c r="EV33" s="12"/>
      <c r="EW33" s="12"/>
      <c r="EX33" s="12"/>
      <c r="EY33" s="12"/>
      <c r="EZ33" s="12"/>
      <c r="FA33" s="12"/>
      <c r="FB33" s="12"/>
      <c r="FC33" s="12"/>
      <c r="FD33" s="12"/>
      <c r="FE33" s="12"/>
      <c r="FF33" s="12"/>
      <c r="FG33" s="12"/>
      <c r="FH33" s="12"/>
      <c r="FI33" s="12"/>
      <c r="FJ33" s="12"/>
      <c r="FK33" s="12"/>
      <c r="FL33" s="12"/>
      <c r="FM33" s="12"/>
      <c r="FN33" s="12"/>
      <c r="FO33" s="12"/>
      <c r="FP33" s="12"/>
      <c r="FQ33" s="12"/>
      <c r="FR33" s="12"/>
      <c r="FS33" s="12"/>
      <c r="FT33" s="12"/>
      <c r="FU33" s="12"/>
      <c r="FV33" s="12"/>
      <c r="FW33" s="12"/>
      <c r="FX33" s="12"/>
      <c r="FY33" s="12"/>
      <c r="FZ33" s="12"/>
      <c r="GA33" s="12"/>
      <c r="GB33" s="12"/>
      <c r="GC33" s="12"/>
      <c r="GD33" s="12"/>
      <c r="GE33" s="12"/>
    </row>
    <row r="34" spans="1:187" ht="26.25" customHeight="1">
      <c r="A34" s="45" t="s">
        <v>337</v>
      </c>
      <c r="B34" s="9" t="s">
        <v>368</v>
      </c>
      <c r="C34" s="10" t="s">
        <v>369</v>
      </c>
      <c r="D34" s="10" t="s">
        <v>95</v>
      </c>
      <c r="E34" s="35">
        <f>328.2832*0.4</f>
        <v>131.31328000000002</v>
      </c>
      <c r="F34" s="35">
        <f>328.2832*0.6</f>
        <v>196.96992</v>
      </c>
      <c r="G34" s="35">
        <f>257.9368*0.2</f>
        <v>51.587360000000004</v>
      </c>
      <c r="H34" s="35">
        <f>257.9368*0.8</f>
        <v>206.34944000000002</v>
      </c>
      <c r="I34" s="35">
        <f t="shared" si="0"/>
        <v>586.22</v>
      </c>
      <c r="J34" s="56">
        <f>'2021'!J35</f>
        <v>586.22</v>
      </c>
      <c r="K34" s="49">
        <v>2394.4785280000001</v>
      </c>
      <c r="L34" s="49">
        <v>2490.2576691200002</v>
      </c>
      <c r="M34" s="49">
        <v>1602.6320648000001</v>
      </c>
      <c r="N34" s="49">
        <v>1666.7373473920002</v>
      </c>
      <c r="O34" s="56">
        <f t="shared" si="1"/>
        <v>791.84646320000002</v>
      </c>
      <c r="P34" s="1">
        <f t="shared" si="2"/>
        <v>103979.95633919131</v>
      </c>
      <c r="Q34" s="1">
        <f t="shared" si="3"/>
        <v>155969.93450878694</v>
      </c>
      <c r="R34" s="1">
        <f t="shared" si="4"/>
        <v>42483.239304298164</v>
      </c>
      <c r="S34" s="1">
        <f t="shared" si="5"/>
        <v>169932.95721719266</v>
      </c>
      <c r="T34" s="1">
        <f t="shared" si="6"/>
        <v>472366.08736946911</v>
      </c>
      <c r="U34" s="11"/>
      <c r="V34" s="11"/>
      <c r="W34" s="11"/>
      <c r="X34" s="12"/>
      <c r="Y34" s="12"/>
      <c r="Z34" s="12"/>
      <c r="AA34" s="12"/>
      <c r="AB34" s="12"/>
      <c r="AC34" s="12"/>
      <c r="AD34" s="12"/>
      <c r="AE34" s="12"/>
      <c r="AF34" s="12"/>
      <c r="AG34" s="12"/>
      <c r="AH34" s="12"/>
      <c r="AI34" s="12"/>
      <c r="AJ34" s="12"/>
      <c r="AK34" s="12"/>
      <c r="AL34" s="12"/>
      <c r="AM34" s="12"/>
      <c r="AN34" s="12"/>
      <c r="AO34" s="12"/>
      <c r="AP34" s="12"/>
      <c r="AQ34" s="12"/>
      <c r="AR34" s="12"/>
      <c r="AS34" s="12"/>
      <c r="AT34" s="12"/>
      <c r="AU34" s="12"/>
      <c r="AV34" s="12"/>
      <c r="AW34" s="12"/>
      <c r="AX34" s="12"/>
      <c r="AY34" s="12"/>
      <c r="AZ34" s="12"/>
      <c r="BA34" s="12"/>
      <c r="BB34" s="12"/>
      <c r="BC34" s="12"/>
      <c r="BD34" s="12"/>
      <c r="BE34" s="12"/>
      <c r="BF34" s="12"/>
      <c r="BG34" s="12"/>
      <c r="BH34" s="12"/>
      <c r="BI34" s="12"/>
      <c r="BJ34" s="12"/>
      <c r="BK34" s="12"/>
      <c r="BL34" s="12"/>
      <c r="BM34" s="12"/>
      <c r="BN34" s="12"/>
      <c r="BO34" s="12"/>
      <c r="BP34" s="12"/>
      <c r="BQ34" s="12"/>
      <c r="BR34" s="12"/>
      <c r="BS34" s="12"/>
      <c r="BT34" s="12"/>
      <c r="BU34" s="12"/>
      <c r="BV34" s="12"/>
      <c r="BW34" s="12"/>
      <c r="BX34" s="12"/>
      <c r="BY34" s="12"/>
      <c r="BZ34" s="12"/>
      <c r="CA34" s="12"/>
      <c r="CB34" s="12"/>
      <c r="CC34" s="12"/>
      <c r="CD34" s="12"/>
      <c r="CE34" s="12"/>
      <c r="CF34" s="12"/>
      <c r="CG34" s="12"/>
      <c r="CH34" s="12"/>
      <c r="CI34" s="12"/>
      <c r="CJ34" s="12"/>
      <c r="CK34" s="12"/>
      <c r="CL34" s="12"/>
      <c r="CM34" s="12"/>
      <c r="CN34" s="12"/>
      <c r="CO34" s="12"/>
      <c r="CP34" s="12"/>
      <c r="CQ34" s="12"/>
      <c r="CR34" s="12"/>
      <c r="CS34" s="12"/>
      <c r="CT34" s="12"/>
      <c r="CU34" s="12"/>
      <c r="CV34" s="12"/>
      <c r="CW34" s="12"/>
      <c r="CX34" s="12"/>
      <c r="CY34" s="12"/>
      <c r="CZ34" s="12"/>
      <c r="DA34" s="12"/>
      <c r="DB34" s="12"/>
      <c r="DC34" s="12"/>
      <c r="DD34" s="12"/>
      <c r="DE34" s="12"/>
      <c r="DF34" s="12"/>
      <c r="DG34" s="12"/>
      <c r="DH34" s="12"/>
      <c r="DI34" s="12"/>
      <c r="DJ34" s="12"/>
      <c r="DK34" s="12"/>
      <c r="DL34" s="12"/>
      <c r="DM34" s="12"/>
      <c r="DN34" s="12"/>
      <c r="DO34" s="12"/>
      <c r="DP34" s="12"/>
      <c r="DQ34" s="12"/>
      <c r="DR34" s="12"/>
      <c r="DS34" s="12"/>
      <c r="DT34" s="12"/>
      <c r="DU34" s="12"/>
      <c r="DV34" s="12"/>
      <c r="DW34" s="12"/>
      <c r="DX34" s="12"/>
      <c r="DY34" s="12"/>
      <c r="DZ34" s="12"/>
      <c r="EA34" s="12"/>
      <c r="EB34" s="12"/>
      <c r="EC34" s="12"/>
      <c r="ED34" s="12"/>
      <c r="EE34" s="12"/>
      <c r="EF34" s="12"/>
      <c r="EG34" s="12"/>
      <c r="EH34" s="12"/>
      <c r="EI34" s="12"/>
      <c r="EJ34" s="12"/>
      <c r="EK34" s="12"/>
      <c r="EL34" s="12"/>
      <c r="EM34" s="12"/>
      <c r="EN34" s="12"/>
      <c r="EO34" s="12"/>
      <c r="EP34" s="12"/>
      <c r="EQ34" s="12"/>
      <c r="ER34" s="12"/>
      <c r="ES34" s="12"/>
      <c r="ET34" s="12"/>
      <c r="EU34" s="12"/>
      <c r="EV34" s="12"/>
      <c r="EW34" s="12"/>
      <c r="EX34" s="12"/>
      <c r="EY34" s="12"/>
      <c r="EZ34" s="12"/>
      <c r="FA34" s="12"/>
      <c r="FB34" s="12"/>
      <c r="FC34" s="12"/>
      <c r="FD34" s="12"/>
      <c r="FE34" s="12"/>
      <c r="FF34" s="12"/>
      <c r="FG34" s="12"/>
      <c r="FH34" s="12"/>
      <c r="FI34" s="12"/>
      <c r="FJ34" s="12"/>
      <c r="FK34" s="12"/>
      <c r="FL34" s="12"/>
      <c r="FM34" s="12"/>
      <c r="FN34" s="12"/>
      <c r="FO34" s="12"/>
      <c r="FP34" s="12"/>
      <c r="FQ34" s="12"/>
      <c r="FR34" s="12"/>
      <c r="FS34" s="12"/>
      <c r="FT34" s="12"/>
      <c r="FU34" s="12"/>
      <c r="FV34" s="12"/>
      <c r="FW34" s="12"/>
      <c r="FX34" s="12"/>
      <c r="FY34" s="12"/>
      <c r="FZ34" s="12"/>
      <c r="GA34" s="12"/>
      <c r="GB34" s="12"/>
      <c r="GC34" s="12"/>
      <c r="GD34" s="12"/>
      <c r="GE34" s="12"/>
    </row>
    <row r="35" spans="1:187" ht="26.25" customHeight="1">
      <c r="A35" s="45"/>
      <c r="B35" s="9" t="s">
        <v>37</v>
      </c>
      <c r="C35" s="10" t="s">
        <v>99</v>
      </c>
      <c r="D35" s="10" t="s">
        <v>373</v>
      </c>
      <c r="E35" s="35">
        <v>249.64500000000001</v>
      </c>
      <c r="F35" s="35">
        <f>416.075-E35</f>
        <v>166.42999999999998</v>
      </c>
      <c r="G35" s="35">
        <v>81.010000000000005</v>
      </c>
      <c r="H35" s="35">
        <v>243.03</v>
      </c>
      <c r="I35" s="35">
        <f t="shared" si="0"/>
        <v>740.11500000000001</v>
      </c>
      <c r="J35" s="56">
        <f>'2021'!J36</f>
        <v>762.24527999999975</v>
      </c>
      <c r="K35" s="49">
        <v>3733.7913600000002</v>
      </c>
      <c r="L35" s="49">
        <v>3883.1430144000001</v>
      </c>
      <c r="M35" s="49">
        <v>1556.4946904000001</v>
      </c>
      <c r="N35" s="49">
        <v>1618.7544780160001</v>
      </c>
      <c r="O35" s="56">
        <f t="shared" si="1"/>
        <v>2177.2966696000003</v>
      </c>
      <c r="P35" s="1">
        <f t="shared" si="2"/>
        <v>543551.22708229208</v>
      </c>
      <c r="Q35" s="1">
        <f t="shared" si="3"/>
        <v>362367.48472152802</v>
      </c>
      <c r="R35" s="1">
        <f t="shared" si="4"/>
        <v>183438.11533246786</v>
      </c>
      <c r="S35" s="1">
        <f t="shared" si="5"/>
        <v>550314.34599740349</v>
      </c>
      <c r="T35" s="1">
        <f t="shared" si="6"/>
        <v>1639671.1731336913</v>
      </c>
      <c r="U35" s="11"/>
      <c r="V35" s="11"/>
      <c r="W35" s="11"/>
      <c r="X35" s="12"/>
      <c r="Y35" s="12"/>
      <c r="Z35" s="12"/>
      <c r="AA35" s="12"/>
      <c r="AB35" s="12"/>
      <c r="AC35" s="12"/>
      <c r="AD35" s="12"/>
      <c r="AE35" s="12"/>
      <c r="AF35" s="12"/>
      <c r="AG35" s="12"/>
      <c r="AH35" s="12"/>
      <c r="AI35" s="12"/>
      <c r="AJ35" s="12"/>
      <c r="AK35" s="12"/>
      <c r="AL35" s="12"/>
      <c r="AM35" s="12"/>
      <c r="AN35" s="12"/>
      <c r="AO35" s="12"/>
      <c r="AP35" s="12"/>
      <c r="AQ35" s="12"/>
      <c r="AR35" s="12"/>
      <c r="AS35" s="12"/>
      <c r="AT35" s="12"/>
      <c r="AU35" s="12"/>
      <c r="AV35" s="12"/>
      <c r="AW35" s="12"/>
      <c r="AX35" s="12"/>
      <c r="AY35" s="12"/>
      <c r="AZ35" s="12"/>
      <c r="BA35" s="12"/>
      <c r="BB35" s="12"/>
      <c r="BC35" s="12"/>
      <c r="BD35" s="12"/>
      <c r="BE35" s="12"/>
      <c r="BF35" s="12"/>
      <c r="BG35" s="12"/>
      <c r="BH35" s="12"/>
      <c r="BI35" s="12"/>
      <c r="BJ35" s="12"/>
      <c r="BK35" s="12"/>
      <c r="BL35" s="12"/>
      <c r="BM35" s="12"/>
      <c r="BN35" s="12"/>
      <c r="BO35" s="12"/>
      <c r="BP35" s="12"/>
      <c r="BQ35" s="12"/>
      <c r="BR35" s="12"/>
      <c r="BS35" s="12"/>
      <c r="BT35" s="12"/>
      <c r="BU35" s="12"/>
      <c r="BV35" s="12"/>
      <c r="BW35" s="12"/>
      <c r="BX35" s="12"/>
      <c r="BY35" s="12"/>
      <c r="BZ35" s="12"/>
      <c r="CA35" s="12"/>
      <c r="CB35" s="12"/>
      <c r="CC35" s="12"/>
      <c r="CD35" s="12"/>
      <c r="CE35" s="12"/>
      <c r="CF35" s="12"/>
      <c r="CG35" s="12"/>
      <c r="CH35" s="12"/>
      <c r="CI35" s="12"/>
      <c r="CJ35" s="12"/>
      <c r="CK35" s="12"/>
      <c r="CL35" s="12"/>
      <c r="CM35" s="12"/>
      <c r="CN35" s="12"/>
      <c r="CO35" s="12"/>
      <c r="CP35" s="12"/>
      <c r="CQ35" s="12"/>
      <c r="CR35" s="12"/>
      <c r="CS35" s="12"/>
      <c r="CT35" s="12"/>
      <c r="CU35" s="12"/>
      <c r="CV35" s="12"/>
      <c r="CW35" s="12"/>
      <c r="CX35" s="12"/>
      <c r="CY35" s="12"/>
      <c r="CZ35" s="12"/>
      <c r="DA35" s="12"/>
      <c r="DB35" s="12"/>
      <c r="DC35" s="12"/>
      <c r="DD35" s="12"/>
      <c r="DE35" s="12"/>
      <c r="DF35" s="12"/>
      <c r="DG35" s="12"/>
      <c r="DH35" s="12"/>
      <c r="DI35" s="12"/>
      <c r="DJ35" s="12"/>
      <c r="DK35" s="12"/>
      <c r="DL35" s="12"/>
      <c r="DM35" s="12"/>
      <c r="DN35" s="12"/>
      <c r="DO35" s="12"/>
      <c r="DP35" s="12"/>
      <c r="DQ35" s="12"/>
      <c r="DR35" s="12"/>
      <c r="DS35" s="12"/>
      <c r="DT35" s="12"/>
      <c r="DU35" s="12"/>
      <c r="DV35" s="12"/>
      <c r="DW35" s="12"/>
      <c r="DX35" s="12"/>
      <c r="DY35" s="12"/>
      <c r="DZ35" s="12"/>
      <c r="EA35" s="12"/>
      <c r="EB35" s="12"/>
      <c r="EC35" s="12"/>
      <c r="ED35" s="12"/>
      <c r="EE35" s="12"/>
      <c r="EF35" s="12"/>
      <c r="EG35" s="12"/>
      <c r="EH35" s="12"/>
      <c r="EI35" s="12"/>
      <c r="EJ35" s="12"/>
      <c r="EK35" s="12"/>
      <c r="EL35" s="12"/>
      <c r="EM35" s="12"/>
      <c r="EN35" s="12"/>
      <c r="EO35" s="12"/>
      <c r="EP35" s="12"/>
      <c r="EQ35" s="12"/>
      <c r="ER35" s="12"/>
      <c r="ES35" s="12"/>
      <c r="ET35" s="12"/>
      <c r="EU35" s="12"/>
      <c r="EV35" s="12"/>
      <c r="EW35" s="12"/>
      <c r="EX35" s="12"/>
      <c r="EY35" s="12"/>
      <c r="EZ35" s="12"/>
      <c r="FA35" s="12"/>
      <c r="FB35" s="12"/>
      <c r="FC35" s="12"/>
      <c r="FD35" s="12"/>
      <c r="FE35" s="12"/>
      <c r="FF35" s="12"/>
      <c r="FG35" s="12"/>
      <c r="FH35" s="12"/>
      <c r="FI35" s="12"/>
      <c r="FJ35" s="12"/>
      <c r="FK35" s="12"/>
      <c r="FL35" s="12"/>
      <c r="FM35" s="12"/>
      <c r="FN35" s="12"/>
      <c r="FO35" s="12"/>
      <c r="FP35" s="12"/>
      <c r="FQ35" s="12"/>
      <c r="FR35" s="12"/>
      <c r="FS35" s="12"/>
      <c r="FT35" s="12"/>
      <c r="FU35" s="12"/>
      <c r="FV35" s="12"/>
      <c r="FW35" s="12"/>
      <c r="FX35" s="12"/>
      <c r="FY35" s="12"/>
      <c r="FZ35" s="12"/>
      <c r="GA35" s="12"/>
      <c r="GB35" s="12"/>
      <c r="GC35" s="12"/>
      <c r="GD35" s="12"/>
      <c r="GE35" s="12"/>
    </row>
    <row r="36" spans="1:187" ht="26.25" customHeight="1">
      <c r="A36" s="45"/>
      <c r="B36" s="9" t="s">
        <v>372</v>
      </c>
      <c r="C36" s="10" t="s">
        <v>99</v>
      </c>
      <c r="D36" s="10" t="s">
        <v>374</v>
      </c>
      <c r="E36" s="35">
        <v>181.44499999999999</v>
      </c>
      <c r="F36" s="35">
        <f>280.895-E36</f>
        <v>99.449999999999989</v>
      </c>
      <c r="G36" s="35">
        <v>56.17</v>
      </c>
      <c r="H36" s="35">
        <v>157.97</v>
      </c>
      <c r="I36" s="35">
        <f t="shared" si="0"/>
        <v>495.03499999999997</v>
      </c>
      <c r="J36" s="56">
        <f>'2021'!J37</f>
        <v>505.57</v>
      </c>
      <c r="K36" s="49">
        <v>3232.026304</v>
      </c>
      <c r="L36" s="49">
        <v>3361.3073561599999</v>
      </c>
      <c r="M36" s="49">
        <v>1602.6320648000001</v>
      </c>
      <c r="N36" s="49">
        <v>1666.7373473920002</v>
      </c>
      <c r="O36" s="56"/>
      <c r="P36" s="1">
        <f t="shared" si="2"/>
        <v>295645.43773164396</v>
      </c>
      <c r="Q36" s="1">
        <f t="shared" si="3"/>
        <v>162043.25708843998</v>
      </c>
      <c r="R36" s="1">
        <f t="shared" si="4"/>
        <v>95183.997392498553</v>
      </c>
      <c r="S36" s="1">
        <f t="shared" si="5"/>
        <v>267691.22428508091</v>
      </c>
      <c r="T36" s="1">
        <f t="shared" si="6"/>
        <v>820563.91649766336</v>
      </c>
      <c r="U36" s="11"/>
      <c r="V36" s="11"/>
      <c r="W36" s="11"/>
      <c r="X36" s="12"/>
      <c r="Y36" s="12"/>
      <c r="Z36" s="12"/>
      <c r="AA36" s="12"/>
      <c r="AB36" s="12"/>
      <c r="AC36" s="12"/>
      <c r="AD36" s="12"/>
      <c r="AE36" s="12"/>
      <c r="AF36" s="12"/>
      <c r="AG36" s="12"/>
      <c r="AH36" s="12"/>
      <c r="AI36" s="12"/>
      <c r="AJ36" s="12"/>
      <c r="AK36" s="12"/>
      <c r="AL36" s="12"/>
      <c r="AM36" s="12"/>
      <c r="AN36" s="12"/>
      <c r="AO36" s="12"/>
      <c r="AP36" s="12"/>
      <c r="AQ36" s="12"/>
      <c r="AR36" s="12"/>
      <c r="AS36" s="12"/>
      <c r="AT36" s="12"/>
      <c r="AU36" s="12"/>
      <c r="AV36" s="12"/>
      <c r="AW36" s="12"/>
      <c r="AX36" s="12"/>
      <c r="AY36" s="12"/>
      <c r="AZ36" s="12"/>
      <c r="BA36" s="12"/>
      <c r="BB36" s="12"/>
      <c r="BC36" s="12"/>
      <c r="BD36" s="12"/>
      <c r="BE36" s="12"/>
      <c r="BF36" s="12"/>
      <c r="BG36" s="12"/>
      <c r="BH36" s="12"/>
      <c r="BI36" s="12"/>
      <c r="BJ36" s="12"/>
      <c r="BK36" s="12"/>
      <c r="BL36" s="12"/>
      <c r="BM36" s="12"/>
      <c r="BN36" s="12"/>
      <c r="BO36" s="12"/>
      <c r="BP36" s="12"/>
      <c r="BQ36" s="12"/>
      <c r="BR36" s="12"/>
      <c r="BS36" s="12"/>
      <c r="BT36" s="12"/>
      <c r="BU36" s="12"/>
      <c r="BV36" s="12"/>
      <c r="BW36" s="12"/>
      <c r="BX36" s="12"/>
      <c r="BY36" s="12"/>
      <c r="BZ36" s="12"/>
      <c r="CA36" s="12"/>
      <c r="CB36" s="12"/>
      <c r="CC36" s="12"/>
      <c r="CD36" s="12"/>
      <c r="CE36" s="12"/>
      <c r="CF36" s="12"/>
      <c r="CG36" s="12"/>
      <c r="CH36" s="12"/>
      <c r="CI36" s="12"/>
      <c r="CJ36" s="12"/>
      <c r="CK36" s="12"/>
      <c r="CL36" s="12"/>
      <c r="CM36" s="12"/>
      <c r="CN36" s="12"/>
      <c r="CO36" s="12"/>
      <c r="CP36" s="12"/>
      <c r="CQ36" s="12"/>
      <c r="CR36" s="12"/>
      <c r="CS36" s="12"/>
      <c r="CT36" s="12"/>
      <c r="CU36" s="12"/>
      <c r="CV36" s="12"/>
      <c r="CW36" s="12"/>
      <c r="CX36" s="12"/>
      <c r="CY36" s="12"/>
      <c r="CZ36" s="12"/>
      <c r="DA36" s="12"/>
      <c r="DB36" s="12"/>
      <c r="DC36" s="12"/>
      <c r="DD36" s="12"/>
      <c r="DE36" s="12"/>
      <c r="DF36" s="12"/>
      <c r="DG36" s="12"/>
      <c r="DH36" s="12"/>
      <c r="DI36" s="12"/>
      <c r="DJ36" s="12"/>
      <c r="DK36" s="12"/>
      <c r="DL36" s="12"/>
      <c r="DM36" s="12"/>
      <c r="DN36" s="12"/>
      <c r="DO36" s="12"/>
      <c r="DP36" s="12"/>
      <c r="DQ36" s="12"/>
      <c r="DR36" s="12"/>
      <c r="DS36" s="12"/>
      <c r="DT36" s="12"/>
      <c r="DU36" s="12"/>
      <c r="DV36" s="12"/>
      <c r="DW36" s="12"/>
      <c r="DX36" s="12"/>
      <c r="DY36" s="12"/>
      <c r="DZ36" s="12"/>
      <c r="EA36" s="12"/>
      <c r="EB36" s="12"/>
      <c r="EC36" s="12"/>
      <c r="ED36" s="12"/>
      <c r="EE36" s="12"/>
      <c r="EF36" s="12"/>
      <c r="EG36" s="12"/>
      <c r="EH36" s="12"/>
      <c r="EI36" s="12"/>
      <c r="EJ36" s="12"/>
      <c r="EK36" s="12"/>
      <c r="EL36" s="12"/>
      <c r="EM36" s="12"/>
      <c r="EN36" s="12"/>
      <c r="EO36" s="12"/>
      <c r="EP36" s="12"/>
      <c r="EQ36" s="12"/>
      <c r="ER36" s="12"/>
      <c r="ES36" s="12"/>
      <c r="ET36" s="12"/>
      <c r="EU36" s="12"/>
      <c r="EV36" s="12"/>
      <c r="EW36" s="12"/>
      <c r="EX36" s="12"/>
      <c r="EY36" s="12"/>
      <c r="EZ36" s="12"/>
      <c r="FA36" s="12"/>
      <c r="FB36" s="12"/>
      <c r="FC36" s="12"/>
      <c r="FD36" s="12"/>
      <c r="FE36" s="12"/>
      <c r="FF36" s="12"/>
      <c r="FG36" s="12"/>
      <c r="FH36" s="12"/>
      <c r="FI36" s="12"/>
      <c r="FJ36" s="12"/>
      <c r="FK36" s="12"/>
      <c r="FL36" s="12"/>
      <c r="FM36" s="12"/>
      <c r="FN36" s="12"/>
      <c r="FO36" s="12"/>
      <c r="FP36" s="12"/>
      <c r="FQ36" s="12"/>
      <c r="FR36" s="12"/>
      <c r="FS36" s="12"/>
      <c r="FT36" s="12"/>
      <c r="FU36" s="12"/>
      <c r="FV36" s="12"/>
      <c r="FW36" s="12"/>
      <c r="FX36" s="12"/>
      <c r="FY36" s="12"/>
      <c r="FZ36" s="12"/>
      <c r="GA36" s="12"/>
      <c r="GB36" s="12"/>
      <c r="GC36" s="12"/>
      <c r="GD36" s="12"/>
      <c r="GE36" s="12"/>
    </row>
    <row r="37" spans="1:187" ht="26.25" customHeight="1">
      <c r="A37" s="45"/>
      <c r="B37" s="9" t="s">
        <v>39</v>
      </c>
      <c r="C37" s="10" t="s">
        <v>100</v>
      </c>
      <c r="D37" s="10" t="s">
        <v>101</v>
      </c>
      <c r="E37" s="35">
        <v>115.476</v>
      </c>
      <c r="F37" s="35">
        <f>193.742-E37</f>
        <v>78.265999999999991</v>
      </c>
      <c r="G37" s="35">
        <v>35.96</v>
      </c>
      <c r="H37" s="35">
        <f>147.418-G37</f>
        <v>111.458</v>
      </c>
      <c r="I37" s="35">
        <f t="shared" si="0"/>
        <v>341.15999999999997</v>
      </c>
      <c r="J37" s="56">
        <f>'2021'!J38</f>
        <v>461.75490179999997</v>
      </c>
      <c r="K37" s="49">
        <v>4398.5102720000004</v>
      </c>
      <c r="L37" s="49">
        <v>4574.4506828800004</v>
      </c>
      <c r="M37" s="49">
        <v>1526.5021615999999</v>
      </c>
      <c r="N37" s="49">
        <v>1587.562248064</v>
      </c>
      <c r="O37" s="56">
        <f t="shared" si="1"/>
        <v>2872.0081104000005</v>
      </c>
      <c r="P37" s="1">
        <f t="shared" si="2"/>
        <v>331648.00855655049</v>
      </c>
      <c r="Q37" s="1">
        <f t="shared" si="3"/>
        <v>224780.58676856643</v>
      </c>
      <c r="R37" s="1">
        <f t="shared" si="4"/>
        <v>107408.50811598338</v>
      </c>
      <c r="S37" s="1">
        <f t="shared" si="5"/>
        <v>332912.6111677218</v>
      </c>
      <c r="T37" s="1">
        <f t="shared" si="6"/>
        <v>996749.71460882202</v>
      </c>
      <c r="U37" s="11"/>
      <c r="V37" s="11"/>
      <c r="W37" s="11"/>
      <c r="X37" s="12"/>
      <c r="Y37" s="12"/>
      <c r="Z37" s="12"/>
      <c r="AA37" s="12"/>
      <c r="AB37" s="12"/>
      <c r="AC37" s="12"/>
      <c r="AD37" s="12"/>
      <c r="AE37" s="12"/>
      <c r="AF37" s="12"/>
      <c r="AG37" s="12"/>
      <c r="AH37" s="12"/>
      <c r="AI37" s="12"/>
      <c r="AJ37" s="12"/>
      <c r="AK37" s="12"/>
      <c r="AL37" s="12"/>
      <c r="AM37" s="12"/>
      <c r="AN37" s="12"/>
      <c r="AO37" s="12"/>
      <c r="AP37" s="12"/>
      <c r="AQ37" s="12"/>
      <c r="AR37" s="12"/>
      <c r="AS37" s="12"/>
      <c r="AT37" s="12"/>
      <c r="AU37" s="12"/>
      <c r="AV37" s="12"/>
      <c r="AW37" s="12"/>
      <c r="AX37" s="12"/>
      <c r="AY37" s="12"/>
      <c r="AZ37" s="12"/>
      <c r="BA37" s="12"/>
      <c r="BB37" s="12"/>
      <c r="BC37" s="12"/>
      <c r="BD37" s="12"/>
      <c r="BE37" s="12"/>
      <c r="BF37" s="12"/>
      <c r="BG37" s="12"/>
      <c r="BH37" s="12"/>
      <c r="BI37" s="12"/>
      <c r="BJ37" s="12"/>
      <c r="BK37" s="12"/>
      <c r="BL37" s="12"/>
      <c r="BM37" s="12"/>
      <c r="BN37" s="12"/>
      <c r="BO37" s="12"/>
      <c r="BP37" s="12"/>
      <c r="BQ37" s="12"/>
      <c r="BR37" s="12"/>
      <c r="BS37" s="12"/>
      <c r="BT37" s="12"/>
      <c r="BU37" s="12"/>
      <c r="BV37" s="12"/>
      <c r="BW37" s="12"/>
      <c r="BX37" s="12"/>
      <c r="BY37" s="12"/>
      <c r="BZ37" s="12"/>
      <c r="CA37" s="12"/>
      <c r="CB37" s="12"/>
      <c r="CC37" s="12"/>
      <c r="CD37" s="12"/>
      <c r="CE37" s="12"/>
      <c r="CF37" s="12"/>
      <c r="CG37" s="12"/>
      <c r="CH37" s="12"/>
      <c r="CI37" s="12"/>
      <c r="CJ37" s="12"/>
      <c r="CK37" s="12"/>
      <c r="CL37" s="12"/>
      <c r="CM37" s="12"/>
      <c r="CN37" s="12"/>
      <c r="CO37" s="12"/>
      <c r="CP37" s="12"/>
      <c r="CQ37" s="12"/>
      <c r="CR37" s="12"/>
      <c r="CS37" s="12"/>
      <c r="CT37" s="12"/>
      <c r="CU37" s="12"/>
      <c r="CV37" s="12"/>
      <c r="CW37" s="12"/>
      <c r="CX37" s="12"/>
      <c r="CY37" s="12"/>
      <c r="CZ37" s="12"/>
      <c r="DA37" s="12"/>
      <c r="DB37" s="12"/>
      <c r="DC37" s="12"/>
      <c r="DD37" s="12"/>
      <c r="DE37" s="12"/>
      <c r="DF37" s="12"/>
      <c r="DG37" s="12"/>
      <c r="DH37" s="12"/>
      <c r="DI37" s="12"/>
      <c r="DJ37" s="12"/>
      <c r="DK37" s="12"/>
      <c r="DL37" s="12"/>
      <c r="DM37" s="12"/>
      <c r="DN37" s="12"/>
      <c r="DO37" s="12"/>
      <c r="DP37" s="12"/>
      <c r="DQ37" s="12"/>
      <c r="DR37" s="12"/>
      <c r="DS37" s="12"/>
      <c r="DT37" s="12"/>
      <c r="DU37" s="12"/>
      <c r="DV37" s="12"/>
      <c r="DW37" s="12"/>
      <c r="DX37" s="12"/>
      <c r="DY37" s="12"/>
      <c r="DZ37" s="12"/>
      <c r="EA37" s="12"/>
      <c r="EB37" s="12"/>
      <c r="EC37" s="12"/>
      <c r="ED37" s="12"/>
      <c r="EE37" s="12"/>
      <c r="EF37" s="12"/>
      <c r="EG37" s="12"/>
      <c r="EH37" s="12"/>
      <c r="EI37" s="12"/>
      <c r="EJ37" s="12"/>
      <c r="EK37" s="12"/>
      <c r="EL37" s="12"/>
      <c r="EM37" s="12"/>
      <c r="EN37" s="12"/>
      <c r="EO37" s="12"/>
      <c r="EP37" s="12"/>
      <c r="EQ37" s="12"/>
      <c r="ER37" s="12"/>
      <c r="ES37" s="12"/>
      <c r="ET37" s="12"/>
      <c r="EU37" s="12"/>
      <c r="EV37" s="12"/>
      <c r="EW37" s="12"/>
      <c r="EX37" s="12"/>
      <c r="EY37" s="12"/>
      <c r="EZ37" s="12"/>
      <c r="FA37" s="12"/>
      <c r="FB37" s="12"/>
      <c r="FC37" s="12"/>
      <c r="FD37" s="12"/>
      <c r="FE37" s="12"/>
      <c r="FF37" s="12"/>
      <c r="FG37" s="12"/>
      <c r="FH37" s="12"/>
      <c r="FI37" s="12"/>
      <c r="FJ37" s="12"/>
      <c r="FK37" s="12"/>
      <c r="FL37" s="12"/>
      <c r="FM37" s="12"/>
      <c r="FN37" s="12"/>
      <c r="FO37" s="12"/>
      <c r="FP37" s="12"/>
      <c r="FQ37" s="12"/>
      <c r="FR37" s="12"/>
      <c r="FS37" s="12"/>
      <c r="FT37" s="12"/>
      <c r="FU37" s="12"/>
      <c r="FV37" s="12"/>
      <c r="FW37" s="12"/>
      <c r="FX37" s="12"/>
      <c r="FY37" s="12"/>
      <c r="FZ37" s="12"/>
      <c r="GA37" s="12"/>
      <c r="GB37" s="12"/>
      <c r="GC37" s="12"/>
      <c r="GD37" s="12"/>
      <c r="GE37" s="12"/>
    </row>
    <row r="38" spans="1:187" ht="26.25" customHeight="1">
      <c r="A38" s="45"/>
      <c r="B38" s="9" t="s">
        <v>38</v>
      </c>
      <c r="C38" s="10" t="s">
        <v>93</v>
      </c>
      <c r="D38" s="10" t="s">
        <v>94</v>
      </c>
      <c r="E38" s="35">
        <v>141.56100000000001</v>
      </c>
      <c r="F38" s="35">
        <f>219.191-E38</f>
        <v>77.63</v>
      </c>
      <c r="G38" s="35">
        <v>21.262</v>
      </c>
      <c r="H38" s="35">
        <f>157.95-G38</f>
        <v>136.68799999999999</v>
      </c>
      <c r="I38" s="35">
        <f t="shared" si="0"/>
        <v>377.14099999999996</v>
      </c>
      <c r="J38" s="56">
        <f>'2021'!J39</f>
        <v>380</v>
      </c>
      <c r="K38" s="49">
        <v>3173.273792</v>
      </c>
      <c r="L38" s="49">
        <v>3300.2047436799999</v>
      </c>
      <c r="M38" s="49">
        <v>1720.6824855999998</v>
      </c>
      <c r="N38" s="49">
        <v>1789.5097850239999</v>
      </c>
      <c r="O38" s="56">
        <f t="shared" si="1"/>
        <v>1452.5913064000001</v>
      </c>
      <c r="P38" s="1">
        <f t="shared" si="2"/>
        <v>205630.27792529043</v>
      </c>
      <c r="Q38" s="1">
        <f t="shared" si="3"/>
        <v>112764.66311583201</v>
      </c>
      <c r="R38" s="1">
        <f t="shared" si="4"/>
        <v>32120.396210943873</v>
      </c>
      <c r="S38" s="1">
        <f t="shared" si="5"/>
        <v>206493.87250877131</v>
      </c>
      <c r="T38" s="1">
        <f t="shared" si="6"/>
        <v>557009.20976083761</v>
      </c>
      <c r="U38" s="11"/>
      <c r="V38" s="11"/>
      <c r="W38" s="11"/>
      <c r="X38" s="12"/>
      <c r="Y38" s="12"/>
      <c r="Z38" s="12"/>
      <c r="AA38" s="12"/>
      <c r="AB38" s="12"/>
      <c r="AC38" s="12"/>
      <c r="AD38" s="12"/>
      <c r="AE38" s="12"/>
      <c r="AF38" s="12"/>
      <c r="AG38" s="12"/>
      <c r="AH38" s="12"/>
      <c r="AI38" s="12"/>
      <c r="AJ38" s="12"/>
      <c r="AK38" s="12"/>
      <c r="AL38" s="12"/>
      <c r="AM38" s="12"/>
      <c r="AN38" s="12"/>
      <c r="AO38" s="12"/>
      <c r="AP38" s="12"/>
      <c r="AQ38" s="12"/>
      <c r="AR38" s="12"/>
      <c r="AS38" s="12"/>
      <c r="AT38" s="12"/>
      <c r="AU38" s="12"/>
      <c r="AV38" s="12"/>
      <c r="AW38" s="12"/>
      <c r="AX38" s="12"/>
      <c r="AY38" s="12"/>
      <c r="AZ38" s="12"/>
      <c r="BA38" s="12"/>
      <c r="BB38" s="12"/>
      <c r="BC38" s="12"/>
      <c r="BD38" s="12"/>
      <c r="BE38" s="12"/>
      <c r="BF38" s="12"/>
      <c r="BG38" s="12"/>
      <c r="BH38" s="12"/>
      <c r="BI38" s="12"/>
      <c r="BJ38" s="12"/>
      <c r="BK38" s="12"/>
      <c r="BL38" s="12"/>
      <c r="BM38" s="12"/>
      <c r="BN38" s="12"/>
      <c r="BO38" s="12"/>
      <c r="BP38" s="12"/>
      <c r="BQ38" s="12"/>
      <c r="BR38" s="12"/>
      <c r="BS38" s="12"/>
      <c r="BT38" s="12"/>
      <c r="BU38" s="12"/>
      <c r="BV38" s="12"/>
      <c r="BW38" s="12"/>
      <c r="BX38" s="12"/>
      <c r="BY38" s="12"/>
      <c r="BZ38" s="12"/>
      <c r="CA38" s="12"/>
      <c r="CB38" s="12"/>
      <c r="CC38" s="12"/>
      <c r="CD38" s="12"/>
      <c r="CE38" s="12"/>
      <c r="CF38" s="12"/>
      <c r="CG38" s="12"/>
      <c r="CH38" s="12"/>
      <c r="CI38" s="12"/>
      <c r="CJ38" s="12"/>
      <c r="CK38" s="12"/>
      <c r="CL38" s="12"/>
      <c r="CM38" s="12"/>
      <c r="CN38" s="12"/>
      <c r="CO38" s="12"/>
      <c r="CP38" s="12"/>
      <c r="CQ38" s="12"/>
      <c r="CR38" s="12"/>
      <c r="CS38" s="12"/>
      <c r="CT38" s="12"/>
      <c r="CU38" s="12"/>
      <c r="CV38" s="12"/>
      <c r="CW38" s="12"/>
      <c r="CX38" s="12"/>
      <c r="CY38" s="12"/>
      <c r="CZ38" s="12"/>
      <c r="DA38" s="12"/>
      <c r="DB38" s="12"/>
      <c r="DC38" s="12"/>
      <c r="DD38" s="12"/>
      <c r="DE38" s="12"/>
      <c r="DF38" s="12"/>
      <c r="DG38" s="12"/>
      <c r="DH38" s="12"/>
      <c r="DI38" s="12"/>
      <c r="DJ38" s="12"/>
      <c r="DK38" s="12"/>
      <c r="DL38" s="12"/>
      <c r="DM38" s="12"/>
      <c r="DN38" s="12"/>
      <c r="DO38" s="12"/>
      <c r="DP38" s="12"/>
      <c r="DQ38" s="12"/>
      <c r="DR38" s="12"/>
      <c r="DS38" s="12"/>
      <c r="DT38" s="12"/>
      <c r="DU38" s="12"/>
      <c r="DV38" s="12"/>
      <c r="DW38" s="12"/>
      <c r="DX38" s="12"/>
      <c r="DY38" s="12"/>
      <c r="DZ38" s="12"/>
      <c r="EA38" s="12"/>
      <c r="EB38" s="12"/>
      <c r="EC38" s="12"/>
      <c r="ED38" s="12"/>
      <c r="EE38" s="12"/>
      <c r="EF38" s="12"/>
      <c r="EG38" s="12"/>
      <c r="EH38" s="12"/>
      <c r="EI38" s="12"/>
      <c r="EJ38" s="12"/>
      <c r="EK38" s="12"/>
      <c r="EL38" s="12"/>
      <c r="EM38" s="12"/>
      <c r="EN38" s="12"/>
      <c r="EO38" s="12"/>
      <c r="EP38" s="12"/>
      <c r="EQ38" s="12"/>
      <c r="ER38" s="12"/>
      <c r="ES38" s="12"/>
      <c r="ET38" s="12"/>
      <c r="EU38" s="12"/>
      <c r="EV38" s="12"/>
      <c r="EW38" s="12"/>
      <c r="EX38" s="12"/>
      <c r="EY38" s="12"/>
      <c r="EZ38" s="12"/>
      <c r="FA38" s="12"/>
      <c r="FB38" s="12"/>
      <c r="FC38" s="12"/>
      <c r="FD38" s="12"/>
      <c r="FE38" s="12"/>
      <c r="FF38" s="12"/>
      <c r="FG38" s="12"/>
      <c r="FH38" s="12"/>
      <c r="FI38" s="12"/>
      <c r="FJ38" s="12"/>
      <c r="FK38" s="12"/>
      <c r="FL38" s="12"/>
      <c r="FM38" s="12"/>
      <c r="FN38" s="12"/>
      <c r="FO38" s="12"/>
      <c r="FP38" s="12"/>
      <c r="FQ38" s="12"/>
      <c r="FR38" s="12"/>
      <c r="FS38" s="12"/>
      <c r="FT38" s="12"/>
      <c r="FU38" s="12"/>
      <c r="FV38" s="12"/>
      <c r="FW38" s="12"/>
      <c r="FX38" s="12"/>
      <c r="FY38" s="12"/>
      <c r="FZ38" s="12"/>
      <c r="GA38" s="12"/>
      <c r="GB38" s="12"/>
      <c r="GC38" s="12"/>
      <c r="GD38" s="12"/>
      <c r="GE38" s="12"/>
    </row>
    <row r="39" spans="1:187" ht="26.25" customHeight="1">
      <c r="A39" s="45"/>
      <c r="B39" s="9" t="s">
        <v>288</v>
      </c>
      <c r="C39" s="10" t="s">
        <v>91</v>
      </c>
      <c r="D39" s="10" t="s">
        <v>92</v>
      </c>
      <c r="E39" s="35">
        <v>182.91</v>
      </c>
      <c r="F39" s="35">
        <f>275.79-E39</f>
        <v>92.880000000000024</v>
      </c>
      <c r="G39" s="35">
        <v>23.78</v>
      </c>
      <c r="H39" s="35">
        <f>196.59-G39</f>
        <v>172.81</v>
      </c>
      <c r="I39" s="35">
        <f t="shared" si="0"/>
        <v>472.38000000000005</v>
      </c>
      <c r="J39" s="56">
        <f>'2021'!J40</f>
        <v>619.14540599999998</v>
      </c>
      <c r="K39" s="49">
        <v>3670.2473599999998</v>
      </c>
      <c r="L39" s="49">
        <v>3817.0572544000001</v>
      </c>
      <c r="M39" s="49">
        <v>1495.5066463999999</v>
      </c>
      <c r="N39" s="49">
        <v>1555.326912256</v>
      </c>
      <c r="O39" s="56">
        <f t="shared" si="1"/>
        <v>2174.7407136000002</v>
      </c>
      <c r="P39" s="1">
        <f t="shared" si="2"/>
        <v>397781.82392457605</v>
      </c>
      <c r="Q39" s="1">
        <f t="shared" si="3"/>
        <v>201989.91747916807</v>
      </c>
      <c r="R39" s="1">
        <f t="shared" si="4"/>
        <v>53783.947536184329</v>
      </c>
      <c r="S39" s="1">
        <f t="shared" si="5"/>
        <v>390849.62042590469</v>
      </c>
      <c r="T39" s="1">
        <f t="shared" si="6"/>
        <v>1044405.3093658332</v>
      </c>
      <c r="U39" s="11"/>
      <c r="V39" s="11"/>
      <c r="W39" s="11"/>
      <c r="X39" s="12"/>
      <c r="Y39" s="12"/>
      <c r="Z39" s="12"/>
      <c r="AA39" s="12"/>
      <c r="AB39" s="12"/>
      <c r="AC39" s="12"/>
      <c r="AD39" s="12"/>
      <c r="AE39" s="12"/>
      <c r="AF39" s="12"/>
      <c r="AG39" s="12"/>
      <c r="AH39" s="12"/>
      <c r="AI39" s="12"/>
      <c r="AJ39" s="12"/>
      <c r="AK39" s="12"/>
      <c r="AL39" s="12"/>
      <c r="AM39" s="12"/>
      <c r="AN39" s="12"/>
      <c r="AO39" s="12"/>
      <c r="AP39" s="12"/>
      <c r="AQ39" s="12"/>
      <c r="AR39" s="12"/>
      <c r="AS39" s="12"/>
      <c r="AT39" s="12"/>
      <c r="AU39" s="12"/>
      <c r="AV39" s="12"/>
      <c r="AW39" s="12"/>
      <c r="AX39" s="12"/>
      <c r="AY39" s="12"/>
      <c r="AZ39" s="12"/>
      <c r="BA39" s="12"/>
      <c r="BB39" s="12"/>
      <c r="BC39" s="12"/>
      <c r="BD39" s="12"/>
      <c r="BE39" s="12"/>
      <c r="BF39" s="12"/>
      <c r="BG39" s="12"/>
      <c r="BH39" s="12"/>
      <c r="BI39" s="12"/>
      <c r="BJ39" s="12"/>
      <c r="BK39" s="12"/>
      <c r="BL39" s="12"/>
      <c r="BM39" s="12"/>
      <c r="BN39" s="12"/>
      <c r="BO39" s="12"/>
      <c r="BP39" s="12"/>
      <c r="BQ39" s="12"/>
      <c r="BR39" s="12"/>
      <c r="BS39" s="12"/>
      <c r="BT39" s="12"/>
      <c r="BU39" s="12"/>
      <c r="BV39" s="12"/>
      <c r="BW39" s="12"/>
      <c r="BX39" s="12"/>
      <c r="BY39" s="12"/>
      <c r="BZ39" s="12"/>
      <c r="CA39" s="12"/>
      <c r="CB39" s="12"/>
      <c r="CC39" s="12"/>
      <c r="CD39" s="12"/>
      <c r="CE39" s="12"/>
      <c r="CF39" s="12"/>
      <c r="CG39" s="12"/>
      <c r="CH39" s="12"/>
      <c r="CI39" s="12"/>
      <c r="CJ39" s="12"/>
      <c r="CK39" s="12"/>
      <c r="CL39" s="12"/>
      <c r="CM39" s="12"/>
      <c r="CN39" s="12"/>
      <c r="CO39" s="12"/>
      <c r="CP39" s="12"/>
      <c r="CQ39" s="12"/>
      <c r="CR39" s="12"/>
      <c r="CS39" s="12"/>
      <c r="CT39" s="12"/>
      <c r="CU39" s="12"/>
      <c r="CV39" s="12"/>
      <c r="CW39" s="12"/>
      <c r="CX39" s="12"/>
      <c r="CY39" s="12"/>
      <c r="CZ39" s="12"/>
      <c r="DA39" s="12"/>
      <c r="DB39" s="12"/>
      <c r="DC39" s="12"/>
      <c r="DD39" s="12"/>
      <c r="DE39" s="12"/>
      <c r="DF39" s="12"/>
      <c r="DG39" s="12"/>
      <c r="DH39" s="12"/>
      <c r="DI39" s="12"/>
      <c r="DJ39" s="12"/>
      <c r="DK39" s="12"/>
      <c r="DL39" s="12"/>
      <c r="DM39" s="12"/>
      <c r="DN39" s="12"/>
      <c r="DO39" s="12"/>
      <c r="DP39" s="12"/>
      <c r="DQ39" s="12"/>
      <c r="DR39" s="12"/>
      <c r="DS39" s="12"/>
      <c r="DT39" s="12"/>
      <c r="DU39" s="12"/>
      <c r="DV39" s="12"/>
      <c r="DW39" s="12"/>
      <c r="DX39" s="12"/>
      <c r="DY39" s="12"/>
      <c r="DZ39" s="12"/>
      <c r="EA39" s="12"/>
      <c r="EB39" s="12"/>
      <c r="EC39" s="12"/>
      <c r="ED39" s="12"/>
      <c r="EE39" s="12"/>
      <c r="EF39" s="12"/>
      <c r="EG39" s="12"/>
      <c r="EH39" s="12"/>
      <c r="EI39" s="12"/>
      <c r="EJ39" s="12"/>
      <c r="EK39" s="12"/>
      <c r="EL39" s="12"/>
      <c r="EM39" s="12"/>
      <c r="EN39" s="12"/>
      <c r="EO39" s="12"/>
      <c r="EP39" s="12"/>
      <c r="EQ39" s="12"/>
      <c r="ER39" s="12"/>
      <c r="ES39" s="12"/>
      <c r="ET39" s="12"/>
      <c r="EU39" s="12"/>
      <c r="EV39" s="12"/>
      <c r="EW39" s="12"/>
      <c r="EX39" s="12"/>
      <c r="EY39" s="12"/>
      <c r="EZ39" s="12"/>
      <c r="FA39" s="12"/>
      <c r="FB39" s="12"/>
      <c r="FC39" s="12"/>
      <c r="FD39" s="12"/>
      <c r="FE39" s="12"/>
      <c r="FF39" s="12"/>
      <c r="FG39" s="12"/>
      <c r="FH39" s="12"/>
      <c r="FI39" s="12"/>
      <c r="FJ39" s="12"/>
      <c r="FK39" s="12"/>
      <c r="FL39" s="12"/>
      <c r="FM39" s="12"/>
      <c r="FN39" s="12"/>
      <c r="FO39" s="12"/>
      <c r="FP39" s="12"/>
      <c r="FQ39" s="12"/>
      <c r="FR39" s="12"/>
      <c r="FS39" s="12"/>
      <c r="FT39" s="12"/>
      <c r="FU39" s="12"/>
      <c r="FV39" s="12"/>
      <c r="FW39" s="12"/>
      <c r="FX39" s="12"/>
      <c r="FY39" s="12"/>
      <c r="FZ39" s="12"/>
      <c r="GA39" s="12"/>
      <c r="GB39" s="12"/>
      <c r="GC39" s="12"/>
      <c r="GD39" s="12"/>
      <c r="GE39" s="12"/>
    </row>
    <row r="40" spans="1:187" ht="26.25" customHeight="1">
      <c r="A40" s="45"/>
      <c r="B40" s="9" t="s">
        <v>36</v>
      </c>
      <c r="C40" s="10" t="s">
        <v>97</v>
      </c>
      <c r="D40" s="10" t="s">
        <v>98</v>
      </c>
      <c r="E40" s="35">
        <v>156.34200000000001</v>
      </c>
      <c r="F40" s="35">
        <f>243.759-E40</f>
        <v>87.416999999999973</v>
      </c>
      <c r="G40" s="35">
        <v>24.32</v>
      </c>
      <c r="H40" s="35">
        <f>180.66-G40</f>
        <v>156.34</v>
      </c>
      <c r="I40" s="35">
        <f t="shared" si="0"/>
        <v>424.41899999999998</v>
      </c>
      <c r="J40" s="56">
        <f>'2021'!J41</f>
        <v>460.33416</v>
      </c>
      <c r="K40" s="49">
        <v>4579.1158400000004</v>
      </c>
      <c r="L40" s="49">
        <v>4762.2804736000007</v>
      </c>
      <c r="M40" s="49">
        <v>1615.1855720000001</v>
      </c>
      <c r="N40" s="49">
        <v>1679.7929948800002</v>
      </c>
      <c r="O40" s="56">
        <f t="shared" si="1"/>
        <v>2963.9302680000001</v>
      </c>
      <c r="P40" s="1">
        <f t="shared" si="2"/>
        <v>463386.78595965606</v>
      </c>
      <c r="Q40" s="1">
        <f t="shared" si="3"/>
        <v>259097.89223775594</v>
      </c>
      <c r="R40" s="1">
        <f t="shared" si="4"/>
        <v>74966.095482470409</v>
      </c>
      <c r="S40" s="1">
        <f t="shared" si="5"/>
        <v>481916.09242308489</v>
      </c>
      <c r="T40" s="1">
        <f t="shared" si="6"/>
        <v>1279366.8661029674</v>
      </c>
      <c r="U40" s="11"/>
      <c r="V40" s="11"/>
      <c r="W40" s="11"/>
      <c r="X40" s="12"/>
      <c r="Y40" s="12"/>
      <c r="Z40" s="12"/>
      <c r="AA40" s="12"/>
      <c r="AB40" s="12"/>
      <c r="AC40" s="12"/>
      <c r="AD40" s="12"/>
      <c r="AE40" s="12"/>
      <c r="AF40" s="12"/>
      <c r="AG40" s="12"/>
      <c r="AH40" s="12"/>
      <c r="AI40" s="12"/>
      <c r="AJ40" s="12"/>
      <c r="AK40" s="12"/>
      <c r="AL40" s="12"/>
      <c r="AM40" s="12"/>
      <c r="AN40" s="12"/>
      <c r="AO40" s="12"/>
      <c r="AP40" s="12"/>
      <c r="AQ40" s="12"/>
      <c r="AR40" s="12"/>
      <c r="AS40" s="12"/>
      <c r="AT40" s="12"/>
      <c r="AU40" s="12"/>
      <c r="AV40" s="12"/>
      <c r="AW40" s="12"/>
      <c r="AX40" s="12"/>
      <c r="AY40" s="12"/>
      <c r="AZ40" s="12"/>
      <c r="BA40" s="12"/>
      <c r="BB40" s="12"/>
      <c r="BC40" s="12"/>
      <c r="BD40" s="12"/>
      <c r="BE40" s="12"/>
      <c r="BF40" s="12"/>
      <c r="BG40" s="12"/>
      <c r="BH40" s="12"/>
      <c r="BI40" s="12"/>
      <c r="BJ40" s="12"/>
      <c r="BK40" s="12"/>
      <c r="BL40" s="12"/>
      <c r="BM40" s="12"/>
      <c r="BN40" s="12"/>
      <c r="BO40" s="12"/>
      <c r="BP40" s="12"/>
      <c r="BQ40" s="12"/>
      <c r="BR40" s="12"/>
      <c r="BS40" s="12"/>
      <c r="BT40" s="12"/>
      <c r="BU40" s="12"/>
      <c r="BV40" s="12"/>
      <c r="BW40" s="12"/>
      <c r="BX40" s="12"/>
      <c r="BY40" s="12"/>
      <c r="BZ40" s="12"/>
      <c r="CA40" s="12"/>
      <c r="CB40" s="12"/>
      <c r="CC40" s="12"/>
      <c r="CD40" s="12"/>
      <c r="CE40" s="12"/>
      <c r="CF40" s="12"/>
      <c r="CG40" s="12"/>
      <c r="CH40" s="12"/>
      <c r="CI40" s="12"/>
      <c r="CJ40" s="12"/>
      <c r="CK40" s="12"/>
      <c r="CL40" s="12"/>
      <c r="CM40" s="12"/>
      <c r="CN40" s="12"/>
      <c r="CO40" s="12"/>
      <c r="CP40" s="12"/>
      <c r="CQ40" s="12"/>
      <c r="CR40" s="12"/>
      <c r="CS40" s="12"/>
      <c r="CT40" s="12"/>
      <c r="CU40" s="12"/>
      <c r="CV40" s="12"/>
      <c r="CW40" s="12"/>
      <c r="CX40" s="12"/>
      <c r="CY40" s="12"/>
      <c r="CZ40" s="12"/>
      <c r="DA40" s="12"/>
      <c r="DB40" s="12"/>
      <c r="DC40" s="12"/>
      <c r="DD40" s="12"/>
      <c r="DE40" s="12"/>
      <c r="DF40" s="12"/>
      <c r="DG40" s="12"/>
      <c r="DH40" s="12"/>
      <c r="DI40" s="12"/>
      <c r="DJ40" s="12"/>
      <c r="DK40" s="12"/>
      <c r="DL40" s="12"/>
      <c r="DM40" s="12"/>
      <c r="DN40" s="12"/>
      <c r="DO40" s="12"/>
      <c r="DP40" s="12"/>
      <c r="DQ40" s="12"/>
      <c r="DR40" s="12"/>
      <c r="DS40" s="12"/>
      <c r="DT40" s="12"/>
      <c r="DU40" s="12"/>
      <c r="DV40" s="12"/>
      <c r="DW40" s="12"/>
      <c r="DX40" s="12"/>
      <c r="DY40" s="12"/>
      <c r="DZ40" s="12"/>
      <c r="EA40" s="12"/>
      <c r="EB40" s="12"/>
      <c r="EC40" s="12"/>
      <c r="ED40" s="12"/>
      <c r="EE40" s="12"/>
      <c r="EF40" s="12"/>
      <c r="EG40" s="12"/>
      <c r="EH40" s="12"/>
      <c r="EI40" s="12"/>
      <c r="EJ40" s="12"/>
      <c r="EK40" s="12"/>
      <c r="EL40" s="12"/>
      <c r="EM40" s="12"/>
      <c r="EN40" s="12"/>
      <c r="EO40" s="12"/>
      <c r="EP40" s="12"/>
      <c r="EQ40" s="12"/>
      <c r="ER40" s="12"/>
      <c r="ES40" s="12"/>
      <c r="ET40" s="12"/>
      <c r="EU40" s="12"/>
      <c r="EV40" s="12"/>
      <c r="EW40" s="12"/>
      <c r="EX40" s="12"/>
      <c r="EY40" s="12"/>
      <c r="EZ40" s="12"/>
      <c r="FA40" s="12"/>
      <c r="FB40" s="12"/>
      <c r="FC40" s="12"/>
      <c r="FD40" s="12"/>
      <c r="FE40" s="12"/>
      <c r="FF40" s="12"/>
      <c r="FG40" s="12"/>
      <c r="FH40" s="12"/>
      <c r="FI40" s="12"/>
      <c r="FJ40" s="12"/>
      <c r="FK40" s="12"/>
      <c r="FL40" s="12"/>
      <c r="FM40" s="12"/>
      <c r="FN40" s="12"/>
      <c r="FO40" s="12"/>
      <c r="FP40" s="12"/>
      <c r="FQ40" s="12"/>
      <c r="FR40" s="12"/>
      <c r="FS40" s="12"/>
      <c r="FT40" s="12"/>
      <c r="FU40" s="12"/>
      <c r="FV40" s="12"/>
      <c r="FW40" s="12"/>
      <c r="FX40" s="12"/>
      <c r="FY40" s="12"/>
      <c r="FZ40" s="12"/>
      <c r="GA40" s="12"/>
      <c r="GB40" s="12"/>
      <c r="GC40" s="12"/>
      <c r="GD40" s="12"/>
      <c r="GE40" s="12"/>
    </row>
    <row r="41" spans="1:187" ht="26.25" customHeight="1">
      <c r="A41" s="45"/>
      <c r="B41" s="9" t="s">
        <v>40</v>
      </c>
      <c r="C41" s="10" t="s">
        <v>96</v>
      </c>
      <c r="D41" s="10" t="s">
        <v>94</v>
      </c>
      <c r="E41" s="35">
        <v>146.316</v>
      </c>
      <c r="F41" s="35">
        <f>226.554-E41</f>
        <v>80.238</v>
      </c>
      <c r="G41" s="35">
        <v>21.359000000000002</v>
      </c>
      <c r="H41" s="35">
        <f>166.609-G41</f>
        <v>145.25</v>
      </c>
      <c r="I41" s="35">
        <f t="shared" si="0"/>
        <v>393.16300000000001</v>
      </c>
      <c r="J41" s="56">
        <f>'2021'!J42</f>
        <v>350.4</v>
      </c>
      <c r="K41" s="49">
        <v>4276.8410880000001</v>
      </c>
      <c r="L41" s="49">
        <v>4447.9147315200007</v>
      </c>
      <c r="M41" s="49">
        <v>1696.8372927999997</v>
      </c>
      <c r="N41" s="49">
        <v>1764.7107845119997</v>
      </c>
      <c r="O41" s="56">
        <f t="shared" si="1"/>
        <v>2580.0037952000002</v>
      </c>
      <c r="P41" s="1">
        <f t="shared" si="2"/>
        <v>377495.83529848326</v>
      </c>
      <c r="Q41" s="1">
        <f t="shared" si="3"/>
        <v>207014.3445192576</v>
      </c>
      <c r="R41" s="1">
        <f t="shared" si="4"/>
        <v>57310.553104143895</v>
      </c>
      <c r="S41" s="1">
        <f t="shared" si="5"/>
        <v>389735.37330291211</v>
      </c>
      <c r="T41" s="1">
        <f t="shared" si="6"/>
        <v>1031556.1062247969</v>
      </c>
      <c r="U41" s="11"/>
      <c r="V41" s="11"/>
      <c r="W41" s="11"/>
      <c r="X41" s="12"/>
      <c r="Y41" s="12"/>
      <c r="Z41" s="12"/>
      <c r="AA41" s="12"/>
      <c r="AB41" s="12"/>
      <c r="AC41" s="12"/>
      <c r="AD41" s="12"/>
      <c r="AE41" s="12"/>
      <c r="AF41" s="12"/>
      <c r="AG41" s="12"/>
      <c r="AH41" s="12"/>
      <c r="AI41" s="12"/>
      <c r="AJ41" s="12"/>
      <c r="AK41" s="12"/>
      <c r="AL41" s="12"/>
      <c r="AM41" s="12"/>
      <c r="AN41" s="12"/>
      <c r="AO41" s="12"/>
      <c r="AP41" s="12"/>
      <c r="AQ41" s="12"/>
      <c r="AR41" s="12"/>
      <c r="AS41" s="12"/>
      <c r="AT41" s="12"/>
      <c r="AU41" s="12"/>
      <c r="AV41" s="12"/>
      <c r="AW41" s="12"/>
      <c r="AX41" s="12"/>
      <c r="AY41" s="12"/>
      <c r="AZ41" s="12"/>
      <c r="BA41" s="12"/>
      <c r="BB41" s="12"/>
      <c r="BC41" s="12"/>
      <c r="BD41" s="12"/>
      <c r="BE41" s="12"/>
      <c r="BF41" s="12"/>
      <c r="BG41" s="12"/>
      <c r="BH41" s="12"/>
      <c r="BI41" s="12"/>
      <c r="BJ41" s="12"/>
      <c r="BK41" s="12"/>
      <c r="BL41" s="12"/>
      <c r="BM41" s="12"/>
      <c r="BN41" s="12"/>
      <c r="BO41" s="12"/>
      <c r="BP41" s="12"/>
      <c r="BQ41" s="12"/>
      <c r="BR41" s="12"/>
      <c r="BS41" s="12"/>
      <c r="BT41" s="12"/>
      <c r="BU41" s="12"/>
      <c r="BV41" s="12"/>
      <c r="BW41" s="12"/>
      <c r="BX41" s="12"/>
      <c r="BY41" s="12"/>
      <c r="BZ41" s="12"/>
      <c r="CA41" s="12"/>
      <c r="CB41" s="12"/>
      <c r="CC41" s="12"/>
      <c r="CD41" s="12"/>
      <c r="CE41" s="12"/>
      <c r="CF41" s="12"/>
      <c r="CG41" s="12"/>
      <c r="CH41" s="12"/>
      <c r="CI41" s="12"/>
      <c r="CJ41" s="12"/>
      <c r="CK41" s="12"/>
      <c r="CL41" s="12"/>
      <c r="CM41" s="12"/>
      <c r="CN41" s="12"/>
      <c r="CO41" s="12"/>
      <c r="CP41" s="12"/>
      <c r="CQ41" s="12"/>
      <c r="CR41" s="12"/>
      <c r="CS41" s="12"/>
      <c r="CT41" s="12"/>
      <c r="CU41" s="12"/>
      <c r="CV41" s="12"/>
      <c r="CW41" s="12"/>
      <c r="CX41" s="12"/>
      <c r="CY41" s="12"/>
      <c r="CZ41" s="12"/>
      <c r="DA41" s="12"/>
      <c r="DB41" s="12"/>
      <c r="DC41" s="12"/>
      <c r="DD41" s="12"/>
      <c r="DE41" s="12"/>
      <c r="DF41" s="12"/>
      <c r="DG41" s="12"/>
      <c r="DH41" s="12"/>
      <c r="DI41" s="12"/>
      <c r="DJ41" s="12"/>
      <c r="DK41" s="12"/>
      <c r="DL41" s="12"/>
      <c r="DM41" s="12"/>
      <c r="DN41" s="12"/>
      <c r="DO41" s="12"/>
      <c r="DP41" s="12"/>
      <c r="DQ41" s="12"/>
      <c r="DR41" s="12"/>
      <c r="DS41" s="12"/>
      <c r="DT41" s="12"/>
      <c r="DU41" s="12"/>
      <c r="DV41" s="12"/>
      <c r="DW41" s="12"/>
      <c r="DX41" s="12"/>
      <c r="DY41" s="12"/>
      <c r="DZ41" s="12"/>
      <c r="EA41" s="12"/>
      <c r="EB41" s="12"/>
      <c r="EC41" s="12"/>
      <c r="ED41" s="12"/>
      <c r="EE41" s="12"/>
      <c r="EF41" s="12"/>
      <c r="EG41" s="12"/>
      <c r="EH41" s="12"/>
      <c r="EI41" s="12"/>
      <c r="EJ41" s="12"/>
      <c r="EK41" s="12"/>
      <c r="EL41" s="12"/>
      <c r="EM41" s="12"/>
      <c r="EN41" s="12"/>
      <c r="EO41" s="12"/>
      <c r="EP41" s="12"/>
      <c r="EQ41" s="12"/>
      <c r="ER41" s="12"/>
      <c r="ES41" s="12"/>
      <c r="ET41" s="12"/>
      <c r="EU41" s="12"/>
      <c r="EV41" s="12"/>
      <c r="EW41" s="12"/>
      <c r="EX41" s="12"/>
      <c r="EY41" s="12"/>
      <c r="EZ41" s="12"/>
      <c r="FA41" s="12"/>
      <c r="FB41" s="12"/>
      <c r="FC41" s="12"/>
      <c r="FD41" s="12"/>
      <c r="FE41" s="12"/>
      <c r="FF41" s="12"/>
      <c r="FG41" s="12"/>
      <c r="FH41" s="12"/>
      <c r="FI41" s="12"/>
      <c r="FJ41" s="12"/>
      <c r="FK41" s="12"/>
      <c r="FL41" s="12"/>
      <c r="FM41" s="12"/>
      <c r="FN41" s="12"/>
      <c r="FO41" s="12"/>
      <c r="FP41" s="12"/>
      <c r="FQ41" s="12"/>
      <c r="FR41" s="12"/>
      <c r="FS41" s="12"/>
      <c r="FT41" s="12"/>
      <c r="FU41" s="12"/>
      <c r="FV41" s="12"/>
      <c r="FW41" s="12"/>
      <c r="FX41" s="12"/>
      <c r="FY41" s="12"/>
      <c r="FZ41" s="12"/>
      <c r="GA41" s="12"/>
      <c r="GB41" s="12"/>
      <c r="GC41" s="12"/>
      <c r="GD41" s="12"/>
      <c r="GE41" s="12"/>
    </row>
    <row r="42" spans="1:187" ht="21" customHeight="1">
      <c r="A42" s="45"/>
      <c r="B42" s="101" t="s">
        <v>102</v>
      </c>
      <c r="C42" s="101"/>
      <c r="D42" s="101"/>
      <c r="E42" s="34"/>
      <c r="F42" s="34"/>
      <c r="G42" s="34"/>
      <c r="H42" s="34"/>
      <c r="I42" s="35">
        <f t="shared" si="0"/>
        <v>0</v>
      </c>
      <c r="J42" s="56"/>
      <c r="K42" s="49"/>
      <c r="L42" s="49"/>
      <c r="M42" s="49"/>
      <c r="N42" s="49"/>
      <c r="O42" s="56">
        <f t="shared" si="1"/>
        <v>0</v>
      </c>
      <c r="P42" s="1">
        <f t="shared" si="2"/>
        <v>0</v>
      </c>
      <c r="Q42" s="1">
        <f t="shared" si="3"/>
        <v>0</v>
      </c>
      <c r="R42" s="1">
        <f t="shared" si="4"/>
        <v>0</v>
      </c>
      <c r="S42" s="1">
        <f t="shared" si="5"/>
        <v>0</v>
      </c>
      <c r="T42" s="1">
        <f t="shared" si="6"/>
        <v>0</v>
      </c>
      <c r="U42" s="45"/>
      <c r="V42" s="45"/>
      <c r="W42" s="45"/>
    </row>
    <row r="43" spans="1:187" ht="21" customHeight="1">
      <c r="A43" s="45"/>
      <c r="B43" s="15" t="s">
        <v>19</v>
      </c>
      <c r="C43" s="83" t="s">
        <v>111</v>
      </c>
      <c r="D43" s="18" t="s">
        <v>306</v>
      </c>
      <c r="E43" s="41">
        <v>110.09099999999999</v>
      </c>
      <c r="F43" s="41">
        <f>188.523-E43</f>
        <v>78.432000000000002</v>
      </c>
      <c r="G43" s="41">
        <v>51.164000000000001</v>
      </c>
      <c r="H43" s="41">
        <f>166.495-G43</f>
        <v>115.331</v>
      </c>
      <c r="I43" s="35">
        <f t="shared" si="0"/>
        <v>355.01800000000003</v>
      </c>
      <c r="J43" s="56">
        <f>'2021'!J44</f>
        <v>430.2</v>
      </c>
      <c r="K43" s="49">
        <v>3579.6092800000006</v>
      </c>
      <c r="L43" s="49">
        <v>3722.7936512000006</v>
      </c>
      <c r="M43" s="49">
        <v>1769.0415287999999</v>
      </c>
      <c r="N43" s="49">
        <v>1839.8031899519999</v>
      </c>
      <c r="O43" s="56">
        <f t="shared" si="1"/>
        <v>1810.5677512000007</v>
      </c>
      <c r="P43" s="1">
        <f t="shared" si="2"/>
        <v>199327.21429735926</v>
      </c>
      <c r="Q43" s="1">
        <f t="shared" si="3"/>
        <v>142006.44986211846</v>
      </c>
      <c r="R43" s="1">
        <f t="shared" si="4"/>
        <v>96341.323959292713</v>
      </c>
      <c r="S43" s="1">
        <f t="shared" si="5"/>
        <v>217167.17288619318</v>
      </c>
      <c r="T43" s="1">
        <f t="shared" si="6"/>
        <v>654842.16100496356</v>
      </c>
      <c r="U43" s="45"/>
      <c r="V43" s="45"/>
      <c r="W43" s="45"/>
    </row>
    <row r="44" spans="1:187" ht="21" customHeight="1">
      <c r="A44" s="45"/>
      <c r="B44" s="9" t="s">
        <v>286</v>
      </c>
      <c r="C44" s="10" t="s">
        <v>108</v>
      </c>
      <c r="D44" s="10" t="s">
        <v>107</v>
      </c>
      <c r="E44" s="35">
        <v>785.19</v>
      </c>
      <c r="F44" s="35">
        <f>1234.15-E44</f>
        <v>448.96000000000004</v>
      </c>
      <c r="G44" s="35">
        <v>172.06800000000001</v>
      </c>
      <c r="H44" s="35">
        <f>901.474-G44</f>
        <v>729.40600000000006</v>
      </c>
      <c r="I44" s="35">
        <f t="shared" si="0"/>
        <v>2135.6240000000003</v>
      </c>
      <c r="J44" s="56">
        <f>'2021'!J45</f>
        <v>2848.4</v>
      </c>
      <c r="K44" s="49">
        <v>4394.5948800000006</v>
      </c>
      <c r="L44" s="49">
        <v>4570.3786752000005</v>
      </c>
      <c r="M44" s="49">
        <v>1636.1080839999997</v>
      </c>
      <c r="N44" s="49">
        <v>1701.5524073599997</v>
      </c>
      <c r="O44" s="56">
        <f t="shared" si="1"/>
        <v>2758.486796000001</v>
      </c>
      <c r="P44" s="1">
        <f t="shared" si="2"/>
        <v>2165936.2473512408</v>
      </c>
      <c r="Q44" s="1">
        <f t="shared" si="3"/>
        <v>1238450.2319321607</v>
      </c>
      <c r="R44" s="1">
        <f t="shared" si="4"/>
        <v>493633.19825469324</v>
      </c>
      <c r="S44" s="1">
        <f t="shared" si="5"/>
        <v>2092539.0927201037</v>
      </c>
      <c r="T44" s="1">
        <f t="shared" si="6"/>
        <v>5990558.7702581985</v>
      </c>
      <c r="U44" s="11"/>
      <c r="V44" s="11"/>
      <c r="W44" s="11"/>
      <c r="X44" s="12"/>
      <c r="Y44" s="12"/>
      <c r="Z44" s="12"/>
      <c r="AA44" s="12"/>
      <c r="AB44" s="12"/>
      <c r="AC44" s="12"/>
      <c r="AD44" s="12"/>
      <c r="AE44" s="12"/>
      <c r="AF44" s="12"/>
      <c r="AG44" s="12"/>
      <c r="AH44" s="12"/>
      <c r="AI44" s="12"/>
      <c r="AJ44" s="12"/>
      <c r="AK44" s="12"/>
      <c r="AL44" s="12"/>
      <c r="AM44" s="12"/>
      <c r="AN44" s="12"/>
      <c r="AO44" s="12"/>
      <c r="AP44" s="12"/>
      <c r="AQ44" s="12"/>
      <c r="AR44" s="12"/>
      <c r="AS44" s="12"/>
      <c r="AT44" s="12"/>
      <c r="AU44" s="12"/>
      <c r="AV44" s="12"/>
      <c r="AW44" s="12"/>
      <c r="AX44" s="12"/>
      <c r="AY44" s="12"/>
      <c r="AZ44" s="12"/>
      <c r="BA44" s="12"/>
      <c r="BB44" s="12"/>
      <c r="BC44" s="12"/>
      <c r="BD44" s="12"/>
      <c r="BE44" s="12"/>
      <c r="BF44" s="12"/>
      <c r="BG44" s="12"/>
      <c r="BH44" s="12"/>
      <c r="BI44" s="12"/>
      <c r="BJ44" s="12"/>
      <c r="BK44" s="12"/>
      <c r="BL44" s="12"/>
      <c r="BM44" s="12"/>
      <c r="BN44" s="12"/>
      <c r="BO44" s="12"/>
      <c r="BP44" s="12"/>
      <c r="BQ44" s="12"/>
      <c r="BR44" s="12"/>
      <c r="BS44" s="12"/>
      <c r="BT44" s="12"/>
      <c r="BU44" s="12"/>
      <c r="BV44" s="12"/>
      <c r="BW44" s="12"/>
      <c r="BX44" s="12"/>
      <c r="BY44" s="12"/>
      <c r="BZ44" s="12"/>
      <c r="CA44" s="12"/>
      <c r="CB44" s="12"/>
      <c r="CC44" s="12"/>
      <c r="CD44" s="12"/>
      <c r="CE44" s="12"/>
      <c r="CF44" s="12"/>
      <c r="CG44" s="12"/>
      <c r="CH44" s="12"/>
      <c r="CI44" s="12"/>
      <c r="CJ44" s="12"/>
      <c r="CK44" s="12"/>
      <c r="CL44" s="12"/>
      <c r="CM44" s="12"/>
      <c r="CN44" s="12"/>
      <c r="CO44" s="12"/>
      <c r="CP44" s="12"/>
      <c r="CQ44" s="12"/>
      <c r="CR44" s="12"/>
      <c r="CS44" s="12"/>
      <c r="CT44" s="12"/>
      <c r="CU44" s="12"/>
      <c r="CV44" s="12"/>
      <c r="CW44" s="12"/>
      <c r="CX44" s="12"/>
      <c r="CY44" s="12"/>
      <c r="CZ44" s="12"/>
      <c r="DA44" s="12"/>
      <c r="DB44" s="12"/>
      <c r="DC44" s="12"/>
      <c r="DD44" s="12"/>
      <c r="DE44" s="12"/>
      <c r="DF44" s="12"/>
      <c r="DG44" s="12"/>
      <c r="DH44" s="12"/>
      <c r="DI44" s="12"/>
      <c r="DJ44" s="12"/>
      <c r="DK44" s="12"/>
      <c r="DL44" s="12"/>
      <c r="DM44" s="12"/>
      <c r="DN44" s="12"/>
      <c r="DO44" s="12"/>
      <c r="DP44" s="12"/>
      <c r="DQ44" s="12"/>
      <c r="DR44" s="12"/>
      <c r="DS44" s="12"/>
      <c r="DT44" s="12"/>
      <c r="DU44" s="12"/>
      <c r="DV44" s="12"/>
      <c r="DW44" s="12"/>
      <c r="DX44" s="12"/>
      <c r="DY44" s="12"/>
      <c r="DZ44" s="12"/>
      <c r="EA44" s="12"/>
      <c r="EB44" s="12"/>
      <c r="EC44" s="12"/>
      <c r="ED44" s="12"/>
      <c r="EE44" s="12"/>
      <c r="EF44" s="12"/>
      <c r="EG44" s="12"/>
      <c r="EH44" s="12"/>
      <c r="EI44" s="12"/>
      <c r="EJ44" s="12"/>
      <c r="EK44" s="12"/>
      <c r="EL44" s="12"/>
      <c r="EM44" s="12"/>
      <c r="EN44" s="12"/>
      <c r="EO44" s="12"/>
      <c r="EP44" s="12"/>
      <c r="EQ44" s="12"/>
      <c r="ER44" s="12"/>
      <c r="ES44" s="12"/>
      <c r="ET44" s="12"/>
      <c r="EU44" s="12"/>
      <c r="EV44" s="12"/>
      <c r="EW44" s="12"/>
      <c r="EX44" s="12"/>
      <c r="EY44" s="12"/>
      <c r="EZ44" s="12"/>
      <c r="FA44" s="12"/>
      <c r="FB44" s="12"/>
      <c r="FC44" s="12"/>
      <c r="FD44" s="12"/>
      <c r="FE44" s="12"/>
      <c r="FF44" s="12"/>
      <c r="FG44" s="12"/>
      <c r="FH44" s="12"/>
      <c r="FI44" s="12"/>
      <c r="FJ44" s="12"/>
      <c r="FK44" s="12"/>
      <c r="FL44" s="12"/>
      <c r="FM44" s="12"/>
      <c r="FN44" s="12"/>
      <c r="FO44" s="12"/>
      <c r="FP44" s="12"/>
      <c r="FQ44" s="12"/>
      <c r="FR44" s="12"/>
      <c r="FS44" s="12"/>
      <c r="FT44" s="12"/>
      <c r="FU44" s="12"/>
      <c r="FV44" s="12"/>
      <c r="FW44" s="12"/>
      <c r="FX44" s="12"/>
      <c r="FY44" s="12"/>
      <c r="FZ44" s="12"/>
      <c r="GA44" s="12"/>
      <c r="GB44" s="12"/>
      <c r="GC44" s="12"/>
      <c r="GD44" s="12"/>
      <c r="GE44" s="12"/>
    </row>
    <row r="45" spans="1:187" ht="21" customHeight="1">
      <c r="A45" s="45"/>
      <c r="B45" s="9" t="s">
        <v>32</v>
      </c>
      <c r="C45" s="10" t="s">
        <v>104</v>
      </c>
      <c r="D45" s="10" t="s">
        <v>105</v>
      </c>
      <c r="E45" s="35">
        <v>3392.1039999999998</v>
      </c>
      <c r="F45" s="35">
        <f>5654.57-E45</f>
        <v>2262.4659999999999</v>
      </c>
      <c r="G45" s="35">
        <v>569.38499999999999</v>
      </c>
      <c r="H45" s="35">
        <f>3970.557-G45</f>
        <v>3401.1719999999996</v>
      </c>
      <c r="I45" s="35">
        <f t="shared" si="0"/>
        <v>9625.1270000000004</v>
      </c>
      <c r="J45" s="56">
        <f>'2021'!J46</f>
        <v>9081.1</v>
      </c>
      <c r="K45" s="49">
        <v>3646.5</v>
      </c>
      <c r="L45" s="49">
        <v>3792.36</v>
      </c>
      <c r="M45" s="49">
        <v>1685.7720879999999</v>
      </c>
      <c r="N45" s="49">
        <v>1753.2029715199999</v>
      </c>
      <c r="O45" s="56">
        <f t="shared" si="1"/>
        <v>1960.7279120000001</v>
      </c>
      <c r="P45" s="1">
        <f t="shared" si="2"/>
        <v>6650992.9932068475</v>
      </c>
      <c r="Q45" s="1">
        <f t="shared" si="3"/>
        <v>4436080.2361509921</v>
      </c>
      <c r="R45" s="1">
        <f t="shared" si="4"/>
        <v>1161065.424661085</v>
      </c>
      <c r="S45" s="1">
        <f t="shared" si="5"/>
        <v>6935523.7888693782</v>
      </c>
      <c r="T45" s="1">
        <f t="shared" si="6"/>
        <v>19183662.442888301</v>
      </c>
      <c r="U45" s="11"/>
      <c r="V45" s="11"/>
      <c r="W45" s="11"/>
      <c r="X45" s="12"/>
      <c r="Y45" s="12"/>
      <c r="Z45" s="12"/>
      <c r="AA45" s="12"/>
      <c r="AB45" s="12"/>
      <c r="AC45" s="12"/>
      <c r="AD45" s="12"/>
      <c r="AE45" s="12"/>
      <c r="AF45" s="12"/>
      <c r="AG45" s="12"/>
      <c r="AH45" s="12"/>
      <c r="AI45" s="12"/>
      <c r="AJ45" s="12"/>
      <c r="AK45" s="12"/>
      <c r="AL45" s="12"/>
      <c r="AM45" s="12"/>
      <c r="AN45" s="12"/>
      <c r="AO45" s="12"/>
      <c r="AP45" s="12"/>
      <c r="AQ45" s="12"/>
      <c r="AR45" s="12"/>
      <c r="AS45" s="12"/>
      <c r="AT45" s="12"/>
      <c r="AU45" s="12"/>
      <c r="AV45" s="12"/>
      <c r="AW45" s="12"/>
      <c r="AX45" s="12"/>
      <c r="AY45" s="12"/>
      <c r="AZ45" s="12"/>
      <c r="BA45" s="12"/>
      <c r="BB45" s="12"/>
      <c r="BC45" s="12"/>
      <c r="BD45" s="12"/>
      <c r="BE45" s="12"/>
      <c r="BF45" s="12"/>
      <c r="BG45" s="12"/>
      <c r="BH45" s="12"/>
      <c r="BI45" s="12"/>
      <c r="BJ45" s="12"/>
      <c r="BK45" s="12"/>
      <c r="BL45" s="12"/>
      <c r="BM45" s="12"/>
      <c r="BN45" s="12"/>
      <c r="BO45" s="12"/>
      <c r="BP45" s="12"/>
      <c r="BQ45" s="12"/>
      <c r="BR45" s="12"/>
      <c r="BS45" s="12"/>
      <c r="BT45" s="12"/>
      <c r="BU45" s="12"/>
      <c r="BV45" s="12"/>
      <c r="BW45" s="12"/>
      <c r="BX45" s="12"/>
      <c r="BY45" s="12"/>
      <c r="BZ45" s="12"/>
      <c r="CA45" s="12"/>
      <c r="CB45" s="12"/>
      <c r="CC45" s="12"/>
      <c r="CD45" s="12"/>
      <c r="CE45" s="12"/>
      <c r="CF45" s="12"/>
      <c r="CG45" s="12"/>
      <c r="CH45" s="12"/>
      <c r="CI45" s="12"/>
      <c r="CJ45" s="12"/>
      <c r="CK45" s="12"/>
      <c r="CL45" s="12"/>
      <c r="CM45" s="12"/>
      <c r="CN45" s="12"/>
      <c r="CO45" s="12"/>
      <c r="CP45" s="12"/>
      <c r="CQ45" s="12"/>
      <c r="CR45" s="12"/>
      <c r="CS45" s="12"/>
      <c r="CT45" s="12"/>
      <c r="CU45" s="12"/>
      <c r="CV45" s="12"/>
      <c r="CW45" s="12"/>
      <c r="CX45" s="12"/>
      <c r="CY45" s="12"/>
      <c r="CZ45" s="12"/>
      <c r="DA45" s="12"/>
      <c r="DB45" s="12"/>
      <c r="DC45" s="12"/>
      <c r="DD45" s="12"/>
      <c r="DE45" s="12"/>
      <c r="DF45" s="12"/>
      <c r="DG45" s="12"/>
      <c r="DH45" s="12"/>
      <c r="DI45" s="12"/>
      <c r="DJ45" s="12"/>
      <c r="DK45" s="12"/>
      <c r="DL45" s="12"/>
      <c r="DM45" s="12"/>
      <c r="DN45" s="12"/>
      <c r="DO45" s="12"/>
      <c r="DP45" s="12"/>
      <c r="DQ45" s="12"/>
      <c r="DR45" s="12"/>
      <c r="DS45" s="12"/>
      <c r="DT45" s="12"/>
      <c r="DU45" s="12"/>
      <c r="DV45" s="12"/>
      <c r="DW45" s="12"/>
      <c r="DX45" s="12"/>
      <c r="DY45" s="12"/>
      <c r="DZ45" s="12"/>
      <c r="EA45" s="12"/>
      <c r="EB45" s="12"/>
      <c r="EC45" s="12"/>
      <c r="ED45" s="12"/>
      <c r="EE45" s="12"/>
      <c r="EF45" s="12"/>
      <c r="EG45" s="12"/>
      <c r="EH45" s="12"/>
      <c r="EI45" s="12"/>
      <c r="EJ45" s="12"/>
      <c r="EK45" s="12"/>
      <c r="EL45" s="12"/>
      <c r="EM45" s="12"/>
      <c r="EN45" s="12"/>
      <c r="EO45" s="12"/>
      <c r="EP45" s="12"/>
      <c r="EQ45" s="12"/>
      <c r="ER45" s="12"/>
      <c r="ES45" s="12"/>
      <c r="ET45" s="12"/>
      <c r="EU45" s="12"/>
      <c r="EV45" s="12"/>
      <c r="EW45" s="12"/>
      <c r="EX45" s="12"/>
      <c r="EY45" s="12"/>
      <c r="EZ45" s="12"/>
      <c r="FA45" s="12"/>
      <c r="FB45" s="12"/>
      <c r="FC45" s="12"/>
      <c r="FD45" s="12"/>
      <c r="FE45" s="12"/>
      <c r="FF45" s="12"/>
      <c r="FG45" s="12"/>
      <c r="FH45" s="12"/>
      <c r="FI45" s="12"/>
      <c r="FJ45" s="12"/>
      <c r="FK45" s="12"/>
      <c r="FL45" s="12"/>
      <c r="FM45" s="12"/>
      <c r="FN45" s="12"/>
      <c r="FO45" s="12"/>
      <c r="FP45" s="12"/>
      <c r="FQ45" s="12"/>
      <c r="FR45" s="12"/>
      <c r="FS45" s="12"/>
      <c r="FT45" s="12"/>
      <c r="FU45" s="12"/>
      <c r="FV45" s="12"/>
      <c r="FW45" s="12"/>
      <c r="FX45" s="12"/>
      <c r="FY45" s="12"/>
      <c r="FZ45" s="12"/>
      <c r="GA45" s="12"/>
      <c r="GB45" s="12"/>
      <c r="GC45" s="12"/>
      <c r="GD45" s="12"/>
      <c r="GE45" s="12"/>
    </row>
    <row r="46" spans="1:187" ht="31.5" customHeight="1">
      <c r="A46" s="45"/>
      <c r="B46" s="9" t="s">
        <v>32</v>
      </c>
      <c r="C46" s="10" t="s">
        <v>104</v>
      </c>
      <c r="D46" s="10" t="s">
        <v>376</v>
      </c>
      <c r="E46" s="35">
        <v>69.369</v>
      </c>
      <c r="F46" s="35">
        <f>115.615-E46</f>
        <v>46.245999999999995</v>
      </c>
      <c r="G46" s="35">
        <v>20.98</v>
      </c>
      <c r="H46" s="35">
        <v>62.93</v>
      </c>
      <c r="I46" s="35">
        <f t="shared" si="0"/>
        <v>199.52500000000001</v>
      </c>
      <c r="J46" s="56">
        <f>'2021'!J47</f>
        <v>211.4</v>
      </c>
      <c r="K46" s="49">
        <v>3550.1464960000003</v>
      </c>
      <c r="L46" s="49">
        <v>3692.1523558400004</v>
      </c>
      <c r="M46" s="49">
        <v>1666.6937768</v>
      </c>
      <c r="N46" s="49">
        <v>1733.3615278720001</v>
      </c>
      <c r="O46" s="56">
        <f t="shared" si="1"/>
        <v>1883.4527192000003</v>
      </c>
      <c r="P46" s="1">
        <f t="shared" si="2"/>
        <v>130653.23167818482</v>
      </c>
      <c r="Q46" s="1">
        <f t="shared" si="3"/>
        <v>87102.154452123199</v>
      </c>
      <c r="R46" s="1">
        <f t="shared" si="4"/>
        <v>41095.431570768647</v>
      </c>
      <c r="S46" s="1">
        <f t="shared" si="5"/>
        <v>123266.70680402625</v>
      </c>
      <c r="T46" s="1">
        <f t="shared" si="6"/>
        <v>382117.52450510295</v>
      </c>
      <c r="U46" s="11"/>
      <c r="V46" s="11"/>
      <c r="W46" s="11"/>
      <c r="X46" s="12"/>
      <c r="Y46" s="12"/>
      <c r="Z46" s="12"/>
      <c r="AA46" s="12"/>
      <c r="AB46" s="12"/>
      <c r="AC46" s="12"/>
      <c r="AD46" s="12"/>
      <c r="AE46" s="12"/>
      <c r="AF46" s="12"/>
      <c r="AG46" s="12"/>
      <c r="AH46" s="12"/>
      <c r="AI46" s="12"/>
      <c r="AJ46" s="12"/>
      <c r="AK46" s="12"/>
      <c r="AL46" s="12"/>
      <c r="AM46" s="12"/>
      <c r="AN46" s="12"/>
      <c r="AO46" s="12"/>
      <c r="AP46" s="12"/>
      <c r="AQ46" s="12"/>
      <c r="AR46" s="12"/>
      <c r="AS46" s="12"/>
      <c r="AT46" s="12"/>
      <c r="AU46" s="12"/>
      <c r="AV46" s="12"/>
      <c r="AW46" s="12"/>
      <c r="AX46" s="12"/>
      <c r="AY46" s="12"/>
      <c r="AZ46" s="12"/>
      <c r="BA46" s="12"/>
      <c r="BB46" s="12"/>
      <c r="BC46" s="12"/>
      <c r="BD46" s="12"/>
      <c r="BE46" s="12"/>
      <c r="BF46" s="12"/>
      <c r="BG46" s="12"/>
      <c r="BH46" s="12"/>
      <c r="BI46" s="12"/>
      <c r="BJ46" s="12"/>
      <c r="BK46" s="12"/>
      <c r="BL46" s="12"/>
      <c r="BM46" s="12"/>
      <c r="BN46" s="12"/>
      <c r="BO46" s="12"/>
      <c r="BP46" s="12"/>
      <c r="BQ46" s="12"/>
      <c r="BR46" s="12"/>
      <c r="BS46" s="12"/>
      <c r="BT46" s="12"/>
      <c r="BU46" s="12"/>
      <c r="BV46" s="12"/>
      <c r="BW46" s="12"/>
      <c r="BX46" s="12"/>
      <c r="BY46" s="12"/>
      <c r="BZ46" s="12"/>
      <c r="CA46" s="12"/>
      <c r="CB46" s="12"/>
      <c r="CC46" s="12"/>
      <c r="CD46" s="12"/>
      <c r="CE46" s="12"/>
      <c r="CF46" s="12"/>
      <c r="CG46" s="12"/>
      <c r="CH46" s="12"/>
      <c r="CI46" s="12"/>
      <c r="CJ46" s="12"/>
      <c r="CK46" s="12"/>
      <c r="CL46" s="12"/>
      <c r="CM46" s="12"/>
      <c r="CN46" s="12"/>
      <c r="CO46" s="12"/>
      <c r="CP46" s="12"/>
      <c r="CQ46" s="12"/>
      <c r="CR46" s="12"/>
      <c r="CS46" s="12"/>
      <c r="CT46" s="12"/>
      <c r="CU46" s="12"/>
      <c r="CV46" s="12"/>
      <c r="CW46" s="12"/>
      <c r="CX46" s="12"/>
      <c r="CY46" s="12"/>
      <c r="CZ46" s="12"/>
      <c r="DA46" s="12"/>
      <c r="DB46" s="12"/>
      <c r="DC46" s="12"/>
      <c r="DD46" s="12"/>
      <c r="DE46" s="12"/>
      <c r="DF46" s="12"/>
      <c r="DG46" s="12"/>
      <c r="DH46" s="12"/>
      <c r="DI46" s="12"/>
      <c r="DJ46" s="12"/>
      <c r="DK46" s="12"/>
      <c r="DL46" s="12"/>
      <c r="DM46" s="12"/>
      <c r="DN46" s="12"/>
      <c r="DO46" s="12"/>
      <c r="DP46" s="12"/>
      <c r="DQ46" s="12"/>
      <c r="DR46" s="12"/>
      <c r="DS46" s="12"/>
      <c r="DT46" s="12"/>
      <c r="DU46" s="12"/>
      <c r="DV46" s="12"/>
      <c r="DW46" s="12"/>
      <c r="DX46" s="12"/>
      <c r="DY46" s="12"/>
      <c r="DZ46" s="12"/>
      <c r="EA46" s="12"/>
      <c r="EB46" s="12"/>
      <c r="EC46" s="12"/>
      <c r="ED46" s="12"/>
      <c r="EE46" s="12"/>
      <c r="EF46" s="12"/>
      <c r="EG46" s="12"/>
      <c r="EH46" s="12"/>
      <c r="EI46" s="12"/>
      <c r="EJ46" s="12"/>
      <c r="EK46" s="12"/>
      <c r="EL46" s="12"/>
      <c r="EM46" s="12"/>
      <c r="EN46" s="12"/>
      <c r="EO46" s="12"/>
      <c r="EP46" s="12"/>
      <c r="EQ46" s="12"/>
      <c r="ER46" s="12"/>
      <c r="ES46" s="12"/>
      <c r="ET46" s="12"/>
      <c r="EU46" s="12"/>
      <c r="EV46" s="12"/>
      <c r="EW46" s="12"/>
      <c r="EX46" s="12"/>
      <c r="EY46" s="12"/>
      <c r="EZ46" s="12"/>
      <c r="FA46" s="12"/>
      <c r="FB46" s="12"/>
      <c r="FC46" s="12"/>
      <c r="FD46" s="12"/>
      <c r="FE46" s="12"/>
      <c r="FF46" s="12"/>
      <c r="FG46" s="12"/>
      <c r="FH46" s="12"/>
      <c r="FI46" s="12"/>
      <c r="FJ46" s="12"/>
      <c r="FK46" s="12"/>
      <c r="FL46" s="12"/>
      <c r="FM46" s="12"/>
      <c r="FN46" s="12"/>
      <c r="FO46" s="12"/>
      <c r="FP46" s="12"/>
      <c r="FQ46" s="12"/>
      <c r="FR46" s="12"/>
      <c r="FS46" s="12"/>
      <c r="FT46" s="12"/>
      <c r="FU46" s="12"/>
      <c r="FV46" s="12"/>
      <c r="FW46" s="12"/>
      <c r="FX46" s="12"/>
      <c r="FY46" s="12"/>
      <c r="FZ46" s="12"/>
      <c r="GA46" s="12"/>
      <c r="GB46" s="12"/>
      <c r="GC46" s="12"/>
      <c r="GD46" s="12"/>
      <c r="GE46" s="12"/>
    </row>
    <row r="47" spans="1:187" ht="31.5" customHeight="1">
      <c r="A47" s="45"/>
      <c r="B47" s="9" t="s">
        <v>375</v>
      </c>
      <c r="C47" s="10" t="s">
        <v>104</v>
      </c>
      <c r="D47" s="10" t="s">
        <v>377</v>
      </c>
      <c r="E47" s="35">
        <v>48.848999999999997</v>
      </c>
      <c r="F47" s="35">
        <f>81.415-E47</f>
        <v>32.56600000000001</v>
      </c>
      <c r="G47" s="35">
        <v>21.524999999999999</v>
      </c>
      <c r="H47" s="35">
        <v>64.575000000000003</v>
      </c>
      <c r="I47" s="35">
        <f t="shared" si="0"/>
        <v>167.51499999999999</v>
      </c>
      <c r="J47" s="56">
        <f>'2021'!J48</f>
        <v>210</v>
      </c>
      <c r="K47" s="49">
        <v>6005.5082880000009</v>
      </c>
      <c r="L47" s="49">
        <v>6245.7286195200013</v>
      </c>
      <c r="M47" s="49">
        <v>1666.6937768</v>
      </c>
      <c r="N47" s="49">
        <v>1733.3615278720001</v>
      </c>
      <c r="O47" s="56"/>
      <c r="P47" s="1">
        <f t="shared" si="2"/>
        <v>211946.75005760885</v>
      </c>
      <c r="Q47" s="1">
        <f t="shared" si="3"/>
        <v>141297.83337173928</v>
      </c>
      <c r="R47" s="1">
        <f t="shared" si="4"/>
        <v>97128.701647723225</v>
      </c>
      <c r="S47" s="1">
        <f t="shared" si="5"/>
        <v>291386.10494316969</v>
      </c>
      <c r="T47" s="1">
        <f t="shared" si="6"/>
        <v>741759.39002024103</v>
      </c>
      <c r="U47" s="11"/>
      <c r="V47" s="11"/>
      <c r="W47" s="11"/>
      <c r="X47" s="12"/>
      <c r="Y47" s="12"/>
      <c r="Z47" s="12"/>
      <c r="AA47" s="12"/>
      <c r="AB47" s="12"/>
      <c r="AC47" s="12"/>
      <c r="AD47" s="12"/>
      <c r="AE47" s="12"/>
      <c r="AF47" s="12"/>
      <c r="AG47" s="12"/>
      <c r="AH47" s="12"/>
      <c r="AI47" s="12"/>
      <c r="AJ47" s="12"/>
      <c r="AK47" s="12"/>
      <c r="AL47" s="12"/>
      <c r="AM47" s="12"/>
      <c r="AN47" s="12"/>
      <c r="AO47" s="12"/>
      <c r="AP47" s="12"/>
      <c r="AQ47" s="12"/>
      <c r="AR47" s="12"/>
      <c r="AS47" s="12"/>
      <c r="AT47" s="12"/>
      <c r="AU47" s="12"/>
      <c r="AV47" s="12"/>
      <c r="AW47" s="12"/>
      <c r="AX47" s="12"/>
      <c r="AY47" s="12"/>
      <c r="AZ47" s="12"/>
      <c r="BA47" s="12"/>
      <c r="BB47" s="12"/>
      <c r="BC47" s="12"/>
      <c r="BD47" s="12"/>
      <c r="BE47" s="12"/>
      <c r="BF47" s="12"/>
      <c r="BG47" s="12"/>
      <c r="BH47" s="12"/>
      <c r="BI47" s="12"/>
      <c r="BJ47" s="12"/>
      <c r="BK47" s="12"/>
      <c r="BL47" s="12"/>
      <c r="BM47" s="12"/>
      <c r="BN47" s="12"/>
      <c r="BO47" s="12"/>
      <c r="BP47" s="12"/>
      <c r="BQ47" s="12"/>
      <c r="BR47" s="12"/>
      <c r="BS47" s="12"/>
      <c r="BT47" s="12"/>
      <c r="BU47" s="12"/>
      <c r="BV47" s="12"/>
      <c r="BW47" s="12"/>
      <c r="BX47" s="12"/>
      <c r="BY47" s="12"/>
      <c r="BZ47" s="12"/>
      <c r="CA47" s="12"/>
      <c r="CB47" s="12"/>
      <c r="CC47" s="12"/>
      <c r="CD47" s="12"/>
      <c r="CE47" s="12"/>
      <c r="CF47" s="12"/>
      <c r="CG47" s="12"/>
      <c r="CH47" s="12"/>
      <c r="CI47" s="12"/>
      <c r="CJ47" s="12"/>
      <c r="CK47" s="12"/>
      <c r="CL47" s="12"/>
      <c r="CM47" s="12"/>
      <c r="CN47" s="12"/>
      <c r="CO47" s="12"/>
      <c r="CP47" s="12"/>
      <c r="CQ47" s="12"/>
      <c r="CR47" s="12"/>
      <c r="CS47" s="12"/>
      <c r="CT47" s="12"/>
      <c r="CU47" s="12"/>
      <c r="CV47" s="12"/>
      <c r="CW47" s="12"/>
      <c r="CX47" s="12"/>
      <c r="CY47" s="12"/>
      <c r="CZ47" s="12"/>
      <c r="DA47" s="12"/>
      <c r="DB47" s="12"/>
      <c r="DC47" s="12"/>
      <c r="DD47" s="12"/>
      <c r="DE47" s="12"/>
      <c r="DF47" s="12"/>
      <c r="DG47" s="12"/>
      <c r="DH47" s="12"/>
      <c r="DI47" s="12"/>
      <c r="DJ47" s="12"/>
      <c r="DK47" s="12"/>
      <c r="DL47" s="12"/>
      <c r="DM47" s="12"/>
      <c r="DN47" s="12"/>
      <c r="DO47" s="12"/>
      <c r="DP47" s="12"/>
      <c r="DQ47" s="12"/>
      <c r="DR47" s="12"/>
      <c r="DS47" s="12"/>
      <c r="DT47" s="12"/>
      <c r="DU47" s="12"/>
      <c r="DV47" s="12"/>
      <c r="DW47" s="12"/>
      <c r="DX47" s="12"/>
      <c r="DY47" s="12"/>
      <c r="DZ47" s="12"/>
      <c r="EA47" s="12"/>
      <c r="EB47" s="12"/>
      <c r="EC47" s="12"/>
      <c r="ED47" s="12"/>
      <c r="EE47" s="12"/>
      <c r="EF47" s="12"/>
      <c r="EG47" s="12"/>
      <c r="EH47" s="12"/>
      <c r="EI47" s="12"/>
      <c r="EJ47" s="12"/>
      <c r="EK47" s="12"/>
      <c r="EL47" s="12"/>
      <c r="EM47" s="12"/>
      <c r="EN47" s="12"/>
      <c r="EO47" s="12"/>
      <c r="EP47" s="12"/>
      <c r="EQ47" s="12"/>
      <c r="ER47" s="12"/>
      <c r="ES47" s="12"/>
      <c r="ET47" s="12"/>
      <c r="EU47" s="12"/>
      <c r="EV47" s="12"/>
      <c r="EW47" s="12"/>
      <c r="EX47" s="12"/>
      <c r="EY47" s="12"/>
      <c r="EZ47" s="12"/>
      <c r="FA47" s="12"/>
      <c r="FB47" s="12"/>
      <c r="FC47" s="12"/>
      <c r="FD47" s="12"/>
      <c r="FE47" s="12"/>
      <c r="FF47" s="12"/>
      <c r="FG47" s="12"/>
      <c r="FH47" s="12"/>
      <c r="FI47" s="12"/>
      <c r="FJ47" s="12"/>
      <c r="FK47" s="12"/>
      <c r="FL47" s="12"/>
      <c r="FM47" s="12"/>
      <c r="FN47" s="12"/>
      <c r="FO47" s="12"/>
      <c r="FP47" s="12"/>
      <c r="FQ47" s="12"/>
      <c r="FR47" s="12"/>
      <c r="FS47" s="12"/>
      <c r="FT47" s="12"/>
      <c r="FU47" s="12"/>
      <c r="FV47" s="12"/>
      <c r="FW47" s="12"/>
      <c r="FX47" s="12"/>
      <c r="FY47" s="12"/>
      <c r="FZ47" s="12"/>
      <c r="GA47" s="12"/>
      <c r="GB47" s="12"/>
      <c r="GC47" s="12"/>
      <c r="GD47" s="12"/>
      <c r="GE47" s="12"/>
    </row>
    <row r="48" spans="1:187" ht="21" customHeight="1">
      <c r="A48" s="45"/>
      <c r="B48" s="9" t="s">
        <v>380</v>
      </c>
      <c r="C48" s="10" t="s">
        <v>381</v>
      </c>
      <c r="D48" s="10" t="s">
        <v>107</v>
      </c>
      <c r="E48" s="35">
        <v>11070.43</v>
      </c>
      <c r="F48" s="35">
        <f>16666.36-E48</f>
        <v>5595.93</v>
      </c>
      <c r="G48" s="35">
        <v>1622.62</v>
      </c>
      <c r="H48" s="35">
        <v>9104.64</v>
      </c>
      <c r="I48" s="35">
        <f t="shared" si="0"/>
        <v>27393.62</v>
      </c>
      <c r="J48" s="56">
        <f>'2021'!J49</f>
        <v>27938.84</v>
      </c>
      <c r="K48" s="49">
        <v>4746.8395520000013</v>
      </c>
      <c r="L48" s="49">
        <v>4936.7131340800015</v>
      </c>
      <c r="M48" s="49">
        <v>1566.2980735999997</v>
      </c>
      <c r="N48" s="49">
        <v>1628.9499965439998</v>
      </c>
      <c r="O48" s="56">
        <f t="shared" si="1"/>
        <v>3180.5414784000013</v>
      </c>
      <c r="P48" s="1">
        <f t="shared" si="2"/>
        <v>35209961.798723727</v>
      </c>
      <c r="Q48" s="1">
        <f t="shared" si="3"/>
        <v>17798087.475222919</v>
      </c>
      <c r="R48" s="1">
        <f t="shared" si="4"/>
        <v>5367242.6222286662</v>
      </c>
      <c r="S48" s="1">
        <f t="shared" si="5"/>
        <v>30115992.572535779</v>
      </c>
      <c r="T48" s="1">
        <f t="shared" si="6"/>
        <v>88491284.468711093</v>
      </c>
      <c r="U48" s="11"/>
      <c r="V48" s="11"/>
      <c r="W48" s="11"/>
      <c r="X48" s="12"/>
      <c r="Y48" s="12"/>
      <c r="Z48" s="12"/>
      <c r="AA48" s="12"/>
      <c r="AB48" s="12"/>
      <c r="AC48" s="12"/>
      <c r="AD48" s="12"/>
      <c r="AE48" s="12"/>
      <c r="AF48" s="12"/>
      <c r="AG48" s="12"/>
      <c r="AH48" s="12"/>
      <c r="AI48" s="12"/>
      <c r="AJ48" s="12"/>
      <c r="AK48" s="12"/>
      <c r="AL48" s="12"/>
      <c r="AM48" s="12"/>
      <c r="AN48" s="12"/>
      <c r="AO48" s="12"/>
      <c r="AP48" s="12"/>
      <c r="AQ48" s="12"/>
      <c r="AR48" s="12"/>
      <c r="AS48" s="12"/>
      <c r="AT48" s="12"/>
      <c r="AU48" s="12"/>
      <c r="AV48" s="12"/>
      <c r="AW48" s="12"/>
      <c r="AX48" s="12"/>
      <c r="AY48" s="12"/>
      <c r="AZ48" s="12"/>
      <c r="BA48" s="12"/>
      <c r="BB48" s="12"/>
      <c r="BC48" s="12"/>
      <c r="BD48" s="12"/>
      <c r="BE48" s="12"/>
      <c r="BF48" s="12"/>
      <c r="BG48" s="12"/>
      <c r="BH48" s="12"/>
      <c r="BI48" s="12"/>
      <c r="BJ48" s="12"/>
      <c r="BK48" s="12"/>
      <c r="BL48" s="12"/>
      <c r="BM48" s="12"/>
      <c r="BN48" s="12"/>
      <c r="BO48" s="12"/>
      <c r="BP48" s="12"/>
      <c r="BQ48" s="12"/>
      <c r="BR48" s="12"/>
      <c r="BS48" s="12"/>
      <c r="BT48" s="12"/>
      <c r="BU48" s="12"/>
      <c r="BV48" s="12"/>
      <c r="BW48" s="12"/>
      <c r="BX48" s="12"/>
      <c r="BY48" s="12"/>
      <c r="BZ48" s="12"/>
      <c r="CA48" s="12"/>
      <c r="CB48" s="12"/>
      <c r="CC48" s="12"/>
      <c r="CD48" s="12"/>
      <c r="CE48" s="12"/>
      <c r="CF48" s="12"/>
      <c r="CG48" s="12"/>
      <c r="CH48" s="12"/>
      <c r="CI48" s="12"/>
      <c r="CJ48" s="12"/>
      <c r="CK48" s="12"/>
      <c r="CL48" s="12"/>
      <c r="CM48" s="12"/>
      <c r="CN48" s="12"/>
      <c r="CO48" s="12"/>
      <c r="CP48" s="12"/>
      <c r="CQ48" s="12"/>
      <c r="CR48" s="12"/>
      <c r="CS48" s="12"/>
      <c r="CT48" s="12"/>
      <c r="CU48" s="12"/>
      <c r="CV48" s="12"/>
      <c r="CW48" s="12"/>
      <c r="CX48" s="12"/>
      <c r="CY48" s="12"/>
      <c r="CZ48" s="12"/>
      <c r="DA48" s="12"/>
      <c r="DB48" s="12"/>
      <c r="DC48" s="12"/>
      <c r="DD48" s="12"/>
      <c r="DE48" s="12"/>
      <c r="DF48" s="12"/>
      <c r="DG48" s="12"/>
      <c r="DH48" s="12"/>
      <c r="DI48" s="12"/>
      <c r="DJ48" s="12"/>
      <c r="DK48" s="12"/>
      <c r="DL48" s="12"/>
      <c r="DM48" s="12"/>
      <c r="DN48" s="12"/>
      <c r="DO48" s="12"/>
      <c r="DP48" s="12"/>
      <c r="DQ48" s="12"/>
      <c r="DR48" s="12"/>
      <c r="DS48" s="12"/>
      <c r="DT48" s="12"/>
      <c r="DU48" s="12"/>
      <c r="DV48" s="12"/>
      <c r="DW48" s="12"/>
      <c r="DX48" s="12"/>
      <c r="DY48" s="12"/>
      <c r="DZ48" s="12"/>
      <c r="EA48" s="12"/>
      <c r="EB48" s="12"/>
      <c r="EC48" s="12"/>
      <c r="ED48" s="12"/>
      <c r="EE48" s="12"/>
      <c r="EF48" s="12"/>
      <c r="EG48" s="12"/>
      <c r="EH48" s="12"/>
      <c r="EI48" s="12"/>
      <c r="EJ48" s="12"/>
      <c r="EK48" s="12"/>
      <c r="EL48" s="12"/>
      <c r="EM48" s="12"/>
      <c r="EN48" s="12"/>
      <c r="EO48" s="12"/>
      <c r="EP48" s="12"/>
      <c r="EQ48" s="12"/>
      <c r="ER48" s="12"/>
      <c r="ES48" s="12"/>
      <c r="ET48" s="12"/>
      <c r="EU48" s="12"/>
      <c r="EV48" s="12"/>
      <c r="EW48" s="12"/>
      <c r="EX48" s="12"/>
      <c r="EY48" s="12"/>
      <c r="EZ48" s="12"/>
      <c r="FA48" s="12"/>
      <c r="FB48" s="12"/>
      <c r="FC48" s="12"/>
      <c r="FD48" s="12"/>
      <c r="FE48" s="12"/>
      <c r="FF48" s="12"/>
      <c r="FG48" s="12"/>
      <c r="FH48" s="12"/>
      <c r="FI48" s="12"/>
      <c r="FJ48" s="12"/>
      <c r="FK48" s="12"/>
      <c r="FL48" s="12"/>
      <c r="FM48" s="12"/>
      <c r="FN48" s="12"/>
      <c r="FO48" s="12"/>
      <c r="FP48" s="12"/>
      <c r="FQ48" s="12"/>
      <c r="FR48" s="12"/>
      <c r="FS48" s="12"/>
      <c r="FT48" s="12"/>
      <c r="FU48" s="12"/>
      <c r="FV48" s="12"/>
      <c r="FW48" s="12"/>
      <c r="FX48" s="12"/>
      <c r="FY48" s="12"/>
      <c r="FZ48" s="12"/>
      <c r="GA48" s="12"/>
      <c r="GB48" s="12"/>
      <c r="GC48" s="12"/>
      <c r="GD48" s="12"/>
      <c r="GE48" s="12"/>
    </row>
    <row r="49" spans="1:187" ht="21" customHeight="1">
      <c r="A49" s="45"/>
      <c r="B49" s="9" t="s">
        <v>408</v>
      </c>
      <c r="C49" s="10" t="s">
        <v>407</v>
      </c>
      <c r="D49" s="10" t="s">
        <v>103</v>
      </c>
      <c r="E49" s="35">
        <v>76.23</v>
      </c>
      <c r="F49" s="35">
        <f>115.45-E49</f>
        <v>39.22</v>
      </c>
      <c r="G49" s="35">
        <v>8.48</v>
      </c>
      <c r="H49" s="35">
        <v>83.42</v>
      </c>
      <c r="I49" s="35">
        <f t="shared" si="0"/>
        <v>207.35000000000002</v>
      </c>
      <c r="J49" s="56">
        <f>'2021'!J50</f>
        <v>217.3</v>
      </c>
      <c r="K49" s="49">
        <v>4116.3749120000002</v>
      </c>
      <c r="L49" s="49">
        <v>4281.0299084800008</v>
      </c>
      <c r="M49" s="49">
        <v>1769.6670472000001</v>
      </c>
      <c r="N49" s="49">
        <v>1840.453729088</v>
      </c>
      <c r="O49" s="56">
        <f t="shared" si="1"/>
        <v>2346.7078648000002</v>
      </c>
      <c r="P49" s="1">
        <f t="shared" si="2"/>
        <v>178889.54053370401</v>
      </c>
      <c r="Q49" s="1">
        <f t="shared" si="3"/>
        <v>92037.882457455999</v>
      </c>
      <c r="R49" s="1">
        <f t="shared" si="4"/>
        <v>20696.08600124417</v>
      </c>
      <c r="S49" s="1">
        <f t="shared" si="5"/>
        <v>203592.86488488072</v>
      </c>
      <c r="T49" s="1">
        <f t="shared" si="6"/>
        <v>495216.37387728493</v>
      </c>
      <c r="U49" s="11"/>
      <c r="V49" s="11"/>
      <c r="W49" s="11"/>
      <c r="X49" s="12"/>
      <c r="Y49" s="12"/>
      <c r="Z49" s="12"/>
      <c r="AA49" s="12"/>
      <c r="AB49" s="12"/>
      <c r="AC49" s="12"/>
      <c r="AD49" s="12"/>
      <c r="AE49" s="12"/>
      <c r="AF49" s="12"/>
      <c r="AG49" s="12"/>
      <c r="AH49" s="12"/>
      <c r="AI49" s="12"/>
      <c r="AJ49" s="12"/>
      <c r="AK49" s="12"/>
      <c r="AL49" s="12"/>
      <c r="AM49" s="12"/>
      <c r="AN49" s="12"/>
      <c r="AO49" s="12"/>
      <c r="AP49" s="12"/>
      <c r="AQ49" s="12"/>
      <c r="AR49" s="12"/>
      <c r="AS49" s="12"/>
      <c r="AT49" s="12"/>
      <c r="AU49" s="12"/>
      <c r="AV49" s="12"/>
      <c r="AW49" s="12"/>
      <c r="AX49" s="12"/>
      <c r="AY49" s="12"/>
      <c r="AZ49" s="12"/>
      <c r="BA49" s="12"/>
      <c r="BB49" s="12"/>
      <c r="BC49" s="12"/>
      <c r="BD49" s="12"/>
      <c r="BE49" s="12"/>
      <c r="BF49" s="12"/>
      <c r="BG49" s="12"/>
      <c r="BH49" s="12"/>
      <c r="BI49" s="12"/>
      <c r="BJ49" s="12"/>
      <c r="BK49" s="12"/>
      <c r="BL49" s="12"/>
      <c r="BM49" s="12"/>
      <c r="BN49" s="12"/>
      <c r="BO49" s="12"/>
      <c r="BP49" s="12"/>
      <c r="BQ49" s="12"/>
      <c r="BR49" s="12"/>
      <c r="BS49" s="12"/>
      <c r="BT49" s="12"/>
      <c r="BU49" s="12"/>
      <c r="BV49" s="12"/>
      <c r="BW49" s="12"/>
      <c r="BX49" s="12"/>
      <c r="BY49" s="12"/>
      <c r="BZ49" s="12"/>
      <c r="CA49" s="12"/>
      <c r="CB49" s="12"/>
      <c r="CC49" s="12"/>
      <c r="CD49" s="12"/>
      <c r="CE49" s="12"/>
      <c r="CF49" s="12"/>
      <c r="CG49" s="12"/>
      <c r="CH49" s="12"/>
      <c r="CI49" s="12"/>
      <c r="CJ49" s="12"/>
      <c r="CK49" s="12"/>
      <c r="CL49" s="12"/>
      <c r="CM49" s="12"/>
      <c r="CN49" s="12"/>
      <c r="CO49" s="12"/>
      <c r="CP49" s="12"/>
      <c r="CQ49" s="12"/>
      <c r="CR49" s="12"/>
      <c r="CS49" s="12"/>
      <c r="CT49" s="12"/>
      <c r="CU49" s="12"/>
      <c r="CV49" s="12"/>
      <c r="CW49" s="12"/>
      <c r="CX49" s="12"/>
      <c r="CY49" s="12"/>
      <c r="CZ49" s="12"/>
      <c r="DA49" s="12"/>
      <c r="DB49" s="12"/>
      <c r="DC49" s="12"/>
      <c r="DD49" s="12"/>
      <c r="DE49" s="12"/>
      <c r="DF49" s="12"/>
      <c r="DG49" s="12"/>
      <c r="DH49" s="12"/>
      <c r="DI49" s="12"/>
      <c r="DJ49" s="12"/>
      <c r="DK49" s="12"/>
      <c r="DL49" s="12"/>
      <c r="DM49" s="12"/>
      <c r="DN49" s="12"/>
      <c r="DO49" s="12"/>
      <c r="DP49" s="12"/>
      <c r="DQ49" s="12"/>
      <c r="DR49" s="12"/>
      <c r="DS49" s="12"/>
      <c r="DT49" s="12"/>
      <c r="DU49" s="12"/>
      <c r="DV49" s="12"/>
      <c r="DW49" s="12"/>
      <c r="DX49" s="12"/>
      <c r="DY49" s="12"/>
      <c r="DZ49" s="12"/>
      <c r="EA49" s="12"/>
      <c r="EB49" s="12"/>
      <c r="EC49" s="12"/>
      <c r="ED49" s="12"/>
      <c r="EE49" s="12"/>
      <c r="EF49" s="12"/>
      <c r="EG49" s="12"/>
      <c r="EH49" s="12"/>
      <c r="EI49" s="12"/>
      <c r="EJ49" s="12"/>
      <c r="EK49" s="12"/>
      <c r="EL49" s="12"/>
      <c r="EM49" s="12"/>
      <c r="EN49" s="12"/>
      <c r="EO49" s="12"/>
      <c r="EP49" s="12"/>
      <c r="EQ49" s="12"/>
      <c r="ER49" s="12"/>
      <c r="ES49" s="12"/>
      <c r="ET49" s="12"/>
      <c r="EU49" s="12"/>
      <c r="EV49" s="12"/>
      <c r="EW49" s="12"/>
      <c r="EX49" s="12"/>
      <c r="EY49" s="12"/>
      <c r="EZ49" s="12"/>
      <c r="FA49" s="12"/>
      <c r="FB49" s="12"/>
      <c r="FC49" s="12"/>
      <c r="FD49" s="12"/>
      <c r="FE49" s="12"/>
      <c r="FF49" s="12"/>
      <c r="FG49" s="12"/>
      <c r="FH49" s="12"/>
      <c r="FI49" s="12"/>
      <c r="FJ49" s="12"/>
      <c r="FK49" s="12"/>
      <c r="FL49" s="12"/>
      <c r="FM49" s="12"/>
      <c r="FN49" s="12"/>
      <c r="FO49" s="12"/>
      <c r="FP49" s="12"/>
      <c r="FQ49" s="12"/>
      <c r="FR49" s="12"/>
      <c r="FS49" s="12"/>
      <c r="FT49" s="12"/>
      <c r="FU49" s="12"/>
      <c r="FV49" s="12"/>
      <c r="FW49" s="12"/>
      <c r="FX49" s="12"/>
      <c r="FY49" s="12"/>
      <c r="FZ49" s="12"/>
      <c r="GA49" s="12"/>
      <c r="GB49" s="12"/>
      <c r="GC49" s="12"/>
      <c r="GD49" s="12"/>
      <c r="GE49" s="12"/>
    </row>
    <row r="50" spans="1:187" ht="21" customHeight="1">
      <c r="A50" s="45"/>
      <c r="B50" s="9" t="s">
        <v>408</v>
      </c>
      <c r="C50" s="10" t="s">
        <v>407</v>
      </c>
      <c r="D50" s="10" t="s">
        <v>109</v>
      </c>
      <c r="E50" s="35">
        <v>34.56</v>
      </c>
      <c r="F50" s="35">
        <f>57.6-E50</f>
        <v>23.04</v>
      </c>
      <c r="G50" s="35">
        <v>5.25</v>
      </c>
      <c r="H50" s="35">
        <v>28.6</v>
      </c>
      <c r="I50" s="35">
        <f t="shared" si="0"/>
        <v>91.45</v>
      </c>
      <c r="J50" s="104" t="e">
        <f>'2021'!J51:J52</f>
        <v>#VALUE!</v>
      </c>
      <c r="K50" s="49">
        <v>6343.0756480000009</v>
      </c>
      <c r="L50" s="49">
        <v>6596.7986739200014</v>
      </c>
      <c r="M50" s="49">
        <v>1685.7720879999999</v>
      </c>
      <c r="N50" s="49">
        <v>1753.2029715199999</v>
      </c>
      <c r="O50" s="56">
        <f t="shared" si="1"/>
        <v>4657.3035600000012</v>
      </c>
      <c r="P50" s="1">
        <f t="shared" si="2"/>
        <v>160956.41103360004</v>
      </c>
      <c r="Q50" s="1">
        <f t="shared" si="3"/>
        <v>107304.27402240003</v>
      </c>
      <c r="R50" s="1">
        <f t="shared" si="4"/>
        <v>25428.877437600007</v>
      </c>
      <c r="S50" s="1">
        <f t="shared" si="5"/>
        <v>138526.83708864005</v>
      </c>
      <c r="T50" s="1">
        <f t="shared" si="6"/>
        <v>432216.39958224015</v>
      </c>
      <c r="U50" s="11"/>
      <c r="V50" s="11"/>
      <c r="W50" s="11"/>
      <c r="X50" s="12"/>
      <c r="Y50" s="12"/>
      <c r="Z50" s="12"/>
      <c r="AA50" s="12"/>
      <c r="AB50" s="12"/>
      <c r="AC50" s="12"/>
      <c r="AD50" s="12"/>
      <c r="AE50" s="12"/>
      <c r="AF50" s="12"/>
      <c r="AG50" s="12"/>
      <c r="AH50" s="12"/>
      <c r="AI50" s="12"/>
      <c r="AJ50" s="12"/>
      <c r="AK50" s="12"/>
      <c r="AL50" s="12"/>
      <c r="AM50" s="12"/>
      <c r="AN50" s="12"/>
      <c r="AO50" s="12"/>
      <c r="AP50" s="12"/>
      <c r="AQ50" s="12"/>
      <c r="AR50" s="12"/>
      <c r="AS50" s="12"/>
      <c r="AT50" s="12"/>
      <c r="AU50" s="12"/>
      <c r="AV50" s="12"/>
      <c r="AW50" s="12"/>
      <c r="AX50" s="12"/>
      <c r="AY50" s="12"/>
      <c r="AZ50" s="12"/>
      <c r="BA50" s="12"/>
      <c r="BB50" s="12"/>
      <c r="BC50" s="12"/>
      <c r="BD50" s="12"/>
      <c r="BE50" s="12"/>
      <c r="BF50" s="12"/>
      <c r="BG50" s="12"/>
      <c r="BH50" s="12"/>
      <c r="BI50" s="12"/>
      <c r="BJ50" s="12"/>
      <c r="BK50" s="12"/>
      <c r="BL50" s="12"/>
      <c r="BM50" s="12"/>
      <c r="BN50" s="12"/>
      <c r="BO50" s="12"/>
      <c r="BP50" s="12"/>
      <c r="BQ50" s="12"/>
      <c r="BR50" s="12"/>
      <c r="BS50" s="12"/>
      <c r="BT50" s="12"/>
      <c r="BU50" s="12"/>
      <c r="BV50" s="12"/>
      <c r="BW50" s="12"/>
      <c r="BX50" s="12"/>
      <c r="BY50" s="12"/>
      <c r="BZ50" s="12"/>
      <c r="CA50" s="12"/>
      <c r="CB50" s="12"/>
      <c r="CC50" s="12"/>
      <c r="CD50" s="12"/>
      <c r="CE50" s="12"/>
      <c r="CF50" s="12"/>
      <c r="CG50" s="12"/>
      <c r="CH50" s="12"/>
      <c r="CI50" s="12"/>
      <c r="CJ50" s="12"/>
      <c r="CK50" s="12"/>
      <c r="CL50" s="12"/>
      <c r="CM50" s="12"/>
      <c r="CN50" s="12"/>
      <c r="CO50" s="12"/>
      <c r="CP50" s="12"/>
      <c r="CQ50" s="12"/>
      <c r="CR50" s="12"/>
      <c r="CS50" s="12"/>
      <c r="CT50" s="12"/>
      <c r="CU50" s="12"/>
      <c r="CV50" s="12"/>
      <c r="CW50" s="12"/>
      <c r="CX50" s="12"/>
      <c r="CY50" s="12"/>
      <c r="CZ50" s="12"/>
      <c r="DA50" s="12"/>
      <c r="DB50" s="12"/>
      <c r="DC50" s="12"/>
      <c r="DD50" s="12"/>
      <c r="DE50" s="12"/>
      <c r="DF50" s="12"/>
      <c r="DG50" s="12"/>
      <c r="DH50" s="12"/>
      <c r="DI50" s="12"/>
      <c r="DJ50" s="12"/>
      <c r="DK50" s="12"/>
      <c r="DL50" s="12"/>
      <c r="DM50" s="12"/>
      <c r="DN50" s="12"/>
      <c r="DO50" s="12"/>
      <c r="DP50" s="12"/>
      <c r="DQ50" s="12"/>
      <c r="DR50" s="12"/>
      <c r="DS50" s="12"/>
      <c r="DT50" s="12"/>
      <c r="DU50" s="12"/>
      <c r="DV50" s="12"/>
      <c r="DW50" s="12"/>
      <c r="DX50" s="12"/>
      <c r="DY50" s="12"/>
      <c r="DZ50" s="12"/>
      <c r="EA50" s="12"/>
      <c r="EB50" s="12"/>
      <c r="EC50" s="12"/>
      <c r="ED50" s="12"/>
      <c r="EE50" s="12"/>
      <c r="EF50" s="12"/>
      <c r="EG50" s="12"/>
      <c r="EH50" s="12"/>
      <c r="EI50" s="12"/>
      <c r="EJ50" s="12"/>
      <c r="EK50" s="12"/>
      <c r="EL50" s="12"/>
      <c r="EM50" s="12"/>
      <c r="EN50" s="12"/>
      <c r="EO50" s="12"/>
      <c r="EP50" s="12"/>
      <c r="EQ50" s="12"/>
      <c r="ER50" s="12"/>
      <c r="ES50" s="12"/>
      <c r="ET50" s="12"/>
      <c r="EU50" s="12"/>
      <c r="EV50" s="12"/>
      <c r="EW50" s="12"/>
      <c r="EX50" s="12"/>
      <c r="EY50" s="12"/>
      <c r="EZ50" s="12"/>
      <c r="FA50" s="12"/>
      <c r="FB50" s="12"/>
      <c r="FC50" s="12"/>
      <c r="FD50" s="12"/>
      <c r="FE50" s="12"/>
      <c r="FF50" s="12"/>
      <c r="FG50" s="12"/>
      <c r="FH50" s="12"/>
      <c r="FI50" s="12"/>
      <c r="FJ50" s="12"/>
      <c r="FK50" s="12"/>
      <c r="FL50" s="12"/>
      <c r="FM50" s="12"/>
      <c r="FN50" s="12"/>
      <c r="FO50" s="12"/>
      <c r="FP50" s="12"/>
      <c r="FQ50" s="12"/>
      <c r="FR50" s="12"/>
      <c r="FS50" s="12"/>
      <c r="FT50" s="12"/>
      <c r="FU50" s="12"/>
      <c r="FV50" s="12"/>
      <c r="FW50" s="12"/>
      <c r="FX50" s="12"/>
      <c r="FY50" s="12"/>
      <c r="FZ50" s="12"/>
      <c r="GA50" s="12"/>
      <c r="GB50" s="12"/>
      <c r="GC50" s="12"/>
      <c r="GD50" s="12"/>
      <c r="GE50" s="12"/>
    </row>
    <row r="51" spans="1:187" ht="21" customHeight="1">
      <c r="A51" s="45"/>
      <c r="B51" s="9" t="s">
        <v>408</v>
      </c>
      <c r="C51" s="10" t="s">
        <v>407</v>
      </c>
      <c r="D51" s="10" t="s">
        <v>110</v>
      </c>
      <c r="E51" s="35">
        <v>71.150000000000006</v>
      </c>
      <c r="F51" s="35">
        <f>107.11-E51</f>
        <v>35.959999999999994</v>
      </c>
      <c r="G51" s="35">
        <v>11.93</v>
      </c>
      <c r="H51" s="35">
        <v>72.36</v>
      </c>
      <c r="I51" s="35">
        <f t="shared" si="0"/>
        <v>191.39999999999998</v>
      </c>
      <c r="J51" s="104"/>
      <c r="K51" s="49">
        <v>6343.0756480000009</v>
      </c>
      <c r="L51" s="49">
        <v>6596.7986739200014</v>
      </c>
      <c r="M51" s="49">
        <v>1685.7720879999999</v>
      </c>
      <c r="N51" s="49">
        <v>1753.2029715199999</v>
      </c>
      <c r="O51" s="56">
        <f t="shared" si="1"/>
        <v>4657.3035600000012</v>
      </c>
      <c r="P51" s="1">
        <f t="shared" si="2"/>
        <v>331367.14829400013</v>
      </c>
      <c r="Q51" s="1">
        <f t="shared" si="3"/>
        <v>167476.63601760002</v>
      </c>
      <c r="R51" s="1">
        <f t="shared" si="4"/>
        <v>57784.096729632023</v>
      </c>
      <c r="S51" s="1">
        <f t="shared" si="5"/>
        <v>350482.58502566413</v>
      </c>
      <c r="T51" s="1">
        <f t="shared" si="6"/>
        <v>907110.46606689622</v>
      </c>
      <c r="U51" s="11"/>
      <c r="V51" s="11"/>
      <c r="W51" s="11"/>
      <c r="X51" s="12"/>
      <c r="Y51" s="12"/>
      <c r="Z51" s="12"/>
      <c r="AA51" s="12"/>
      <c r="AB51" s="12"/>
      <c r="AC51" s="12"/>
      <c r="AD51" s="12"/>
      <c r="AE51" s="12"/>
      <c r="AF51" s="12"/>
      <c r="AG51" s="12"/>
      <c r="AH51" s="12"/>
      <c r="AI51" s="12"/>
      <c r="AJ51" s="12"/>
      <c r="AK51" s="12"/>
      <c r="AL51" s="12"/>
      <c r="AM51" s="12"/>
      <c r="AN51" s="12"/>
      <c r="AO51" s="12"/>
      <c r="AP51" s="12"/>
      <c r="AQ51" s="12"/>
      <c r="AR51" s="12"/>
      <c r="AS51" s="12"/>
      <c r="AT51" s="12"/>
      <c r="AU51" s="12"/>
      <c r="AV51" s="12"/>
      <c r="AW51" s="12"/>
      <c r="AX51" s="12"/>
      <c r="AY51" s="12"/>
      <c r="AZ51" s="12"/>
      <c r="BA51" s="12"/>
      <c r="BB51" s="12"/>
      <c r="BC51" s="12"/>
      <c r="BD51" s="12"/>
      <c r="BE51" s="12"/>
      <c r="BF51" s="12"/>
      <c r="BG51" s="12"/>
      <c r="BH51" s="12"/>
      <c r="BI51" s="12"/>
      <c r="BJ51" s="12"/>
      <c r="BK51" s="12"/>
      <c r="BL51" s="12"/>
      <c r="BM51" s="12"/>
      <c r="BN51" s="12"/>
      <c r="BO51" s="12"/>
      <c r="BP51" s="12"/>
      <c r="BQ51" s="12"/>
      <c r="BR51" s="12"/>
      <c r="BS51" s="12"/>
      <c r="BT51" s="12"/>
      <c r="BU51" s="12"/>
      <c r="BV51" s="12"/>
      <c r="BW51" s="12"/>
      <c r="BX51" s="12"/>
      <c r="BY51" s="12"/>
      <c r="BZ51" s="12"/>
      <c r="CA51" s="12"/>
      <c r="CB51" s="12"/>
      <c r="CC51" s="12"/>
      <c r="CD51" s="12"/>
      <c r="CE51" s="12"/>
      <c r="CF51" s="12"/>
      <c r="CG51" s="12"/>
      <c r="CH51" s="12"/>
      <c r="CI51" s="12"/>
      <c r="CJ51" s="12"/>
      <c r="CK51" s="12"/>
      <c r="CL51" s="12"/>
      <c r="CM51" s="12"/>
      <c r="CN51" s="12"/>
      <c r="CO51" s="12"/>
      <c r="CP51" s="12"/>
      <c r="CQ51" s="12"/>
      <c r="CR51" s="12"/>
      <c r="CS51" s="12"/>
      <c r="CT51" s="12"/>
      <c r="CU51" s="12"/>
      <c r="CV51" s="12"/>
      <c r="CW51" s="12"/>
      <c r="CX51" s="12"/>
      <c r="CY51" s="12"/>
      <c r="CZ51" s="12"/>
      <c r="DA51" s="12"/>
      <c r="DB51" s="12"/>
      <c r="DC51" s="12"/>
      <c r="DD51" s="12"/>
      <c r="DE51" s="12"/>
      <c r="DF51" s="12"/>
      <c r="DG51" s="12"/>
      <c r="DH51" s="12"/>
      <c r="DI51" s="12"/>
      <c r="DJ51" s="12"/>
      <c r="DK51" s="12"/>
      <c r="DL51" s="12"/>
      <c r="DM51" s="12"/>
      <c r="DN51" s="12"/>
      <c r="DO51" s="12"/>
      <c r="DP51" s="12"/>
      <c r="DQ51" s="12"/>
      <c r="DR51" s="12"/>
      <c r="DS51" s="12"/>
      <c r="DT51" s="12"/>
      <c r="DU51" s="12"/>
      <c r="DV51" s="12"/>
      <c r="DW51" s="12"/>
      <c r="DX51" s="12"/>
      <c r="DY51" s="12"/>
      <c r="DZ51" s="12"/>
      <c r="EA51" s="12"/>
      <c r="EB51" s="12"/>
      <c r="EC51" s="12"/>
      <c r="ED51" s="12"/>
      <c r="EE51" s="12"/>
      <c r="EF51" s="12"/>
      <c r="EG51" s="12"/>
      <c r="EH51" s="12"/>
      <c r="EI51" s="12"/>
      <c r="EJ51" s="12"/>
      <c r="EK51" s="12"/>
      <c r="EL51" s="12"/>
      <c r="EM51" s="12"/>
      <c r="EN51" s="12"/>
      <c r="EO51" s="12"/>
      <c r="EP51" s="12"/>
      <c r="EQ51" s="12"/>
      <c r="ER51" s="12"/>
      <c r="ES51" s="12"/>
      <c r="ET51" s="12"/>
      <c r="EU51" s="12"/>
      <c r="EV51" s="12"/>
      <c r="EW51" s="12"/>
      <c r="EX51" s="12"/>
      <c r="EY51" s="12"/>
      <c r="EZ51" s="12"/>
      <c r="FA51" s="12"/>
      <c r="FB51" s="12"/>
      <c r="FC51" s="12"/>
      <c r="FD51" s="12"/>
      <c r="FE51" s="12"/>
      <c r="FF51" s="12"/>
      <c r="FG51" s="12"/>
      <c r="FH51" s="12"/>
      <c r="FI51" s="12"/>
      <c r="FJ51" s="12"/>
      <c r="FK51" s="12"/>
      <c r="FL51" s="12"/>
      <c r="FM51" s="12"/>
      <c r="FN51" s="12"/>
      <c r="FO51" s="12"/>
      <c r="FP51" s="12"/>
      <c r="FQ51" s="12"/>
      <c r="FR51" s="12"/>
      <c r="FS51" s="12"/>
      <c r="FT51" s="12"/>
      <c r="FU51" s="12"/>
      <c r="FV51" s="12"/>
      <c r="FW51" s="12"/>
      <c r="FX51" s="12"/>
      <c r="FY51" s="12"/>
      <c r="FZ51" s="12"/>
      <c r="GA51" s="12"/>
      <c r="GB51" s="12"/>
      <c r="GC51" s="12"/>
      <c r="GD51" s="12"/>
      <c r="GE51" s="12"/>
    </row>
    <row r="52" spans="1:187" ht="21" customHeight="1">
      <c r="A52" s="45"/>
      <c r="B52" s="9" t="s">
        <v>287</v>
      </c>
      <c r="C52" s="10" t="s">
        <v>106</v>
      </c>
      <c r="D52" s="10" t="s">
        <v>107</v>
      </c>
      <c r="E52" s="35">
        <v>224.732</v>
      </c>
      <c r="F52" s="35">
        <f>333.143-E52</f>
        <v>108.41099999999997</v>
      </c>
      <c r="G52" s="35">
        <v>16.138999999999999</v>
      </c>
      <c r="H52" s="35">
        <f>153.679-G52</f>
        <v>137.54</v>
      </c>
      <c r="I52" s="35">
        <f t="shared" si="0"/>
        <v>486.822</v>
      </c>
      <c r="J52" s="56">
        <f>'2021'!J53</f>
        <v>557.70000000000005</v>
      </c>
      <c r="K52" s="49">
        <v>3761.1342080000004</v>
      </c>
      <c r="L52" s="49">
        <v>3911.5795763200003</v>
      </c>
      <c r="M52" s="49">
        <v>2256.1801599999999</v>
      </c>
      <c r="N52" s="49">
        <v>2346.4273663999998</v>
      </c>
      <c r="O52" s="56">
        <f t="shared" si="1"/>
        <v>1504.9540480000005</v>
      </c>
      <c r="P52" s="1">
        <f t="shared" si="2"/>
        <v>338211.33311513613</v>
      </c>
      <c r="Q52" s="1">
        <f t="shared" si="3"/>
        <v>163153.57329772803</v>
      </c>
      <c r="R52" s="1">
        <f t="shared" si="4"/>
        <v>25259.991515898888</v>
      </c>
      <c r="S52" s="1">
        <f t="shared" si="5"/>
        <v>215271.03495239688</v>
      </c>
      <c r="T52" s="1">
        <f t="shared" si="6"/>
        <v>741895.93288115994</v>
      </c>
      <c r="U52" s="11"/>
      <c r="V52" s="11"/>
      <c r="W52" s="11"/>
      <c r="X52" s="12"/>
      <c r="Y52" s="12"/>
      <c r="Z52" s="12"/>
      <c r="AA52" s="12"/>
      <c r="AB52" s="12"/>
      <c r="AC52" s="12"/>
      <c r="AD52" s="12"/>
      <c r="AE52" s="12"/>
      <c r="AF52" s="12"/>
      <c r="AG52" s="12"/>
      <c r="AH52" s="12"/>
      <c r="AI52" s="12"/>
      <c r="AJ52" s="12"/>
      <c r="AK52" s="12"/>
      <c r="AL52" s="12"/>
      <c r="AM52" s="12"/>
      <c r="AN52" s="12"/>
      <c r="AO52" s="12"/>
      <c r="AP52" s="12"/>
      <c r="AQ52" s="12"/>
      <c r="AR52" s="12"/>
      <c r="AS52" s="12"/>
      <c r="AT52" s="12"/>
      <c r="AU52" s="12"/>
      <c r="AV52" s="12"/>
      <c r="AW52" s="12"/>
      <c r="AX52" s="12"/>
      <c r="AY52" s="12"/>
      <c r="AZ52" s="12"/>
      <c r="BA52" s="12"/>
      <c r="BB52" s="12"/>
      <c r="BC52" s="12"/>
      <c r="BD52" s="12"/>
      <c r="BE52" s="12"/>
      <c r="BF52" s="12"/>
      <c r="BG52" s="12"/>
      <c r="BH52" s="12"/>
      <c r="BI52" s="12"/>
      <c r="BJ52" s="12"/>
      <c r="BK52" s="12"/>
      <c r="BL52" s="12"/>
      <c r="BM52" s="12"/>
      <c r="BN52" s="12"/>
      <c r="BO52" s="12"/>
      <c r="BP52" s="12"/>
      <c r="BQ52" s="12"/>
      <c r="BR52" s="12"/>
      <c r="BS52" s="12"/>
      <c r="BT52" s="12"/>
      <c r="BU52" s="12"/>
      <c r="BV52" s="12"/>
      <c r="BW52" s="12"/>
      <c r="BX52" s="12"/>
      <c r="BY52" s="12"/>
      <c r="BZ52" s="12"/>
      <c r="CA52" s="12"/>
      <c r="CB52" s="12"/>
      <c r="CC52" s="12"/>
      <c r="CD52" s="12"/>
      <c r="CE52" s="12"/>
      <c r="CF52" s="12"/>
      <c r="CG52" s="12"/>
      <c r="CH52" s="12"/>
      <c r="CI52" s="12"/>
      <c r="CJ52" s="12"/>
      <c r="CK52" s="12"/>
      <c r="CL52" s="12"/>
      <c r="CM52" s="12"/>
      <c r="CN52" s="12"/>
      <c r="CO52" s="12"/>
      <c r="CP52" s="12"/>
      <c r="CQ52" s="12"/>
      <c r="CR52" s="12"/>
      <c r="CS52" s="12"/>
      <c r="CT52" s="12"/>
      <c r="CU52" s="12"/>
      <c r="CV52" s="12"/>
      <c r="CW52" s="12"/>
      <c r="CX52" s="12"/>
      <c r="CY52" s="12"/>
      <c r="CZ52" s="12"/>
      <c r="DA52" s="12"/>
      <c r="DB52" s="12"/>
      <c r="DC52" s="12"/>
      <c r="DD52" s="12"/>
      <c r="DE52" s="12"/>
      <c r="DF52" s="12"/>
      <c r="DG52" s="12"/>
      <c r="DH52" s="12"/>
      <c r="DI52" s="12"/>
      <c r="DJ52" s="12"/>
      <c r="DK52" s="12"/>
      <c r="DL52" s="12"/>
      <c r="DM52" s="12"/>
      <c r="DN52" s="12"/>
      <c r="DO52" s="12"/>
      <c r="DP52" s="12"/>
      <c r="DQ52" s="12"/>
      <c r="DR52" s="12"/>
      <c r="DS52" s="12"/>
      <c r="DT52" s="12"/>
      <c r="DU52" s="12"/>
      <c r="DV52" s="12"/>
      <c r="DW52" s="12"/>
      <c r="DX52" s="12"/>
      <c r="DY52" s="12"/>
      <c r="DZ52" s="12"/>
      <c r="EA52" s="12"/>
      <c r="EB52" s="12"/>
      <c r="EC52" s="12"/>
      <c r="ED52" s="12"/>
      <c r="EE52" s="12"/>
      <c r="EF52" s="12"/>
      <c r="EG52" s="12"/>
      <c r="EH52" s="12"/>
      <c r="EI52" s="12"/>
      <c r="EJ52" s="12"/>
      <c r="EK52" s="12"/>
      <c r="EL52" s="12"/>
      <c r="EM52" s="12"/>
      <c r="EN52" s="12"/>
      <c r="EO52" s="12"/>
      <c r="EP52" s="12"/>
      <c r="EQ52" s="12"/>
      <c r="ER52" s="12"/>
      <c r="ES52" s="12"/>
      <c r="ET52" s="12"/>
      <c r="EU52" s="12"/>
      <c r="EV52" s="12"/>
      <c r="EW52" s="12"/>
      <c r="EX52" s="12"/>
      <c r="EY52" s="12"/>
      <c r="EZ52" s="12"/>
      <c r="FA52" s="12"/>
      <c r="FB52" s="12"/>
      <c r="FC52" s="12"/>
      <c r="FD52" s="12"/>
      <c r="FE52" s="12"/>
      <c r="FF52" s="12"/>
      <c r="FG52" s="12"/>
      <c r="FH52" s="12"/>
      <c r="FI52" s="12"/>
      <c r="FJ52" s="12"/>
      <c r="FK52" s="12"/>
      <c r="FL52" s="12"/>
      <c r="FM52" s="12"/>
      <c r="FN52" s="12"/>
      <c r="FO52" s="12"/>
      <c r="FP52" s="12"/>
      <c r="FQ52" s="12"/>
      <c r="FR52" s="12"/>
      <c r="FS52" s="12"/>
      <c r="FT52" s="12"/>
      <c r="FU52" s="12"/>
      <c r="FV52" s="12"/>
      <c r="FW52" s="12"/>
      <c r="FX52" s="12"/>
      <c r="FY52" s="12"/>
      <c r="FZ52" s="12"/>
      <c r="GA52" s="12"/>
      <c r="GB52" s="12"/>
      <c r="GC52" s="12"/>
      <c r="GD52" s="12"/>
      <c r="GE52" s="12"/>
    </row>
    <row r="53" spans="1:187" ht="21" customHeight="1">
      <c r="A53" s="45" t="s">
        <v>337</v>
      </c>
      <c r="B53" s="9">
        <v>7729314745</v>
      </c>
      <c r="C53" s="10" t="s">
        <v>341</v>
      </c>
      <c r="D53" s="10" t="s">
        <v>107</v>
      </c>
      <c r="E53" s="35">
        <f>476.839*0.6</f>
        <v>286.10339999999997</v>
      </c>
      <c r="F53" s="35">
        <f>476.839*0.4</f>
        <v>190.73560000000001</v>
      </c>
      <c r="G53" s="35">
        <f>390.141*0.8</f>
        <v>312.11280000000005</v>
      </c>
      <c r="H53" s="35">
        <f>390.141*0.2</f>
        <v>78.028200000000012</v>
      </c>
      <c r="I53" s="35">
        <f t="shared" si="0"/>
        <v>866.98</v>
      </c>
      <c r="J53" s="56">
        <f>'2021'!J54</f>
        <v>867</v>
      </c>
      <c r="K53" s="49">
        <v>3123.271424</v>
      </c>
      <c r="L53" s="49">
        <v>3248.2022809600003</v>
      </c>
      <c r="M53" s="49">
        <v>1745.6169431999999</v>
      </c>
      <c r="N53" s="49">
        <v>1815.441620928</v>
      </c>
      <c r="O53" s="56">
        <f t="shared" si="1"/>
        <v>1377.6544808000001</v>
      </c>
      <c r="P53" s="1">
        <f t="shared" si="2"/>
        <v>394151.6309821147</v>
      </c>
      <c r="Q53" s="1">
        <f t="shared" si="3"/>
        <v>262767.75398807653</v>
      </c>
      <c r="R53" s="1">
        <f t="shared" si="4"/>
        <v>447182.94133243576</v>
      </c>
      <c r="S53" s="1">
        <f t="shared" si="5"/>
        <v>111795.73533310894</v>
      </c>
      <c r="T53" s="1">
        <f t="shared" si="6"/>
        <v>1215898.0616357359</v>
      </c>
      <c r="U53" s="11"/>
      <c r="V53" s="11"/>
      <c r="W53" s="11"/>
      <c r="X53" s="12"/>
      <c r="Y53" s="12"/>
      <c r="Z53" s="12"/>
      <c r="AA53" s="12"/>
      <c r="AB53" s="12"/>
      <c r="AC53" s="12"/>
      <c r="AD53" s="12"/>
      <c r="AE53" s="12"/>
      <c r="AF53" s="12"/>
      <c r="AG53" s="12"/>
      <c r="AH53" s="12"/>
      <c r="AI53" s="12"/>
      <c r="AJ53" s="12"/>
      <c r="AK53" s="12"/>
      <c r="AL53" s="12"/>
      <c r="AM53" s="12"/>
      <c r="AN53" s="12"/>
      <c r="AO53" s="12"/>
      <c r="AP53" s="12"/>
      <c r="AQ53" s="12"/>
      <c r="AR53" s="12"/>
      <c r="AS53" s="12"/>
      <c r="AT53" s="12"/>
      <c r="AU53" s="12"/>
      <c r="AV53" s="12"/>
      <c r="AW53" s="12"/>
      <c r="AX53" s="12"/>
      <c r="AY53" s="12"/>
      <c r="AZ53" s="12"/>
      <c r="BA53" s="12"/>
      <c r="BB53" s="12"/>
      <c r="BC53" s="12"/>
      <c r="BD53" s="12"/>
      <c r="BE53" s="12"/>
      <c r="BF53" s="12"/>
      <c r="BG53" s="12"/>
      <c r="BH53" s="12"/>
      <c r="BI53" s="12"/>
      <c r="BJ53" s="12"/>
      <c r="BK53" s="12"/>
      <c r="BL53" s="12"/>
      <c r="BM53" s="12"/>
      <c r="BN53" s="12"/>
      <c r="BO53" s="12"/>
      <c r="BP53" s="12"/>
      <c r="BQ53" s="12"/>
      <c r="BR53" s="12"/>
      <c r="BS53" s="12"/>
      <c r="BT53" s="12"/>
      <c r="BU53" s="12"/>
      <c r="BV53" s="12"/>
      <c r="BW53" s="12"/>
      <c r="BX53" s="12"/>
      <c r="BY53" s="12"/>
      <c r="BZ53" s="12"/>
      <c r="CA53" s="12"/>
      <c r="CB53" s="12"/>
      <c r="CC53" s="12"/>
      <c r="CD53" s="12"/>
      <c r="CE53" s="12"/>
      <c r="CF53" s="12"/>
      <c r="CG53" s="12"/>
      <c r="CH53" s="12"/>
      <c r="CI53" s="12"/>
      <c r="CJ53" s="12"/>
      <c r="CK53" s="12"/>
      <c r="CL53" s="12"/>
      <c r="CM53" s="12"/>
      <c r="CN53" s="12"/>
      <c r="CO53" s="12"/>
      <c r="CP53" s="12"/>
      <c r="CQ53" s="12"/>
      <c r="CR53" s="12"/>
      <c r="CS53" s="12"/>
      <c r="CT53" s="12"/>
      <c r="CU53" s="12"/>
      <c r="CV53" s="12"/>
      <c r="CW53" s="12"/>
      <c r="CX53" s="12"/>
      <c r="CY53" s="12"/>
      <c r="CZ53" s="12"/>
      <c r="DA53" s="12"/>
      <c r="DB53" s="12"/>
      <c r="DC53" s="12"/>
      <c r="DD53" s="12"/>
      <c r="DE53" s="12"/>
      <c r="DF53" s="12"/>
      <c r="DG53" s="12"/>
      <c r="DH53" s="12"/>
      <c r="DI53" s="12"/>
      <c r="DJ53" s="12"/>
      <c r="DK53" s="12"/>
      <c r="DL53" s="12"/>
      <c r="DM53" s="12"/>
      <c r="DN53" s="12"/>
      <c r="DO53" s="12"/>
      <c r="DP53" s="12"/>
      <c r="DQ53" s="12"/>
      <c r="DR53" s="12"/>
      <c r="DS53" s="12"/>
      <c r="DT53" s="12"/>
      <c r="DU53" s="12"/>
      <c r="DV53" s="12"/>
      <c r="DW53" s="12"/>
      <c r="DX53" s="12"/>
      <c r="DY53" s="12"/>
      <c r="DZ53" s="12"/>
      <c r="EA53" s="12"/>
      <c r="EB53" s="12"/>
      <c r="EC53" s="12"/>
      <c r="ED53" s="12"/>
      <c r="EE53" s="12"/>
      <c r="EF53" s="12"/>
      <c r="EG53" s="12"/>
      <c r="EH53" s="12"/>
      <c r="EI53" s="12"/>
      <c r="EJ53" s="12"/>
      <c r="EK53" s="12"/>
      <c r="EL53" s="12"/>
      <c r="EM53" s="12"/>
      <c r="EN53" s="12"/>
      <c r="EO53" s="12"/>
      <c r="EP53" s="12"/>
      <c r="EQ53" s="12"/>
      <c r="ER53" s="12"/>
      <c r="ES53" s="12"/>
      <c r="ET53" s="12"/>
      <c r="EU53" s="12"/>
      <c r="EV53" s="12"/>
      <c r="EW53" s="12"/>
      <c r="EX53" s="12"/>
      <c r="EY53" s="12"/>
      <c r="EZ53" s="12"/>
      <c r="FA53" s="12"/>
      <c r="FB53" s="12"/>
      <c r="FC53" s="12"/>
      <c r="FD53" s="12"/>
      <c r="FE53" s="12"/>
      <c r="FF53" s="12"/>
      <c r="FG53" s="12"/>
      <c r="FH53" s="12"/>
      <c r="FI53" s="12"/>
      <c r="FJ53" s="12"/>
      <c r="FK53" s="12"/>
      <c r="FL53" s="12"/>
      <c r="FM53" s="12"/>
      <c r="FN53" s="12"/>
      <c r="FO53" s="12"/>
      <c r="FP53" s="12"/>
      <c r="FQ53" s="12"/>
      <c r="FR53" s="12"/>
      <c r="FS53" s="12"/>
      <c r="FT53" s="12"/>
      <c r="FU53" s="12"/>
      <c r="FV53" s="12"/>
      <c r="FW53" s="12"/>
      <c r="FX53" s="12"/>
      <c r="FY53" s="12"/>
      <c r="FZ53" s="12"/>
      <c r="GA53" s="12"/>
      <c r="GB53" s="12"/>
      <c r="GC53" s="12"/>
      <c r="GD53" s="12"/>
      <c r="GE53" s="12"/>
    </row>
    <row r="54" spans="1:187" ht="21" customHeight="1">
      <c r="A54" s="45"/>
      <c r="B54" s="101" t="s">
        <v>114</v>
      </c>
      <c r="C54" s="101"/>
      <c r="D54" s="101"/>
      <c r="E54" s="34"/>
      <c r="F54" s="34"/>
      <c r="G54" s="34"/>
      <c r="H54" s="34"/>
      <c r="I54" s="35">
        <f t="shared" si="0"/>
        <v>0</v>
      </c>
      <c r="J54" s="11"/>
      <c r="K54" s="49"/>
      <c r="L54" s="49"/>
      <c r="M54" s="49"/>
      <c r="N54" s="49"/>
      <c r="O54" s="56">
        <f t="shared" si="1"/>
        <v>0</v>
      </c>
      <c r="P54" s="1">
        <f t="shared" si="2"/>
        <v>0</v>
      </c>
      <c r="Q54" s="1">
        <f t="shared" si="3"/>
        <v>0</v>
      </c>
      <c r="R54" s="1">
        <f t="shared" si="4"/>
        <v>0</v>
      </c>
      <c r="S54" s="1">
        <f t="shared" si="5"/>
        <v>0</v>
      </c>
      <c r="T54" s="1">
        <f t="shared" si="6"/>
        <v>0</v>
      </c>
      <c r="U54" s="45"/>
      <c r="V54" s="45"/>
      <c r="W54" s="45"/>
    </row>
    <row r="55" spans="1:187" ht="24" customHeight="1">
      <c r="A55" s="45"/>
      <c r="B55" s="9" t="s">
        <v>26</v>
      </c>
      <c r="C55" s="10" t="s">
        <v>118</v>
      </c>
      <c r="D55" s="10" t="s">
        <v>116</v>
      </c>
      <c r="E55" s="35">
        <v>189.34100000000001</v>
      </c>
      <c r="F55" s="35">
        <f>259.186-E55</f>
        <v>69.84499999999997</v>
      </c>
      <c r="G55" s="35">
        <v>26.37</v>
      </c>
      <c r="H55" s="35">
        <f>189.71</f>
        <v>189.71</v>
      </c>
      <c r="I55" s="35">
        <f t="shared" si="0"/>
        <v>475.26599999999996</v>
      </c>
      <c r="J55" s="56">
        <f>'2021'!J56</f>
        <v>447</v>
      </c>
      <c r="K55" s="49">
        <v>6327.9840000000004</v>
      </c>
      <c r="L55" s="49">
        <v>6581.103360000001</v>
      </c>
      <c r="M55" s="49">
        <v>1666.6208000000001</v>
      </c>
      <c r="N55" s="49">
        <v>1733.28</v>
      </c>
      <c r="O55" s="56">
        <f t="shared" si="1"/>
        <v>4661.3631999999998</v>
      </c>
      <c r="P55" s="1">
        <f t="shared" si="2"/>
        <v>882587.16965119995</v>
      </c>
      <c r="Q55" s="1">
        <f t="shared" si="3"/>
        <v>325572.91270399984</v>
      </c>
      <c r="R55" s="1">
        <f t="shared" si="4"/>
        <v>127837.10200320004</v>
      </c>
      <c r="S55" s="1">
        <f t="shared" si="5"/>
        <v>919680.56962560024</v>
      </c>
      <c r="T55" s="1">
        <f t="shared" si="6"/>
        <v>2255677.7539840001</v>
      </c>
      <c r="U55" s="11"/>
      <c r="V55" s="11"/>
      <c r="W55" s="11"/>
      <c r="X55" s="12"/>
      <c r="Y55" s="12"/>
      <c r="Z55" s="12"/>
      <c r="AA55" s="12"/>
      <c r="AB55" s="12"/>
      <c r="AC55" s="12"/>
      <c r="AD55" s="12"/>
      <c r="AE55" s="12"/>
      <c r="AF55" s="12"/>
      <c r="AG55" s="12"/>
      <c r="AH55" s="12"/>
      <c r="AI55" s="12"/>
      <c r="AJ55" s="12"/>
      <c r="AK55" s="12"/>
      <c r="AL55" s="12"/>
      <c r="AM55" s="12"/>
      <c r="AN55" s="12"/>
      <c r="AO55" s="12"/>
      <c r="AP55" s="12"/>
      <c r="AQ55" s="12"/>
      <c r="AR55" s="12"/>
      <c r="AS55" s="12"/>
      <c r="AT55" s="12"/>
      <c r="AU55" s="12"/>
      <c r="AV55" s="12"/>
      <c r="AW55" s="12"/>
      <c r="AX55" s="12"/>
      <c r="AY55" s="12"/>
      <c r="AZ55" s="12"/>
      <c r="BA55" s="12"/>
      <c r="BB55" s="12"/>
      <c r="BC55" s="12"/>
      <c r="BD55" s="12"/>
      <c r="BE55" s="12"/>
      <c r="BF55" s="12"/>
      <c r="BG55" s="12"/>
      <c r="BH55" s="12"/>
      <c r="BI55" s="12"/>
      <c r="BJ55" s="12"/>
      <c r="BK55" s="12"/>
      <c r="BL55" s="12"/>
      <c r="BM55" s="12"/>
      <c r="BN55" s="12"/>
      <c r="BO55" s="12"/>
      <c r="BP55" s="12"/>
      <c r="BQ55" s="12"/>
      <c r="BR55" s="12"/>
      <c r="BS55" s="12"/>
      <c r="BT55" s="12"/>
      <c r="BU55" s="12"/>
      <c r="BV55" s="12"/>
      <c r="BW55" s="12"/>
      <c r="BX55" s="12"/>
      <c r="BY55" s="12"/>
      <c r="BZ55" s="12"/>
      <c r="CA55" s="12"/>
      <c r="CB55" s="12"/>
      <c r="CC55" s="12"/>
      <c r="CD55" s="12"/>
      <c r="CE55" s="12"/>
      <c r="CF55" s="12"/>
      <c r="CG55" s="12"/>
      <c r="CH55" s="12"/>
      <c r="CI55" s="12"/>
      <c r="CJ55" s="12"/>
      <c r="CK55" s="12"/>
      <c r="CL55" s="12"/>
      <c r="CM55" s="12"/>
      <c r="CN55" s="12"/>
      <c r="CO55" s="12"/>
      <c r="CP55" s="12"/>
      <c r="CQ55" s="12"/>
      <c r="CR55" s="12"/>
      <c r="CS55" s="12"/>
      <c r="CT55" s="12"/>
      <c r="CU55" s="12"/>
      <c r="CV55" s="12"/>
      <c r="CW55" s="12"/>
      <c r="CX55" s="12"/>
      <c r="CY55" s="12"/>
      <c r="CZ55" s="12"/>
      <c r="DA55" s="12"/>
      <c r="DB55" s="12"/>
      <c r="DC55" s="12"/>
      <c r="DD55" s="12"/>
      <c r="DE55" s="12"/>
      <c r="DF55" s="12"/>
      <c r="DG55" s="12"/>
      <c r="DH55" s="12"/>
      <c r="DI55" s="12"/>
      <c r="DJ55" s="12"/>
      <c r="DK55" s="12"/>
      <c r="DL55" s="12"/>
      <c r="DM55" s="12"/>
      <c r="DN55" s="12"/>
      <c r="DO55" s="12"/>
      <c r="DP55" s="12"/>
      <c r="DQ55" s="12"/>
      <c r="DR55" s="12"/>
      <c r="DS55" s="12"/>
      <c r="DT55" s="12"/>
      <c r="DU55" s="12"/>
      <c r="DV55" s="12"/>
      <c r="DW55" s="12"/>
      <c r="DX55" s="12"/>
      <c r="DY55" s="12"/>
      <c r="DZ55" s="12"/>
      <c r="EA55" s="12"/>
      <c r="EB55" s="12"/>
      <c r="EC55" s="12"/>
      <c r="ED55" s="12"/>
      <c r="EE55" s="12"/>
      <c r="EF55" s="12"/>
      <c r="EG55" s="12"/>
      <c r="EH55" s="12"/>
      <c r="EI55" s="12"/>
      <c r="EJ55" s="12"/>
      <c r="EK55" s="12"/>
      <c r="EL55" s="12"/>
      <c r="EM55" s="12"/>
      <c r="EN55" s="12"/>
      <c r="EO55" s="12"/>
      <c r="EP55" s="12"/>
      <c r="EQ55" s="12"/>
      <c r="ER55" s="12"/>
      <c r="ES55" s="12"/>
      <c r="ET55" s="12"/>
      <c r="EU55" s="12"/>
      <c r="EV55" s="12"/>
      <c r="EW55" s="12"/>
      <c r="EX55" s="12"/>
      <c r="EY55" s="12"/>
      <c r="EZ55" s="12"/>
      <c r="FA55" s="12"/>
      <c r="FB55" s="12"/>
      <c r="FC55" s="12"/>
      <c r="FD55" s="12"/>
      <c r="FE55" s="12"/>
      <c r="FF55" s="12"/>
      <c r="FG55" s="12"/>
      <c r="FH55" s="12"/>
      <c r="FI55" s="12"/>
      <c r="FJ55" s="12"/>
      <c r="FK55" s="12"/>
      <c r="FL55" s="12"/>
      <c r="FM55" s="12"/>
      <c r="FN55" s="12"/>
      <c r="FO55" s="12"/>
      <c r="FP55" s="12"/>
      <c r="FQ55" s="12"/>
      <c r="FR55" s="12"/>
      <c r="FS55" s="12"/>
      <c r="FT55" s="12"/>
      <c r="FU55" s="12"/>
      <c r="FV55" s="12"/>
      <c r="FW55" s="12"/>
      <c r="FX55" s="12"/>
      <c r="FY55" s="12"/>
      <c r="FZ55" s="12"/>
      <c r="GA55" s="12"/>
      <c r="GB55" s="12"/>
      <c r="GC55" s="12"/>
      <c r="GD55" s="12"/>
      <c r="GE55" s="12"/>
    </row>
    <row r="56" spans="1:187" ht="24" customHeight="1">
      <c r="A56" s="45"/>
      <c r="B56" s="9" t="s">
        <v>395</v>
      </c>
      <c r="C56" s="10" t="s">
        <v>396</v>
      </c>
      <c r="D56" s="10" t="s">
        <v>116</v>
      </c>
      <c r="E56" s="35">
        <v>303.346</v>
      </c>
      <c r="F56" s="35">
        <f>443.621-E56</f>
        <v>140.27499999999998</v>
      </c>
      <c r="G56" s="35">
        <v>31.33</v>
      </c>
      <c r="H56" s="35">
        <v>306.58999999999997</v>
      </c>
      <c r="I56" s="35">
        <f t="shared" si="0"/>
        <v>781.54099999999994</v>
      </c>
      <c r="J56" s="56">
        <f>'2021'!J57</f>
        <v>820.2</v>
      </c>
      <c r="K56" s="49">
        <v>6683.7056000000002</v>
      </c>
      <c r="L56" s="49">
        <v>6951.0538240000005</v>
      </c>
      <c r="M56" s="49">
        <v>1666.652</v>
      </c>
      <c r="N56" s="49">
        <v>1733.31808</v>
      </c>
      <c r="O56" s="56"/>
      <c r="P56" s="1">
        <f t="shared" si="2"/>
        <v>1521903.1413456001</v>
      </c>
      <c r="Q56" s="1">
        <f t="shared" si="3"/>
        <v>703767.1937399999</v>
      </c>
      <c r="R56" s="1">
        <f t="shared" si="4"/>
        <v>163471.66085951999</v>
      </c>
      <c r="S56" s="1">
        <f t="shared" si="5"/>
        <v>1599705.6017529601</v>
      </c>
      <c r="T56" s="1">
        <f t="shared" si="6"/>
        <v>3988847.5976980804</v>
      </c>
      <c r="U56" s="11"/>
      <c r="V56" s="11"/>
      <c r="W56" s="11"/>
      <c r="X56" s="12"/>
      <c r="Y56" s="12"/>
      <c r="Z56" s="12"/>
      <c r="AA56" s="12"/>
      <c r="AB56" s="12"/>
      <c r="AC56" s="12"/>
      <c r="AD56" s="12"/>
      <c r="AE56" s="12"/>
      <c r="AF56" s="12"/>
      <c r="AG56" s="12"/>
      <c r="AH56" s="12"/>
      <c r="AI56" s="12"/>
      <c r="AJ56" s="12"/>
      <c r="AK56" s="12"/>
      <c r="AL56" s="12"/>
      <c r="AM56" s="12"/>
      <c r="AN56" s="12"/>
      <c r="AO56" s="12"/>
      <c r="AP56" s="12"/>
      <c r="AQ56" s="12"/>
      <c r="AR56" s="12"/>
      <c r="AS56" s="12"/>
      <c r="AT56" s="12"/>
      <c r="AU56" s="12"/>
      <c r="AV56" s="12"/>
      <c r="AW56" s="12"/>
      <c r="AX56" s="12"/>
      <c r="AY56" s="12"/>
      <c r="AZ56" s="12"/>
      <c r="BA56" s="12"/>
      <c r="BB56" s="12"/>
      <c r="BC56" s="12"/>
      <c r="BD56" s="12"/>
      <c r="BE56" s="12"/>
      <c r="BF56" s="12"/>
      <c r="BG56" s="12"/>
      <c r="BH56" s="12"/>
      <c r="BI56" s="12"/>
      <c r="BJ56" s="12"/>
      <c r="BK56" s="12"/>
      <c r="BL56" s="12"/>
      <c r="BM56" s="12"/>
      <c r="BN56" s="12"/>
      <c r="BO56" s="12"/>
      <c r="BP56" s="12"/>
      <c r="BQ56" s="12"/>
      <c r="BR56" s="12"/>
      <c r="BS56" s="12"/>
      <c r="BT56" s="12"/>
      <c r="BU56" s="12"/>
      <c r="BV56" s="12"/>
      <c r="BW56" s="12"/>
      <c r="BX56" s="12"/>
      <c r="BY56" s="12"/>
      <c r="BZ56" s="12"/>
      <c r="CA56" s="12"/>
      <c r="CB56" s="12"/>
      <c r="CC56" s="12"/>
      <c r="CD56" s="12"/>
      <c r="CE56" s="12"/>
      <c r="CF56" s="12"/>
      <c r="CG56" s="12"/>
      <c r="CH56" s="12"/>
      <c r="CI56" s="12"/>
      <c r="CJ56" s="12"/>
      <c r="CK56" s="12"/>
      <c r="CL56" s="12"/>
      <c r="CM56" s="12"/>
      <c r="CN56" s="12"/>
      <c r="CO56" s="12"/>
      <c r="CP56" s="12"/>
      <c r="CQ56" s="12"/>
      <c r="CR56" s="12"/>
      <c r="CS56" s="12"/>
      <c r="CT56" s="12"/>
      <c r="CU56" s="12"/>
      <c r="CV56" s="12"/>
      <c r="CW56" s="12"/>
      <c r="CX56" s="12"/>
      <c r="CY56" s="12"/>
      <c r="CZ56" s="12"/>
      <c r="DA56" s="12"/>
      <c r="DB56" s="12"/>
      <c r="DC56" s="12"/>
      <c r="DD56" s="12"/>
      <c r="DE56" s="12"/>
      <c r="DF56" s="12"/>
      <c r="DG56" s="12"/>
      <c r="DH56" s="12"/>
      <c r="DI56" s="12"/>
      <c r="DJ56" s="12"/>
      <c r="DK56" s="12"/>
      <c r="DL56" s="12"/>
      <c r="DM56" s="12"/>
      <c r="DN56" s="12"/>
      <c r="DO56" s="12"/>
      <c r="DP56" s="12"/>
      <c r="DQ56" s="12"/>
      <c r="DR56" s="12"/>
      <c r="DS56" s="12"/>
      <c r="DT56" s="12"/>
      <c r="DU56" s="12"/>
      <c r="DV56" s="12"/>
      <c r="DW56" s="12"/>
      <c r="DX56" s="12"/>
      <c r="DY56" s="12"/>
      <c r="DZ56" s="12"/>
      <c r="EA56" s="12"/>
      <c r="EB56" s="12"/>
      <c r="EC56" s="12"/>
      <c r="ED56" s="12"/>
      <c r="EE56" s="12"/>
      <c r="EF56" s="12"/>
      <c r="EG56" s="12"/>
      <c r="EH56" s="12"/>
      <c r="EI56" s="12"/>
      <c r="EJ56" s="12"/>
      <c r="EK56" s="12"/>
      <c r="EL56" s="12"/>
      <c r="EM56" s="12"/>
      <c r="EN56" s="12"/>
      <c r="EO56" s="12"/>
      <c r="EP56" s="12"/>
      <c r="EQ56" s="12"/>
      <c r="ER56" s="12"/>
      <c r="ES56" s="12"/>
      <c r="ET56" s="12"/>
      <c r="EU56" s="12"/>
      <c r="EV56" s="12"/>
      <c r="EW56" s="12"/>
      <c r="EX56" s="12"/>
      <c r="EY56" s="12"/>
      <c r="EZ56" s="12"/>
      <c r="FA56" s="12"/>
      <c r="FB56" s="12"/>
      <c r="FC56" s="12"/>
      <c r="FD56" s="12"/>
      <c r="FE56" s="12"/>
      <c r="FF56" s="12"/>
      <c r="FG56" s="12"/>
      <c r="FH56" s="12"/>
      <c r="FI56" s="12"/>
      <c r="FJ56" s="12"/>
      <c r="FK56" s="12"/>
      <c r="FL56" s="12"/>
      <c r="FM56" s="12"/>
      <c r="FN56" s="12"/>
      <c r="FO56" s="12"/>
      <c r="FP56" s="12"/>
      <c r="FQ56" s="12"/>
      <c r="FR56" s="12"/>
      <c r="FS56" s="12"/>
      <c r="FT56" s="12"/>
      <c r="FU56" s="12"/>
      <c r="FV56" s="12"/>
      <c r="FW56" s="12"/>
      <c r="FX56" s="12"/>
      <c r="FY56" s="12"/>
      <c r="FZ56" s="12"/>
      <c r="GA56" s="12"/>
      <c r="GB56" s="12"/>
      <c r="GC56" s="12"/>
      <c r="GD56" s="12"/>
      <c r="GE56" s="12"/>
    </row>
    <row r="57" spans="1:187" ht="21" customHeight="1">
      <c r="A57" s="45"/>
      <c r="B57" s="9" t="s">
        <v>2</v>
      </c>
      <c r="C57" s="10" t="s">
        <v>68</v>
      </c>
      <c r="D57" s="10" t="s">
        <v>314</v>
      </c>
      <c r="E57" s="35">
        <v>574.91300000000001</v>
      </c>
      <c r="F57" s="35">
        <f>766.55-E57</f>
        <v>191.63699999999994</v>
      </c>
      <c r="G57" s="35">
        <v>191.631</v>
      </c>
      <c r="H57" s="35">
        <f>766.524-G57</f>
        <v>574.89300000000003</v>
      </c>
      <c r="I57" s="35">
        <f t="shared" si="0"/>
        <v>1533.0740000000001</v>
      </c>
      <c r="J57" s="56">
        <f>'2021'!J58</f>
        <v>1630.24</v>
      </c>
      <c r="K57" s="49">
        <v>3158.9858559999998</v>
      </c>
      <c r="L57" s="49">
        <v>3285.3452902399999</v>
      </c>
      <c r="M57" s="49">
        <v>1600.65</v>
      </c>
      <c r="N57" s="49">
        <v>1664.6689280000001</v>
      </c>
      <c r="O57" s="56">
        <f t="shared" si="1"/>
        <v>1558.3358559999997</v>
      </c>
      <c r="P57" s="1">
        <f t="shared" si="2"/>
        <v>895907.54198052781</v>
      </c>
      <c r="Q57" s="1">
        <f t="shared" si="3"/>
        <v>298634.80843627185</v>
      </c>
      <c r="R57" s="1">
        <f t="shared" si="4"/>
        <v>310571.83197241341</v>
      </c>
      <c r="S57" s="1">
        <f t="shared" si="5"/>
        <v>931715.49591724027</v>
      </c>
      <c r="T57" s="1">
        <f t="shared" si="6"/>
        <v>2436829.6783064534</v>
      </c>
      <c r="U57" s="11"/>
      <c r="V57" s="11"/>
      <c r="W57" s="11"/>
      <c r="X57" s="12"/>
      <c r="Y57" s="12"/>
      <c r="Z57" s="12"/>
      <c r="AA57" s="12"/>
      <c r="AB57" s="12"/>
      <c r="AC57" s="12"/>
      <c r="AD57" s="12"/>
      <c r="AE57" s="12"/>
      <c r="AF57" s="12"/>
      <c r="AG57" s="12"/>
      <c r="AH57" s="12"/>
      <c r="AI57" s="12"/>
      <c r="AJ57" s="12"/>
      <c r="AK57" s="12"/>
      <c r="AL57" s="12"/>
      <c r="AM57" s="12"/>
      <c r="AN57" s="12"/>
      <c r="AO57" s="12"/>
      <c r="AP57" s="12"/>
      <c r="AQ57" s="12"/>
      <c r="AR57" s="12"/>
      <c r="AS57" s="12"/>
      <c r="AT57" s="12"/>
      <c r="AU57" s="12"/>
      <c r="AV57" s="12"/>
      <c r="AW57" s="12"/>
      <c r="AX57" s="12"/>
      <c r="AY57" s="12"/>
      <c r="AZ57" s="12"/>
      <c r="BA57" s="12"/>
      <c r="BB57" s="12"/>
      <c r="BC57" s="12"/>
      <c r="BD57" s="12"/>
      <c r="BE57" s="12"/>
      <c r="BF57" s="12"/>
      <c r="BG57" s="12"/>
      <c r="BH57" s="12"/>
      <c r="BI57" s="12"/>
      <c r="BJ57" s="12"/>
      <c r="BK57" s="12"/>
      <c r="BL57" s="12"/>
      <c r="BM57" s="12"/>
      <c r="BN57" s="12"/>
      <c r="BO57" s="12"/>
      <c r="BP57" s="12"/>
      <c r="BQ57" s="12"/>
      <c r="BR57" s="12"/>
      <c r="BS57" s="12"/>
      <c r="BT57" s="12"/>
      <c r="BU57" s="12"/>
      <c r="BV57" s="12"/>
      <c r="BW57" s="12"/>
      <c r="BX57" s="12"/>
      <c r="BY57" s="12"/>
      <c r="BZ57" s="12"/>
      <c r="CA57" s="12"/>
      <c r="CB57" s="12"/>
      <c r="CC57" s="12"/>
      <c r="CD57" s="12"/>
      <c r="CE57" s="12"/>
      <c r="CF57" s="12"/>
      <c r="CG57" s="12"/>
      <c r="CH57" s="12"/>
      <c r="CI57" s="12"/>
      <c r="CJ57" s="12"/>
      <c r="CK57" s="12"/>
      <c r="CL57" s="12"/>
      <c r="CM57" s="12"/>
      <c r="CN57" s="12"/>
      <c r="CO57" s="12"/>
      <c r="CP57" s="12"/>
      <c r="CQ57" s="12"/>
      <c r="CR57" s="12"/>
      <c r="CS57" s="12"/>
      <c r="CT57" s="12"/>
      <c r="CU57" s="12"/>
      <c r="CV57" s="12"/>
      <c r="CW57" s="12"/>
      <c r="CX57" s="12"/>
      <c r="CY57" s="12"/>
      <c r="CZ57" s="12"/>
      <c r="DA57" s="12"/>
      <c r="DB57" s="12"/>
      <c r="DC57" s="12"/>
      <c r="DD57" s="12"/>
      <c r="DE57" s="12"/>
      <c r="DF57" s="12"/>
      <c r="DG57" s="12"/>
      <c r="DH57" s="12"/>
      <c r="DI57" s="12"/>
      <c r="DJ57" s="12"/>
      <c r="DK57" s="12"/>
      <c r="DL57" s="12"/>
      <c r="DM57" s="12"/>
      <c r="DN57" s="12"/>
      <c r="DO57" s="12"/>
      <c r="DP57" s="12"/>
      <c r="DQ57" s="12"/>
      <c r="DR57" s="12"/>
      <c r="DS57" s="12"/>
      <c r="DT57" s="12"/>
      <c r="DU57" s="12"/>
      <c r="DV57" s="12"/>
      <c r="DW57" s="12"/>
      <c r="DX57" s="12"/>
      <c r="DY57" s="12"/>
      <c r="DZ57" s="12"/>
      <c r="EA57" s="12"/>
      <c r="EB57" s="12"/>
      <c r="EC57" s="12"/>
      <c r="ED57" s="12"/>
      <c r="EE57" s="12"/>
      <c r="EF57" s="12"/>
      <c r="EG57" s="12"/>
      <c r="EH57" s="12"/>
      <c r="EI57" s="12"/>
      <c r="EJ57" s="12"/>
      <c r="EK57" s="12"/>
      <c r="EL57" s="12"/>
      <c r="EM57" s="12"/>
      <c r="EN57" s="12"/>
      <c r="EO57" s="12"/>
      <c r="EP57" s="12"/>
      <c r="EQ57" s="12"/>
      <c r="ER57" s="12"/>
      <c r="ES57" s="12"/>
      <c r="ET57" s="12"/>
      <c r="EU57" s="12"/>
      <c r="EV57" s="12"/>
      <c r="EW57" s="12"/>
      <c r="EX57" s="12"/>
      <c r="EY57" s="12"/>
      <c r="EZ57" s="12"/>
      <c r="FA57" s="12"/>
      <c r="FB57" s="12"/>
      <c r="FC57" s="12"/>
      <c r="FD57" s="12"/>
      <c r="FE57" s="12"/>
      <c r="FF57" s="12"/>
      <c r="FG57" s="12"/>
      <c r="FH57" s="12"/>
      <c r="FI57" s="12"/>
      <c r="FJ57" s="12"/>
      <c r="FK57" s="12"/>
      <c r="FL57" s="12"/>
      <c r="FM57" s="12"/>
      <c r="FN57" s="12"/>
      <c r="FO57" s="12"/>
      <c r="FP57" s="12"/>
      <c r="FQ57" s="12"/>
      <c r="FR57" s="12"/>
      <c r="FS57" s="12"/>
      <c r="FT57" s="12"/>
      <c r="FU57" s="12"/>
      <c r="FV57" s="12"/>
      <c r="FW57" s="12"/>
      <c r="FX57" s="12"/>
      <c r="FY57" s="12"/>
      <c r="FZ57" s="12"/>
      <c r="GA57" s="12"/>
      <c r="GB57" s="12"/>
      <c r="GC57" s="12"/>
      <c r="GD57" s="12"/>
      <c r="GE57" s="12"/>
    </row>
    <row r="58" spans="1:187" ht="21" customHeight="1">
      <c r="A58" s="45"/>
      <c r="B58" s="9" t="s">
        <v>2</v>
      </c>
      <c r="C58" s="10" t="s">
        <v>68</v>
      </c>
      <c r="D58" s="10" t="s">
        <v>315</v>
      </c>
      <c r="E58" s="35">
        <v>711.59400000000005</v>
      </c>
      <c r="F58" s="35">
        <f>948.792-E58</f>
        <v>237.19799999999998</v>
      </c>
      <c r="G58" s="35">
        <v>237.202</v>
      </c>
      <c r="H58" s="35">
        <f>948.808-G58</f>
        <v>711.60599999999999</v>
      </c>
      <c r="I58" s="35">
        <f t="shared" si="0"/>
        <v>1897.6000000000001</v>
      </c>
      <c r="J58" s="56">
        <f>'2021'!J59</f>
        <v>1968.53</v>
      </c>
      <c r="K58" s="49">
        <v>3158.9895999999999</v>
      </c>
      <c r="L58" s="49">
        <v>3285.3491840000002</v>
      </c>
      <c r="M58" s="49">
        <v>1482.3535999999999</v>
      </c>
      <c r="N58" s="49">
        <v>1541.64</v>
      </c>
      <c r="O58" s="56">
        <f t="shared" si="1"/>
        <v>1676.636</v>
      </c>
      <c r="P58" s="1">
        <f t="shared" si="2"/>
        <v>1193084.117784</v>
      </c>
      <c r="Q58" s="1">
        <f t="shared" si="3"/>
        <v>397694.70592799998</v>
      </c>
      <c r="R58" s="1">
        <f t="shared" si="4"/>
        <v>413611.30586316803</v>
      </c>
      <c r="S58" s="1">
        <f t="shared" si="5"/>
        <v>1240833.917589504</v>
      </c>
      <c r="T58" s="1">
        <f t="shared" si="6"/>
        <v>3245224.0471646721</v>
      </c>
      <c r="U58" s="11"/>
      <c r="V58" s="11"/>
      <c r="W58" s="11"/>
      <c r="X58" s="12"/>
      <c r="Y58" s="12"/>
      <c r="Z58" s="12"/>
      <c r="AA58" s="12"/>
      <c r="AB58" s="12"/>
      <c r="AC58" s="12"/>
      <c r="AD58" s="12"/>
      <c r="AE58" s="12"/>
      <c r="AF58" s="12"/>
      <c r="AG58" s="12"/>
      <c r="AH58" s="12"/>
      <c r="AI58" s="12"/>
      <c r="AJ58" s="12"/>
      <c r="AK58" s="12"/>
      <c r="AL58" s="12"/>
      <c r="AM58" s="12"/>
      <c r="AN58" s="12"/>
      <c r="AO58" s="12"/>
      <c r="AP58" s="12"/>
      <c r="AQ58" s="12"/>
      <c r="AR58" s="12"/>
      <c r="AS58" s="12"/>
      <c r="AT58" s="12"/>
      <c r="AU58" s="12"/>
      <c r="AV58" s="12"/>
      <c r="AW58" s="12"/>
      <c r="AX58" s="12"/>
      <c r="AY58" s="12"/>
      <c r="AZ58" s="12"/>
      <c r="BA58" s="12"/>
      <c r="BB58" s="12"/>
      <c r="BC58" s="12"/>
      <c r="BD58" s="12"/>
      <c r="BE58" s="12"/>
      <c r="BF58" s="12"/>
      <c r="BG58" s="12"/>
      <c r="BH58" s="12"/>
      <c r="BI58" s="12"/>
      <c r="BJ58" s="12"/>
      <c r="BK58" s="12"/>
      <c r="BL58" s="12"/>
      <c r="BM58" s="12"/>
      <c r="BN58" s="12"/>
      <c r="BO58" s="12"/>
      <c r="BP58" s="12"/>
      <c r="BQ58" s="12"/>
      <c r="BR58" s="12"/>
      <c r="BS58" s="12"/>
      <c r="BT58" s="12"/>
      <c r="BU58" s="12"/>
      <c r="BV58" s="12"/>
      <c r="BW58" s="12"/>
      <c r="BX58" s="12"/>
      <c r="BY58" s="12"/>
      <c r="BZ58" s="12"/>
      <c r="CA58" s="12"/>
      <c r="CB58" s="12"/>
      <c r="CC58" s="12"/>
      <c r="CD58" s="12"/>
      <c r="CE58" s="12"/>
      <c r="CF58" s="12"/>
      <c r="CG58" s="12"/>
      <c r="CH58" s="12"/>
      <c r="CI58" s="12"/>
      <c r="CJ58" s="12"/>
      <c r="CK58" s="12"/>
      <c r="CL58" s="12"/>
      <c r="CM58" s="12"/>
      <c r="CN58" s="12"/>
      <c r="CO58" s="12"/>
      <c r="CP58" s="12"/>
      <c r="CQ58" s="12"/>
      <c r="CR58" s="12"/>
      <c r="CS58" s="12"/>
      <c r="CT58" s="12"/>
      <c r="CU58" s="12"/>
      <c r="CV58" s="12"/>
      <c r="CW58" s="12"/>
      <c r="CX58" s="12"/>
      <c r="CY58" s="12"/>
      <c r="CZ58" s="12"/>
      <c r="DA58" s="12"/>
      <c r="DB58" s="12"/>
      <c r="DC58" s="12"/>
      <c r="DD58" s="12"/>
      <c r="DE58" s="12"/>
      <c r="DF58" s="12"/>
      <c r="DG58" s="12"/>
      <c r="DH58" s="12"/>
      <c r="DI58" s="12"/>
      <c r="DJ58" s="12"/>
      <c r="DK58" s="12"/>
      <c r="DL58" s="12"/>
      <c r="DM58" s="12"/>
      <c r="DN58" s="12"/>
      <c r="DO58" s="12"/>
      <c r="DP58" s="12"/>
      <c r="DQ58" s="12"/>
      <c r="DR58" s="12"/>
      <c r="DS58" s="12"/>
      <c r="DT58" s="12"/>
      <c r="DU58" s="12"/>
      <c r="DV58" s="12"/>
      <c r="DW58" s="12"/>
      <c r="DX58" s="12"/>
      <c r="DY58" s="12"/>
      <c r="DZ58" s="12"/>
      <c r="EA58" s="12"/>
      <c r="EB58" s="12"/>
      <c r="EC58" s="12"/>
      <c r="ED58" s="12"/>
      <c r="EE58" s="12"/>
      <c r="EF58" s="12"/>
      <c r="EG58" s="12"/>
      <c r="EH58" s="12"/>
      <c r="EI58" s="12"/>
      <c r="EJ58" s="12"/>
      <c r="EK58" s="12"/>
      <c r="EL58" s="12"/>
      <c r="EM58" s="12"/>
      <c r="EN58" s="12"/>
      <c r="EO58" s="12"/>
      <c r="EP58" s="12"/>
      <c r="EQ58" s="12"/>
      <c r="ER58" s="12"/>
      <c r="ES58" s="12"/>
      <c r="ET58" s="12"/>
      <c r="EU58" s="12"/>
      <c r="EV58" s="12"/>
      <c r="EW58" s="12"/>
      <c r="EX58" s="12"/>
      <c r="EY58" s="12"/>
      <c r="EZ58" s="12"/>
      <c r="FA58" s="12"/>
      <c r="FB58" s="12"/>
      <c r="FC58" s="12"/>
      <c r="FD58" s="12"/>
      <c r="FE58" s="12"/>
      <c r="FF58" s="12"/>
      <c r="FG58" s="12"/>
      <c r="FH58" s="12"/>
      <c r="FI58" s="12"/>
      <c r="FJ58" s="12"/>
      <c r="FK58" s="12"/>
      <c r="FL58" s="12"/>
      <c r="FM58" s="12"/>
      <c r="FN58" s="12"/>
      <c r="FO58" s="12"/>
      <c r="FP58" s="12"/>
      <c r="FQ58" s="12"/>
      <c r="FR58" s="12"/>
      <c r="FS58" s="12"/>
      <c r="FT58" s="12"/>
      <c r="FU58" s="12"/>
      <c r="FV58" s="12"/>
      <c r="FW58" s="12"/>
      <c r="FX58" s="12"/>
      <c r="FY58" s="12"/>
      <c r="FZ58" s="12"/>
      <c r="GA58" s="12"/>
      <c r="GB58" s="12"/>
      <c r="GC58" s="12"/>
      <c r="GD58" s="12"/>
      <c r="GE58" s="12"/>
    </row>
    <row r="59" spans="1:187" ht="21" customHeight="1">
      <c r="A59" s="45"/>
      <c r="B59" s="9" t="s">
        <v>2</v>
      </c>
      <c r="C59" s="10" t="s">
        <v>68</v>
      </c>
      <c r="D59" s="10" t="s">
        <v>117</v>
      </c>
      <c r="E59" s="35">
        <v>4766.9560000000001</v>
      </c>
      <c r="F59" s="35">
        <f>6394.006-E59</f>
        <v>1627.0500000000002</v>
      </c>
      <c r="G59" s="35">
        <v>1627.5</v>
      </c>
      <c r="H59" s="35">
        <f>6385.845-G59</f>
        <v>4758.3450000000003</v>
      </c>
      <c r="I59" s="35">
        <f t="shared" si="0"/>
        <v>12779.851000000001</v>
      </c>
      <c r="J59" s="56">
        <f>'2021'!J60</f>
        <v>13274.039999999999</v>
      </c>
      <c r="K59" s="49">
        <v>2545.4</v>
      </c>
      <c r="L59" s="49">
        <v>2647.2160000000003</v>
      </c>
      <c r="M59" s="49">
        <v>1634.19</v>
      </c>
      <c r="N59" s="49">
        <v>1699.56</v>
      </c>
      <c r="O59" s="56">
        <f t="shared" si="1"/>
        <v>911.21</v>
      </c>
      <c r="P59" s="1">
        <f t="shared" si="2"/>
        <v>4343697.97676</v>
      </c>
      <c r="Q59" s="1">
        <f t="shared" si="3"/>
        <v>1482584.2305000003</v>
      </c>
      <c r="R59" s="1">
        <f t="shared" si="4"/>
        <v>1542310.1400000006</v>
      </c>
      <c r="S59" s="1">
        <f t="shared" si="5"/>
        <v>4509274.1893200018</v>
      </c>
      <c r="T59" s="1">
        <f t="shared" si="6"/>
        <v>11877866.536580004</v>
      </c>
      <c r="U59" s="11"/>
      <c r="V59" s="11"/>
      <c r="W59" s="11"/>
      <c r="X59" s="12"/>
      <c r="Y59" s="12"/>
      <c r="Z59" s="12"/>
      <c r="AA59" s="12"/>
      <c r="AB59" s="12"/>
      <c r="AC59" s="12"/>
      <c r="AD59" s="12"/>
      <c r="AE59" s="12"/>
      <c r="AF59" s="12"/>
      <c r="AG59" s="12"/>
      <c r="AH59" s="12"/>
      <c r="AI59" s="12"/>
      <c r="AJ59" s="12"/>
      <c r="AK59" s="12"/>
      <c r="AL59" s="12"/>
      <c r="AM59" s="12"/>
      <c r="AN59" s="12"/>
      <c r="AO59" s="12"/>
      <c r="AP59" s="12"/>
      <c r="AQ59" s="12"/>
      <c r="AR59" s="12"/>
      <c r="AS59" s="12"/>
      <c r="AT59" s="12"/>
      <c r="AU59" s="12"/>
      <c r="AV59" s="12"/>
      <c r="AW59" s="12"/>
      <c r="AX59" s="12"/>
      <c r="AY59" s="12"/>
      <c r="AZ59" s="12"/>
      <c r="BA59" s="12"/>
      <c r="BB59" s="12"/>
      <c r="BC59" s="12"/>
      <c r="BD59" s="12"/>
      <c r="BE59" s="12"/>
      <c r="BF59" s="12"/>
      <c r="BG59" s="12"/>
      <c r="BH59" s="12"/>
      <c r="BI59" s="12"/>
      <c r="BJ59" s="12"/>
      <c r="BK59" s="12"/>
      <c r="BL59" s="12"/>
      <c r="BM59" s="12"/>
      <c r="BN59" s="12"/>
      <c r="BO59" s="12"/>
      <c r="BP59" s="12"/>
      <c r="BQ59" s="12"/>
      <c r="BR59" s="12"/>
      <c r="BS59" s="12"/>
      <c r="BT59" s="12"/>
      <c r="BU59" s="12"/>
      <c r="BV59" s="12"/>
      <c r="BW59" s="12"/>
      <c r="BX59" s="12"/>
      <c r="BY59" s="12"/>
      <c r="BZ59" s="12"/>
      <c r="CA59" s="12"/>
      <c r="CB59" s="12"/>
      <c r="CC59" s="12"/>
      <c r="CD59" s="12"/>
      <c r="CE59" s="12"/>
      <c r="CF59" s="12"/>
      <c r="CG59" s="12"/>
      <c r="CH59" s="12"/>
      <c r="CI59" s="12"/>
      <c r="CJ59" s="12"/>
      <c r="CK59" s="12"/>
      <c r="CL59" s="12"/>
      <c r="CM59" s="12"/>
      <c r="CN59" s="12"/>
      <c r="CO59" s="12"/>
      <c r="CP59" s="12"/>
      <c r="CQ59" s="12"/>
      <c r="CR59" s="12"/>
      <c r="CS59" s="12"/>
      <c r="CT59" s="12"/>
      <c r="CU59" s="12"/>
      <c r="CV59" s="12"/>
      <c r="CW59" s="12"/>
      <c r="CX59" s="12"/>
      <c r="CY59" s="12"/>
      <c r="CZ59" s="12"/>
      <c r="DA59" s="12"/>
      <c r="DB59" s="12"/>
      <c r="DC59" s="12"/>
      <c r="DD59" s="12"/>
      <c r="DE59" s="12"/>
      <c r="DF59" s="12"/>
      <c r="DG59" s="12"/>
      <c r="DH59" s="12"/>
      <c r="DI59" s="12"/>
      <c r="DJ59" s="12"/>
      <c r="DK59" s="12"/>
      <c r="DL59" s="12"/>
      <c r="DM59" s="12"/>
      <c r="DN59" s="12"/>
      <c r="DO59" s="12"/>
      <c r="DP59" s="12"/>
      <c r="DQ59" s="12"/>
      <c r="DR59" s="12"/>
      <c r="DS59" s="12"/>
      <c r="DT59" s="12"/>
      <c r="DU59" s="12"/>
      <c r="DV59" s="12"/>
      <c r="DW59" s="12"/>
      <c r="DX59" s="12"/>
      <c r="DY59" s="12"/>
      <c r="DZ59" s="12"/>
      <c r="EA59" s="12"/>
      <c r="EB59" s="12"/>
      <c r="EC59" s="12"/>
      <c r="ED59" s="12"/>
      <c r="EE59" s="12"/>
      <c r="EF59" s="12"/>
      <c r="EG59" s="12"/>
      <c r="EH59" s="12"/>
      <c r="EI59" s="12"/>
      <c r="EJ59" s="12"/>
      <c r="EK59" s="12"/>
      <c r="EL59" s="12"/>
      <c r="EM59" s="12"/>
      <c r="EN59" s="12"/>
      <c r="EO59" s="12"/>
      <c r="EP59" s="12"/>
      <c r="EQ59" s="12"/>
      <c r="ER59" s="12"/>
      <c r="ES59" s="12"/>
      <c r="ET59" s="12"/>
      <c r="EU59" s="12"/>
      <c r="EV59" s="12"/>
      <c r="EW59" s="12"/>
      <c r="EX59" s="12"/>
      <c r="EY59" s="12"/>
      <c r="EZ59" s="12"/>
      <c r="FA59" s="12"/>
      <c r="FB59" s="12"/>
      <c r="FC59" s="12"/>
      <c r="FD59" s="12"/>
      <c r="FE59" s="12"/>
      <c r="FF59" s="12"/>
      <c r="FG59" s="12"/>
      <c r="FH59" s="12"/>
      <c r="FI59" s="12"/>
      <c r="FJ59" s="12"/>
      <c r="FK59" s="12"/>
      <c r="FL59" s="12"/>
      <c r="FM59" s="12"/>
      <c r="FN59" s="12"/>
      <c r="FO59" s="12"/>
      <c r="FP59" s="12"/>
      <c r="FQ59" s="12"/>
      <c r="FR59" s="12"/>
      <c r="FS59" s="12"/>
      <c r="FT59" s="12"/>
      <c r="FU59" s="12"/>
      <c r="FV59" s="12"/>
      <c r="FW59" s="12"/>
      <c r="FX59" s="12"/>
      <c r="FY59" s="12"/>
      <c r="FZ59" s="12"/>
      <c r="GA59" s="12"/>
      <c r="GB59" s="12"/>
      <c r="GC59" s="12"/>
      <c r="GD59" s="12"/>
      <c r="GE59" s="12"/>
    </row>
    <row r="60" spans="1:187" ht="28.5" customHeight="1">
      <c r="A60" s="45"/>
      <c r="B60" s="9" t="s">
        <v>2</v>
      </c>
      <c r="C60" s="10" t="s">
        <v>68</v>
      </c>
      <c r="D60" s="10" t="s">
        <v>316</v>
      </c>
      <c r="E60" s="35">
        <v>4509.5820000000003</v>
      </c>
      <c r="F60" s="35">
        <f>6010.333-E60</f>
        <v>1500.7509999999993</v>
      </c>
      <c r="G60" s="35">
        <v>482.64</v>
      </c>
      <c r="H60" s="35">
        <f>4422.47-G60</f>
        <v>3939.8300000000004</v>
      </c>
      <c r="I60" s="35">
        <f t="shared" si="0"/>
        <v>10432.803</v>
      </c>
      <c r="J60" s="56">
        <f>'2021'!J61</f>
        <v>11595.17</v>
      </c>
      <c r="K60" s="49">
        <v>5699.8136000000004</v>
      </c>
      <c r="L60" s="49">
        <v>5927.806144000001</v>
      </c>
      <c r="M60" s="49">
        <v>1608.3480087999999</v>
      </c>
      <c r="N60" s="49">
        <v>1672.6819291519998</v>
      </c>
      <c r="O60" s="56">
        <f t="shared" si="1"/>
        <v>4091.4655912000007</v>
      </c>
      <c r="P60" s="1">
        <f t="shared" si="2"/>
        <v>18450799.583694883</v>
      </c>
      <c r="Q60" s="1">
        <f t="shared" si="3"/>
        <v>6140271.0774589898</v>
      </c>
      <c r="R60" s="1">
        <f t="shared" si="4"/>
        <v>2053693.1510542394</v>
      </c>
      <c r="S60" s="1">
        <f t="shared" si="5"/>
        <v>16764466.035384603</v>
      </c>
      <c r="T60" s="1">
        <f t="shared" si="6"/>
        <v>43409229.847592711</v>
      </c>
      <c r="U60" s="11"/>
      <c r="V60" s="11"/>
      <c r="W60" s="11"/>
      <c r="X60" s="12"/>
      <c r="Y60" s="12"/>
      <c r="Z60" s="12"/>
      <c r="AA60" s="12"/>
      <c r="AB60" s="12"/>
      <c r="AC60" s="12"/>
      <c r="AD60" s="12"/>
      <c r="AE60" s="12"/>
      <c r="AF60" s="12"/>
      <c r="AG60" s="12"/>
      <c r="AH60" s="12"/>
      <c r="AI60" s="12"/>
      <c r="AJ60" s="12"/>
      <c r="AK60" s="12"/>
      <c r="AL60" s="12"/>
      <c r="AM60" s="12"/>
      <c r="AN60" s="12"/>
      <c r="AO60" s="12"/>
      <c r="AP60" s="12"/>
      <c r="AQ60" s="12"/>
      <c r="AR60" s="12"/>
      <c r="AS60" s="12"/>
      <c r="AT60" s="12"/>
      <c r="AU60" s="12"/>
      <c r="AV60" s="12"/>
      <c r="AW60" s="12"/>
      <c r="AX60" s="12"/>
      <c r="AY60" s="12"/>
      <c r="AZ60" s="12"/>
      <c r="BA60" s="12"/>
      <c r="BB60" s="12"/>
      <c r="BC60" s="12"/>
      <c r="BD60" s="12"/>
      <c r="BE60" s="12"/>
      <c r="BF60" s="12"/>
      <c r="BG60" s="12"/>
      <c r="BH60" s="12"/>
      <c r="BI60" s="12"/>
      <c r="BJ60" s="12"/>
      <c r="BK60" s="12"/>
      <c r="BL60" s="12"/>
      <c r="BM60" s="12"/>
      <c r="BN60" s="12"/>
      <c r="BO60" s="12"/>
      <c r="BP60" s="12"/>
      <c r="BQ60" s="12"/>
      <c r="BR60" s="12"/>
      <c r="BS60" s="12"/>
      <c r="BT60" s="12"/>
      <c r="BU60" s="12"/>
      <c r="BV60" s="12"/>
      <c r="BW60" s="12"/>
      <c r="BX60" s="12"/>
      <c r="BY60" s="12"/>
      <c r="BZ60" s="12"/>
      <c r="CA60" s="12"/>
      <c r="CB60" s="12"/>
      <c r="CC60" s="12"/>
      <c r="CD60" s="12"/>
      <c r="CE60" s="12"/>
      <c r="CF60" s="12"/>
      <c r="CG60" s="12"/>
      <c r="CH60" s="12"/>
      <c r="CI60" s="12"/>
      <c r="CJ60" s="12"/>
      <c r="CK60" s="12"/>
      <c r="CL60" s="12"/>
      <c r="CM60" s="12"/>
      <c r="CN60" s="12"/>
      <c r="CO60" s="12"/>
      <c r="CP60" s="12"/>
      <c r="CQ60" s="12"/>
      <c r="CR60" s="12"/>
      <c r="CS60" s="12"/>
      <c r="CT60" s="12"/>
      <c r="CU60" s="12"/>
      <c r="CV60" s="12"/>
      <c r="CW60" s="12"/>
      <c r="CX60" s="12"/>
      <c r="CY60" s="12"/>
      <c r="CZ60" s="12"/>
      <c r="DA60" s="12"/>
      <c r="DB60" s="12"/>
      <c r="DC60" s="12"/>
      <c r="DD60" s="12"/>
      <c r="DE60" s="12"/>
      <c r="DF60" s="12"/>
      <c r="DG60" s="12"/>
      <c r="DH60" s="12"/>
      <c r="DI60" s="12"/>
      <c r="DJ60" s="12"/>
      <c r="DK60" s="12"/>
      <c r="DL60" s="12"/>
      <c r="DM60" s="12"/>
      <c r="DN60" s="12"/>
      <c r="DO60" s="12"/>
      <c r="DP60" s="12"/>
      <c r="DQ60" s="12"/>
      <c r="DR60" s="12"/>
      <c r="DS60" s="12"/>
      <c r="DT60" s="12"/>
      <c r="DU60" s="12"/>
      <c r="DV60" s="12"/>
      <c r="DW60" s="12"/>
      <c r="DX60" s="12"/>
      <c r="DY60" s="12"/>
      <c r="DZ60" s="12"/>
      <c r="EA60" s="12"/>
      <c r="EB60" s="12"/>
      <c r="EC60" s="12"/>
      <c r="ED60" s="12"/>
      <c r="EE60" s="12"/>
      <c r="EF60" s="12"/>
      <c r="EG60" s="12"/>
      <c r="EH60" s="12"/>
      <c r="EI60" s="12"/>
      <c r="EJ60" s="12"/>
      <c r="EK60" s="12"/>
      <c r="EL60" s="12"/>
      <c r="EM60" s="12"/>
      <c r="EN60" s="12"/>
      <c r="EO60" s="12"/>
      <c r="EP60" s="12"/>
      <c r="EQ60" s="12"/>
      <c r="ER60" s="12"/>
      <c r="ES60" s="12"/>
      <c r="ET60" s="12"/>
      <c r="EU60" s="12"/>
      <c r="EV60" s="12"/>
      <c r="EW60" s="12"/>
      <c r="EX60" s="12"/>
      <c r="EY60" s="12"/>
      <c r="EZ60" s="12"/>
      <c r="FA60" s="12"/>
      <c r="FB60" s="12"/>
      <c r="FC60" s="12"/>
      <c r="FD60" s="12"/>
      <c r="FE60" s="12"/>
      <c r="FF60" s="12"/>
      <c r="FG60" s="12"/>
      <c r="FH60" s="12"/>
      <c r="FI60" s="12"/>
      <c r="FJ60" s="12"/>
      <c r="FK60" s="12"/>
      <c r="FL60" s="12"/>
      <c r="FM60" s="12"/>
      <c r="FN60" s="12"/>
      <c r="FO60" s="12"/>
      <c r="FP60" s="12"/>
      <c r="FQ60" s="12"/>
      <c r="FR60" s="12"/>
      <c r="FS60" s="12"/>
      <c r="FT60" s="12"/>
      <c r="FU60" s="12"/>
      <c r="FV60" s="12"/>
      <c r="FW60" s="12"/>
      <c r="FX60" s="12"/>
      <c r="FY60" s="12"/>
      <c r="FZ60" s="12"/>
      <c r="GA60" s="12"/>
      <c r="GB60" s="12"/>
      <c r="GC60" s="12"/>
      <c r="GD60" s="12"/>
      <c r="GE60" s="12"/>
    </row>
    <row r="61" spans="1:187" ht="25.5" customHeight="1">
      <c r="A61" s="45"/>
      <c r="B61" s="9" t="s">
        <v>2</v>
      </c>
      <c r="C61" s="10" t="s">
        <v>68</v>
      </c>
      <c r="D61" s="10" t="s">
        <v>317</v>
      </c>
      <c r="E61" s="35">
        <v>855.90800000000002</v>
      </c>
      <c r="F61" s="35">
        <f>1191.474-E61</f>
        <v>335.56599999999992</v>
      </c>
      <c r="G61" s="35">
        <v>47.448999999999998</v>
      </c>
      <c r="H61" s="35">
        <f>686.951-G61</f>
        <v>639.50200000000007</v>
      </c>
      <c r="I61" s="35">
        <f t="shared" si="0"/>
        <v>1878.4250000000002</v>
      </c>
      <c r="J61" s="56">
        <f>'2021'!J62</f>
        <v>2044.45</v>
      </c>
      <c r="K61" s="49">
        <v>5699.8136000000004</v>
      </c>
      <c r="L61" s="49">
        <v>5927.806144000001</v>
      </c>
      <c r="M61" s="49">
        <v>2318.9584808</v>
      </c>
      <c r="N61" s="49">
        <v>2411.7168200320002</v>
      </c>
      <c r="O61" s="56">
        <f t="shared" si="1"/>
        <v>3380.8551192000004</v>
      </c>
      <c r="P61" s="1">
        <f t="shared" si="2"/>
        <v>2893700.9433642342</v>
      </c>
      <c r="Q61" s="1">
        <f t="shared" si="3"/>
        <v>1134500.0289294671</v>
      </c>
      <c r="R61" s="1">
        <f t="shared" si="4"/>
        <v>166834.92233295768</v>
      </c>
      <c r="S61" s="1">
        <f t="shared" si="5"/>
        <v>2248546.1548561845</v>
      </c>
      <c r="T61" s="1">
        <f t="shared" si="6"/>
        <v>6443582.0494828429</v>
      </c>
      <c r="U61" s="11"/>
      <c r="V61" s="11"/>
      <c r="W61" s="11"/>
      <c r="X61" s="12"/>
      <c r="Y61" s="12"/>
      <c r="Z61" s="12"/>
      <c r="AA61" s="12"/>
      <c r="AB61" s="12"/>
      <c r="AC61" s="12"/>
      <c r="AD61" s="12"/>
      <c r="AE61" s="12"/>
      <c r="AF61" s="12"/>
      <c r="AG61" s="12"/>
      <c r="AH61" s="12"/>
      <c r="AI61" s="12"/>
      <c r="AJ61" s="12"/>
      <c r="AK61" s="12"/>
      <c r="AL61" s="12"/>
      <c r="AM61" s="12"/>
      <c r="AN61" s="12"/>
      <c r="AO61" s="12"/>
      <c r="AP61" s="12"/>
      <c r="AQ61" s="12"/>
      <c r="AR61" s="12"/>
      <c r="AS61" s="12"/>
      <c r="AT61" s="12"/>
      <c r="AU61" s="12"/>
      <c r="AV61" s="12"/>
      <c r="AW61" s="12"/>
      <c r="AX61" s="12"/>
      <c r="AY61" s="12"/>
      <c r="AZ61" s="12"/>
      <c r="BA61" s="12"/>
      <c r="BB61" s="12"/>
      <c r="BC61" s="12"/>
      <c r="BD61" s="12"/>
      <c r="BE61" s="12"/>
      <c r="BF61" s="12"/>
      <c r="BG61" s="12"/>
      <c r="BH61" s="12"/>
      <c r="BI61" s="12"/>
      <c r="BJ61" s="12"/>
      <c r="BK61" s="12"/>
      <c r="BL61" s="12"/>
      <c r="BM61" s="12"/>
      <c r="BN61" s="12"/>
      <c r="BO61" s="12"/>
      <c r="BP61" s="12"/>
      <c r="BQ61" s="12"/>
      <c r="BR61" s="12"/>
      <c r="BS61" s="12"/>
      <c r="BT61" s="12"/>
      <c r="BU61" s="12"/>
      <c r="BV61" s="12"/>
      <c r="BW61" s="12"/>
      <c r="BX61" s="12"/>
      <c r="BY61" s="12"/>
      <c r="BZ61" s="12"/>
      <c r="CA61" s="12"/>
      <c r="CB61" s="12"/>
      <c r="CC61" s="12"/>
      <c r="CD61" s="12"/>
      <c r="CE61" s="12"/>
      <c r="CF61" s="12"/>
      <c r="CG61" s="12"/>
      <c r="CH61" s="12"/>
      <c r="CI61" s="12"/>
      <c r="CJ61" s="12"/>
      <c r="CK61" s="12"/>
      <c r="CL61" s="12"/>
      <c r="CM61" s="12"/>
      <c r="CN61" s="12"/>
      <c r="CO61" s="12"/>
      <c r="CP61" s="12"/>
      <c r="CQ61" s="12"/>
      <c r="CR61" s="12"/>
      <c r="CS61" s="12"/>
      <c r="CT61" s="12"/>
      <c r="CU61" s="12"/>
      <c r="CV61" s="12"/>
      <c r="CW61" s="12"/>
      <c r="CX61" s="12"/>
      <c r="CY61" s="12"/>
      <c r="CZ61" s="12"/>
      <c r="DA61" s="12"/>
      <c r="DB61" s="12"/>
      <c r="DC61" s="12"/>
      <c r="DD61" s="12"/>
      <c r="DE61" s="12"/>
      <c r="DF61" s="12"/>
      <c r="DG61" s="12"/>
      <c r="DH61" s="12"/>
      <c r="DI61" s="12"/>
      <c r="DJ61" s="12"/>
      <c r="DK61" s="12"/>
      <c r="DL61" s="12"/>
      <c r="DM61" s="12"/>
      <c r="DN61" s="12"/>
      <c r="DO61" s="12"/>
      <c r="DP61" s="12"/>
      <c r="DQ61" s="12"/>
      <c r="DR61" s="12"/>
      <c r="DS61" s="12"/>
      <c r="DT61" s="12"/>
      <c r="DU61" s="12"/>
      <c r="DV61" s="12"/>
      <c r="DW61" s="12"/>
      <c r="DX61" s="12"/>
      <c r="DY61" s="12"/>
      <c r="DZ61" s="12"/>
      <c r="EA61" s="12"/>
      <c r="EB61" s="12"/>
      <c r="EC61" s="12"/>
      <c r="ED61" s="12"/>
      <c r="EE61" s="12"/>
      <c r="EF61" s="12"/>
      <c r="EG61" s="12"/>
      <c r="EH61" s="12"/>
      <c r="EI61" s="12"/>
      <c r="EJ61" s="12"/>
      <c r="EK61" s="12"/>
      <c r="EL61" s="12"/>
      <c r="EM61" s="12"/>
      <c r="EN61" s="12"/>
      <c r="EO61" s="12"/>
      <c r="EP61" s="12"/>
      <c r="EQ61" s="12"/>
      <c r="ER61" s="12"/>
      <c r="ES61" s="12"/>
      <c r="ET61" s="12"/>
      <c r="EU61" s="12"/>
      <c r="EV61" s="12"/>
      <c r="EW61" s="12"/>
      <c r="EX61" s="12"/>
      <c r="EY61" s="12"/>
      <c r="EZ61" s="12"/>
      <c r="FA61" s="12"/>
      <c r="FB61" s="12"/>
      <c r="FC61" s="12"/>
      <c r="FD61" s="12"/>
      <c r="FE61" s="12"/>
      <c r="FF61" s="12"/>
      <c r="FG61" s="12"/>
      <c r="FH61" s="12"/>
      <c r="FI61" s="12"/>
      <c r="FJ61" s="12"/>
      <c r="FK61" s="12"/>
      <c r="FL61" s="12"/>
      <c r="FM61" s="12"/>
      <c r="FN61" s="12"/>
      <c r="FO61" s="12"/>
      <c r="FP61" s="12"/>
      <c r="FQ61" s="12"/>
      <c r="FR61" s="12"/>
      <c r="FS61" s="12"/>
      <c r="FT61" s="12"/>
      <c r="FU61" s="12"/>
      <c r="FV61" s="12"/>
      <c r="FW61" s="12"/>
      <c r="FX61" s="12"/>
      <c r="FY61" s="12"/>
      <c r="FZ61" s="12"/>
      <c r="GA61" s="12"/>
      <c r="GB61" s="12"/>
      <c r="GC61" s="12"/>
      <c r="GD61" s="12"/>
      <c r="GE61" s="12"/>
    </row>
    <row r="62" spans="1:187" ht="25.5" customHeight="1">
      <c r="A62" s="45"/>
      <c r="B62" s="9" t="s">
        <v>2</v>
      </c>
      <c r="C62" s="10" t="s">
        <v>68</v>
      </c>
      <c r="D62" s="10" t="s">
        <v>318</v>
      </c>
      <c r="E62" s="35">
        <v>457.42</v>
      </c>
      <c r="F62" s="35">
        <f>610.816-E62</f>
        <v>153.39600000000002</v>
      </c>
      <c r="G62" s="35">
        <v>155.20599999999999</v>
      </c>
      <c r="H62" s="35">
        <f>611.715-G62</f>
        <v>456.50900000000001</v>
      </c>
      <c r="I62" s="35">
        <f t="shared" si="0"/>
        <v>1222.5309999999999</v>
      </c>
      <c r="J62" s="56">
        <f>'2021'!J63</f>
        <v>1283.3800000000001</v>
      </c>
      <c r="K62" s="49">
        <v>5699.8136000000004</v>
      </c>
      <c r="L62" s="49">
        <v>5927.806144000001</v>
      </c>
      <c r="M62" s="49">
        <v>1510.6053664000001</v>
      </c>
      <c r="N62" s="49">
        <v>1571.0295810560001</v>
      </c>
      <c r="O62" s="56">
        <f t="shared" si="1"/>
        <v>4189.2082336000003</v>
      </c>
      <c r="P62" s="1">
        <f t="shared" si="2"/>
        <v>1916227.6302133121</v>
      </c>
      <c r="Q62" s="1">
        <f t="shared" si="3"/>
        <v>642607.78620130569</v>
      </c>
      <c r="R62" s="1">
        <f t="shared" si="4"/>
        <v>676197.86322828662</v>
      </c>
      <c r="S62" s="1">
        <f t="shared" si="5"/>
        <v>1988907.7119730029</v>
      </c>
      <c r="T62" s="1">
        <f t="shared" si="6"/>
        <v>5223940.9916159073</v>
      </c>
      <c r="U62" s="11"/>
      <c r="V62" s="11"/>
      <c r="W62" s="11"/>
      <c r="X62" s="12"/>
      <c r="Y62" s="12"/>
      <c r="Z62" s="12"/>
      <c r="AA62" s="12"/>
      <c r="AB62" s="12"/>
      <c r="AC62" s="12"/>
      <c r="AD62" s="12"/>
      <c r="AE62" s="12"/>
      <c r="AF62" s="12"/>
      <c r="AG62" s="12"/>
      <c r="AH62" s="12"/>
      <c r="AI62" s="12"/>
      <c r="AJ62" s="12"/>
      <c r="AK62" s="12"/>
      <c r="AL62" s="12"/>
      <c r="AM62" s="12"/>
      <c r="AN62" s="12"/>
      <c r="AO62" s="12"/>
      <c r="AP62" s="12"/>
      <c r="AQ62" s="12"/>
      <c r="AR62" s="12"/>
      <c r="AS62" s="12"/>
      <c r="AT62" s="12"/>
      <c r="AU62" s="12"/>
      <c r="AV62" s="12"/>
      <c r="AW62" s="12"/>
      <c r="AX62" s="12"/>
      <c r="AY62" s="12"/>
      <c r="AZ62" s="12"/>
      <c r="BA62" s="12"/>
      <c r="BB62" s="12"/>
      <c r="BC62" s="12"/>
      <c r="BD62" s="12"/>
      <c r="BE62" s="12"/>
      <c r="BF62" s="12"/>
      <c r="BG62" s="12"/>
      <c r="BH62" s="12"/>
      <c r="BI62" s="12"/>
      <c r="BJ62" s="12"/>
      <c r="BK62" s="12"/>
      <c r="BL62" s="12"/>
      <c r="BM62" s="12"/>
      <c r="BN62" s="12"/>
      <c r="BO62" s="12"/>
      <c r="BP62" s="12"/>
      <c r="BQ62" s="12"/>
      <c r="BR62" s="12"/>
      <c r="BS62" s="12"/>
      <c r="BT62" s="12"/>
      <c r="BU62" s="12"/>
      <c r="BV62" s="12"/>
      <c r="BW62" s="12"/>
      <c r="BX62" s="12"/>
      <c r="BY62" s="12"/>
      <c r="BZ62" s="12"/>
      <c r="CA62" s="12"/>
      <c r="CB62" s="12"/>
      <c r="CC62" s="12"/>
      <c r="CD62" s="12"/>
      <c r="CE62" s="12"/>
      <c r="CF62" s="12"/>
      <c r="CG62" s="12"/>
      <c r="CH62" s="12"/>
      <c r="CI62" s="12"/>
      <c r="CJ62" s="12"/>
      <c r="CK62" s="12"/>
      <c r="CL62" s="12"/>
      <c r="CM62" s="12"/>
      <c r="CN62" s="12"/>
      <c r="CO62" s="12"/>
      <c r="CP62" s="12"/>
      <c r="CQ62" s="12"/>
      <c r="CR62" s="12"/>
      <c r="CS62" s="12"/>
      <c r="CT62" s="12"/>
      <c r="CU62" s="12"/>
      <c r="CV62" s="12"/>
      <c r="CW62" s="12"/>
      <c r="CX62" s="12"/>
      <c r="CY62" s="12"/>
      <c r="CZ62" s="12"/>
      <c r="DA62" s="12"/>
      <c r="DB62" s="12"/>
      <c r="DC62" s="12"/>
      <c r="DD62" s="12"/>
      <c r="DE62" s="12"/>
      <c r="DF62" s="12"/>
      <c r="DG62" s="12"/>
      <c r="DH62" s="12"/>
      <c r="DI62" s="12"/>
      <c r="DJ62" s="12"/>
      <c r="DK62" s="12"/>
      <c r="DL62" s="12"/>
      <c r="DM62" s="12"/>
      <c r="DN62" s="12"/>
      <c r="DO62" s="12"/>
      <c r="DP62" s="12"/>
      <c r="DQ62" s="12"/>
      <c r="DR62" s="12"/>
      <c r="DS62" s="12"/>
      <c r="DT62" s="12"/>
      <c r="DU62" s="12"/>
      <c r="DV62" s="12"/>
      <c r="DW62" s="12"/>
      <c r="DX62" s="12"/>
      <c r="DY62" s="12"/>
      <c r="DZ62" s="12"/>
      <c r="EA62" s="12"/>
      <c r="EB62" s="12"/>
      <c r="EC62" s="12"/>
      <c r="ED62" s="12"/>
      <c r="EE62" s="12"/>
      <c r="EF62" s="12"/>
      <c r="EG62" s="12"/>
      <c r="EH62" s="12"/>
      <c r="EI62" s="12"/>
      <c r="EJ62" s="12"/>
      <c r="EK62" s="12"/>
      <c r="EL62" s="12"/>
      <c r="EM62" s="12"/>
      <c r="EN62" s="12"/>
      <c r="EO62" s="12"/>
      <c r="EP62" s="12"/>
      <c r="EQ62" s="12"/>
      <c r="ER62" s="12"/>
      <c r="ES62" s="12"/>
      <c r="ET62" s="12"/>
      <c r="EU62" s="12"/>
      <c r="EV62" s="12"/>
      <c r="EW62" s="12"/>
      <c r="EX62" s="12"/>
      <c r="EY62" s="12"/>
      <c r="EZ62" s="12"/>
      <c r="FA62" s="12"/>
      <c r="FB62" s="12"/>
      <c r="FC62" s="12"/>
      <c r="FD62" s="12"/>
      <c r="FE62" s="12"/>
      <c r="FF62" s="12"/>
      <c r="FG62" s="12"/>
      <c r="FH62" s="12"/>
      <c r="FI62" s="12"/>
      <c r="FJ62" s="12"/>
      <c r="FK62" s="12"/>
      <c r="FL62" s="12"/>
      <c r="FM62" s="12"/>
      <c r="FN62" s="12"/>
      <c r="FO62" s="12"/>
      <c r="FP62" s="12"/>
      <c r="FQ62" s="12"/>
      <c r="FR62" s="12"/>
      <c r="FS62" s="12"/>
      <c r="FT62" s="12"/>
      <c r="FU62" s="12"/>
      <c r="FV62" s="12"/>
      <c r="FW62" s="12"/>
      <c r="FX62" s="12"/>
      <c r="FY62" s="12"/>
      <c r="FZ62" s="12"/>
      <c r="GA62" s="12"/>
      <c r="GB62" s="12"/>
      <c r="GC62" s="12"/>
      <c r="GD62" s="12"/>
      <c r="GE62" s="12"/>
    </row>
    <row r="63" spans="1:187" ht="21" customHeight="1">
      <c r="A63" s="45" t="s">
        <v>337</v>
      </c>
      <c r="B63" s="9" t="s">
        <v>435</v>
      </c>
      <c r="C63" s="10" t="s">
        <v>437</v>
      </c>
      <c r="D63" s="10" t="s">
        <v>336</v>
      </c>
      <c r="E63" s="35">
        <f>290.1134384*0.6</f>
        <v>174.06806304</v>
      </c>
      <c r="F63" s="35">
        <f>290.1134384*0.4</f>
        <v>116.04537536000001</v>
      </c>
      <c r="G63" s="35">
        <f>224.4545616*0.2</f>
        <v>44.890912320000005</v>
      </c>
      <c r="H63" s="35">
        <f>224.4545616*0.8</f>
        <v>179.56364928000002</v>
      </c>
      <c r="I63" s="35">
        <f t="shared" si="0"/>
        <v>514.56799999999998</v>
      </c>
      <c r="J63" s="56">
        <f>'2021'!J64</f>
        <v>421.8</v>
      </c>
      <c r="K63" s="49">
        <v>4229.1704</v>
      </c>
      <c r="L63" s="49">
        <v>4398.3372159999999</v>
      </c>
      <c r="M63" s="49">
        <v>2010.5</v>
      </c>
      <c r="N63" s="49">
        <v>2090.92</v>
      </c>
      <c r="O63" s="56">
        <f t="shared" si="1"/>
        <v>2218.6704</v>
      </c>
      <c r="P63" s="1">
        <f t="shared" si="2"/>
        <v>386199.65905218199</v>
      </c>
      <c r="Q63" s="1">
        <f t="shared" si="3"/>
        <v>257466.43936812136</v>
      </c>
      <c r="R63" s="1">
        <f t="shared" si="4"/>
        <v>103582.06392911451</v>
      </c>
      <c r="S63" s="1">
        <f t="shared" si="5"/>
        <v>414328.25571645802</v>
      </c>
      <c r="T63" s="1">
        <f t="shared" si="6"/>
        <v>1161576.4180658758</v>
      </c>
      <c r="U63" s="11"/>
      <c r="V63" s="11"/>
      <c r="W63" s="11"/>
      <c r="X63" s="12"/>
      <c r="Y63" s="12"/>
      <c r="Z63" s="12"/>
      <c r="AA63" s="12"/>
      <c r="AB63" s="12"/>
      <c r="AC63" s="12"/>
      <c r="AD63" s="12"/>
      <c r="AE63" s="12"/>
      <c r="AF63" s="12"/>
      <c r="AG63" s="12"/>
      <c r="AH63" s="12"/>
      <c r="AI63" s="12"/>
      <c r="AJ63" s="12"/>
      <c r="AK63" s="12"/>
      <c r="AL63" s="12"/>
      <c r="AM63" s="12"/>
      <c r="AN63" s="12"/>
      <c r="AO63" s="12"/>
      <c r="AP63" s="12"/>
      <c r="AQ63" s="12"/>
      <c r="AR63" s="12"/>
      <c r="AS63" s="12"/>
      <c r="AT63" s="12"/>
      <c r="AU63" s="12"/>
      <c r="AV63" s="12"/>
      <c r="AW63" s="12"/>
      <c r="AX63" s="12"/>
      <c r="AY63" s="12"/>
      <c r="AZ63" s="12"/>
      <c r="BA63" s="12"/>
      <c r="BB63" s="12"/>
      <c r="BC63" s="12"/>
      <c r="BD63" s="12"/>
      <c r="BE63" s="12"/>
      <c r="BF63" s="12"/>
      <c r="BG63" s="12"/>
      <c r="BH63" s="12"/>
      <c r="BI63" s="12"/>
      <c r="BJ63" s="12"/>
      <c r="BK63" s="12"/>
      <c r="BL63" s="12"/>
      <c r="BM63" s="12"/>
      <c r="BN63" s="12"/>
      <c r="BO63" s="12"/>
      <c r="BP63" s="12"/>
      <c r="BQ63" s="12"/>
      <c r="BR63" s="12"/>
      <c r="BS63" s="12"/>
      <c r="BT63" s="12"/>
      <c r="BU63" s="12"/>
      <c r="BV63" s="12"/>
      <c r="BW63" s="12"/>
      <c r="BX63" s="12"/>
      <c r="BY63" s="12"/>
      <c r="BZ63" s="12"/>
      <c r="CA63" s="12"/>
      <c r="CB63" s="12"/>
      <c r="CC63" s="12"/>
      <c r="CD63" s="12"/>
      <c r="CE63" s="12"/>
      <c r="CF63" s="12"/>
      <c r="CG63" s="12"/>
      <c r="CH63" s="12"/>
      <c r="CI63" s="12"/>
      <c r="CJ63" s="12"/>
      <c r="CK63" s="12"/>
      <c r="CL63" s="12"/>
      <c r="CM63" s="12"/>
      <c r="CN63" s="12"/>
      <c r="CO63" s="12"/>
      <c r="CP63" s="12"/>
      <c r="CQ63" s="12"/>
      <c r="CR63" s="12"/>
      <c r="CS63" s="12"/>
      <c r="CT63" s="12"/>
      <c r="CU63" s="12"/>
      <c r="CV63" s="12"/>
      <c r="CW63" s="12"/>
      <c r="CX63" s="12"/>
      <c r="CY63" s="12"/>
      <c r="CZ63" s="12"/>
      <c r="DA63" s="12"/>
      <c r="DB63" s="12"/>
      <c r="DC63" s="12"/>
      <c r="DD63" s="12"/>
      <c r="DE63" s="12"/>
      <c r="DF63" s="12"/>
      <c r="DG63" s="12"/>
      <c r="DH63" s="12"/>
      <c r="DI63" s="12"/>
      <c r="DJ63" s="12"/>
      <c r="DK63" s="12"/>
      <c r="DL63" s="12"/>
      <c r="DM63" s="12"/>
      <c r="DN63" s="12"/>
      <c r="DO63" s="12"/>
      <c r="DP63" s="12"/>
      <c r="DQ63" s="12"/>
      <c r="DR63" s="12"/>
      <c r="DS63" s="12"/>
      <c r="DT63" s="12"/>
      <c r="DU63" s="12"/>
      <c r="DV63" s="12"/>
      <c r="DW63" s="12"/>
      <c r="DX63" s="12"/>
      <c r="DY63" s="12"/>
      <c r="DZ63" s="12"/>
      <c r="EA63" s="12"/>
      <c r="EB63" s="12"/>
      <c r="EC63" s="12"/>
      <c r="ED63" s="12"/>
      <c r="EE63" s="12"/>
      <c r="EF63" s="12"/>
      <c r="EG63" s="12"/>
      <c r="EH63" s="12"/>
      <c r="EI63" s="12"/>
      <c r="EJ63" s="12"/>
      <c r="EK63" s="12"/>
      <c r="EL63" s="12"/>
      <c r="EM63" s="12"/>
      <c r="EN63" s="12"/>
      <c r="EO63" s="12"/>
      <c r="EP63" s="12"/>
      <c r="EQ63" s="12"/>
      <c r="ER63" s="12"/>
      <c r="ES63" s="12"/>
      <c r="ET63" s="12"/>
      <c r="EU63" s="12"/>
      <c r="EV63" s="12"/>
      <c r="EW63" s="12"/>
      <c r="EX63" s="12"/>
      <c r="EY63" s="12"/>
      <c r="EZ63" s="12"/>
      <c r="FA63" s="12"/>
      <c r="FB63" s="12"/>
      <c r="FC63" s="12"/>
      <c r="FD63" s="12"/>
      <c r="FE63" s="12"/>
      <c r="FF63" s="12"/>
      <c r="FG63" s="12"/>
      <c r="FH63" s="12"/>
      <c r="FI63" s="12"/>
      <c r="FJ63" s="12"/>
      <c r="FK63" s="12"/>
      <c r="FL63" s="12"/>
      <c r="FM63" s="12"/>
      <c r="FN63" s="12"/>
      <c r="FO63" s="12"/>
      <c r="FP63" s="12"/>
      <c r="FQ63" s="12"/>
      <c r="FR63" s="12"/>
      <c r="FS63" s="12"/>
      <c r="FT63" s="12"/>
      <c r="FU63" s="12"/>
      <c r="FV63" s="12"/>
      <c r="FW63" s="12"/>
      <c r="FX63" s="12"/>
      <c r="FY63" s="12"/>
      <c r="FZ63" s="12"/>
      <c r="GA63" s="12"/>
      <c r="GB63" s="12"/>
      <c r="GC63" s="12"/>
      <c r="GD63" s="12"/>
      <c r="GE63" s="12"/>
    </row>
    <row r="64" spans="1:187" ht="21" customHeight="1">
      <c r="A64" s="45"/>
      <c r="B64" s="9" t="s">
        <v>338</v>
      </c>
      <c r="C64" s="10" t="s">
        <v>339</v>
      </c>
      <c r="D64" s="10" t="s">
        <v>336</v>
      </c>
      <c r="E64" s="35">
        <f>75.3993952909912*0.6</f>
        <v>45.239637174594712</v>
      </c>
      <c r="F64" s="35">
        <f>75.3993952909912*0.4</f>
        <v>30.159758116396478</v>
      </c>
      <c r="G64" s="35">
        <f>59.4095647090088*0.2</f>
        <v>11.88191294180176</v>
      </c>
      <c r="H64" s="35">
        <f>59.4095647090088*0.8</f>
        <v>47.52765176720704</v>
      </c>
      <c r="I64" s="35">
        <f t="shared" si="0"/>
        <v>134.80895999999998</v>
      </c>
      <c r="J64" s="56">
        <f>'2021'!J65</f>
        <v>134.80896000000001</v>
      </c>
      <c r="K64" s="49">
        <v>1864.0336</v>
      </c>
      <c r="L64" s="49">
        <v>1938.5949439999999</v>
      </c>
      <c r="M64" s="49">
        <v>1634.204</v>
      </c>
      <c r="N64" s="49">
        <v>1699.5721599999999</v>
      </c>
      <c r="O64" s="56">
        <f t="shared" si="1"/>
        <v>229.82960000000003</v>
      </c>
      <c r="P64" s="1">
        <f t="shared" si="2"/>
        <v>10397.407715982234</v>
      </c>
      <c r="Q64" s="1">
        <f t="shared" si="3"/>
        <v>6931.6051439881567</v>
      </c>
      <c r="R64" s="1">
        <f t="shared" si="4"/>
        <v>2840.0479105950867</v>
      </c>
      <c r="S64" s="1">
        <f t="shared" si="5"/>
        <v>11360.191642380347</v>
      </c>
      <c r="T64" s="1">
        <f t="shared" si="6"/>
        <v>31529.252412945825</v>
      </c>
      <c r="U64" s="11"/>
      <c r="V64" s="11"/>
      <c r="W64" s="11"/>
      <c r="X64" s="12"/>
      <c r="Y64" s="12"/>
      <c r="Z64" s="12"/>
      <c r="AA64" s="12"/>
      <c r="AB64" s="12"/>
      <c r="AC64" s="12"/>
      <c r="AD64" s="12"/>
      <c r="AE64" s="12"/>
      <c r="AF64" s="12"/>
      <c r="AG64" s="12"/>
      <c r="AH64" s="12"/>
      <c r="AI64" s="12"/>
      <c r="AJ64" s="12"/>
      <c r="AK64" s="12"/>
      <c r="AL64" s="12"/>
      <c r="AM64" s="12"/>
      <c r="AN64" s="12"/>
      <c r="AO64" s="12"/>
      <c r="AP64" s="12"/>
      <c r="AQ64" s="12"/>
      <c r="AR64" s="12"/>
      <c r="AS64" s="12"/>
      <c r="AT64" s="12"/>
      <c r="AU64" s="12"/>
      <c r="AV64" s="12"/>
      <c r="AW64" s="12"/>
      <c r="AX64" s="12"/>
      <c r="AY64" s="12"/>
      <c r="AZ64" s="12"/>
      <c r="BA64" s="12"/>
      <c r="BB64" s="12"/>
      <c r="BC64" s="12"/>
      <c r="BD64" s="12"/>
      <c r="BE64" s="12"/>
      <c r="BF64" s="12"/>
      <c r="BG64" s="12"/>
      <c r="BH64" s="12"/>
      <c r="BI64" s="12"/>
      <c r="BJ64" s="12"/>
      <c r="BK64" s="12"/>
      <c r="BL64" s="12"/>
      <c r="BM64" s="12"/>
      <c r="BN64" s="12"/>
      <c r="BO64" s="12"/>
      <c r="BP64" s="12"/>
      <c r="BQ64" s="12"/>
      <c r="BR64" s="12"/>
      <c r="BS64" s="12"/>
      <c r="BT64" s="12"/>
      <c r="BU64" s="12"/>
      <c r="BV64" s="12"/>
      <c r="BW64" s="12"/>
      <c r="BX64" s="12"/>
      <c r="BY64" s="12"/>
      <c r="BZ64" s="12"/>
      <c r="CA64" s="12"/>
      <c r="CB64" s="12"/>
      <c r="CC64" s="12"/>
      <c r="CD64" s="12"/>
      <c r="CE64" s="12"/>
      <c r="CF64" s="12"/>
      <c r="CG64" s="12"/>
      <c r="CH64" s="12"/>
      <c r="CI64" s="12"/>
      <c r="CJ64" s="12"/>
      <c r="CK64" s="12"/>
      <c r="CL64" s="12"/>
      <c r="CM64" s="12"/>
      <c r="CN64" s="12"/>
      <c r="CO64" s="12"/>
      <c r="CP64" s="12"/>
      <c r="CQ64" s="12"/>
      <c r="CR64" s="12"/>
      <c r="CS64" s="12"/>
      <c r="CT64" s="12"/>
      <c r="CU64" s="12"/>
      <c r="CV64" s="12"/>
      <c r="CW64" s="12"/>
      <c r="CX64" s="12"/>
      <c r="CY64" s="12"/>
      <c r="CZ64" s="12"/>
      <c r="DA64" s="12"/>
      <c r="DB64" s="12"/>
      <c r="DC64" s="12"/>
      <c r="DD64" s="12"/>
      <c r="DE64" s="12"/>
      <c r="DF64" s="12"/>
      <c r="DG64" s="12"/>
      <c r="DH64" s="12"/>
      <c r="DI64" s="12"/>
      <c r="DJ64" s="12"/>
      <c r="DK64" s="12"/>
      <c r="DL64" s="12"/>
      <c r="DM64" s="12"/>
      <c r="DN64" s="12"/>
      <c r="DO64" s="12"/>
      <c r="DP64" s="12"/>
      <c r="DQ64" s="12"/>
      <c r="DR64" s="12"/>
      <c r="DS64" s="12"/>
      <c r="DT64" s="12"/>
      <c r="DU64" s="12"/>
      <c r="DV64" s="12"/>
      <c r="DW64" s="12"/>
      <c r="DX64" s="12"/>
      <c r="DY64" s="12"/>
      <c r="DZ64" s="12"/>
      <c r="EA64" s="12"/>
      <c r="EB64" s="12"/>
      <c r="EC64" s="12"/>
      <c r="ED64" s="12"/>
      <c r="EE64" s="12"/>
      <c r="EF64" s="12"/>
      <c r="EG64" s="12"/>
      <c r="EH64" s="12"/>
      <c r="EI64" s="12"/>
      <c r="EJ64" s="12"/>
      <c r="EK64" s="12"/>
      <c r="EL64" s="12"/>
      <c r="EM64" s="12"/>
      <c r="EN64" s="12"/>
      <c r="EO64" s="12"/>
      <c r="EP64" s="12"/>
      <c r="EQ64" s="12"/>
      <c r="ER64" s="12"/>
      <c r="ES64" s="12"/>
      <c r="ET64" s="12"/>
      <c r="EU64" s="12"/>
      <c r="EV64" s="12"/>
      <c r="EW64" s="12"/>
      <c r="EX64" s="12"/>
      <c r="EY64" s="12"/>
      <c r="EZ64" s="12"/>
      <c r="FA64" s="12"/>
      <c r="FB64" s="12"/>
      <c r="FC64" s="12"/>
      <c r="FD64" s="12"/>
      <c r="FE64" s="12"/>
      <c r="FF64" s="12"/>
      <c r="FG64" s="12"/>
      <c r="FH64" s="12"/>
      <c r="FI64" s="12"/>
      <c r="FJ64" s="12"/>
      <c r="FK64" s="12"/>
      <c r="FL64" s="12"/>
      <c r="FM64" s="12"/>
      <c r="FN64" s="12"/>
      <c r="FO64" s="12"/>
      <c r="FP64" s="12"/>
      <c r="FQ64" s="12"/>
      <c r="FR64" s="12"/>
      <c r="FS64" s="12"/>
      <c r="FT64" s="12"/>
      <c r="FU64" s="12"/>
      <c r="FV64" s="12"/>
      <c r="FW64" s="12"/>
      <c r="FX64" s="12"/>
      <c r="FY64" s="12"/>
      <c r="FZ64" s="12"/>
      <c r="GA64" s="12"/>
      <c r="GB64" s="12"/>
      <c r="GC64" s="12"/>
      <c r="GD64" s="12"/>
      <c r="GE64" s="12"/>
    </row>
    <row r="65" spans="1:187" ht="21" customHeight="1">
      <c r="A65" s="45" t="s">
        <v>337</v>
      </c>
      <c r="B65" s="9">
        <v>7729314745</v>
      </c>
      <c r="C65" s="10" t="s">
        <v>341</v>
      </c>
      <c r="D65" s="10" t="s">
        <v>116</v>
      </c>
      <c r="E65" s="35">
        <f>3995.8985*0.6</f>
        <v>2397.5391</v>
      </c>
      <c r="F65" s="35">
        <f>3995.8985*0.4</f>
        <v>1598.3594000000001</v>
      </c>
      <c r="G65" s="35">
        <f>3269.3715*0.2</f>
        <v>653.87430000000006</v>
      </c>
      <c r="H65" s="35">
        <f>3269.3715*0.8</f>
        <v>2615.4972000000002</v>
      </c>
      <c r="I65" s="35">
        <f t="shared" si="0"/>
        <v>7265.27</v>
      </c>
      <c r="J65" s="56">
        <f>'2021'!J66</f>
        <v>7265.3</v>
      </c>
      <c r="K65" s="49">
        <v>2019.42</v>
      </c>
      <c r="L65" s="49">
        <v>2100.1968000000002</v>
      </c>
      <c r="M65" s="49">
        <v>1445.9828447999998</v>
      </c>
      <c r="N65" s="49">
        <v>1503.8221585919998</v>
      </c>
      <c r="O65" s="56">
        <f t="shared" si="1"/>
        <v>573.43715520000023</v>
      </c>
      <c r="P65" s="1">
        <f t="shared" si="2"/>
        <v>1374838.0009847688</v>
      </c>
      <c r="Q65" s="1">
        <f t="shared" si="3"/>
        <v>916558.66732317931</v>
      </c>
      <c r="R65" s="1">
        <f t="shared" si="4"/>
        <v>389954.05118840729</v>
      </c>
      <c r="S65" s="1">
        <f t="shared" si="5"/>
        <v>1559816.2047536292</v>
      </c>
      <c r="T65" s="1">
        <f t="shared" si="6"/>
        <v>4241166.9242499843</v>
      </c>
      <c r="U65" s="11"/>
      <c r="V65" s="11"/>
      <c r="W65" s="11"/>
      <c r="X65" s="12"/>
      <c r="Y65" s="12"/>
      <c r="Z65" s="12"/>
      <c r="AA65" s="12"/>
      <c r="AB65" s="12"/>
      <c r="AC65" s="12"/>
      <c r="AD65" s="12"/>
      <c r="AE65" s="12"/>
      <c r="AF65" s="12"/>
      <c r="AG65" s="12"/>
      <c r="AH65" s="12"/>
      <c r="AI65" s="12"/>
      <c r="AJ65" s="12"/>
      <c r="AK65" s="12"/>
      <c r="AL65" s="12"/>
      <c r="AM65" s="12"/>
      <c r="AN65" s="12"/>
      <c r="AO65" s="12"/>
      <c r="AP65" s="12"/>
      <c r="AQ65" s="12"/>
      <c r="AR65" s="12"/>
      <c r="AS65" s="12"/>
      <c r="AT65" s="12"/>
      <c r="AU65" s="12"/>
      <c r="AV65" s="12"/>
      <c r="AW65" s="12"/>
      <c r="AX65" s="12"/>
      <c r="AY65" s="12"/>
      <c r="AZ65" s="12"/>
      <c r="BA65" s="12"/>
      <c r="BB65" s="12"/>
      <c r="BC65" s="12"/>
      <c r="BD65" s="12"/>
      <c r="BE65" s="12"/>
      <c r="BF65" s="12"/>
      <c r="BG65" s="12"/>
      <c r="BH65" s="12"/>
      <c r="BI65" s="12"/>
      <c r="BJ65" s="12"/>
      <c r="BK65" s="12"/>
      <c r="BL65" s="12"/>
      <c r="BM65" s="12"/>
      <c r="BN65" s="12"/>
      <c r="BO65" s="12"/>
      <c r="BP65" s="12"/>
      <c r="BQ65" s="12"/>
      <c r="BR65" s="12"/>
      <c r="BS65" s="12"/>
      <c r="BT65" s="12"/>
      <c r="BU65" s="12"/>
      <c r="BV65" s="12"/>
      <c r="BW65" s="12"/>
      <c r="BX65" s="12"/>
      <c r="BY65" s="12"/>
      <c r="BZ65" s="12"/>
      <c r="CA65" s="12"/>
      <c r="CB65" s="12"/>
      <c r="CC65" s="12"/>
      <c r="CD65" s="12"/>
      <c r="CE65" s="12"/>
      <c r="CF65" s="12"/>
      <c r="CG65" s="12"/>
      <c r="CH65" s="12"/>
      <c r="CI65" s="12"/>
      <c r="CJ65" s="12"/>
      <c r="CK65" s="12"/>
      <c r="CL65" s="12"/>
      <c r="CM65" s="12"/>
      <c r="CN65" s="12"/>
      <c r="CO65" s="12"/>
      <c r="CP65" s="12"/>
      <c r="CQ65" s="12"/>
      <c r="CR65" s="12"/>
      <c r="CS65" s="12"/>
      <c r="CT65" s="12"/>
      <c r="CU65" s="12"/>
      <c r="CV65" s="12"/>
      <c r="CW65" s="12"/>
      <c r="CX65" s="12"/>
      <c r="CY65" s="12"/>
      <c r="CZ65" s="12"/>
      <c r="DA65" s="12"/>
      <c r="DB65" s="12"/>
      <c r="DC65" s="12"/>
      <c r="DD65" s="12"/>
      <c r="DE65" s="12"/>
      <c r="DF65" s="12"/>
      <c r="DG65" s="12"/>
      <c r="DH65" s="12"/>
      <c r="DI65" s="12"/>
      <c r="DJ65" s="12"/>
      <c r="DK65" s="12"/>
      <c r="DL65" s="12"/>
      <c r="DM65" s="12"/>
      <c r="DN65" s="12"/>
      <c r="DO65" s="12"/>
      <c r="DP65" s="12"/>
      <c r="DQ65" s="12"/>
      <c r="DR65" s="12"/>
      <c r="DS65" s="12"/>
      <c r="DT65" s="12"/>
      <c r="DU65" s="12"/>
      <c r="DV65" s="12"/>
      <c r="DW65" s="12"/>
      <c r="DX65" s="12"/>
      <c r="DY65" s="12"/>
      <c r="DZ65" s="12"/>
      <c r="EA65" s="12"/>
      <c r="EB65" s="12"/>
      <c r="EC65" s="12"/>
      <c r="ED65" s="12"/>
      <c r="EE65" s="12"/>
      <c r="EF65" s="12"/>
      <c r="EG65" s="12"/>
      <c r="EH65" s="12"/>
      <c r="EI65" s="12"/>
      <c r="EJ65" s="12"/>
      <c r="EK65" s="12"/>
      <c r="EL65" s="12"/>
      <c r="EM65" s="12"/>
      <c r="EN65" s="12"/>
      <c r="EO65" s="12"/>
      <c r="EP65" s="12"/>
      <c r="EQ65" s="12"/>
      <c r="ER65" s="12"/>
      <c r="ES65" s="12"/>
      <c r="ET65" s="12"/>
      <c r="EU65" s="12"/>
      <c r="EV65" s="12"/>
      <c r="EW65" s="12"/>
      <c r="EX65" s="12"/>
      <c r="EY65" s="12"/>
      <c r="EZ65" s="12"/>
      <c r="FA65" s="12"/>
      <c r="FB65" s="12"/>
      <c r="FC65" s="12"/>
      <c r="FD65" s="12"/>
      <c r="FE65" s="12"/>
      <c r="FF65" s="12"/>
      <c r="FG65" s="12"/>
      <c r="FH65" s="12"/>
      <c r="FI65" s="12"/>
      <c r="FJ65" s="12"/>
      <c r="FK65" s="12"/>
      <c r="FL65" s="12"/>
      <c r="FM65" s="12"/>
      <c r="FN65" s="12"/>
      <c r="FO65" s="12"/>
      <c r="FP65" s="12"/>
      <c r="FQ65" s="12"/>
      <c r="FR65" s="12"/>
      <c r="FS65" s="12"/>
      <c r="FT65" s="12"/>
      <c r="FU65" s="12"/>
      <c r="FV65" s="12"/>
      <c r="FW65" s="12"/>
      <c r="FX65" s="12"/>
      <c r="FY65" s="12"/>
      <c r="FZ65" s="12"/>
      <c r="GA65" s="12"/>
      <c r="GB65" s="12"/>
      <c r="GC65" s="12"/>
      <c r="GD65" s="12"/>
      <c r="GE65" s="12"/>
    </row>
    <row r="66" spans="1:187" ht="21" customHeight="1">
      <c r="A66" s="45"/>
      <c r="B66" s="9" t="s">
        <v>291</v>
      </c>
      <c r="C66" s="10" t="s">
        <v>66</v>
      </c>
      <c r="D66" s="10" t="s">
        <v>115</v>
      </c>
      <c r="E66" s="35">
        <v>158.941</v>
      </c>
      <c r="F66" s="35">
        <f>232.999-E66</f>
        <v>74.057999999999993</v>
      </c>
      <c r="G66" s="35">
        <v>0</v>
      </c>
      <c r="H66" s="35">
        <f>181.079</f>
        <v>181.07900000000001</v>
      </c>
      <c r="I66" s="35">
        <f t="shared" si="0"/>
        <v>414.07799999999997</v>
      </c>
      <c r="J66" s="56">
        <f>'2021'!J67</f>
        <v>605.5</v>
      </c>
      <c r="K66" s="49">
        <v>5699.37</v>
      </c>
      <c r="L66" s="49">
        <v>5927.3518720000002</v>
      </c>
      <c r="M66" s="49">
        <v>1649.4816000000001</v>
      </c>
      <c r="N66" s="49">
        <v>1715.4608640000001</v>
      </c>
      <c r="O66" s="56">
        <f t="shared" si="1"/>
        <v>4049.8883999999998</v>
      </c>
      <c r="P66" s="1">
        <f t="shared" si="2"/>
        <v>643693.31218439993</v>
      </c>
      <c r="Q66" s="1">
        <f t="shared" si="3"/>
        <v>299926.63512719993</v>
      </c>
      <c r="R66" s="1">
        <f t="shared" si="4"/>
        <v>0</v>
      </c>
      <c r="S66" s="1">
        <f t="shared" si="5"/>
        <v>762685.01183763216</v>
      </c>
      <c r="T66" s="1">
        <f t="shared" si="6"/>
        <v>1706304.9591492321</v>
      </c>
      <c r="U66" s="11"/>
      <c r="V66" s="11"/>
      <c r="W66" s="11"/>
      <c r="X66" s="12"/>
      <c r="Y66" s="12"/>
      <c r="Z66" s="12"/>
      <c r="AA66" s="12"/>
      <c r="AB66" s="12"/>
      <c r="AC66" s="12"/>
      <c r="AD66" s="12"/>
      <c r="AE66" s="12"/>
      <c r="AF66" s="12"/>
      <c r="AG66" s="12"/>
      <c r="AH66" s="12"/>
      <c r="AI66" s="12"/>
      <c r="AJ66" s="12"/>
      <c r="AK66" s="12"/>
      <c r="AL66" s="12"/>
      <c r="AM66" s="12"/>
      <c r="AN66" s="12"/>
      <c r="AO66" s="12"/>
      <c r="AP66" s="12"/>
      <c r="AQ66" s="12"/>
      <c r="AR66" s="12"/>
      <c r="AS66" s="12"/>
      <c r="AT66" s="12"/>
      <c r="AU66" s="12"/>
      <c r="AV66" s="12"/>
      <c r="AW66" s="12"/>
      <c r="AX66" s="12"/>
      <c r="AY66" s="12"/>
      <c r="AZ66" s="12"/>
      <c r="BA66" s="12"/>
      <c r="BB66" s="12"/>
      <c r="BC66" s="12"/>
      <c r="BD66" s="12"/>
      <c r="BE66" s="12"/>
      <c r="BF66" s="12"/>
      <c r="BG66" s="12"/>
      <c r="BH66" s="12"/>
      <c r="BI66" s="12"/>
      <c r="BJ66" s="12"/>
      <c r="BK66" s="12"/>
      <c r="BL66" s="12"/>
      <c r="BM66" s="12"/>
      <c r="BN66" s="12"/>
      <c r="BO66" s="12"/>
      <c r="BP66" s="12"/>
      <c r="BQ66" s="12"/>
      <c r="BR66" s="12"/>
      <c r="BS66" s="12"/>
      <c r="BT66" s="12"/>
      <c r="BU66" s="12"/>
      <c r="BV66" s="12"/>
      <c r="BW66" s="12"/>
      <c r="BX66" s="12"/>
      <c r="BY66" s="12"/>
      <c r="BZ66" s="12"/>
      <c r="CA66" s="12"/>
      <c r="CB66" s="12"/>
      <c r="CC66" s="12"/>
      <c r="CD66" s="12"/>
      <c r="CE66" s="12"/>
      <c r="CF66" s="12"/>
      <c r="CG66" s="12"/>
      <c r="CH66" s="12"/>
      <c r="CI66" s="12"/>
      <c r="CJ66" s="12"/>
      <c r="CK66" s="12"/>
      <c r="CL66" s="12"/>
      <c r="CM66" s="12"/>
      <c r="CN66" s="12"/>
      <c r="CO66" s="12"/>
      <c r="CP66" s="12"/>
      <c r="CQ66" s="12"/>
      <c r="CR66" s="12"/>
      <c r="CS66" s="12"/>
      <c r="CT66" s="12"/>
      <c r="CU66" s="12"/>
      <c r="CV66" s="12"/>
      <c r="CW66" s="12"/>
      <c r="CX66" s="12"/>
      <c r="CY66" s="12"/>
      <c r="CZ66" s="12"/>
      <c r="DA66" s="12"/>
      <c r="DB66" s="12"/>
      <c r="DC66" s="12"/>
      <c r="DD66" s="12"/>
      <c r="DE66" s="12"/>
      <c r="DF66" s="12"/>
      <c r="DG66" s="12"/>
      <c r="DH66" s="12"/>
      <c r="DI66" s="12"/>
      <c r="DJ66" s="12"/>
      <c r="DK66" s="12"/>
      <c r="DL66" s="12"/>
      <c r="DM66" s="12"/>
      <c r="DN66" s="12"/>
      <c r="DO66" s="12"/>
      <c r="DP66" s="12"/>
      <c r="DQ66" s="12"/>
      <c r="DR66" s="12"/>
      <c r="DS66" s="12"/>
      <c r="DT66" s="12"/>
      <c r="DU66" s="12"/>
      <c r="DV66" s="12"/>
      <c r="DW66" s="12"/>
      <c r="DX66" s="12"/>
      <c r="DY66" s="12"/>
      <c r="DZ66" s="12"/>
      <c r="EA66" s="12"/>
      <c r="EB66" s="12"/>
      <c r="EC66" s="12"/>
      <c r="ED66" s="12"/>
      <c r="EE66" s="12"/>
      <c r="EF66" s="12"/>
      <c r="EG66" s="12"/>
      <c r="EH66" s="12"/>
      <c r="EI66" s="12"/>
      <c r="EJ66" s="12"/>
      <c r="EK66" s="12"/>
      <c r="EL66" s="12"/>
      <c r="EM66" s="12"/>
      <c r="EN66" s="12"/>
      <c r="EO66" s="12"/>
      <c r="EP66" s="12"/>
      <c r="EQ66" s="12"/>
      <c r="ER66" s="12"/>
      <c r="ES66" s="12"/>
      <c r="ET66" s="12"/>
      <c r="EU66" s="12"/>
      <c r="EV66" s="12"/>
      <c r="EW66" s="12"/>
      <c r="EX66" s="12"/>
      <c r="EY66" s="12"/>
      <c r="EZ66" s="12"/>
      <c r="FA66" s="12"/>
      <c r="FB66" s="12"/>
      <c r="FC66" s="12"/>
      <c r="FD66" s="12"/>
      <c r="FE66" s="12"/>
      <c r="FF66" s="12"/>
      <c r="FG66" s="12"/>
      <c r="FH66" s="12"/>
      <c r="FI66" s="12"/>
      <c r="FJ66" s="12"/>
      <c r="FK66" s="12"/>
      <c r="FL66" s="12"/>
      <c r="FM66" s="12"/>
      <c r="FN66" s="12"/>
      <c r="FO66" s="12"/>
      <c r="FP66" s="12"/>
      <c r="FQ66" s="12"/>
      <c r="FR66" s="12"/>
      <c r="FS66" s="12"/>
      <c r="FT66" s="12"/>
      <c r="FU66" s="12"/>
      <c r="FV66" s="12"/>
      <c r="FW66" s="12"/>
      <c r="FX66" s="12"/>
      <c r="FY66" s="12"/>
      <c r="FZ66" s="12"/>
      <c r="GA66" s="12"/>
      <c r="GB66" s="12"/>
      <c r="GC66" s="12"/>
      <c r="GD66" s="12"/>
      <c r="GE66" s="12"/>
    </row>
    <row r="67" spans="1:187" s="19" customFormat="1" ht="21" customHeight="1" outlineLevel="1">
      <c r="A67" s="29"/>
      <c r="B67" s="106" t="s">
        <v>112</v>
      </c>
      <c r="C67" s="106"/>
      <c r="D67" s="106"/>
      <c r="E67" s="71"/>
      <c r="F67" s="2"/>
      <c r="G67" s="2"/>
      <c r="H67" s="2"/>
      <c r="I67" s="35">
        <f t="shared" si="0"/>
        <v>0</v>
      </c>
      <c r="J67" s="56"/>
      <c r="K67" s="49"/>
      <c r="L67" s="49"/>
      <c r="M67" s="49"/>
      <c r="N67" s="49"/>
      <c r="O67" s="56">
        <f t="shared" si="1"/>
        <v>0</v>
      </c>
      <c r="P67" s="1">
        <f t="shared" si="2"/>
        <v>0</v>
      </c>
      <c r="Q67" s="1">
        <f t="shared" si="3"/>
        <v>0</v>
      </c>
      <c r="R67" s="1">
        <f t="shared" si="4"/>
        <v>0</v>
      </c>
      <c r="S67" s="1">
        <f t="shared" si="5"/>
        <v>0</v>
      </c>
      <c r="T67" s="1">
        <f t="shared" si="6"/>
        <v>0</v>
      </c>
      <c r="U67" s="1">
        <f>G67*(P67-R67)</f>
        <v>0</v>
      </c>
      <c r="V67" s="1"/>
      <c r="W67" s="1"/>
    </row>
    <row r="68" spans="1:187" s="19" customFormat="1" ht="21" customHeight="1" outlineLevel="1">
      <c r="A68" s="29"/>
      <c r="B68" s="4" t="s">
        <v>19</v>
      </c>
      <c r="C68" s="3" t="s">
        <v>113</v>
      </c>
      <c r="D68" s="3"/>
      <c r="E68" s="42">
        <v>2758.7080000000001</v>
      </c>
      <c r="F68" s="42">
        <f>3971.809-E68</f>
        <v>1213.1010000000001</v>
      </c>
      <c r="G68" s="42">
        <v>334.017</v>
      </c>
      <c r="H68" s="42">
        <f>2199.106-G68</f>
        <v>1865.0890000000002</v>
      </c>
      <c r="I68" s="35">
        <f t="shared" si="0"/>
        <v>6170.915</v>
      </c>
      <c r="J68" s="56">
        <f>'2021'!J69</f>
        <v>6222.2960000000003</v>
      </c>
      <c r="K68" s="49">
        <v>1898.4892160000002</v>
      </c>
      <c r="L68" s="49">
        <v>1974.4287846400002</v>
      </c>
      <c r="M68" s="49">
        <v>1786.0383735999997</v>
      </c>
      <c r="N68" s="49">
        <v>1857.4799085439997</v>
      </c>
      <c r="O68" s="56">
        <f t="shared" si="1"/>
        <v>112.45084240000051</v>
      </c>
      <c r="P68" s="1">
        <f t="shared" si="2"/>
        <v>310219.03853562061</v>
      </c>
      <c r="Q68" s="1">
        <f t="shared" si="3"/>
        <v>136414.22936628302</v>
      </c>
      <c r="R68" s="1">
        <f t="shared" si="4"/>
        <v>39062.912746957802</v>
      </c>
      <c r="S68" s="1">
        <f t="shared" si="5"/>
        <v>218120.0623690135</v>
      </c>
      <c r="T68" s="1">
        <f t="shared" si="6"/>
        <v>703816.24301787489</v>
      </c>
      <c r="U68" s="1">
        <f>G68*(P68-R68)</f>
        <v>90570755.667551786</v>
      </c>
      <c r="V68" s="1"/>
      <c r="W68" s="1"/>
    </row>
    <row r="69" spans="1:187" s="19" customFormat="1" ht="21" customHeight="1" outlineLevel="1">
      <c r="A69" s="29" t="s">
        <v>337</v>
      </c>
      <c r="B69" s="9">
        <v>7729314745</v>
      </c>
      <c r="C69" s="10" t="s">
        <v>341</v>
      </c>
      <c r="D69" s="3"/>
      <c r="E69" s="35">
        <f>739.596*0.4</f>
        <v>295.83840000000004</v>
      </c>
      <c r="F69" s="35">
        <f>739.596*0.6</f>
        <v>443.75759999999997</v>
      </c>
      <c r="G69" s="35">
        <f>605.124*0.8</f>
        <v>484.09920000000005</v>
      </c>
      <c r="H69" s="35">
        <f>605.124*0.2</f>
        <v>121.02480000000001</v>
      </c>
      <c r="I69" s="35">
        <f t="shared" si="0"/>
        <v>1344.72</v>
      </c>
      <c r="J69" s="56">
        <f>'2021'!J70</f>
        <v>1344.7</v>
      </c>
      <c r="K69" s="49">
        <v>8013.5960320000013</v>
      </c>
      <c r="L69" s="49">
        <v>8334.1398732800008</v>
      </c>
      <c r="M69" s="49">
        <v>2150.2949936</v>
      </c>
      <c r="N69" s="49">
        <v>2236.3067933440002</v>
      </c>
      <c r="O69" s="56">
        <f t="shared" si="1"/>
        <v>5863.3010384000008</v>
      </c>
      <c r="P69" s="1">
        <f t="shared" si="2"/>
        <v>1734589.597918595</v>
      </c>
      <c r="Q69" s="1">
        <f t="shared" si="3"/>
        <v>2601884.3968778918</v>
      </c>
      <c r="R69" s="1">
        <f t="shared" si="4"/>
        <v>2951956.1157305543</v>
      </c>
      <c r="S69" s="1">
        <f t="shared" si="5"/>
        <v>737989.02893263858</v>
      </c>
      <c r="T69" s="1">
        <f t="shared" si="6"/>
        <v>8026419.1394596789</v>
      </c>
      <c r="U69" s="1"/>
      <c r="V69" s="1"/>
      <c r="W69" s="1"/>
    </row>
    <row r="70" spans="1:187" ht="21" customHeight="1">
      <c r="A70" s="45"/>
      <c r="B70" s="101" t="s">
        <v>119</v>
      </c>
      <c r="C70" s="101"/>
      <c r="D70" s="101"/>
      <c r="E70" s="34"/>
      <c r="F70" s="34"/>
      <c r="G70" s="34"/>
      <c r="H70" s="34"/>
      <c r="I70" s="35">
        <f t="shared" si="0"/>
        <v>0</v>
      </c>
      <c r="J70" s="56"/>
      <c r="K70" s="49"/>
      <c r="L70" s="49"/>
      <c r="M70" s="49"/>
      <c r="N70" s="49"/>
      <c r="O70" s="56">
        <f t="shared" si="1"/>
        <v>0</v>
      </c>
      <c r="P70" s="1">
        <f t="shared" si="2"/>
        <v>0</v>
      </c>
      <c r="Q70" s="1">
        <f t="shared" si="3"/>
        <v>0</v>
      </c>
      <c r="R70" s="1">
        <f t="shared" si="4"/>
        <v>0</v>
      </c>
      <c r="S70" s="1">
        <f t="shared" si="5"/>
        <v>0</v>
      </c>
      <c r="T70" s="1">
        <f t="shared" si="6"/>
        <v>0</v>
      </c>
      <c r="U70" s="45"/>
      <c r="V70" s="45"/>
      <c r="W70" s="45"/>
    </row>
    <row r="71" spans="1:187" ht="21" customHeight="1">
      <c r="A71" s="45"/>
      <c r="B71" s="9" t="s">
        <v>43</v>
      </c>
      <c r="C71" s="10" t="s">
        <v>120</v>
      </c>
      <c r="D71" s="10" t="s">
        <v>121</v>
      </c>
      <c r="E71" s="35">
        <v>300.31</v>
      </c>
      <c r="F71" s="35">
        <f>455.02-E71</f>
        <v>154.70999999999998</v>
      </c>
      <c r="G71" s="35">
        <v>36</v>
      </c>
      <c r="H71" s="35">
        <f>330.46-G71</f>
        <v>294.45999999999998</v>
      </c>
      <c r="I71" s="35">
        <f t="shared" si="0"/>
        <v>785.48</v>
      </c>
      <c r="J71" s="56">
        <f>'2021'!J72</f>
        <v>833</v>
      </c>
      <c r="K71" s="49">
        <v>5551.0091520000005</v>
      </c>
      <c r="L71" s="49">
        <v>5773.0495180800008</v>
      </c>
      <c r="M71" s="49">
        <v>1805.0843304</v>
      </c>
      <c r="N71" s="49">
        <v>1877.287703616</v>
      </c>
      <c r="O71" s="56">
        <f t="shared" si="1"/>
        <v>3745.9248216000005</v>
      </c>
      <c r="P71" s="1">
        <f t="shared" si="2"/>
        <v>1124938.6831746963</v>
      </c>
      <c r="Q71" s="1">
        <f t="shared" si="3"/>
        <v>579532.02914973604</v>
      </c>
      <c r="R71" s="1">
        <f t="shared" si="4"/>
        <v>140247.42532070403</v>
      </c>
      <c r="S71" s="1">
        <f t="shared" si="5"/>
        <v>1147146.0238870697</v>
      </c>
      <c r="T71" s="1">
        <f t="shared" si="6"/>
        <v>2991864.161532206</v>
      </c>
      <c r="U71" s="11"/>
      <c r="V71" s="11"/>
      <c r="W71" s="11"/>
      <c r="X71" s="12"/>
      <c r="Y71" s="12"/>
      <c r="Z71" s="12"/>
      <c r="AA71" s="12"/>
      <c r="AB71" s="12"/>
      <c r="AC71" s="12"/>
      <c r="AD71" s="12"/>
      <c r="AE71" s="12"/>
      <c r="AF71" s="12"/>
      <c r="AG71" s="12"/>
      <c r="AH71" s="12"/>
      <c r="AI71" s="12"/>
      <c r="AJ71" s="12"/>
      <c r="AK71" s="12"/>
      <c r="AL71" s="12"/>
      <c r="AM71" s="12"/>
      <c r="AN71" s="12"/>
      <c r="AO71" s="12"/>
      <c r="AP71" s="12"/>
      <c r="AQ71" s="12"/>
      <c r="AR71" s="12"/>
      <c r="AS71" s="12"/>
      <c r="AT71" s="12"/>
      <c r="AU71" s="12"/>
      <c r="AV71" s="12"/>
      <c r="AW71" s="12"/>
      <c r="AX71" s="12"/>
      <c r="AY71" s="12"/>
      <c r="AZ71" s="12"/>
      <c r="BA71" s="12"/>
      <c r="BB71" s="12"/>
      <c r="BC71" s="12"/>
      <c r="BD71" s="12"/>
      <c r="BE71" s="12"/>
      <c r="BF71" s="12"/>
      <c r="BG71" s="12"/>
      <c r="BH71" s="12"/>
      <c r="BI71" s="12"/>
      <c r="BJ71" s="12"/>
      <c r="BK71" s="12"/>
      <c r="BL71" s="12"/>
      <c r="BM71" s="12"/>
      <c r="BN71" s="12"/>
      <c r="BO71" s="12"/>
      <c r="BP71" s="12"/>
      <c r="BQ71" s="12"/>
      <c r="BR71" s="12"/>
      <c r="BS71" s="12"/>
      <c r="BT71" s="12"/>
      <c r="BU71" s="12"/>
      <c r="BV71" s="12"/>
      <c r="BW71" s="12"/>
      <c r="BX71" s="12"/>
      <c r="BY71" s="12"/>
      <c r="BZ71" s="12"/>
      <c r="CA71" s="12"/>
      <c r="CB71" s="12"/>
      <c r="CC71" s="12"/>
      <c r="CD71" s="12"/>
      <c r="CE71" s="12"/>
      <c r="CF71" s="12"/>
      <c r="CG71" s="12"/>
      <c r="CH71" s="12"/>
      <c r="CI71" s="12"/>
      <c r="CJ71" s="12"/>
      <c r="CK71" s="12"/>
      <c r="CL71" s="12"/>
      <c r="CM71" s="12"/>
      <c r="CN71" s="12"/>
      <c r="CO71" s="12"/>
      <c r="CP71" s="12"/>
      <c r="CQ71" s="12"/>
      <c r="CR71" s="12"/>
      <c r="CS71" s="12"/>
      <c r="CT71" s="12"/>
      <c r="CU71" s="12"/>
      <c r="CV71" s="12"/>
      <c r="CW71" s="12"/>
      <c r="CX71" s="12"/>
      <c r="CY71" s="12"/>
      <c r="CZ71" s="12"/>
      <c r="DA71" s="12"/>
      <c r="DB71" s="12"/>
      <c r="DC71" s="12"/>
      <c r="DD71" s="12"/>
      <c r="DE71" s="12"/>
      <c r="DF71" s="12"/>
      <c r="DG71" s="12"/>
      <c r="DH71" s="12"/>
      <c r="DI71" s="12"/>
      <c r="DJ71" s="12"/>
      <c r="DK71" s="12"/>
      <c r="DL71" s="12"/>
      <c r="DM71" s="12"/>
      <c r="DN71" s="12"/>
      <c r="DO71" s="12"/>
      <c r="DP71" s="12"/>
      <c r="DQ71" s="12"/>
      <c r="DR71" s="12"/>
      <c r="DS71" s="12"/>
      <c r="DT71" s="12"/>
      <c r="DU71" s="12"/>
      <c r="DV71" s="12"/>
      <c r="DW71" s="12"/>
      <c r="DX71" s="12"/>
      <c r="DY71" s="12"/>
      <c r="DZ71" s="12"/>
      <c r="EA71" s="12"/>
      <c r="EB71" s="12"/>
      <c r="EC71" s="12"/>
      <c r="ED71" s="12"/>
      <c r="EE71" s="12"/>
      <c r="EF71" s="12"/>
      <c r="EG71" s="12"/>
      <c r="EH71" s="12"/>
      <c r="EI71" s="12"/>
      <c r="EJ71" s="12"/>
      <c r="EK71" s="12"/>
      <c r="EL71" s="12"/>
      <c r="EM71" s="12"/>
      <c r="EN71" s="12"/>
      <c r="EO71" s="12"/>
      <c r="EP71" s="12"/>
      <c r="EQ71" s="12"/>
      <c r="ER71" s="12"/>
      <c r="ES71" s="12"/>
      <c r="ET71" s="12"/>
      <c r="EU71" s="12"/>
      <c r="EV71" s="12"/>
      <c r="EW71" s="12"/>
      <c r="EX71" s="12"/>
      <c r="EY71" s="12"/>
      <c r="EZ71" s="12"/>
      <c r="FA71" s="12"/>
      <c r="FB71" s="12"/>
      <c r="FC71" s="12"/>
      <c r="FD71" s="12"/>
      <c r="FE71" s="12"/>
      <c r="FF71" s="12"/>
      <c r="FG71" s="12"/>
      <c r="FH71" s="12"/>
      <c r="FI71" s="12"/>
      <c r="FJ71" s="12"/>
      <c r="FK71" s="12"/>
      <c r="FL71" s="12"/>
      <c r="FM71" s="12"/>
      <c r="FN71" s="12"/>
      <c r="FO71" s="12"/>
      <c r="FP71" s="12"/>
      <c r="FQ71" s="12"/>
      <c r="FR71" s="12"/>
      <c r="FS71" s="12"/>
      <c r="FT71" s="12"/>
      <c r="FU71" s="12"/>
      <c r="FV71" s="12"/>
      <c r="FW71" s="12"/>
      <c r="FX71" s="12"/>
      <c r="FY71" s="12"/>
      <c r="FZ71" s="12"/>
      <c r="GA71" s="12"/>
      <c r="GB71" s="12"/>
      <c r="GC71" s="12"/>
      <c r="GD71" s="12"/>
      <c r="GE71" s="12"/>
    </row>
    <row r="72" spans="1:187" ht="21" customHeight="1">
      <c r="A72" s="45"/>
      <c r="B72" s="9" t="s">
        <v>297</v>
      </c>
      <c r="C72" s="10" t="s">
        <v>298</v>
      </c>
      <c r="D72" s="10" t="s">
        <v>122</v>
      </c>
      <c r="E72" s="35">
        <v>3262.3429999999998</v>
      </c>
      <c r="F72" s="35">
        <f>4513.742-E72</f>
        <v>1251.3990000000003</v>
      </c>
      <c r="G72" s="35">
        <v>379.71899999999999</v>
      </c>
      <c r="H72" s="35">
        <f>3345.173-G72</f>
        <v>2965.4539999999997</v>
      </c>
      <c r="I72" s="35">
        <f t="shared" ref="I72:I137" si="7">SUM(E72:H72)</f>
        <v>7858.915</v>
      </c>
      <c r="J72" s="56">
        <f>'2021'!J73</f>
        <v>8031.2</v>
      </c>
      <c r="K72" s="49">
        <v>5700.053632000001</v>
      </c>
      <c r="L72" s="49">
        <v>5928.0557772800012</v>
      </c>
      <c r="M72" s="49">
        <v>1755.3340479999999</v>
      </c>
      <c r="N72" s="49">
        <v>1825.5474099200001</v>
      </c>
      <c r="O72" s="56">
        <f t="shared" si="1"/>
        <v>3944.7195840000013</v>
      </c>
      <c r="P72" s="1">
        <f t="shared" si="2"/>
        <v>12869028.321825316</v>
      </c>
      <c r="Q72" s="1">
        <f t="shared" si="3"/>
        <v>4936418.1426980188</v>
      </c>
      <c r="R72" s="1">
        <f t="shared" si="4"/>
        <v>1557800.3747455722</v>
      </c>
      <c r="S72" s="1">
        <f t="shared" si="5"/>
        <v>12165799.848021183</v>
      </c>
      <c r="T72" s="1">
        <f t="shared" si="6"/>
        <v>31529046.687290091</v>
      </c>
      <c r="U72" s="11"/>
      <c r="V72" s="11"/>
      <c r="W72" s="11"/>
      <c r="X72" s="12"/>
      <c r="Y72" s="12"/>
      <c r="Z72" s="12"/>
      <c r="AA72" s="12"/>
      <c r="AB72" s="12"/>
      <c r="AC72" s="12"/>
      <c r="AD72" s="12"/>
      <c r="AE72" s="12"/>
      <c r="AF72" s="12"/>
      <c r="AG72" s="12"/>
      <c r="AH72" s="12"/>
      <c r="AI72" s="12"/>
      <c r="AJ72" s="12"/>
      <c r="AK72" s="12"/>
      <c r="AL72" s="12"/>
      <c r="AM72" s="12"/>
      <c r="AN72" s="12"/>
      <c r="AO72" s="12"/>
      <c r="AP72" s="12"/>
      <c r="AQ72" s="12"/>
      <c r="AR72" s="12"/>
      <c r="AS72" s="12"/>
      <c r="AT72" s="12"/>
      <c r="AU72" s="12"/>
      <c r="AV72" s="12"/>
      <c r="AW72" s="12"/>
      <c r="AX72" s="12"/>
      <c r="AY72" s="12"/>
      <c r="AZ72" s="12"/>
      <c r="BA72" s="12"/>
      <c r="BB72" s="12"/>
      <c r="BC72" s="12"/>
      <c r="BD72" s="12"/>
      <c r="BE72" s="12"/>
      <c r="BF72" s="12"/>
      <c r="BG72" s="12"/>
      <c r="BH72" s="12"/>
      <c r="BI72" s="12"/>
      <c r="BJ72" s="12"/>
      <c r="BK72" s="12"/>
      <c r="BL72" s="12"/>
      <c r="BM72" s="12"/>
      <c r="BN72" s="12"/>
      <c r="BO72" s="12"/>
      <c r="BP72" s="12"/>
      <c r="BQ72" s="12"/>
      <c r="BR72" s="12"/>
      <c r="BS72" s="12"/>
      <c r="BT72" s="12"/>
      <c r="BU72" s="12"/>
      <c r="BV72" s="12"/>
      <c r="BW72" s="12"/>
      <c r="BX72" s="12"/>
      <c r="BY72" s="12"/>
      <c r="BZ72" s="12"/>
      <c r="CA72" s="12"/>
      <c r="CB72" s="12"/>
      <c r="CC72" s="12"/>
      <c r="CD72" s="12"/>
      <c r="CE72" s="12"/>
      <c r="CF72" s="12"/>
      <c r="CG72" s="12"/>
      <c r="CH72" s="12"/>
      <c r="CI72" s="12"/>
      <c r="CJ72" s="12"/>
      <c r="CK72" s="12"/>
      <c r="CL72" s="12"/>
      <c r="CM72" s="12"/>
      <c r="CN72" s="12"/>
      <c r="CO72" s="12"/>
      <c r="CP72" s="12"/>
      <c r="CQ72" s="12"/>
      <c r="CR72" s="12"/>
      <c r="CS72" s="12"/>
      <c r="CT72" s="12"/>
      <c r="CU72" s="12"/>
      <c r="CV72" s="12"/>
      <c r="CW72" s="12"/>
      <c r="CX72" s="12"/>
      <c r="CY72" s="12"/>
      <c r="CZ72" s="12"/>
      <c r="DA72" s="12"/>
      <c r="DB72" s="12"/>
      <c r="DC72" s="12"/>
      <c r="DD72" s="12"/>
      <c r="DE72" s="12"/>
      <c r="DF72" s="12"/>
      <c r="DG72" s="12"/>
      <c r="DH72" s="12"/>
      <c r="DI72" s="12"/>
      <c r="DJ72" s="12"/>
      <c r="DK72" s="12"/>
      <c r="DL72" s="12"/>
      <c r="DM72" s="12"/>
      <c r="DN72" s="12"/>
      <c r="DO72" s="12"/>
      <c r="DP72" s="12"/>
      <c r="DQ72" s="12"/>
      <c r="DR72" s="12"/>
      <c r="DS72" s="12"/>
      <c r="DT72" s="12"/>
      <c r="DU72" s="12"/>
      <c r="DV72" s="12"/>
      <c r="DW72" s="12"/>
      <c r="DX72" s="12"/>
      <c r="DY72" s="12"/>
      <c r="DZ72" s="12"/>
      <c r="EA72" s="12"/>
      <c r="EB72" s="12"/>
      <c r="EC72" s="12"/>
      <c r="ED72" s="12"/>
      <c r="EE72" s="12"/>
      <c r="EF72" s="12"/>
      <c r="EG72" s="12"/>
      <c r="EH72" s="12"/>
      <c r="EI72" s="12"/>
      <c r="EJ72" s="12"/>
      <c r="EK72" s="12"/>
      <c r="EL72" s="12"/>
      <c r="EM72" s="12"/>
      <c r="EN72" s="12"/>
      <c r="EO72" s="12"/>
      <c r="EP72" s="12"/>
      <c r="EQ72" s="12"/>
      <c r="ER72" s="12"/>
      <c r="ES72" s="12"/>
      <c r="ET72" s="12"/>
      <c r="EU72" s="12"/>
      <c r="EV72" s="12"/>
      <c r="EW72" s="12"/>
      <c r="EX72" s="12"/>
      <c r="EY72" s="12"/>
      <c r="EZ72" s="12"/>
      <c r="FA72" s="12"/>
      <c r="FB72" s="12"/>
      <c r="FC72" s="12"/>
      <c r="FD72" s="12"/>
      <c r="FE72" s="12"/>
      <c r="FF72" s="12"/>
      <c r="FG72" s="12"/>
      <c r="FH72" s="12"/>
      <c r="FI72" s="12"/>
      <c r="FJ72" s="12"/>
      <c r="FK72" s="12"/>
      <c r="FL72" s="12"/>
      <c r="FM72" s="12"/>
      <c r="FN72" s="12"/>
      <c r="FO72" s="12"/>
      <c r="FP72" s="12"/>
      <c r="FQ72" s="12"/>
      <c r="FR72" s="12"/>
      <c r="FS72" s="12"/>
      <c r="FT72" s="12"/>
      <c r="FU72" s="12"/>
      <c r="FV72" s="12"/>
      <c r="FW72" s="12"/>
      <c r="FX72" s="12"/>
      <c r="FY72" s="12"/>
      <c r="FZ72" s="12"/>
      <c r="GA72" s="12"/>
      <c r="GB72" s="12"/>
      <c r="GC72" s="12"/>
      <c r="GD72" s="12"/>
      <c r="GE72" s="12"/>
    </row>
    <row r="73" spans="1:187" ht="21" customHeight="1">
      <c r="A73" s="45" t="s">
        <v>337</v>
      </c>
      <c r="B73" s="72">
        <v>2914001089</v>
      </c>
      <c r="C73" s="10" t="s">
        <v>331</v>
      </c>
      <c r="D73" s="10" t="s">
        <v>121</v>
      </c>
      <c r="E73" s="35">
        <f>83.9832*0.4</f>
        <v>33.59328</v>
      </c>
      <c r="F73" s="35">
        <f>83.9832*0.6</f>
        <v>50.389919999999996</v>
      </c>
      <c r="G73" s="35">
        <f>65.9868*0.2</f>
        <v>13.197360000000002</v>
      </c>
      <c r="H73" s="35">
        <f>65.9868*0.8</f>
        <v>52.789440000000006</v>
      </c>
      <c r="I73" s="35">
        <f t="shared" si="7"/>
        <v>149.97</v>
      </c>
      <c r="J73" s="56">
        <f>'2021'!J74</f>
        <v>150</v>
      </c>
      <c r="K73" s="49">
        <v>10254.465728000001</v>
      </c>
      <c r="L73" s="49">
        <v>10664.644357120002</v>
      </c>
      <c r="M73" s="49">
        <v>1805.0843304</v>
      </c>
      <c r="N73" s="49">
        <v>1877.287703616</v>
      </c>
      <c r="O73" s="56">
        <f t="shared" si="1"/>
        <v>8449.3813976000019</v>
      </c>
      <c r="P73" s="1">
        <f t="shared" ref="P73:P136" si="8">(K73-M73)*E73</f>
        <v>283842.43511636817</v>
      </c>
      <c r="Q73" s="1">
        <f t="shared" ref="Q73:Q136" si="9">(K73-M73)*F73</f>
        <v>425763.65267455229</v>
      </c>
      <c r="R73" s="1">
        <f t="shared" ref="R73:R136" si="10">(L73-N73)*G73</f>
        <v>115969.90920468757</v>
      </c>
      <c r="S73" s="1">
        <f t="shared" ref="S73:S136" si="11">(H73*(L73-N73))</f>
        <v>463879.6368187503</v>
      </c>
      <c r="T73" s="1">
        <f t="shared" ref="T73:T136" si="12">SUM(P73:S73)</f>
        <v>1289455.6338143582</v>
      </c>
      <c r="U73" s="11"/>
      <c r="V73" s="11"/>
      <c r="W73" s="11"/>
      <c r="X73" s="12"/>
      <c r="Y73" s="12"/>
      <c r="Z73" s="12"/>
      <c r="AA73" s="12"/>
      <c r="AB73" s="12"/>
      <c r="AC73" s="12"/>
      <c r="AD73" s="12"/>
      <c r="AE73" s="12"/>
      <c r="AF73" s="12"/>
      <c r="AG73" s="12"/>
      <c r="AH73" s="12"/>
      <c r="AI73" s="12"/>
      <c r="AJ73" s="12"/>
      <c r="AK73" s="12"/>
      <c r="AL73" s="12"/>
      <c r="AM73" s="12"/>
      <c r="AN73" s="12"/>
      <c r="AO73" s="12"/>
      <c r="AP73" s="12"/>
      <c r="AQ73" s="12"/>
      <c r="AR73" s="12"/>
      <c r="AS73" s="12"/>
      <c r="AT73" s="12"/>
      <c r="AU73" s="12"/>
      <c r="AV73" s="12"/>
      <c r="AW73" s="12"/>
      <c r="AX73" s="12"/>
      <c r="AY73" s="12"/>
      <c r="AZ73" s="12"/>
      <c r="BA73" s="12"/>
      <c r="BB73" s="12"/>
      <c r="BC73" s="12"/>
      <c r="BD73" s="12"/>
      <c r="BE73" s="12"/>
      <c r="BF73" s="12"/>
      <c r="BG73" s="12"/>
      <c r="BH73" s="12"/>
      <c r="BI73" s="12"/>
      <c r="BJ73" s="12"/>
      <c r="BK73" s="12"/>
      <c r="BL73" s="12"/>
      <c r="BM73" s="12"/>
      <c r="BN73" s="12"/>
      <c r="BO73" s="12"/>
      <c r="BP73" s="12"/>
      <c r="BQ73" s="12"/>
      <c r="BR73" s="12"/>
      <c r="BS73" s="12"/>
      <c r="BT73" s="12"/>
      <c r="BU73" s="12"/>
      <c r="BV73" s="12"/>
      <c r="BW73" s="12"/>
      <c r="BX73" s="12"/>
      <c r="BY73" s="12"/>
      <c r="BZ73" s="12"/>
      <c r="CA73" s="12"/>
      <c r="CB73" s="12"/>
      <c r="CC73" s="12"/>
      <c r="CD73" s="12"/>
      <c r="CE73" s="12"/>
      <c r="CF73" s="12"/>
      <c r="CG73" s="12"/>
      <c r="CH73" s="12"/>
      <c r="CI73" s="12"/>
      <c r="CJ73" s="12"/>
      <c r="CK73" s="12"/>
      <c r="CL73" s="12"/>
      <c r="CM73" s="12"/>
      <c r="CN73" s="12"/>
      <c r="CO73" s="12"/>
      <c r="CP73" s="12"/>
      <c r="CQ73" s="12"/>
      <c r="CR73" s="12"/>
      <c r="CS73" s="12"/>
      <c r="CT73" s="12"/>
      <c r="CU73" s="12"/>
      <c r="CV73" s="12"/>
      <c r="CW73" s="12"/>
      <c r="CX73" s="12"/>
      <c r="CY73" s="12"/>
      <c r="CZ73" s="12"/>
      <c r="DA73" s="12"/>
      <c r="DB73" s="12"/>
      <c r="DC73" s="12"/>
      <c r="DD73" s="12"/>
      <c r="DE73" s="12"/>
      <c r="DF73" s="12"/>
      <c r="DG73" s="12"/>
      <c r="DH73" s="12"/>
      <c r="DI73" s="12"/>
      <c r="DJ73" s="12"/>
      <c r="DK73" s="12"/>
      <c r="DL73" s="12"/>
      <c r="DM73" s="12"/>
      <c r="DN73" s="12"/>
      <c r="DO73" s="12"/>
      <c r="DP73" s="12"/>
      <c r="DQ73" s="12"/>
      <c r="DR73" s="12"/>
      <c r="DS73" s="12"/>
      <c r="DT73" s="12"/>
      <c r="DU73" s="12"/>
      <c r="DV73" s="12"/>
      <c r="DW73" s="12"/>
      <c r="DX73" s="12"/>
      <c r="DY73" s="12"/>
      <c r="DZ73" s="12"/>
      <c r="EA73" s="12"/>
      <c r="EB73" s="12"/>
      <c r="EC73" s="12"/>
      <c r="ED73" s="12"/>
      <c r="EE73" s="12"/>
      <c r="EF73" s="12"/>
      <c r="EG73" s="12"/>
      <c r="EH73" s="12"/>
      <c r="EI73" s="12"/>
      <c r="EJ73" s="12"/>
      <c r="EK73" s="12"/>
      <c r="EL73" s="12"/>
      <c r="EM73" s="12"/>
      <c r="EN73" s="12"/>
      <c r="EO73" s="12"/>
      <c r="EP73" s="12"/>
      <c r="EQ73" s="12"/>
      <c r="ER73" s="12"/>
      <c r="ES73" s="12"/>
      <c r="ET73" s="12"/>
      <c r="EU73" s="12"/>
      <c r="EV73" s="12"/>
      <c r="EW73" s="12"/>
      <c r="EX73" s="12"/>
      <c r="EY73" s="12"/>
      <c r="EZ73" s="12"/>
      <c r="FA73" s="12"/>
      <c r="FB73" s="12"/>
      <c r="FC73" s="12"/>
      <c r="FD73" s="12"/>
      <c r="FE73" s="12"/>
      <c r="FF73" s="12"/>
      <c r="FG73" s="12"/>
      <c r="FH73" s="12"/>
      <c r="FI73" s="12"/>
      <c r="FJ73" s="12"/>
      <c r="FK73" s="12"/>
      <c r="FL73" s="12"/>
      <c r="FM73" s="12"/>
      <c r="FN73" s="12"/>
      <c r="FO73" s="12"/>
      <c r="FP73" s="12"/>
      <c r="FQ73" s="12"/>
      <c r="FR73" s="12"/>
      <c r="FS73" s="12"/>
      <c r="FT73" s="12"/>
      <c r="FU73" s="12"/>
      <c r="FV73" s="12"/>
      <c r="FW73" s="12"/>
      <c r="FX73" s="12"/>
      <c r="FY73" s="12"/>
      <c r="FZ73" s="12"/>
      <c r="GA73" s="12"/>
      <c r="GB73" s="12"/>
      <c r="GC73" s="12"/>
      <c r="GD73" s="12"/>
      <c r="GE73" s="12"/>
    </row>
    <row r="74" spans="1:187" ht="21" customHeight="1">
      <c r="A74" s="45"/>
      <c r="B74" s="101" t="s">
        <v>123</v>
      </c>
      <c r="C74" s="101"/>
      <c r="D74" s="101"/>
      <c r="E74" s="34"/>
      <c r="F74" s="34"/>
      <c r="G74" s="34"/>
      <c r="H74" s="34"/>
      <c r="I74" s="35">
        <f t="shared" si="7"/>
        <v>0</v>
      </c>
      <c r="J74" s="56">
        <f>'2021'!J75</f>
        <v>0</v>
      </c>
      <c r="K74" s="49">
        <v>0</v>
      </c>
      <c r="L74" s="49">
        <v>0</v>
      </c>
      <c r="M74" s="49">
        <v>0</v>
      </c>
      <c r="N74" s="49">
        <v>0</v>
      </c>
      <c r="O74" s="56">
        <f t="shared" si="1"/>
        <v>0</v>
      </c>
      <c r="P74" s="1">
        <f t="shared" si="8"/>
        <v>0</v>
      </c>
      <c r="Q74" s="1">
        <f t="shared" si="9"/>
        <v>0</v>
      </c>
      <c r="R74" s="1">
        <f t="shared" si="10"/>
        <v>0</v>
      </c>
      <c r="S74" s="1">
        <f t="shared" si="11"/>
        <v>0</v>
      </c>
      <c r="T74" s="1">
        <f t="shared" si="12"/>
        <v>0</v>
      </c>
      <c r="U74" s="45"/>
      <c r="V74" s="45"/>
      <c r="W74" s="45"/>
    </row>
    <row r="75" spans="1:187" ht="24.75" customHeight="1">
      <c r="A75" s="45"/>
      <c r="B75" s="9" t="s">
        <v>285</v>
      </c>
      <c r="C75" s="10" t="s">
        <v>124</v>
      </c>
      <c r="D75" s="10" t="s">
        <v>125</v>
      </c>
      <c r="E75" s="35">
        <v>975.79100000000005</v>
      </c>
      <c r="F75" s="35">
        <f>1430.226-E75</f>
        <v>454.43500000000006</v>
      </c>
      <c r="G75" s="35">
        <v>101.95</v>
      </c>
      <c r="H75" s="35">
        <f>1037.883-G75</f>
        <v>935.93299999999999</v>
      </c>
      <c r="I75" s="35">
        <f t="shared" si="7"/>
        <v>2468.1090000000004</v>
      </c>
      <c r="J75" s="56">
        <f>'2021'!J76</f>
        <v>2719.1</v>
      </c>
      <c r="K75" s="49">
        <v>2577.0784000000003</v>
      </c>
      <c r="L75" s="49">
        <v>2680.1615360000005</v>
      </c>
      <c r="M75" s="49">
        <v>1762.4256000000003</v>
      </c>
      <c r="N75" s="49">
        <v>1832.93</v>
      </c>
      <c r="O75" s="56">
        <f t="shared" ref="O75:O141" si="13">K75-M75</f>
        <v>814.65280000000007</v>
      </c>
      <c r="P75" s="1">
        <f t="shared" si="8"/>
        <v>794930.8703648001</v>
      </c>
      <c r="Q75" s="1">
        <f t="shared" si="9"/>
        <v>370206.74516800005</v>
      </c>
      <c r="R75" s="1">
        <f t="shared" si="10"/>
        <v>86375.255095200046</v>
      </c>
      <c r="S75" s="1">
        <f t="shared" si="11"/>
        <v>792951.95318308845</v>
      </c>
      <c r="T75" s="1">
        <f t="shared" si="12"/>
        <v>2044464.8238110887</v>
      </c>
      <c r="U75" s="11"/>
      <c r="V75" s="11"/>
      <c r="W75" s="11"/>
      <c r="X75" s="12"/>
      <c r="Y75" s="12"/>
      <c r="Z75" s="12"/>
      <c r="AA75" s="12"/>
      <c r="AB75" s="12"/>
      <c r="AC75" s="12"/>
      <c r="AD75" s="12"/>
      <c r="AE75" s="12"/>
      <c r="AF75" s="12"/>
      <c r="AG75" s="12"/>
      <c r="AH75" s="12"/>
      <c r="AI75" s="12"/>
      <c r="AJ75" s="12"/>
      <c r="AK75" s="12"/>
      <c r="AL75" s="12"/>
      <c r="AM75" s="12"/>
      <c r="AN75" s="12"/>
      <c r="AO75" s="12"/>
      <c r="AP75" s="12"/>
      <c r="AQ75" s="12"/>
      <c r="AR75" s="12"/>
      <c r="AS75" s="12"/>
      <c r="AT75" s="12"/>
      <c r="AU75" s="12"/>
      <c r="AV75" s="12"/>
      <c r="AW75" s="12"/>
      <c r="AX75" s="12"/>
      <c r="AY75" s="12"/>
      <c r="AZ75" s="12"/>
      <c r="BA75" s="12"/>
      <c r="BB75" s="12"/>
      <c r="BC75" s="12"/>
      <c r="BD75" s="12"/>
      <c r="BE75" s="12"/>
      <c r="BF75" s="12"/>
      <c r="BG75" s="12"/>
      <c r="BH75" s="12"/>
      <c r="BI75" s="12"/>
      <c r="BJ75" s="12"/>
      <c r="BK75" s="12"/>
      <c r="BL75" s="12"/>
      <c r="BM75" s="12"/>
      <c r="BN75" s="12"/>
      <c r="BO75" s="12"/>
      <c r="BP75" s="12"/>
      <c r="BQ75" s="12"/>
      <c r="BR75" s="12"/>
      <c r="BS75" s="12"/>
      <c r="BT75" s="12"/>
      <c r="BU75" s="12"/>
      <c r="BV75" s="12"/>
      <c r="BW75" s="12"/>
      <c r="BX75" s="12"/>
      <c r="BY75" s="12"/>
      <c r="BZ75" s="12"/>
      <c r="CA75" s="12"/>
      <c r="CB75" s="12"/>
      <c r="CC75" s="12"/>
      <c r="CD75" s="12"/>
      <c r="CE75" s="12"/>
      <c r="CF75" s="12"/>
      <c r="CG75" s="12"/>
      <c r="CH75" s="12"/>
      <c r="CI75" s="12"/>
      <c r="CJ75" s="12"/>
      <c r="CK75" s="12"/>
      <c r="CL75" s="12"/>
      <c r="CM75" s="12"/>
      <c r="CN75" s="12"/>
      <c r="CO75" s="12"/>
      <c r="CP75" s="12"/>
      <c r="CQ75" s="12"/>
      <c r="CR75" s="12"/>
      <c r="CS75" s="12"/>
      <c r="CT75" s="12"/>
      <c r="CU75" s="12"/>
      <c r="CV75" s="12"/>
      <c r="CW75" s="12"/>
      <c r="CX75" s="12"/>
      <c r="CY75" s="12"/>
      <c r="CZ75" s="12"/>
      <c r="DA75" s="12"/>
      <c r="DB75" s="12"/>
      <c r="DC75" s="12"/>
      <c r="DD75" s="12"/>
      <c r="DE75" s="12"/>
      <c r="DF75" s="12"/>
      <c r="DG75" s="12"/>
      <c r="DH75" s="12"/>
      <c r="DI75" s="12"/>
      <c r="DJ75" s="12"/>
      <c r="DK75" s="12"/>
      <c r="DL75" s="12"/>
      <c r="DM75" s="12"/>
      <c r="DN75" s="12"/>
      <c r="DO75" s="12"/>
      <c r="DP75" s="12"/>
      <c r="DQ75" s="12"/>
      <c r="DR75" s="12"/>
      <c r="DS75" s="12"/>
      <c r="DT75" s="12"/>
      <c r="DU75" s="12"/>
      <c r="DV75" s="12"/>
      <c r="DW75" s="12"/>
      <c r="DX75" s="12"/>
      <c r="DY75" s="12"/>
      <c r="DZ75" s="12"/>
      <c r="EA75" s="12"/>
      <c r="EB75" s="12"/>
      <c r="EC75" s="12"/>
      <c r="ED75" s="12"/>
      <c r="EE75" s="12"/>
      <c r="EF75" s="12"/>
      <c r="EG75" s="12"/>
      <c r="EH75" s="12"/>
      <c r="EI75" s="12"/>
      <c r="EJ75" s="12"/>
      <c r="EK75" s="12"/>
      <c r="EL75" s="12"/>
      <c r="EM75" s="12"/>
      <c r="EN75" s="12"/>
      <c r="EO75" s="12"/>
      <c r="EP75" s="12"/>
      <c r="EQ75" s="12"/>
      <c r="ER75" s="12"/>
      <c r="ES75" s="12"/>
      <c r="ET75" s="12"/>
      <c r="EU75" s="12"/>
      <c r="EV75" s="12"/>
      <c r="EW75" s="12"/>
      <c r="EX75" s="12"/>
      <c r="EY75" s="12"/>
      <c r="EZ75" s="12"/>
      <c r="FA75" s="12"/>
      <c r="FB75" s="12"/>
      <c r="FC75" s="12"/>
      <c r="FD75" s="12"/>
      <c r="FE75" s="12"/>
      <c r="FF75" s="12"/>
      <c r="FG75" s="12"/>
      <c r="FH75" s="12"/>
      <c r="FI75" s="12"/>
      <c r="FJ75" s="12"/>
      <c r="FK75" s="12"/>
      <c r="FL75" s="12"/>
      <c r="FM75" s="12"/>
      <c r="FN75" s="12"/>
      <c r="FO75" s="12"/>
      <c r="FP75" s="12"/>
      <c r="FQ75" s="12"/>
      <c r="FR75" s="12"/>
      <c r="FS75" s="12"/>
      <c r="FT75" s="12"/>
      <c r="FU75" s="12"/>
      <c r="FV75" s="12"/>
      <c r="FW75" s="12"/>
      <c r="FX75" s="12"/>
      <c r="FY75" s="12"/>
      <c r="FZ75" s="12"/>
      <c r="GA75" s="12"/>
      <c r="GB75" s="12"/>
      <c r="GC75" s="12"/>
      <c r="GD75" s="12"/>
      <c r="GE75" s="12"/>
    </row>
    <row r="76" spans="1:187" ht="24.75" customHeight="1">
      <c r="A76" s="45"/>
      <c r="B76" s="9" t="s">
        <v>284</v>
      </c>
      <c r="C76" s="10" t="s">
        <v>128</v>
      </c>
      <c r="D76" s="10" t="s">
        <v>129</v>
      </c>
      <c r="E76" s="35">
        <v>2733.7089999999998</v>
      </c>
      <c r="F76" s="35">
        <f>4168.28-E76</f>
        <v>1434.5709999999999</v>
      </c>
      <c r="G76" s="35">
        <v>321.24299999999999</v>
      </c>
      <c r="H76" s="35">
        <f>2670.231-G76</f>
        <v>2348.9880000000003</v>
      </c>
      <c r="I76" s="35">
        <f t="shared" si="7"/>
        <v>6838.5110000000004</v>
      </c>
      <c r="J76" s="56">
        <f>'2021'!J77</f>
        <v>7149.6</v>
      </c>
      <c r="K76" s="49">
        <v>4219.58</v>
      </c>
      <c r="L76" s="49">
        <v>4388.3599999999997</v>
      </c>
      <c r="M76" s="49">
        <v>1520.4384</v>
      </c>
      <c r="N76" s="49">
        <v>1581.255936</v>
      </c>
      <c r="O76" s="56">
        <f t="shared" si="13"/>
        <v>2699.1415999999999</v>
      </c>
      <c r="P76" s="1">
        <f t="shared" si="8"/>
        <v>7378667.684194399</v>
      </c>
      <c r="Q76" s="1">
        <f t="shared" si="9"/>
        <v>3872110.2642535996</v>
      </c>
      <c r="R76" s="1">
        <f t="shared" si="10"/>
        <v>901762.53083155188</v>
      </c>
      <c r="S76" s="1">
        <f t="shared" si="11"/>
        <v>6593853.7610872323</v>
      </c>
      <c r="T76" s="1">
        <f t="shared" si="12"/>
        <v>18746394.240366783</v>
      </c>
      <c r="U76" s="11"/>
      <c r="V76" s="11"/>
      <c r="W76" s="11"/>
      <c r="X76" s="12"/>
      <c r="Y76" s="12"/>
      <c r="Z76" s="12"/>
      <c r="AA76" s="12"/>
      <c r="AB76" s="12"/>
      <c r="AC76" s="12"/>
      <c r="AD76" s="12"/>
      <c r="AE76" s="12"/>
      <c r="AF76" s="12"/>
      <c r="AG76" s="12"/>
      <c r="AH76" s="12"/>
      <c r="AI76" s="12"/>
      <c r="AJ76" s="12"/>
      <c r="AK76" s="12"/>
      <c r="AL76" s="12"/>
      <c r="AM76" s="12"/>
      <c r="AN76" s="12"/>
      <c r="AO76" s="12"/>
      <c r="AP76" s="12"/>
      <c r="AQ76" s="12"/>
      <c r="AR76" s="12"/>
      <c r="AS76" s="12"/>
      <c r="AT76" s="12"/>
      <c r="AU76" s="12"/>
      <c r="AV76" s="12"/>
      <c r="AW76" s="12"/>
      <c r="AX76" s="12"/>
      <c r="AY76" s="12"/>
      <c r="AZ76" s="12"/>
      <c r="BA76" s="12"/>
      <c r="BB76" s="12"/>
      <c r="BC76" s="12"/>
      <c r="BD76" s="12"/>
      <c r="BE76" s="12"/>
      <c r="BF76" s="12"/>
      <c r="BG76" s="12"/>
      <c r="BH76" s="12"/>
      <c r="BI76" s="12"/>
      <c r="BJ76" s="12"/>
      <c r="BK76" s="12"/>
      <c r="BL76" s="12"/>
      <c r="BM76" s="12"/>
      <c r="BN76" s="12"/>
      <c r="BO76" s="12"/>
      <c r="BP76" s="12"/>
      <c r="BQ76" s="12"/>
      <c r="BR76" s="12"/>
      <c r="BS76" s="12"/>
      <c r="BT76" s="12"/>
      <c r="BU76" s="12"/>
      <c r="BV76" s="12"/>
      <c r="BW76" s="12"/>
      <c r="BX76" s="12"/>
      <c r="BY76" s="12"/>
      <c r="BZ76" s="12"/>
      <c r="CA76" s="12"/>
      <c r="CB76" s="12"/>
      <c r="CC76" s="12"/>
      <c r="CD76" s="12"/>
      <c r="CE76" s="12"/>
      <c r="CF76" s="12"/>
      <c r="CG76" s="12"/>
      <c r="CH76" s="12"/>
      <c r="CI76" s="12"/>
      <c r="CJ76" s="12"/>
      <c r="CK76" s="12"/>
      <c r="CL76" s="12"/>
      <c r="CM76" s="12"/>
      <c r="CN76" s="12"/>
      <c r="CO76" s="12"/>
      <c r="CP76" s="12"/>
      <c r="CQ76" s="12"/>
      <c r="CR76" s="12"/>
      <c r="CS76" s="12"/>
      <c r="CT76" s="12"/>
      <c r="CU76" s="12"/>
      <c r="CV76" s="12"/>
      <c r="CW76" s="12"/>
      <c r="CX76" s="12"/>
      <c r="CY76" s="12"/>
      <c r="CZ76" s="12"/>
      <c r="DA76" s="12"/>
      <c r="DB76" s="12"/>
      <c r="DC76" s="12"/>
      <c r="DD76" s="12"/>
      <c r="DE76" s="12"/>
      <c r="DF76" s="12"/>
      <c r="DG76" s="12"/>
      <c r="DH76" s="12"/>
      <c r="DI76" s="12"/>
      <c r="DJ76" s="12"/>
      <c r="DK76" s="12"/>
      <c r="DL76" s="12"/>
      <c r="DM76" s="12"/>
      <c r="DN76" s="12"/>
      <c r="DO76" s="12"/>
      <c r="DP76" s="12"/>
      <c r="DQ76" s="12"/>
      <c r="DR76" s="12"/>
      <c r="DS76" s="12"/>
      <c r="DT76" s="12"/>
      <c r="DU76" s="12"/>
      <c r="DV76" s="12"/>
      <c r="DW76" s="12"/>
      <c r="DX76" s="12"/>
      <c r="DY76" s="12"/>
      <c r="DZ76" s="12"/>
      <c r="EA76" s="12"/>
      <c r="EB76" s="12"/>
      <c r="EC76" s="12"/>
      <c r="ED76" s="12"/>
      <c r="EE76" s="12"/>
      <c r="EF76" s="12"/>
      <c r="EG76" s="12"/>
      <c r="EH76" s="12"/>
      <c r="EI76" s="12"/>
      <c r="EJ76" s="12"/>
      <c r="EK76" s="12"/>
      <c r="EL76" s="12"/>
      <c r="EM76" s="12"/>
      <c r="EN76" s="12"/>
      <c r="EO76" s="12"/>
      <c r="EP76" s="12"/>
      <c r="EQ76" s="12"/>
      <c r="ER76" s="12"/>
      <c r="ES76" s="12"/>
      <c r="ET76" s="12"/>
      <c r="EU76" s="12"/>
      <c r="EV76" s="12"/>
      <c r="EW76" s="12"/>
      <c r="EX76" s="12"/>
      <c r="EY76" s="12"/>
      <c r="EZ76" s="12"/>
      <c r="FA76" s="12"/>
      <c r="FB76" s="12"/>
      <c r="FC76" s="12"/>
      <c r="FD76" s="12"/>
      <c r="FE76" s="12"/>
      <c r="FF76" s="12"/>
      <c r="FG76" s="12"/>
      <c r="FH76" s="12"/>
      <c r="FI76" s="12"/>
      <c r="FJ76" s="12"/>
      <c r="FK76" s="12"/>
      <c r="FL76" s="12"/>
      <c r="FM76" s="12"/>
      <c r="FN76" s="12"/>
      <c r="FO76" s="12"/>
      <c r="FP76" s="12"/>
      <c r="FQ76" s="12"/>
      <c r="FR76" s="12"/>
      <c r="FS76" s="12"/>
      <c r="FT76" s="12"/>
      <c r="FU76" s="12"/>
      <c r="FV76" s="12"/>
      <c r="FW76" s="12"/>
      <c r="FX76" s="12"/>
      <c r="FY76" s="12"/>
      <c r="FZ76" s="12"/>
      <c r="GA76" s="12"/>
      <c r="GB76" s="12"/>
      <c r="GC76" s="12"/>
      <c r="GD76" s="12"/>
      <c r="GE76" s="12"/>
    </row>
    <row r="77" spans="1:187" ht="24.75" customHeight="1">
      <c r="A77" s="45"/>
      <c r="B77" s="9" t="s">
        <v>35</v>
      </c>
      <c r="C77" s="10" t="s">
        <v>126</v>
      </c>
      <c r="D77" s="10" t="s">
        <v>127</v>
      </c>
      <c r="E77" s="35">
        <v>475.92</v>
      </c>
      <c r="F77" s="35">
        <f>702.788-E77</f>
        <v>226.86799999999999</v>
      </c>
      <c r="G77" s="35">
        <v>56.82</v>
      </c>
      <c r="H77" s="35">
        <f>490.15-G77</f>
        <v>433.33</v>
      </c>
      <c r="I77" s="35">
        <f t="shared" si="7"/>
        <v>1192.9380000000001</v>
      </c>
      <c r="J77" s="56">
        <f>'2021'!J78</f>
        <v>1132</v>
      </c>
      <c r="K77" s="49">
        <v>4905.5136000000002</v>
      </c>
      <c r="L77" s="49">
        <v>5101.734144</v>
      </c>
      <c r="M77" s="49">
        <v>1807.4888000000001</v>
      </c>
      <c r="N77" s="49">
        <v>1879.7883520000003</v>
      </c>
      <c r="O77" s="56">
        <f t="shared" si="13"/>
        <v>3098.0248000000001</v>
      </c>
      <c r="P77" s="1">
        <f t="shared" si="8"/>
        <v>1474411.9628160002</v>
      </c>
      <c r="Q77" s="1">
        <f t="shared" si="9"/>
        <v>702842.69032639998</v>
      </c>
      <c r="R77" s="1">
        <f t="shared" si="10"/>
        <v>183070.95990143999</v>
      </c>
      <c r="S77" s="1">
        <f t="shared" si="11"/>
        <v>1396165.7700473596</v>
      </c>
      <c r="T77" s="1">
        <f t="shared" si="12"/>
        <v>3756491.3830911997</v>
      </c>
      <c r="U77" s="11"/>
      <c r="V77" s="11"/>
      <c r="W77" s="11"/>
      <c r="X77" s="12"/>
      <c r="Y77" s="12"/>
      <c r="Z77" s="12"/>
      <c r="AA77" s="12"/>
      <c r="AB77" s="12"/>
      <c r="AC77" s="12"/>
      <c r="AD77" s="12"/>
      <c r="AE77" s="12"/>
      <c r="AF77" s="12"/>
      <c r="AG77" s="12"/>
      <c r="AH77" s="12"/>
      <c r="AI77" s="12"/>
      <c r="AJ77" s="12"/>
      <c r="AK77" s="12"/>
      <c r="AL77" s="12"/>
      <c r="AM77" s="12"/>
      <c r="AN77" s="12"/>
      <c r="AO77" s="12"/>
      <c r="AP77" s="12"/>
      <c r="AQ77" s="12"/>
      <c r="AR77" s="12"/>
      <c r="AS77" s="12"/>
      <c r="AT77" s="12"/>
      <c r="AU77" s="12"/>
      <c r="AV77" s="12"/>
      <c r="AW77" s="12"/>
      <c r="AX77" s="12"/>
      <c r="AY77" s="12"/>
      <c r="AZ77" s="12"/>
      <c r="BA77" s="12"/>
      <c r="BB77" s="12"/>
      <c r="BC77" s="12"/>
      <c r="BD77" s="12"/>
      <c r="BE77" s="12"/>
      <c r="BF77" s="12"/>
      <c r="BG77" s="12"/>
      <c r="BH77" s="12"/>
      <c r="BI77" s="12"/>
      <c r="BJ77" s="12"/>
      <c r="BK77" s="12"/>
      <c r="BL77" s="12"/>
      <c r="BM77" s="12"/>
      <c r="BN77" s="12"/>
      <c r="BO77" s="12"/>
      <c r="BP77" s="12"/>
      <c r="BQ77" s="12"/>
      <c r="BR77" s="12"/>
      <c r="BS77" s="12"/>
      <c r="BT77" s="12"/>
      <c r="BU77" s="12"/>
      <c r="BV77" s="12"/>
      <c r="BW77" s="12"/>
      <c r="BX77" s="12"/>
      <c r="BY77" s="12"/>
      <c r="BZ77" s="12"/>
      <c r="CA77" s="12"/>
      <c r="CB77" s="12"/>
      <c r="CC77" s="12"/>
      <c r="CD77" s="12"/>
      <c r="CE77" s="12"/>
      <c r="CF77" s="12"/>
      <c r="CG77" s="12"/>
      <c r="CH77" s="12"/>
      <c r="CI77" s="12"/>
      <c r="CJ77" s="12"/>
      <c r="CK77" s="12"/>
      <c r="CL77" s="12"/>
      <c r="CM77" s="12"/>
      <c r="CN77" s="12"/>
      <c r="CO77" s="12"/>
      <c r="CP77" s="12"/>
      <c r="CQ77" s="12"/>
      <c r="CR77" s="12"/>
      <c r="CS77" s="12"/>
      <c r="CT77" s="12"/>
      <c r="CU77" s="12"/>
      <c r="CV77" s="12"/>
      <c r="CW77" s="12"/>
      <c r="CX77" s="12"/>
      <c r="CY77" s="12"/>
      <c r="CZ77" s="12"/>
      <c r="DA77" s="12"/>
      <c r="DB77" s="12"/>
      <c r="DC77" s="12"/>
      <c r="DD77" s="12"/>
      <c r="DE77" s="12"/>
      <c r="DF77" s="12"/>
      <c r="DG77" s="12"/>
      <c r="DH77" s="12"/>
      <c r="DI77" s="12"/>
      <c r="DJ77" s="12"/>
      <c r="DK77" s="12"/>
      <c r="DL77" s="12"/>
      <c r="DM77" s="12"/>
      <c r="DN77" s="12"/>
      <c r="DO77" s="12"/>
      <c r="DP77" s="12"/>
      <c r="DQ77" s="12"/>
      <c r="DR77" s="12"/>
      <c r="DS77" s="12"/>
      <c r="DT77" s="12"/>
      <c r="DU77" s="12"/>
      <c r="DV77" s="12"/>
      <c r="DW77" s="12"/>
      <c r="DX77" s="12"/>
      <c r="DY77" s="12"/>
      <c r="DZ77" s="12"/>
      <c r="EA77" s="12"/>
      <c r="EB77" s="12"/>
      <c r="EC77" s="12"/>
      <c r="ED77" s="12"/>
      <c r="EE77" s="12"/>
      <c r="EF77" s="12"/>
      <c r="EG77" s="12"/>
      <c r="EH77" s="12"/>
      <c r="EI77" s="12"/>
      <c r="EJ77" s="12"/>
      <c r="EK77" s="12"/>
      <c r="EL77" s="12"/>
      <c r="EM77" s="12"/>
      <c r="EN77" s="12"/>
      <c r="EO77" s="12"/>
      <c r="EP77" s="12"/>
      <c r="EQ77" s="12"/>
      <c r="ER77" s="12"/>
      <c r="ES77" s="12"/>
      <c r="ET77" s="12"/>
      <c r="EU77" s="12"/>
      <c r="EV77" s="12"/>
      <c r="EW77" s="12"/>
      <c r="EX77" s="12"/>
      <c r="EY77" s="12"/>
      <c r="EZ77" s="12"/>
      <c r="FA77" s="12"/>
      <c r="FB77" s="12"/>
      <c r="FC77" s="12"/>
      <c r="FD77" s="12"/>
      <c r="FE77" s="12"/>
      <c r="FF77" s="12"/>
      <c r="FG77" s="12"/>
      <c r="FH77" s="12"/>
      <c r="FI77" s="12"/>
      <c r="FJ77" s="12"/>
      <c r="FK77" s="12"/>
      <c r="FL77" s="12"/>
      <c r="FM77" s="12"/>
      <c r="FN77" s="12"/>
      <c r="FO77" s="12"/>
      <c r="FP77" s="12"/>
      <c r="FQ77" s="12"/>
      <c r="FR77" s="12"/>
      <c r="FS77" s="12"/>
      <c r="FT77" s="12"/>
      <c r="FU77" s="12"/>
      <c r="FV77" s="12"/>
      <c r="FW77" s="12"/>
      <c r="FX77" s="12"/>
      <c r="FY77" s="12"/>
      <c r="FZ77" s="12"/>
      <c r="GA77" s="12"/>
      <c r="GB77" s="12"/>
      <c r="GC77" s="12"/>
      <c r="GD77" s="12"/>
      <c r="GE77" s="12"/>
    </row>
    <row r="78" spans="1:187" ht="24.75" customHeight="1">
      <c r="A78" s="45"/>
      <c r="B78" s="9" t="s">
        <v>13</v>
      </c>
      <c r="C78" s="10" t="s">
        <v>130</v>
      </c>
      <c r="D78" s="10" t="s">
        <v>129</v>
      </c>
      <c r="E78" s="35">
        <v>44.133000000000003</v>
      </c>
      <c r="F78" s="35">
        <f>67.382-E78</f>
        <v>23.249000000000002</v>
      </c>
      <c r="G78" s="35">
        <v>5.8840000000000003</v>
      </c>
      <c r="H78" s="35">
        <f>50.016</f>
        <v>50.015999999999998</v>
      </c>
      <c r="I78" s="35">
        <f t="shared" si="7"/>
        <v>123.28200000000001</v>
      </c>
      <c r="J78" s="56">
        <f>'2021'!J79</f>
        <v>124.7</v>
      </c>
      <c r="K78" s="49">
        <v>5109.2079999999996</v>
      </c>
      <c r="L78" s="49">
        <v>5313.5763200000001</v>
      </c>
      <c r="M78" s="49">
        <v>1508.8366591999998</v>
      </c>
      <c r="N78" s="49">
        <v>1569.1901255679998</v>
      </c>
      <c r="O78" s="56">
        <f t="shared" si="13"/>
        <v>3600.3713407999999</v>
      </c>
      <c r="P78" s="1">
        <f t="shared" si="8"/>
        <v>158895.1883835264</v>
      </c>
      <c r="Q78" s="1">
        <f t="shared" si="9"/>
        <v>83705.033302259209</v>
      </c>
      <c r="R78" s="1">
        <f t="shared" si="10"/>
        <v>22031.968368037891</v>
      </c>
      <c r="S78" s="1">
        <f t="shared" si="11"/>
        <v>187279.21990071094</v>
      </c>
      <c r="T78" s="1">
        <f t="shared" si="12"/>
        <v>451911.40995453449</v>
      </c>
      <c r="U78" s="11"/>
      <c r="V78" s="11"/>
      <c r="W78" s="11"/>
      <c r="X78" s="12"/>
      <c r="Y78" s="12"/>
      <c r="Z78" s="12"/>
      <c r="AA78" s="12"/>
      <c r="AB78" s="12"/>
      <c r="AC78" s="12"/>
      <c r="AD78" s="12"/>
      <c r="AE78" s="12"/>
      <c r="AF78" s="12"/>
      <c r="AG78" s="12"/>
      <c r="AH78" s="12"/>
      <c r="AI78" s="12"/>
      <c r="AJ78" s="12"/>
      <c r="AK78" s="12"/>
      <c r="AL78" s="12"/>
      <c r="AM78" s="12"/>
      <c r="AN78" s="12"/>
      <c r="AO78" s="12"/>
      <c r="AP78" s="12"/>
      <c r="AQ78" s="12"/>
      <c r="AR78" s="12"/>
      <c r="AS78" s="12"/>
      <c r="AT78" s="12"/>
      <c r="AU78" s="12"/>
      <c r="AV78" s="12"/>
      <c r="AW78" s="12"/>
      <c r="AX78" s="12"/>
      <c r="AY78" s="12"/>
      <c r="AZ78" s="12"/>
      <c r="BA78" s="12"/>
      <c r="BB78" s="12"/>
      <c r="BC78" s="12"/>
      <c r="BD78" s="12"/>
      <c r="BE78" s="12"/>
      <c r="BF78" s="12"/>
      <c r="BG78" s="12"/>
      <c r="BH78" s="12"/>
      <c r="BI78" s="12"/>
      <c r="BJ78" s="12"/>
      <c r="BK78" s="12"/>
      <c r="BL78" s="12"/>
      <c r="BM78" s="12"/>
      <c r="BN78" s="12"/>
      <c r="BO78" s="12"/>
      <c r="BP78" s="12"/>
      <c r="BQ78" s="12"/>
      <c r="BR78" s="12"/>
      <c r="BS78" s="12"/>
      <c r="BT78" s="12"/>
      <c r="BU78" s="12"/>
      <c r="BV78" s="12"/>
      <c r="BW78" s="12"/>
      <c r="BX78" s="12"/>
      <c r="BY78" s="12"/>
      <c r="BZ78" s="12"/>
      <c r="CA78" s="12"/>
      <c r="CB78" s="12"/>
      <c r="CC78" s="12"/>
      <c r="CD78" s="12"/>
      <c r="CE78" s="12"/>
      <c r="CF78" s="12"/>
      <c r="CG78" s="12"/>
      <c r="CH78" s="12"/>
      <c r="CI78" s="12"/>
      <c r="CJ78" s="12"/>
      <c r="CK78" s="12"/>
      <c r="CL78" s="12"/>
      <c r="CM78" s="12"/>
      <c r="CN78" s="12"/>
      <c r="CO78" s="12"/>
      <c r="CP78" s="12"/>
      <c r="CQ78" s="12"/>
      <c r="CR78" s="12"/>
      <c r="CS78" s="12"/>
      <c r="CT78" s="12"/>
      <c r="CU78" s="12"/>
      <c r="CV78" s="12"/>
      <c r="CW78" s="12"/>
      <c r="CX78" s="12"/>
      <c r="CY78" s="12"/>
      <c r="CZ78" s="12"/>
      <c r="DA78" s="12"/>
      <c r="DB78" s="12"/>
      <c r="DC78" s="12"/>
      <c r="DD78" s="12"/>
      <c r="DE78" s="12"/>
      <c r="DF78" s="12"/>
      <c r="DG78" s="12"/>
      <c r="DH78" s="12"/>
      <c r="DI78" s="12"/>
      <c r="DJ78" s="12"/>
      <c r="DK78" s="12"/>
      <c r="DL78" s="12"/>
      <c r="DM78" s="12"/>
      <c r="DN78" s="12"/>
      <c r="DO78" s="12"/>
      <c r="DP78" s="12"/>
      <c r="DQ78" s="12"/>
      <c r="DR78" s="12"/>
      <c r="DS78" s="12"/>
      <c r="DT78" s="12"/>
      <c r="DU78" s="12"/>
      <c r="DV78" s="12"/>
      <c r="DW78" s="12"/>
      <c r="DX78" s="12"/>
      <c r="DY78" s="12"/>
      <c r="DZ78" s="12"/>
      <c r="EA78" s="12"/>
      <c r="EB78" s="12"/>
      <c r="EC78" s="12"/>
      <c r="ED78" s="12"/>
      <c r="EE78" s="12"/>
      <c r="EF78" s="12"/>
      <c r="EG78" s="12"/>
      <c r="EH78" s="12"/>
      <c r="EI78" s="12"/>
      <c r="EJ78" s="12"/>
      <c r="EK78" s="12"/>
      <c r="EL78" s="12"/>
      <c r="EM78" s="12"/>
      <c r="EN78" s="12"/>
      <c r="EO78" s="12"/>
      <c r="EP78" s="12"/>
      <c r="EQ78" s="12"/>
      <c r="ER78" s="12"/>
      <c r="ES78" s="12"/>
      <c r="ET78" s="12"/>
      <c r="EU78" s="12"/>
      <c r="EV78" s="12"/>
      <c r="EW78" s="12"/>
      <c r="EX78" s="12"/>
      <c r="EY78" s="12"/>
      <c r="EZ78" s="12"/>
      <c r="FA78" s="12"/>
      <c r="FB78" s="12"/>
      <c r="FC78" s="12"/>
      <c r="FD78" s="12"/>
      <c r="FE78" s="12"/>
      <c r="FF78" s="12"/>
      <c r="FG78" s="12"/>
      <c r="FH78" s="12"/>
      <c r="FI78" s="12"/>
      <c r="FJ78" s="12"/>
      <c r="FK78" s="12"/>
      <c r="FL78" s="12"/>
      <c r="FM78" s="12"/>
      <c r="FN78" s="12"/>
      <c r="FO78" s="12"/>
      <c r="FP78" s="12"/>
      <c r="FQ78" s="12"/>
      <c r="FR78" s="12"/>
      <c r="FS78" s="12"/>
      <c r="FT78" s="12"/>
      <c r="FU78" s="12"/>
      <c r="FV78" s="12"/>
      <c r="FW78" s="12"/>
      <c r="FX78" s="12"/>
      <c r="FY78" s="12"/>
      <c r="FZ78" s="12"/>
      <c r="GA78" s="12"/>
      <c r="GB78" s="12"/>
      <c r="GC78" s="12"/>
      <c r="GD78" s="12"/>
      <c r="GE78" s="12"/>
    </row>
    <row r="79" spans="1:187" ht="24.75" customHeight="1">
      <c r="A79" s="45"/>
      <c r="B79" s="9" t="s">
        <v>338</v>
      </c>
      <c r="C79" s="10" t="s">
        <v>339</v>
      </c>
      <c r="D79" s="10" t="s">
        <v>129</v>
      </c>
      <c r="E79" s="35">
        <f>12.6340404996014*0.6</f>
        <v>7.58042429976084</v>
      </c>
      <c r="F79" s="35">
        <f>12.6340404996014*0.4</f>
        <v>5.0536161998405609</v>
      </c>
      <c r="G79" s="35">
        <f>9.95475950039862*0.8</f>
        <v>7.963807600318896</v>
      </c>
      <c r="H79" s="35">
        <f>9.95475950039862*0.2</f>
        <v>1.990951900079724</v>
      </c>
      <c r="I79" s="35">
        <f t="shared" si="7"/>
        <v>22.588800000000024</v>
      </c>
      <c r="J79" s="56">
        <f>'2021'!J80</f>
        <v>22.588800000000003</v>
      </c>
      <c r="K79" s="49">
        <v>2051.5871999999999</v>
      </c>
      <c r="L79" s="49">
        <v>2133.6506880000002</v>
      </c>
      <c r="M79" s="49">
        <v>1537.8477711999999</v>
      </c>
      <c r="N79" s="49">
        <v>1599.3616820479999</v>
      </c>
      <c r="O79" s="56">
        <f t="shared" si="13"/>
        <v>513.73942880000004</v>
      </c>
      <c r="P79" s="1">
        <f t="shared" si="8"/>
        <v>3894.362849820774</v>
      </c>
      <c r="Q79" s="1">
        <f t="shared" si="9"/>
        <v>2596.2418998805165</v>
      </c>
      <c r="R79" s="1">
        <f t="shared" si="10"/>
        <v>4254.9748463673677</v>
      </c>
      <c r="S79" s="1">
        <f t="shared" si="11"/>
        <v>1063.7437115918419</v>
      </c>
      <c r="T79" s="1">
        <f t="shared" si="12"/>
        <v>11809.323307660501</v>
      </c>
      <c r="U79" s="11"/>
      <c r="V79" s="11"/>
      <c r="W79" s="11"/>
      <c r="X79" s="12"/>
      <c r="Y79" s="12"/>
      <c r="Z79" s="12"/>
      <c r="AA79" s="12"/>
      <c r="AB79" s="12"/>
      <c r="AC79" s="12"/>
      <c r="AD79" s="12"/>
      <c r="AE79" s="12"/>
      <c r="AF79" s="12"/>
      <c r="AG79" s="12"/>
      <c r="AH79" s="12"/>
      <c r="AI79" s="12"/>
      <c r="AJ79" s="12"/>
      <c r="AK79" s="12"/>
      <c r="AL79" s="12"/>
      <c r="AM79" s="12"/>
      <c r="AN79" s="12"/>
      <c r="AO79" s="12"/>
      <c r="AP79" s="12"/>
      <c r="AQ79" s="12"/>
      <c r="AR79" s="12"/>
      <c r="AS79" s="12"/>
      <c r="AT79" s="12"/>
      <c r="AU79" s="12"/>
      <c r="AV79" s="12"/>
      <c r="AW79" s="12"/>
      <c r="AX79" s="12"/>
      <c r="AY79" s="12"/>
      <c r="AZ79" s="12"/>
      <c r="BA79" s="12"/>
      <c r="BB79" s="12"/>
      <c r="BC79" s="12"/>
      <c r="BD79" s="12"/>
      <c r="BE79" s="12"/>
      <c r="BF79" s="12"/>
      <c r="BG79" s="12"/>
      <c r="BH79" s="12"/>
      <c r="BI79" s="12"/>
      <c r="BJ79" s="12"/>
      <c r="BK79" s="12"/>
      <c r="BL79" s="12"/>
      <c r="BM79" s="12"/>
      <c r="BN79" s="12"/>
      <c r="BO79" s="12"/>
      <c r="BP79" s="12"/>
      <c r="BQ79" s="12"/>
      <c r="BR79" s="12"/>
      <c r="BS79" s="12"/>
      <c r="BT79" s="12"/>
      <c r="BU79" s="12"/>
      <c r="BV79" s="12"/>
      <c r="BW79" s="12"/>
      <c r="BX79" s="12"/>
      <c r="BY79" s="12"/>
      <c r="BZ79" s="12"/>
      <c r="CA79" s="12"/>
      <c r="CB79" s="12"/>
      <c r="CC79" s="12"/>
      <c r="CD79" s="12"/>
      <c r="CE79" s="12"/>
      <c r="CF79" s="12"/>
      <c r="CG79" s="12"/>
      <c r="CH79" s="12"/>
      <c r="CI79" s="12"/>
      <c r="CJ79" s="12"/>
      <c r="CK79" s="12"/>
      <c r="CL79" s="12"/>
      <c r="CM79" s="12"/>
      <c r="CN79" s="12"/>
      <c r="CO79" s="12"/>
      <c r="CP79" s="12"/>
      <c r="CQ79" s="12"/>
      <c r="CR79" s="12"/>
      <c r="CS79" s="12"/>
      <c r="CT79" s="12"/>
      <c r="CU79" s="12"/>
      <c r="CV79" s="12"/>
      <c r="CW79" s="12"/>
      <c r="CX79" s="12"/>
      <c r="CY79" s="12"/>
      <c r="CZ79" s="12"/>
      <c r="DA79" s="12"/>
      <c r="DB79" s="12"/>
      <c r="DC79" s="12"/>
      <c r="DD79" s="12"/>
      <c r="DE79" s="12"/>
      <c r="DF79" s="12"/>
      <c r="DG79" s="12"/>
      <c r="DH79" s="12"/>
      <c r="DI79" s="12"/>
      <c r="DJ79" s="12"/>
      <c r="DK79" s="12"/>
      <c r="DL79" s="12"/>
      <c r="DM79" s="12"/>
      <c r="DN79" s="12"/>
      <c r="DO79" s="12"/>
      <c r="DP79" s="12"/>
      <c r="DQ79" s="12"/>
      <c r="DR79" s="12"/>
      <c r="DS79" s="12"/>
      <c r="DT79" s="12"/>
      <c r="DU79" s="12"/>
      <c r="DV79" s="12"/>
      <c r="DW79" s="12"/>
      <c r="DX79" s="12"/>
      <c r="DY79" s="12"/>
      <c r="DZ79" s="12"/>
      <c r="EA79" s="12"/>
      <c r="EB79" s="12"/>
      <c r="EC79" s="12"/>
      <c r="ED79" s="12"/>
      <c r="EE79" s="12"/>
      <c r="EF79" s="12"/>
      <c r="EG79" s="12"/>
      <c r="EH79" s="12"/>
      <c r="EI79" s="12"/>
      <c r="EJ79" s="12"/>
      <c r="EK79" s="12"/>
      <c r="EL79" s="12"/>
      <c r="EM79" s="12"/>
      <c r="EN79" s="12"/>
      <c r="EO79" s="12"/>
      <c r="EP79" s="12"/>
      <c r="EQ79" s="12"/>
      <c r="ER79" s="12"/>
      <c r="ES79" s="12"/>
      <c r="ET79" s="12"/>
      <c r="EU79" s="12"/>
      <c r="EV79" s="12"/>
      <c r="EW79" s="12"/>
      <c r="EX79" s="12"/>
      <c r="EY79" s="12"/>
      <c r="EZ79" s="12"/>
      <c r="FA79" s="12"/>
      <c r="FB79" s="12"/>
      <c r="FC79" s="12"/>
      <c r="FD79" s="12"/>
      <c r="FE79" s="12"/>
      <c r="FF79" s="12"/>
      <c r="FG79" s="12"/>
      <c r="FH79" s="12"/>
      <c r="FI79" s="12"/>
      <c r="FJ79" s="12"/>
      <c r="FK79" s="12"/>
      <c r="FL79" s="12"/>
      <c r="FM79" s="12"/>
      <c r="FN79" s="12"/>
      <c r="FO79" s="12"/>
      <c r="FP79" s="12"/>
      <c r="FQ79" s="12"/>
      <c r="FR79" s="12"/>
      <c r="FS79" s="12"/>
      <c r="FT79" s="12"/>
      <c r="FU79" s="12"/>
      <c r="FV79" s="12"/>
      <c r="FW79" s="12"/>
      <c r="FX79" s="12"/>
      <c r="FY79" s="12"/>
      <c r="FZ79" s="12"/>
      <c r="GA79" s="12"/>
      <c r="GB79" s="12"/>
      <c r="GC79" s="12"/>
      <c r="GD79" s="12"/>
      <c r="GE79" s="12"/>
    </row>
    <row r="80" spans="1:187" ht="24.75" customHeight="1">
      <c r="A80" s="45"/>
      <c r="B80" s="4" t="s">
        <v>283</v>
      </c>
      <c r="C80" s="3" t="s">
        <v>131</v>
      </c>
      <c r="D80" s="3" t="s">
        <v>125</v>
      </c>
      <c r="E80" s="2">
        <v>3714.2069999999999</v>
      </c>
      <c r="F80" s="2">
        <f>5534.726+0.021-E80</f>
        <v>1820.5399999999995</v>
      </c>
      <c r="G80" s="2">
        <v>510.56299999999999</v>
      </c>
      <c r="H80" s="2">
        <f>3856.257-G80</f>
        <v>3345.694</v>
      </c>
      <c r="I80" s="35">
        <f t="shared" si="7"/>
        <v>9391.003999999999</v>
      </c>
      <c r="J80" s="56">
        <f>'2021'!J81</f>
        <v>10351.700000000001</v>
      </c>
      <c r="K80" s="49">
        <v>1802.8920000000001</v>
      </c>
      <c r="L80" s="49">
        <v>1875.0076800000002</v>
      </c>
      <c r="M80" s="49">
        <v>747.69760000000008</v>
      </c>
      <c r="N80" s="49">
        <v>777.60550400000011</v>
      </c>
      <c r="O80" s="56">
        <f t="shared" si="13"/>
        <v>1055.1943999999999</v>
      </c>
      <c r="P80" s="1">
        <f t="shared" si="8"/>
        <v>3919210.4268407994</v>
      </c>
      <c r="Q80" s="1">
        <f t="shared" si="9"/>
        <v>1921023.6129759992</v>
      </c>
      <c r="R80" s="1">
        <f t="shared" si="10"/>
        <v>560292.94718508807</v>
      </c>
      <c r="S80" s="1">
        <f t="shared" si="11"/>
        <v>3671571.8758301442</v>
      </c>
      <c r="T80" s="1">
        <f t="shared" si="12"/>
        <v>10072098.86283203</v>
      </c>
      <c r="U80" s="11"/>
      <c r="V80" s="11"/>
      <c r="W80" s="11"/>
      <c r="X80" s="12"/>
      <c r="Y80" s="12"/>
      <c r="Z80" s="12"/>
      <c r="AA80" s="12"/>
      <c r="AB80" s="12"/>
      <c r="AC80" s="12"/>
      <c r="AD80" s="12"/>
      <c r="AE80" s="12"/>
      <c r="AF80" s="12"/>
      <c r="AG80" s="12"/>
      <c r="AH80" s="12"/>
      <c r="AI80" s="12"/>
      <c r="AJ80" s="12"/>
      <c r="AK80" s="12"/>
      <c r="AL80" s="12"/>
      <c r="AM80" s="12"/>
      <c r="AN80" s="12"/>
      <c r="AO80" s="12"/>
      <c r="AP80" s="12"/>
      <c r="AQ80" s="12"/>
      <c r="AR80" s="12"/>
      <c r="AS80" s="12"/>
      <c r="AT80" s="12"/>
      <c r="AU80" s="12"/>
      <c r="AV80" s="12"/>
      <c r="AW80" s="12"/>
      <c r="AX80" s="12"/>
      <c r="AY80" s="12"/>
      <c r="AZ80" s="12"/>
      <c r="BA80" s="12"/>
      <c r="BB80" s="12"/>
      <c r="BC80" s="12"/>
      <c r="BD80" s="12"/>
      <c r="BE80" s="12"/>
      <c r="BF80" s="12"/>
      <c r="BG80" s="12"/>
      <c r="BH80" s="12"/>
      <c r="BI80" s="12"/>
      <c r="BJ80" s="12"/>
      <c r="BK80" s="12"/>
      <c r="BL80" s="12"/>
      <c r="BM80" s="12"/>
      <c r="BN80" s="12"/>
      <c r="BO80" s="12"/>
      <c r="BP80" s="12"/>
      <c r="BQ80" s="12"/>
      <c r="BR80" s="12"/>
      <c r="BS80" s="12"/>
      <c r="BT80" s="12"/>
      <c r="BU80" s="12"/>
      <c r="BV80" s="12"/>
      <c r="BW80" s="12"/>
      <c r="BX80" s="12"/>
      <c r="BY80" s="12"/>
      <c r="BZ80" s="12"/>
      <c r="CA80" s="12"/>
      <c r="CB80" s="12"/>
      <c r="CC80" s="12"/>
      <c r="CD80" s="12"/>
      <c r="CE80" s="12"/>
      <c r="CF80" s="12"/>
      <c r="CG80" s="12"/>
      <c r="CH80" s="12"/>
      <c r="CI80" s="12"/>
      <c r="CJ80" s="12"/>
      <c r="CK80" s="12"/>
      <c r="CL80" s="12"/>
      <c r="CM80" s="12"/>
      <c r="CN80" s="12"/>
      <c r="CO80" s="12"/>
      <c r="CP80" s="12"/>
      <c r="CQ80" s="12"/>
      <c r="CR80" s="12"/>
      <c r="CS80" s="12"/>
      <c r="CT80" s="12"/>
      <c r="CU80" s="12"/>
      <c r="CV80" s="12"/>
      <c r="CW80" s="12"/>
      <c r="CX80" s="12"/>
      <c r="CY80" s="12"/>
      <c r="CZ80" s="12"/>
      <c r="DA80" s="12"/>
      <c r="DB80" s="12"/>
      <c r="DC80" s="12"/>
      <c r="DD80" s="12"/>
      <c r="DE80" s="12"/>
      <c r="DF80" s="12"/>
      <c r="DG80" s="12"/>
      <c r="DH80" s="12"/>
      <c r="DI80" s="12"/>
      <c r="DJ80" s="12"/>
      <c r="DK80" s="12"/>
      <c r="DL80" s="12"/>
      <c r="DM80" s="12"/>
      <c r="DN80" s="12"/>
      <c r="DO80" s="12"/>
      <c r="DP80" s="12"/>
      <c r="DQ80" s="12"/>
      <c r="DR80" s="12"/>
      <c r="DS80" s="12"/>
      <c r="DT80" s="12"/>
      <c r="DU80" s="12"/>
      <c r="DV80" s="12"/>
      <c r="DW80" s="12"/>
      <c r="DX80" s="12"/>
      <c r="DY80" s="12"/>
      <c r="DZ80" s="12"/>
      <c r="EA80" s="12"/>
      <c r="EB80" s="12"/>
      <c r="EC80" s="12"/>
      <c r="ED80" s="12"/>
      <c r="EE80" s="12"/>
      <c r="EF80" s="12"/>
      <c r="EG80" s="12"/>
      <c r="EH80" s="12"/>
      <c r="EI80" s="12"/>
      <c r="EJ80" s="12"/>
      <c r="EK80" s="12"/>
      <c r="EL80" s="12"/>
      <c r="EM80" s="12"/>
      <c r="EN80" s="12"/>
      <c r="EO80" s="12"/>
      <c r="EP80" s="12"/>
      <c r="EQ80" s="12"/>
      <c r="ER80" s="12"/>
      <c r="ES80" s="12"/>
      <c r="ET80" s="12"/>
      <c r="EU80" s="12"/>
      <c r="EV80" s="12"/>
      <c r="EW80" s="12"/>
      <c r="EX80" s="12"/>
      <c r="EY80" s="12"/>
      <c r="EZ80" s="12"/>
      <c r="FA80" s="12"/>
      <c r="FB80" s="12"/>
      <c r="FC80" s="12"/>
      <c r="FD80" s="12"/>
      <c r="FE80" s="12"/>
      <c r="FF80" s="12"/>
      <c r="FG80" s="12"/>
      <c r="FH80" s="12"/>
      <c r="FI80" s="12"/>
      <c r="FJ80" s="12"/>
      <c r="FK80" s="12"/>
      <c r="FL80" s="12"/>
      <c r="FM80" s="12"/>
      <c r="FN80" s="12"/>
      <c r="FO80" s="12"/>
      <c r="FP80" s="12"/>
      <c r="FQ80" s="12"/>
      <c r="FR80" s="12"/>
      <c r="FS80" s="12"/>
      <c r="FT80" s="12"/>
      <c r="FU80" s="12"/>
      <c r="FV80" s="12"/>
      <c r="FW80" s="12"/>
      <c r="FX80" s="12"/>
      <c r="FY80" s="12"/>
      <c r="FZ80" s="12"/>
      <c r="GA80" s="12"/>
      <c r="GB80" s="12"/>
      <c r="GC80" s="12"/>
      <c r="GD80" s="12"/>
      <c r="GE80" s="12"/>
    </row>
    <row r="81" spans="1:187" ht="21" customHeight="1">
      <c r="A81" s="45"/>
      <c r="B81" s="101" t="s">
        <v>132</v>
      </c>
      <c r="C81" s="101"/>
      <c r="D81" s="101"/>
      <c r="E81" s="34"/>
      <c r="F81" s="34"/>
      <c r="G81" s="34"/>
      <c r="H81" s="34"/>
      <c r="I81" s="35">
        <f t="shared" si="7"/>
        <v>0</v>
      </c>
      <c r="J81" s="56"/>
      <c r="K81" s="49"/>
      <c r="L81" s="49"/>
      <c r="M81" s="49"/>
      <c r="N81" s="49"/>
      <c r="O81" s="56">
        <f t="shared" si="13"/>
        <v>0</v>
      </c>
      <c r="P81" s="1">
        <f t="shared" si="8"/>
        <v>0</v>
      </c>
      <c r="Q81" s="1">
        <f t="shared" si="9"/>
        <v>0</v>
      </c>
      <c r="R81" s="1">
        <f t="shared" si="10"/>
        <v>0</v>
      </c>
      <c r="S81" s="1">
        <f t="shared" si="11"/>
        <v>0</v>
      </c>
      <c r="T81" s="1">
        <f t="shared" si="12"/>
        <v>0</v>
      </c>
      <c r="U81" s="45"/>
      <c r="V81" s="45"/>
      <c r="W81" s="45"/>
    </row>
    <row r="82" spans="1:187" ht="25.5" customHeight="1">
      <c r="A82" s="45"/>
      <c r="B82" s="9" t="s">
        <v>2</v>
      </c>
      <c r="C82" s="10" t="s">
        <v>68</v>
      </c>
      <c r="D82" s="10" t="s">
        <v>303</v>
      </c>
      <c r="E82" s="35">
        <v>4556.0249999999996</v>
      </c>
      <c r="F82" s="35">
        <f>6782.284-E82</f>
        <v>2226.259</v>
      </c>
      <c r="G82" s="35">
        <v>538.45899999999995</v>
      </c>
      <c r="H82" s="35">
        <f>4184.521-G82</f>
        <v>3646.0619999999999</v>
      </c>
      <c r="I82" s="35">
        <f t="shared" si="7"/>
        <v>10966.805</v>
      </c>
      <c r="J82" s="56">
        <f>'2021'!J83</f>
        <v>11530.3</v>
      </c>
      <c r="K82" s="49">
        <v>9852.1072000000004</v>
      </c>
      <c r="L82" s="49">
        <v>10246.191488</v>
      </c>
      <c r="M82" s="49">
        <v>1662.8220335999999</v>
      </c>
      <c r="N82" s="49">
        <v>1729.334914944</v>
      </c>
      <c r="O82" s="56">
        <f t="shared" si="13"/>
        <v>8189.2851664000009</v>
      </c>
      <c r="P82" s="1">
        <f t="shared" si="8"/>
        <v>37310587.950247563</v>
      </c>
      <c r="Q82" s="1">
        <f t="shared" si="9"/>
        <v>18231469.805264499</v>
      </c>
      <c r="R82" s="1">
        <f t="shared" si="10"/>
        <v>4585978.0734711606</v>
      </c>
      <c r="S82" s="1">
        <f t="shared" si="11"/>
        <v>31052987.110469706</v>
      </c>
      <c r="T82" s="1">
        <f t="shared" si="12"/>
        <v>91181022.939452916</v>
      </c>
      <c r="U82" s="11"/>
      <c r="V82" s="11"/>
      <c r="W82" s="11"/>
      <c r="X82" s="12"/>
      <c r="Y82" s="12"/>
      <c r="Z82" s="12"/>
      <c r="AA82" s="12"/>
      <c r="AB82" s="12"/>
      <c r="AC82" s="12"/>
      <c r="AD82" s="12"/>
      <c r="AE82" s="12"/>
      <c r="AF82" s="12"/>
      <c r="AG82" s="12"/>
      <c r="AH82" s="12"/>
      <c r="AI82" s="12"/>
      <c r="AJ82" s="12"/>
      <c r="AK82" s="12"/>
      <c r="AL82" s="12"/>
      <c r="AM82" s="12"/>
      <c r="AN82" s="12"/>
      <c r="AO82" s="12"/>
      <c r="AP82" s="12"/>
      <c r="AQ82" s="12"/>
      <c r="AR82" s="12"/>
      <c r="AS82" s="12"/>
      <c r="AT82" s="12"/>
      <c r="AU82" s="12"/>
      <c r="AV82" s="12"/>
      <c r="AW82" s="12"/>
      <c r="AX82" s="12"/>
      <c r="AY82" s="12"/>
      <c r="AZ82" s="12"/>
      <c r="BA82" s="12"/>
      <c r="BB82" s="12"/>
      <c r="BC82" s="12"/>
      <c r="BD82" s="12"/>
      <c r="BE82" s="12"/>
      <c r="BF82" s="12"/>
      <c r="BG82" s="12"/>
      <c r="BH82" s="12"/>
      <c r="BI82" s="12"/>
      <c r="BJ82" s="12"/>
      <c r="BK82" s="12"/>
      <c r="BL82" s="12"/>
      <c r="BM82" s="12"/>
      <c r="BN82" s="12"/>
      <c r="BO82" s="12"/>
      <c r="BP82" s="12"/>
      <c r="BQ82" s="12"/>
      <c r="BR82" s="12"/>
      <c r="BS82" s="12"/>
      <c r="BT82" s="12"/>
      <c r="BU82" s="12"/>
      <c r="BV82" s="12"/>
      <c r="BW82" s="12"/>
      <c r="BX82" s="12"/>
      <c r="BY82" s="12"/>
      <c r="BZ82" s="12"/>
      <c r="CA82" s="12"/>
      <c r="CB82" s="12"/>
      <c r="CC82" s="12"/>
      <c r="CD82" s="12"/>
      <c r="CE82" s="12"/>
      <c r="CF82" s="12"/>
      <c r="CG82" s="12"/>
      <c r="CH82" s="12"/>
      <c r="CI82" s="12"/>
      <c r="CJ82" s="12"/>
      <c r="CK82" s="12"/>
      <c r="CL82" s="12"/>
      <c r="CM82" s="12"/>
      <c r="CN82" s="12"/>
      <c r="CO82" s="12"/>
      <c r="CP82" s="12"/>
      <c r="CQ82" s="12"/>
      <c r="CR82" s="12"/>
      <c r="CS82" s="12"/>
      <c r="CT82" s="12"/>
      <c r="CU82" s="12"/>
      <c r="CV82" s="12"/>
      <c r="CW82" s="12"/>
      <c r="CX82" s="12"/>
      <c r="CY82" s="12"/>
      <c r="CZ82" s="12"/>
      <c r="DA82" s="12"/>
      <c r="DB82" s="12"/>
      <c r="DC82" s="12"/>
      <c r="DD82" s="12"/>
      <c r="DE82" s="12"/>
      <c r="DF82" s="12"/>
      <c r="DG82" s="12"/>
      <c r="DH82" s="12"/>
      <c r="DI82" s="12"/>
      <c r="DJ82" s="12"/>
      <c r="DK82" s="12"/>
      <c r="DL82" s="12"/>
      <c r="DM82" s="12"/>
      <c r="DN82" s="12"/>
      <c r="DO82" s="12"/>
      <c r="DP82" s="12"/>
      <c r="DQ82" s="12"/>
      <c r="DR82" s="12"/>
      <c r="DS82" s="12"/>
      <c r="DT82" s="12"/>
      <c r="DU82" s="12"/>
      <c r="DV82" s="12"/>
      <c r="DW82" s="12"/>
      <c r="DX82" s="12"/>
      <c r="DY82" s="12"/>
      <c r="DZ82" s="12"/>
      <c r="EA82" s="12"/>
      <c r="EB82" s="12"/>
      <c r="EC82" s="12"/>
      <c r="ED82" s="12"/>
      <c r="EE82" s="12"/>
      <c r="EF82" s="12"/>
      <c r="EG82" s="12"/>
      <c r="EH82" s="12"/>
      <c r="EI82" s="12"/>
      <c r="EJ82" s="12"/>
      <c r="EK82" s="12"/>
      <c r="EL82" s="12"/>
      <c r="EM82" s="12"/>
      <c r="EN82" s="12"/>
      <c r="EO82" s="12"/>
      <c r="EP82" s="12"/>
      <c r="EQ82" s="12"/>
      <c r="ER82" s="12"/>
      <c r="ES82" s="12"/>
      <c r="ET82" s="12"/>
      <c r="EU82" s="12"/>
      <c r="EV82" s="12"/>
      <c r="EW82" s="12"/>
      <c r="EX82" s="12"/>
      <c r="EY82" s="12"/>
      <c r="EZ82" s="12"/>
      <c r="FA82" s="12"/>
      <c r="FB82" s="12"/>
      <c r="FC82" s="12"/>
      <c r="FD82" s="12"/>
      <c r="FE82" s="12"/>
      <c r="FF82" s="12"/>
      <c r="FG82" s="12"/>
      <c r="FH82" s="12"/>
      <c r="FI82" s="12"/>
      <c r="FJ82" s="12"/>
      <c r="FK82" s="12"/>
      <c r="FL82" s="12"/>
      <c r="FM82" s="12"/>
      <c r="FN82" s="12"/>
      <c r="FO82" s="12"/>
      <c r="FP82" s="12"/>
      <c r="FQ82" s="12"/>
      <c r="FR82" s="12"/>
      <c r="FS82" s="12"/>
      <c r="FT82" s="12"/>
      <c r="FU82" s="12"/>
      <c r="FV82" s="12"/>
      <c r="FW82" s="12"/>
      <c r="FX82" s="12"/>
      <c r="FY82" s="12"/>
      <c r="FZ82" s="12"/>
      <c r="GA82" s="12"/>
      <c r="GB82" s="12"/>
      <c r="GC82" s="12"/>
      <c r="GD82" s="12"/>
      <c r="GE82" s="12"/>
    </row>
    <row r="83" spans="1:187" ht="21" customHeight="1">
      <c r="A83" s="45"/>
      <c r="B83" s="101" t="s">
        <v>133</v>
      </c>
      <c r="C83" s="101"/>
      <c r="D83" s="101"/>
      <c r="E83" s="34"/>
      <c r="F83" s="34"/>
      <c r="G83" s="34"/>
      <c r="H83" s="34"/>
      <c r="I83" s="35">
        <f t="shared" si="7"/>
        <v>0</v>
      </c>
      <c r="J83" s="56"/>
      <c r="K83" s="49">
        <v>0</v>
      </c>
      <c r="L83" s="49">
        <v>0</v>
      </c>
      <c r="M83" s="49">
        <v>0</v>
      </c>
      <c r="N83" s="49">
        <v>0</v>
      </c>
      <c r="O83" s="56">
        <f t="shared" si="13"/>
        <v>0</v>
      </c>
      <c r="P83" s="1">
        <f t="shared" si="8"/>
        <v>0</v>
      </c>
      <c r="Q83" s="1">
        <f t="shared" si="9"/>
        <v>0</v>
      </c>
      <c r="R83" s="1">
        <f t="shared" si="10"/>
        <v>0</v>
      </c>
      <c r="S83" s="1">
        <f t="shared" si="11"/>
        <v>0</v>
      </c>
      <c r="T83" s="1">
        <f t="shared" si="12"/>
        <v>0</v>
      </c>
      <c r="U83" s="45"/>
      <c r="V83" s="45"/>
      <c r="W83" s="45"/>
    </row>
    <row r="84" spans="1:187" ht="23.25" customHeight="1">
      <c r="A84" s="45"/>
      <c r="B84" s="9" t="s">
        <v>2</v>
      </c>
      <c r="C84" s="10" t="s">
        <v>68</v>
      </c>
      <c r="D84" s="10" t="s">
        <v>304</v>
      </c>
      <c r="E84" s="35">
        <v>3657.9490000000001</v>
      </c>
      <c r="F84" s="35">
        <f>5650.67-E84</f>
        <v>1992.721</v>
      </c>
      <c r="G84" s="35">
        <v>738.68499999999995</v>
      </c>
      <c r="H84" s="35">
        <f>3951.318-G84</f>
        <v>3212.6330000000003</v>
      </c>
      <c r="I84" s="35">
        <f t="shared" si="7"/>
        <v>9601.9879999999994</v>
      </c>
      <c r="J84" s="56">
        <f>'2021'!J85</f>
        <v>9881.48</v>
      </c>
      <c r="K84" s="49">
        <v>8954.8055999999997</v>
      </c>
      <c r="L84" s="49">
        <v>9312.997824</v>
      </c>
      <c r="M84" s="49">
        <v>1408.1929055999999</v>
      </c>
      <c r="N84" s="49">
        <v>1464.520621824</v>
      </c>
      <c r="O84" s="56">
        <f t="shared" si="13"/>
        <v>7546.6126943999998</v>
      </c>
      <c r="P84" s="1">
        <f t="shared" si="8"/>
        <v>27605124.358867787</v>
      </c>
      <c r="Q84" s="1">
        <f t="shared" si="9"/>
        <v>15038293.594997462</v>
      </c>
      <c r="R84" s="1">
        <f t="shared" si="10"/>
        <v>5797552.3820893783</v>
      </c>
      <c r="S84" s="1">
        <f t="shared" si="11"/>
        <v>25214276.85945829</v>
      </c>
      <c r="T84" s="1">
        <f t="shared" si="12"/>
        <v>73655247.195412904</v>
      </c>
      <c r="U84" s="11"/>
      <c r="V84" s="11"/>
      <c r="W84" s="11"/>
      <c r="X84" s="12"/>
      <c r="Y84" s="12"/>
      <c r="Z84" s="12"/>
      <c r="AA84" s="12"/>
      <c r="AB84" s="12"/>
      <c r="AC84" s="12"/>
      <c r="AD84" s="12"/>
      <c r="AE84" s="12"/>
      <c r="AF84" s="12"/>
      <c r="AG84" s="12"/>
      <c r="AH84" s="12"/>
      <c r="AI84" s="12"/>
      <c r="AJ84" s="12"/>
      <c r="AK84" s="12"/>
      <c r="AL84" s="12"/>
      <c r="AM84" s="12"/>
      <c r="AN84" s="12"/>
      <c r="AO84" s="12"/>
      <c r="AP84" s="12"/>
      <c r="AQ84" s="12"/>
      <c r="AR84" s="12"/>
      <c r="AS84" s="12"/>
      <c r="AT84" s="12"/>
      <c r="AU84" s="12"/>
      <c r="AV84" s="12"/>
      <c r="AW84" s="12"/>
      <c r="AX84" s="12"/>
      <c r="AY84" s="12"/>
      <c r="AZ84" s="12"/>
      <c r="BA84" s="12"/>
      <c r="BB84" s="12"/>
      <c r="BC84" s="12"/>
      <c r="BD84" s="12"/>
      <c r="BE84" s="12"/>
      <c r="BF84" s="12"/>
      <c r="BG84" s="12"/>
      <c r="BH84" s="12"/>
      <c r="BI84" s="12"/>
      <c r="BJ84" s="12"/>
      <c r="BK84" s="12"/>
      <c r="BL84" s="12"/>
      <c r="BM84" s="12"/>
      <c r="BN84" s="12"/>
      <c r="BO84" s="12"/>
      <c r="BP84" s="12"/>
      <c r="BQ84" s="12"/>
      <c r="BR84" s="12"/>
      <c r="BS84" s="12"/>
      <c r="BT84" s="12"/>
      <c r="BU84" s="12"/>
      <c r="BV84" s="12"/>
      <c r="BW84" s="12"/>
      <c r="BX84" s="12"/>
      <c r="BY84" s="12"/>
      <c r="BZ84" s="12"/>
      <c r="CA84" s="12"/>
      <c r="CB84" s="12"/>
      <c r="CC84" s="12"/>
      <c r="CD84" s="12"/>
      <c r="CE84" s="12"/>
      <c r="CF84" s="12"/>
      <c r="CG84" s="12"/>
      <c r="CH84" s="12"/>
      <c r="CI84" s="12"/>
      <c r="CJ84" s="12"/>
      <c r="CK84" s="12"/>
      <c r="CL84" s="12"/>
      <c r="CM84" s="12"/>
      <c r="CN84" s="12"/>
      <c r="CO84" s="12"/>
      <c r="CP84" s="12"/>
      <c r="CQ84" s="12"/>
      <c r="CR84" s="12"/>
      <c r="CS84" s="12"/>
      <c r="CT84" s="12"/>
      <c r="CU84" s="12"/>
      <c r="CV84" s="12"/>
      <c r="CW84" s="12"/>
      <c r="CX84" s="12"/>
      <c r="CY84" s="12"/>
      <c r="CZ84" s="12"/>
      <c r="DA84" s="12"/>
      <c r="DB84" s="12"/>
      <c r="DC84" s="12"/>
      <c r="DD84" s="12"/>
      <c r="DE84" s="12"/>
      <c r="DF84" s="12"/>
      <c r="DG84" s="12"/>
      <c r="DH84" s="12"/>
      <c r="DI84" s="12"/>
      <c r="DJ84" s="12"/>
      <c r="DK84" s="12"/>
      <c r="DL84" s="12"/>
      <c r="DM84" s="12"/>
      <c r="DN84" s="12"/>
      <c r="DO84" s="12"/>
      <c r="DP84" s="12"/>
      <c r="DQ84" s="12"/>
      <c r="DR84" s="12"/>
      <c r="DS84" s="12"/>
      <c r="DT84" s="12"/>
      <c r="DU84" s="12"/>
      <c r="DV84" s="12"/>
      <c r="DW84" s="12"/>
      <c r="DX84" s="12"/>
      <c r="DY84" s="12"/>
      <c r="DZ84" s="12"/>
      <c r="EA84" s="12"/>
      <c r="EB84" s="12"/>
      <c r="EC84" s="12"/>
      <c r="ED84" s="12"/>
      <c r="EE84" s="12"/>
      <c r="EF84" s="12"/>
      <c r="EG84" s="12"/>
      <c r="EH84" s="12"/>
      <c r="EI84" s="12"/>
      <c r="EJ84" s="12"/>
      <c r="EK84" s="12"/>
      <c r="EL84" s="12"/>
      <c r="EM84" s="12"/>
      <c r="EN84" s="12"/>
      <c r="EO84" s="12"/>
      <c r="EP84" s="12"/>
      <c r="EQ84" s="12"/>
      <c r="ER84" s="12"/>
      <c r="ES84" s="12"/>
      <c r="ET84" s="12"/>
      <c r="EU84" s="12"/>
      <c r="EV84" s="12"/>
      <c r="EW84" s="12"/>
      <c r="EX84" s="12"/>
      <c r="EY84" s="12"/>
      <c r="EZ84" s="12"/>
      <c r="FA84" s="12"/>
      <c r="FB84" s="12"/>
      <c r="FC84" s="12"/>
      <c r="FD84" s="12"/>
      <c r="FE84" s="12"/>
      <c r="FF84" s="12"/>
      <c r="FG84" s="12"/>
      <c r="FH84" s="12"/>
      <c r="FI84" s="12"/>
      <c r="FJ84" s="12"/>
      <c r="FK84" s="12"/>
      <c r="FL84" s="12"/>
      <c r="FM84" s="12"/>
      <c r="FN84" s="12"/>
      <c r="FO84" s="12"/>
      <c r="FP84" s="12"/>
      <c r="FQ84" s="12"/>
      <c r="FR84" s="12"/>
      <c r="FS84" s="12"/>
      <c r="FT84" s="12"/>
      <c r="FU84" s="12"/>
      <c r="FV84" s="12"/>
      <c r="FW84" s="12"/>
      <c r="FX84" s="12"/>
      <c r="FY84" s="12"/>
      <c r="FZ84" s="12"/>
      <c r="GA84" s="12"/>
      <c r="GB84" s="12"/>
      <c r="GC84" s="12"/>
      <c r="GD84" s="12"/>
      <c r="GE84" s="12"/>
    </row>
    <row r="85" spans="1:187" ht="23.25" customHeight="1">
      <c r="A85" s="45" t="s">
        <v>337</v>
      </c>
      <c r="B85" s="9">
        <v>7729314745</v>
      </c>
      <c r="C85" s="10" t="s">
        <v>341</v>
      </c>
      <c r="D85" s="10" t="s">
        <v>342</v>
      </c>
      <c r="E85" s="35">
        <f>60.9235*0.4</f>
        <v>24.369399999999999</v>
      </c>
      <c r="F85" s="35">
        <f>60.9235*0.6</f>
        <v>36.554099999999998</v>
      </c>
      <c r="G85" s="35">
        <f>49.8465*0.2</f>
        <v>9.9693000000000005</v>
      </c>
      <c r="H85" s="35">
        <f>49.8465*0.8</f>
        <v>39.877200000000002</v>
      </c>
      <c r="I85" s="35">
        <f t="shared" si="7"/>
        <v>110.77</v>
      </c>
      <c r="J85" s="56">
        <f>'2021'!J86</f>
        <v>110.8</v>
      </c>
      <c r="K85" s="49">
        <v>7016.2889056000004</v>
      </c>
      <c r="L85" s="49">
        <v>7296.9404618240005</v>
      </c>
      <c r="M85" s="49">
        <v>1408.1929055999999</v>
      </c>
      <c r="N85" s="49">
        <v>1464.520621824</v>
      </c>
      <c r="O85" s="56">
        <f t="shared" si="13"/>
        <v>5608.0960000000005</v>
      </c>
      <c r="P85" s="1">
        <f t="shared" si="8"/>
        <v>136665.93466240002</v>
      </c>
      <c r="Q85" s="1">
        <f t="shared" si="9"/>
        <v>204998.90199360001</v>
      </c>
      <c r="R85" s="1">
        <f t="shared" si="10"/>
        <v>58145.143110912009</v>
      </c>
      <c r="S85" s="1">
        <f t="shared" si="11"/>
        <v>232580.57244364804</v>
      </c>
      <c r="T85" s="1">
        <f t="shared" si="12"/>
        <v>632390.55221056007</v>
      </c>
      <c r="U85" s="11"/>
      <c r="V85" s="11"/>
      <c r="W85" s="11"/>
      <c r="X85" s="12"/>
      <c r="Y85" s="12"/>
      <c r="Z85" s="12"/>
      <c r="AA85" s="12"/>
      <c r="AB85" s="12"/>
      <c r="AC85" s="12"/>
      <c r="AD85" s="12"/>
      <c r="AE85" s="12"/>
      <c r="AF85" s="12"/>
      <c r="AG85" s="12"/>
      <c r="AH85" s="12"/>
      <c r="AI85" s="12"/>
      <c r="AJ85" s="12"/>
      <c r="AK85" s="12"/>
      <c r="AL85" s="12"/>
      <c r="AM85" s="12"/>
      <c r="AN85" s="12"/>
      <c r="AO85" s="12"/>
      <c r="AP85" s="12"/>
      <c r="AQ85" s="12"/>
      <c r="AR85" s="12"/>
      <c r="AS85" s="12"/>
      <c r="AT85" s="12"/>
      <c r="AU85" s="12"/>
      <c r="AV85" s="12"/>
      <c r="AW85" s="12"/>
      <c r="AX85" s="12"/>
      <c r="AY85" s="12"/>
      <c r="AZ85" s="12"/>
      <c r="BA85" s="12"/>
      <c r="BB85" s="12"/>
      <c r="BC85" s="12"/>
      <c r="BD85" s="12"/>
      <c r="BE85" s="12"/>
      <c r="BF85" s="12"/>
      <c r="BG85" s="12"/>
      <c r="BH85" s="12"/>
      <c r="BI85" s="12"/>
      <c r="BJ85" s="12"/>
      <c r="BK85" s="12"/>
      <c r="BL85" s="12"/>
      <c r="BM85" s="12"/>
      <c r="BN85" s="12"/>
      <c r="BO85" s="12"/>
      <c r="BP85" s="12"/>
      <c r="BQ85" s="12"/>
      <c r="BR85" s="12"/>
      <c r="BS85" s="12"/>
      <c r="BT85" s="12"/>
      <c r="BU85" s="12"/>
      <c r="BV85" s="12"/>
      <c r="BW85" s="12"/>
      <c r="BX85" s="12"/>
      <c r="BY85" s="12"/>
      <c r="BZ85" s="12"/>
      <c r="CA85" s="12"/>
      <c r="CB85" s="12"/>
      <c r="CC85" s="12"/>
      <c r="CD85" s="12"/>
      <c r="CE85" s="12"/>
      <c r="CF85" s="12"/>
      <c r="CG85" s="12"/>
      <c r="CH85" s="12"/>
      <c r="CI85" s="12"/>
      <c r="CJ85" s="12"/>
      <c r="CK85" s="12"/>
      <c r="CL85" s="12"/>
      <c r="CM85" s="12"/>
      <c r="CN85" s="12"/>
      <c r="CO85" s="12"/>
      <c r="CP85" s="12"/>
      <c r="CQ85" s="12"/>
      <c r="CR85" s="12"/>
      <c r="CS85" s="12"/>
      <c r="CT85" s="12"/>
      <c r="CU85" s="12"/>
      <c r="CV85" s="12"/>
      <c r="CW85" s="12"/>
      <c r="CX85" s="12"/>
      <c r="CY85" s="12"/>
      <c r="CZ85" s="12"/>
      <c r="DA85" s="12"/>
      <c r="DB85" s="12"/>
      <c r="DC85" s="12"/>
      <c r="DD85" s="12"/>
      <c r="DE85" s="12"/>
      <c r="DF85" s="12"/>
      <c r="DG85" s="12"/>
      <c r="DH85" s="12"/>
      <c r="DI85" s="12"/>
      <c r="DJ85" s="12"/>
      <c r="DK85" s="12"/>
      <c r="DL85" s="12"/>
      <c r="DM85" s="12"/>
      <c r="DN85" s="12"/>
      <c r="DO85" s="12"/>
      <c r="DP85" s="12"/>
      <c r="DQ85" s="12"/>
      <c r="DR85" s="12"/>
      <c r="DS85" s="12"/>
      <c r="DT85" s="12"/>
      <c r="DU85" s="12"/>
      <c r="DV85" s="12"/>
      <c r="DW85" s="12"/>
      <c r="DX85" s="12"/>
      <c r="DY85" s="12"/>
      <c r="DZ85" s="12"/>
      <c r="EA85" s="12"/>
      <c r="EB85" s="12"/>
      <c r="EC85" s="12"/>
      <c r="ED85" s="12"/>
      <c r="EE85" s="12"/>
      <c r="EF85" s="12"/>
      <c r="EG85" s="12"/>
      <c r="EH85" s="12"/>
      <c r="EI85" s="12"/>
      <c r="EJ85" s="12"/>
      <c r="EK85" s="12"/>
      <c r="EL85" s="12"/>
      <c r="EM85" s="12"/>
      <c r="EN85" s="12"/>
      <c r="EO85" s="12"/>
      <c r="EP85" s="12"/>
      <c r="EQ85" s="12"/>
      <c r="ER85" s="12"/>
      <c r="ES85" s="12"/>
      <c r="ET85" s="12"/>
      <c r="EU85" s="12"/>
      <c r="EV85" s="12"/>
      <c r="EW85" s="12"/>
      <c r="EX85" s="12"/>
      <c r="EY85" s="12"/>
      <c r="EZ85" s="12"/>
      <c r="FA85" s="12"/>
      <c r="FB85" s="12"/>
      <c r="FC85" s="12"/>
      <c r="FD85" s="12"/>
      <c r="FE85" s="12"/>
      <c r="FF85" s="12"/>
      <c r="FG85" s="12"/>
      <c r="FH85" s="12"/>
      <c r="FI85" s="12"/>
      <c r="FJ85" s="12"/>
      <c r="FK85" s="12"/>
      <c r="FL85" s="12"/>
      <c r="FM85" s="12"/>
      <c r="FN85" s="12"/>
      <c r="FO85" s="12"/>
      <c r="FP85" s="12"/>
      <c r="FQ85" s="12"/>
      <c r="FR85" s="12"/>
      <c r="FS85" s="12"/>
      <c r="FT85" s="12"/>
      <c r="FU85" s="12"/>
      <c r="FV85" s="12"/>
      <c r="FW85" s="12"/>
      <c r="FX85" s="12"/>
      <c r="FY85" s="12"/>
      <c r="FZ85" s="12"/>
      <c r="GA85" s="12"/>
      <c r="GB85" s="12"/>
      <c r="GC85" s="12"/>
      <c r="GD85" s="12"/>
      <c r="GE85" s="12"/>
    </row>
    <row r="86" spans="1:187" ht="21" customHeight="1">
      <c r="A86" s="45"/>
      <c r="B86" s="101" t="s">
        <v>109</v>
      </c>
      <c r="C86" s="101"/>
      <c r="D86" s="101"/>
      <c r="E86" s="34"/>
      <c r="F86" s="34"/>
      <c r="G86" s="34"/>
      <c r="H86" s="34"/>
      <c r="I86" s="35">
        <f t="shared" si="7"/>
        <v>0</v>
      </c>
      <c r="J86" s="56"/>
      <c r="K86" s="49"/>
      <c r="L86" s="49"/>
      <c r="M86" s="49"/>
      <c r="N86" s="49"/>
      <c r="O86" s="56">
        <f t="shared" si="13"/>
        <v>0</v>
      </c>
      <c r="P86" s="1">
        <f t="shared" si="8"/>
        <v>0</v>
      </c>
      <c r="Q86" s="1">
        <f t="shared" si="9"/>
        <v>0</v>
      </c>
      <c r="R86" s="1">
        <f t="shared" si="10"/>
        <v>0</v>
      </c>
      <c r="S86" s="1">
        <f t="shared" si="11"/>
        <v>0</v>
      </c>
      <c r="T86" s="1">
        <f t="shared" si="12"/>
        <v>0</v>
      </c>
      <c r="U86" s="45"/>
      <c r="V86" s="45"/>
      <c r="W86" s="45"/>
    </row>
    <row r="87" spans="1:187" ht="21" customHeight="1">
      <c r="A87" s="45"/>
      <c r="B87" s="9" t="s">
        <v>33</v>
      </c>
      <c r="C87" s="10" t="s">
        <v>134</v>
      </c>
      <c r="D87" s="10"/>
      <c r="E87" s="39">
        <v>45585.184000000001</v>
      </c>
      <c r="F87" s="39">
        <f>74313.317-E87</f>
        <v>28728.132999999994</v>
      </c>
      <c r="G87" s="39">
        <v>14954.482</v>
      </c>
      <c r="H87" s="39">
        <f>58094.657-G87</f>
        <v>43140.175000000003</v>
      </c>
      <c r="I87" s="35">
        <f t="shared" si="7"/>
        <v>132407.97399999999</v>
      </c>
      <c r="J87" s="56">
        <f>'2021'!J88</f>
        <v>141521.84</v>
      </c>
      <c r="K87" s="49">
        <v>2103.14</v>
      </c>
      <c r="L87" s="49">
        <v>2187.2600000000002</v>
      </c>
      <c r="M87" s="49">
        <v>1587.7160000000001</v>
      </c>
      <c r="N87" s="49">
        <v>1651.23</v>
      </c>
      <c r="O87" s="56">
        <f t="shared" si="13"/>
        <v>515.42399999999975</v>
      </c>
      <c r="P87" s="1">
        <f t="shared" si="8"/>
        <v>23495697.878015988</v>
      </c>
      <c r="Q87" s="1">
        <f t="shared" si="9"/>
        <v>14807169.223391989</v>
      </c>
      <c r="R87" s="1">
        <f t="shared" si="10"/>
        <v>8016050.9864600031</v>
      </c>
      <c r="S87" s="1">
        <f t="shared" si="11"/>
        <v>23124428.005250011</v>
      </c>
      <c r="T87" s="1">
        <f t="shared" si="12"/>
        <v>69443346.093117982</v>
      </c>
      <c r="U87" s="11"/>
      <c r="V87" s="11"/>
      <c r="W87" s="11"/>
      <c r="X87" s="12"/>
      <c r="Y87" s="12"/>
      <c r="Z87" s="12"/>
      <c r="AA87" s="12"/>
      <c r="AB87" s="12"/>
      <c r="AC87" s="12"/>
      <c r="AD87" s="12"/>
      <c r="AE87" s="12"/>
      <c r="AF87" s="12"/>
      <c r="AG87" s="12"/>
      <c r="AH87" s="12"/>
      <c r="AI87" s="12"/>
      <c r="AJ87" s="12"/>
      <c r="AK87" s="12"/>
      <c r="AL87" s="12"/>
      <c r="AM87" s="12"/>
      <c r="AN87" s="12"/>
      <c r="AO87" s="12"/>
      <c r="AP87" s="12"/>
      <c r="AQ87" s="12"/>
      <c r="AR87" s="12"/>
      <c r="AS87" s="12"/>
      <c r="AT87" s="12"/>
      <c r="AU87" s="12"/>
      <c r="AV87" s="12"/>
      <c r="AW87" s="12"/>
      <c r="AX87" s="12"/>
      <c r="AY87" s="12"/>
      <c r="AZ87" s="12"/>
      <c r="BA87" s="12"/>
      <c r="BB87" s="12"/>
      <c r="BC87" s="12"/>
      <c r="BD87" s="12"/>
      <c r="BE87" s="12"/>
      <c r="BF87" s="12"/>
      <c r="BG87" s="12"/>
      <c r="BH87" s="12"/>
      <c r="BI87" s="12"/>
      <c r="BJ87" s="12"/>
      <c r="BK87" s="12"/>
      <c r="BL87" s="12"/>
      <c r="BM87" s="12"/>
      <c r="BN87" s="12"/>
      <c r="BO87" s="12"/>
      <c r="BP87" s="12"/>
      <c r="BQ87" s="12"/>
      <c r="BR87" s="12"/>
      <c r="BS87" s="12"/>
      <c r="BT87" s="12"/>
      <c r="BU87" s="12"/>
      <c r="BV87" s="12"/>
      <c r="BW87" s="12"/>
      <c r="BX87" s="12"/>
      <c r="BY87" s="12"/>
      <c r="BZ87" s="12"/>
      <c r="CA87" s="12"/>
      <c r="CB87" s="12"/>
      <c r="CC87" s="12"/>
      <c r="CD87" s="12"/>
      <c r="CE87" s="12"/>
      <c r="CF87" s="12"/>
      <c r="CG87" s="12"/>
      <c r="CH87" s="12"/>
      <c r="CI87" s="12"/>
      <c r="CJ87" s="12"/>
      <c r="CK87" s="12"/>
      <c r="CL87" s="12"/>
      <c r="CM87" s="12"/>
      <c r="CN87" s="12"/>
      <c r="CO87" s="12"/>
      <c r="CP87" s="12"/>
      <c r="CQ87" s="12"/>
      <c r="CR87" s="12"/>
      <c r="CS87" s="12"/>
      <c r="CT87" s="12"/>
      <c r="CU87" s="12"/>
      <c r="CV87" s="12"/>
      <c r="CW87" s="12"/>
      <c r="CX87" s="12"/>
      <c r="CY87" s="12"/>
      <c r="CZ87" s="12"/>
      <c r="DA87" s="12"/>
      <c r="DB87" s="12"/>
      <c r="DC87" s="12"/>
      <c r="DD87" s="12"/>
      <c r="DE87" s="12"/>
      <c r="DF87" s="12"/>
      <c r="DG87" s="12"/>
      <c r="DH87" s="12"/>
      <c r="DI87" s="12"/>
      <c r="DJ87" s="12"/>
      <c r="DK87" s="12"/>
      <c r="DL87" s="12"/>
      <c r="DM87" s="12"/>
      <c r="DN87" s="12"/>
      <c r="DO87" s="12"/>
      <c r="DP87" s="12"/>
      <c r="DQ87" s="12"/>
      <c r="DR87" s="12"/>
      <c r="DS87" s="12"/>
      <c r="DT87" s="12"/>
      <c r="DU87" s="12"/>
      <c r="DV87" s="12"/>
      <c r="DW87" s="12"/>
      <c r="DX87" s="12"/>
      <c r="DY87" s="12"/>
      <c r="DZ87" s="12"/>
      <c r="EA87" s="12"/>
      <c r="EB87" s="12"/>
      <c r="EC87" s="12"/>
      <c r="ED87" s="12"/>
      <c r="EE87" s="12"/>
      <c r="EF87" s="12"/>
      <c r="EG87" s="12"/>
      <c r="EH87" s="12"/>
      <c r="EI87" s="12"/>
      <c r="EJ87" s="12"/>
      <c r="EK87" s="12"/>
      <c r="EL87" s="12"/>
      <c r="EM87" s="12"/>
      <c r="EN87" s="12"/>
      <c r="EO87" s="12"/>
      <c r="EP87" s="12"/>
      <c r="EQ87" s="12"/>
      <c r="ER87" s="12"/>
      <c r="ES87" s="12"/>
      <c r="ET87" s="12"/>
      <c r="EU87" s="12"/>
      <c r="EV87" s="12"/>
      <c r="EW87" s="12"/>
      <c r="EX87" s="12"/>
      <c r="EY87" s="12"/>
      <c r="EZ87" s="12"/>
      <c r="FA87" s="12"/>
      <c r="FB87" s="12"/>
      <c r="FC87" s="12"/>
      <c r="FD87" s="12"/>
      <c r="FE87" s="12"/>
      <c r="FF87" s="12"/>
      <c r="FG87" s="12"/>
      <c r="FH87" s="12"/>
      <c r="FI87" s="12"/>
      <c r="FJ87" s="12"/>
      <c r="FK87" s="12"/>
      <c r="FL87" s="12"/>
      <c r="FM87" s="12"/>
      <c r="FN87" s="12"/>
      <c r="FO87" s="12"/>
      <c r="FP87" s="12"/>
      <c r="FQ87" s="12"/>
      <c r="FR87" s="12"/>
      <c r="FS87" s="12"/>
      <c r="FT87" s="12"/>
      <c r="FU87" s="12"/>
      <c r="FV87" s="12"/>
      <c r="FW87" s="12"/>
      <c r="FX87" s="12"/>
      <c r="FY87" s="12"/>
      <c r="FZ87" s="12"/>
      <c r="GA87" s="12"/>
      <c r="GB87" s="12"/>
      <c r="GC87" s="12"/>
      <c r="GD87" s="12"/>
      <c r="GE87" s="12"/>
    </row>
    <row r="88" spans="1:187" ht="21" customHeight="1">
      <c r="A88" s="45" t="s">
        <v>337</v>
      </c>
      <c r="B88" s="9">
        <v>7729314745</v>
      </c>
      <c r="C88" s="10" t="s">
        <v>341</v>
      </c>
      <c r="D88" s="10"/>
      <c r="E88" s="35">
        <f>2542.804*0.4</f>
        <v>1017.1216000000001</v>
      </c>
      <c r="F88" s="35">
        <f>2542.804*0.6</f>
        <v>1525.6823999999999</v>
      </c>
      <c r="G88" s="35">
        <f>2080.476*0.2</f>
        <v>416.09520000000003</v>
      </c>
      <c r="H88" s="35">
        <f>2080.476*0.8</f>
        <v>1664.3808000000001</v>
      </c>
      <c r="I88" s="35">
        <f t="shared" si="7"/>
        <v>4623.2800000000007</v>
      </c>
      <c r="J88" s="56">
        <f>'2021'!J89</f>
        <v>4623.3</v>
      </c>
      <c r="K88" s="49">
        <v>1725.714432</v>
      </c>
      <c r="L88" s="49">
        <v>1794.74300928</v>
      </c>
      <c r="M88" s="49">
        <v>1587.7166864000001</v>
      </c>
      <c r="N88" s="49">
        <v>1651.2253538560001</v>
      </c>
      <c r="O88" s="56">
        <f t="shared" si="13"/>
        <v>137.99774559999992</v>
      </c>
      <c r="P88" s="1">
        <f t="shared" si="8"/>
        <v>140360.48780106488</v>
      </c>
      <c r="Q88" s="1">
        <f t="shared" si="9"/>
        <v>210540.73170159731</v>
      </c>
      <c r="R88" s="1">
        <f t="shared" si="10"/>
        <v>59717.007537180347</v>
      </c>
      <c r="S88" s="1">
        <f t="shared" si="11"/>
        <v>238868.03014872139</v>
      </c>
      <c r="T88" s="1">
        <f t="shared" si="12"/>
        <v>649486.25718856393</v>
      </c>
      <c r="U88" s="11"/>
      <c r="V88" s="11"/>
      <c r="W88" s="11"/>
      <c r="X88" s="12"/>
      <c r="Y88" s="12"/>
      <c r="Z88" s="12"/>
      <c r="AA88" s="12"/>
      <c r="AB88" s="12"/>
      <c r="AC88" s="12"/>
      <c r="AD88" s="12"/>
      <c r="AE88" s="12"/>
      <c r="AF88" s="12"/>
      <c r="AG88" s="12"/>
      <c r="AH88" s="12"/>
      <c r="AI88" s="12"/>
      <c r="AJ88" s="12"/>
      <c r="AK88" s="12"/>
      <c r="AL88" s="12"/>
      <c r="AM88" s="12"/>
      <c r="AN88" s="12"/>
      <c r="AO88" s="12"/>
      <c r="AP88" s="12"/>
      <c r="AQ88" s="12"/>
      <c r="AR88" s="12"/>
      <c r="AS88" s="12"/>
      <c r="AT88" s="12"/>
      <c r="AU88" s="12"/>
      <c r="AV88" s="12"/>
      <c r="AW88" s="12"/>
      <c r="AX88" s="12"/>
      <c r="AY88" s="12"/>
      <c r="AZ88" s="12"/>
      <c r="BA88" s="12"/>
      <c r="BB88" s="12"/>
      <c r="BC88" s="12"/>
      <c r="BD88" s="12"/>
      <c r="BE88" s="12"/>
      <c r="BF88" s="12"/>
      <c r="BG88" s="12"/>
      <c r="BH88" s="12"/>
      <c r="BI88" s="12"/>
      <c r="BJ88" s="12"/>
      <c r="BK88" s="12"/>
      <c r="BL88" s="12"/>
      <c r="BM88" s="12"/>
      <c r="BN88" s="12"/>
      <c r="BO88" s="12"/>
      <c r="BP88" s="12"/>
      <c r="BQ88" s="12"/>
      <c r="BR88" s="12"/>
      <c r="BS88" s="12"/>
      <c r="BT88" s="12"/>
      <c r="BU88" s="12"/>
      <c r="BV88" s="12"/>
      <c r="BW88" s="12"/>
      <c r="BX88" s="12"/>
      <c r="BY88" s="12"/>
      <c r="BZ88" s="12"/>
      <c r="CA88" s="12"/>
      <c r="CB88" s="12"/>
      <c r="CC88" s="12"/>
      <c r="CD88" s="12"/>
      <c r="CE88" s="12"/>
      <c r="CF88" s="12"/>
      <c r="CG88" s="12"/>
      <c r="CH88" s="12"/>
      <c r="CI88" s="12"/>
      <c r="CJ88" s="12"/>
      <c r="CK88" s="12"/>
      <c r="CL88" s="12"/>
      <c r="CM88" s="12"/>
      <c r="CN88" s="12"/>
      <c r="CO88" s="12"/>
      <c r="CP88" s="12"/>
      <c r="CQ88" s="12"/>
      <c r="CR88" s="12"/>
      <c r="CS88" s="12"/>
      <c r="CT88" s="12"/>
      <c r="CU88" s="12"/>
      <c r="CV88" s="12"/>
      <c r="CW88" s="12"/>
      <c r="CX88" s="12"/>
      <c r="CY88" s="12"/>
      <c r="CZ88" s="12"/>
      <c r="DA88" s="12"/>
      <c r="DB88" s="12"/>
      <c r="DC88" s="12"/>
      <c r="DD88" s="12"/>
      <c r="DE88" s="12"/>
      <c r="DF88" s="12"/>
      <c r="DG88" s="12"/>
      <c r="DH88" s="12"/>
      <c r="DI88" s="12"/>
      <c r="DJ88" s="12"/>
      <c r="DK88" s="12"/>
      <c r="DL88" s="12"/>
      <c r="DM88" s="12"/>
      <c r="DN88" s="12"/>
      <c r="DO88" s="12"/>
      <c r="DP88" s="12"/>
      <c r="DQ88" s="12"/>
      <c r="DR88" s="12"/>
      <c r="DS88" s="12"/>
      <c r="DT88" s="12"/>
      <c r="DU88" s="12"/>
      <c r="DV88" s="12"/>
      <c r="DW88" s="12"/>
      <c r="DX88" s="12"/>
      <c r="DY88" s="12"/>
      <c r="DZ88" s="12"/>
      <c r="EA88" s="12"/>
      <c r="EB88" s="12"/>
      <c r="EC88" s="12"/>
      <c r="ED88" s="12"/>
      <c r="EE88" s="12"/>
      <c r="EF88" s="12"/>
      <c r="EG88" s="12"/>
      <c r="EH88" s="12"/>
      <c r="EI88" s="12"/>
      <c r="EJ88" s="12"/>
      <c r="EK88" s="12"/>
      <c r="EL88" s="12"/>
      <c r="EM88" s="12"/>
      <c r="EN88" s="12"/>
      <c r="EO88" s="12"/>
      <c r="EP88" s="12"/>
      <c r="EQ88" s="12"/>
      <c r="ER88" s="12"/>
      <c r="ES88" s="12"/>
      <c r="ET88" s="12"/>
      <c r="EU88" s="12"/>
      <c r="EV88" s="12"/>
      <c r="EW88" s="12"/>
      <c r="EX88" s="12"/>
      <c r="EY88" s="12"/>
      <c r="EZ88" s="12"/>
      <c r="FA88" s="12"/>
      <c r="FB88" s="12"/>
      <c r="FC88" s="12"/>
      <c r="FD88" s="12"/>
      <c r="FE88" s="12"/>
      <c r="FF88" s="12"/>
      <c r="FG88" s="12"/>
      <c r="FH88" s="12"/>
      <c r="FI88" s="12"/>
      <c r="FJ88" s="12"/>
      <c r="FK88" s="12"/>
      <c r="FL88" s="12"/>
      <c r="FM88" s="12"/>
      <c r="FN88" s="12"/>
      <c r="FO88" s="12"/>
      <c r="FP88" s="12"/>
      <c r="FQ88" s="12"/>
      <c r="FR88" s="12"/>
      <c r="FS88" s="12"/>
      <c r="FT88" s="12"/>
      <c r="FU88" s="12"/>
      <c r="FV88" s="12"/>
      <c r="FW88" s="12"/>
      <c r="FX88" s="12"/>
      <c r="FY88" s="12"/>
      <c r="FZ88" s="12"/>
      <c r="GA88" s="12"/>
      <c r="GB88" s="12"/>
      <c r="GC88" s="12"/>
      <c r="GD88" s="12"/>
      <c r="GE88" s="12"/>
    </row>
    <row r="89" spans="1:187" ht="21" customHeight="1">
      <c r="A89" s="45"/>
      <c r="B89" s="101" t="s">
        <v>135</v>
      </c>
      <c r="C89" s="101"/>
      <c r="D89" s="101"/>
      <c r="E89" s="34"/>
      <c r="F89" s="34"/>
      <c r="G89" s="34"/>
      <c r="H89" s="34"/>
      <c r="I89" s="35">
        <f t="shared" si="7"/>
        <v>0</v>
      </c>
      <c r="J89" s="56"/>
      <c r="K89" s="49"/>
      <c r="L89" s="49"/>
      <c r="M89" s="49"/>
      <c r="N89" s="49"/>
      <c r="O89" s="56">
        <f t="shared" si="13"/>
        <v>0</v>
      </c>
      <c r="P89" s="1">
        <f t="shared" si="8"/>
        <v>0</v>
      </c>
      <c r="Q89" s="1">
        <f t="shared" si="9"/>
        <v>0</v>
      </c>
      <c r="R89" s="1">
        <f t="shared" si="10"/>
        <v>0</v>
      </c>
      <c r="S89" s="1">
        <f t="shared" si="11"/>
        <v>0</v>
      </c>
      <c r="T89" s="1">
        <f t="shared" si="12"/>
        <v>0</v>
      </c>
      <c r="U89" s="45"/>
      <c r="V89" s="45"/>
      <c r="W89" s="45"/>
    </row>
    <row r="90" spans="1:187" ht="21" customHeight="1">
      <c r="A90" s="45"/>
      <c r="B90" s="9" t="s">
        <v>18</v>
      </c>
      <c r="C90" s="10" t="s">
        <v>140</v>
      </c>
      <c r="D90" s="10"/>
      <c r="E90" s="35">
        <v>9485.1630000000005</v>
      </c>
      <c r="F90" s="35">
        <f>15089-E90</f>
        <v>5603.8369999999995</v>
      </c>
      <c r="G90" s="35">
        <v>2488.8870000000002</v>
      </c>
      <c r="H90" s="35">
        <f>11458.673</f>
        <v>11458.673000000001</v>
      </c>
      <c r="I90" s="35">
        <f t="shared" si="7"/>
        <v>29036.559999999998</v>
      </c>
      <c r="J90" s="56">
        <f>'2021'!J91</f>
        <v>26448</v>
      </c>
      <c r="K90" s="49">
        <v>4367.2928000000002</v>
      </c>
      <c r="L90" s="49">
        <v>4541.984512</v>
      </c>
      <c r="M90" s="49">
        <v>1344.0233456000001</v>
      </c>
      <c r="N90" s="49">
        <v>1397.784279424</v>
      </c>
      <c r="O90" s="56">
        <f t="shared" si="13"/>
        <v>3023.2694544000001</v>
      </c>
      <c r="P90" s="1">
        <f t="shared" si="8"/>
        <v>28676203.567905068</v>
      </c>
      <c r="Q90" s="1">
        <f t="shared" si="9"/>
        <v>16941909.229536533</v>
      </c>
      <c r="R90" s="1">
        <f t="shared" si="10"/>
        <v>7825559.0842553833</v>
      </c>
      <c r="S90" s="1">
        <f t="shared" si="11"/>
        <v>36028362.31161233</v>
      </c>
      <c r="T90" s="1">
        <f t="shared" si="12"/>
        <v>89472034.193309307</v>
      </c>
      <c r="U90" s="11"/>
      <c r="V90" s="11"/>
      <c r="W90" s="11"/>
      <c r="X90" s="12"/>
      <c r="Y90" s="12"/>
      <c r="Z90" s="12"/>
      <c r="AA90" s="12"/>
      <c r="AB90" s="12"/>
      <c r="AC90" s="12"/>
      <c r="AD90" s="12"/>
      <c r="AE90" s="12"/>
      <c r="AF90" s="12"/>
      <c r="AG90" s="12"/>
      <c r="AH90" s="12"/>
      <c r="AI90" s="12"/>
      <c r="AJ90" s="12"/>
      <c r="AK90" s="12"/>
      <c r="AL90" s="12"/>
      <c r="AM90" s="12"/>
      <c r="AN90" s="12"/>
      <c r="AO90" s="12"/>
      <c r="AP90" s="12"/>
      <c r="AQ90" s="12"/>
      <c r="AR90" s="12"/>
      <c r="AS90" s="12"/>
      <c r="AT90" s="12"/>
      <c r="AU90" s="12"/>
      <c r="AV90" s="12"/>
      <c r="AW90" s="12"/>
      <c r="AX90" s="12"/>
      <c r="AY90" s="12"/>
      <c r="AZ90" s="12"/>
      <c r="BA90" s="12"/>
      <c r="BB90" s="12"/>
      <c r="BC90" s="12"/>
      <c r="BD90" s="12"/>
      <c r="BE90" s="12"/>
      <c r="BF90" s="12"/>
      <c r="BG90" s="12"/>
      <c r="BH90" s="12"/>
      <c r="BI90" s="12"/>
      <c r="BJ90" s="12"/>
      <c r="BK90" s="12"/>
      <c r="BL90" s="12"/>
      <c r="BM90" s="12"/>
      <c r="BN90" s="12"/>
      <c r="BO90" s="12"/>
      <c r="BP90" s="12"/>
      <c r="BQ90" s="12"/>
      <c r="BR90" s="12"/>
      <c r="BS90" s="12"/>
      <c r="BT90" s="12"/>
      <c r="BU90" s="12"/>
      <c r="BV90" s="12"/>
      <c r="BW90" s="12"/>
      <c r="BX90" s="12"/>
      <c r="BY90" s="12"/>
      <c r="BZ90" s="12"/>
      <c r="CA90" s="12"/>
      <c r="CB90" s="12"/>
      <c r="CC90" s="12"/>
      <c r="CD90" s="12"/>
      <c r="CE90" s="12"/>
      <c r="CF90" s="12"/>
      <c r="CG90" s="12"/>
      <c r="CH90" s="12"/>
      <c r="CI90" s="12"/>
      <c r="CJ90" s="12"/>
      <c r="CK90" s="12"/>
      <c r="CL90" s="12"/>
      <c r="CM90" s="12"/>
      <c r="CN90" s="12"/>
      <c r="CO90" s="12"/>
      <c r="CP90" s="12"/>
      <c r="CQ90" s="12"/>
      <c r="CR90" s="12"/>
      <c r="CS90" s="12"/>
      <c r="CT90" s="12"/>
      <c r="CU90" s="12"/>
      <c r="CV90" s="12"/>
      <c r="CW90" s="12"/>
      <c r="CX90" s="12"/>
      <c r="CY90" s="12"/>
      <c r="CZ90" s="12"/>
      <c r="DA90" s="12"/>
      <c r="DB90" s="12"/>
      <c r="DC90" s="12"/>
      <c r="DD90" s="12"/>
      <c r="DE90" s="12"/>
      <c r="DF90" s="12"/>
      <c r="DG90" s="12"/>
      <c r="DH90" s="12"/>
      <c r="DI90" s="12"/>
      <c r="DJ90" s="12"/>
      <c r="DK90" s="12"/>
      <c r="DL90" s="12"/>
      <c r="DM90" s="12"/>
      <c r="DN90" s="12"/>
      <c r="DO90" s="12"/>
      <c r="DP90" s="12"/>
      <c r="DQ90" s="12"/>
      <c r="DR90" s="12"/>
      <c r="DS90" s="12"/>
      <c r="DT90" s="12"/>
      <c r="DU90" s="12"/>
      <c r="DV90" s="12"/>
      <c r="DW90" s="12"/>
      <c r="DX90" s="12"/>
      <c r="DY90" s="12"/>
      <c r="DZ90" s="12"/>
      <c r="EA90" s="12"/>
      <c r="EB90" s="12"/>
      <c r="EC90" s="12"/>
      <c r="ED90" s="12"/>
      <c r="EE90" s="12"/>
      <c r="EF90" s="12"/>
      <c r="EG90" s="12"/>
      <c r="EH90" s="12"/>
      <c r="EI90" s="12"/>
      <c r="EJ90" s="12"/>
      <c r="EK90" s="12"/>
      <c r="EL90" s="12"/>
      <c r="EM90" s="12"/>
      <c r="EN90" s="12"/>
      <c r="EO90" s="12"/>
      <c r="EP90" s="12"/>
      <c r="EQ90" s="12"/>
      <c r="ER90" s="12"/>
      <c r="ES90" s="12"/>
      <c r="ET90" s="12"/>
      <c r="EU90" s="12"/>
      <c r="EV90" s="12"/>
      <c r="EW90" s="12"/>
      <c r="EX90" s="12"/>
      <c r="EY90" s="12"/>
      <c r="EZ90" s="12"/>
      <c r="FA90" s="12"/>
      <c r="FB90" s="12"/>
      <c r="FC90" s="12"/>
      <c r="FD90" s="12"/>
      <c r="FE90" s="12"/>
      <c r="FF90" s="12"/>
      <c r="FG90" s="12"/>
      <c r="FH90" s="12"/>
      <c r="FI90" s="12"/>
      <c r="FJ90" s="12"/>
      <c r="FK90" s="12"/>
      <c r="FL90" s="12"/>
      <c r="FM90" s="12"/>
      <c r="FN90" s="12"/>
      <c r="FO90" s="12"/>
      <c r="FP90" s="12"/>
      <c r="FQ90" s="12"/>
      <c r="FR90" s="12"/>
      <c r="FS90" s="12"/>
      <c r="FT90" s="12"/>
      <c r="FU90" s="12"/>
      <c r="FV90" s="12"/>
      <c r="FW90" s="12"/>
      <c r="FX90" s="12"/>
      <c r="FY90" s="12"/>
      <c r="FZ90" s="12"/>
      <c r="GA90" s="12"/>
      <c r="GB90" s="12"/>
      <c r="GC90" s="12"/>
      <c r="GD90" s="12"/>
      <c r="GE90" s="12"/>
    </row>
    <row r="91" spans="1:187" ht="21" customHeight="1">
      <c r="A91" s="45"/>
      <c r="B91" s="9" t="s">
        <v>14</v>
      </c>
      <c r="C91" s="10" t="s">
        <v>136</v>
      </c>
      <c r="D91" s="10" t="s">
        <v>137</v>
      </c>
      <c r="E91" s="35">
        <v>26822.468000000001</v>
      </c>
      <c r="F91" s="35">
        <f>41170.639-E91</f>
        <v>14348.171000000002</v>
      </c>
      <c r="G91" s="35">
        <v>4943.1769999999997</v>
      </c>
      <c r="H91" s="35">
        <f>30387.229-G91</f>
        <v>25444.052</v>
      </c>
      <c r="I91" s="35">
        <f t="shared" si="7"/>
        <v>71557.868000000002</v>
      </c>
      <c r="J91" s="56">
        <f>'2021'!J92</f>
        <v>78547</v>
      </c>
      <c r="K91" s="49">
        <v>1691.4277120000002</v>
      </c>
      <c r="L91" s="49">
        <v>1759.0848204800002</v>
      </c>
      <c r="M91" s="49">
        <v>1344.0233456000001</v>
      </c>
      <c r="N91" s="49">
        <v>1397.784279424</v>
      </c>
      <c r="O91" s="56">
        <f t="shared" si="13"/>
        <v>347.40436640000007</v>
      </c>
      <c r="P91" s="1">
        <f t="shared" si="8"/>
        <v>9318242.5008242782</v>
      </c>
      <c r="Q91" s="1">
        <f t="shared" si="9"/>
        <v>4984617.2552538561</v>
      </c>
      <c r="R91" s="1">
        <f t="shared" si="10"/>
        <v>1785972.5246355755</v>
      </c>
      <c r="S91" s="1">
        <f t="shared" si="11"/>
        <v>9192949.7542570028</v>
      </c>
      <c r="T91" s="1">
        <f t="shared" si="12"/>
        <v>25281782.034970716</v>
      </c>
      <c r="U91" s="11"/>
      <c r="V91" s="11"/>
      <c r="W91" s="11"/>
      <c r="X91" s="12"/>
      <c r="Y91" s="12"/>
      <c r="Z91" s="12"/>
      <c r="AA91" s="12"/>
      <c r="AB91" s="12"/>
      <c r="AC91" s="12"/>
      <c r="AD91" s="12"/>
      <c r="AE91" s="12"/>
      <c r="AF91" s="12"/>
      <c r="AG91" s="12"/>
      <c r="AH91" s="12"/>
      <c r="AI91" s="12"/>
      <c r="AJ91" s="12"/>
      <c r="AK91" s="12"/>
      <c r="AL91" s="12"/>
      <c r="AM91" s="12"/>
      <c r="AN91" s="12"/>
      <c r="AO91" s="12"/>
      <c r="AP91" s="12"/>
      <c r="AQ91" s="12"/>
      <c r="AR91" s="12"/>
      <c r="AS91" s="12"/>
      <c r="AT91" s="12"/>
      <c r="AU91" s="12"/>
      <c r="AV91" s="12"/>
      <c r="AW91" s="12"/>
      <c r="AX91" s="12"/>
      <c r="AY91" s="12"/>
      <c r="AZ91" s="12"/>
      <c r="BA91" s="12"/>
      <c r="BB91" s="12"/>
      <c r="BC91" s="12"/>
      <c r="BD91" s="12"/>
      <c r="BE91" s="12"/>
      <c r="BF91" s="12"/>
      <c r="BG91" s="12"/>
      <c r="BH91" s="12"/>
      <c r="BI91" s="12"/>
      <c r="BJ91" s="12"/>
      <c r="BK91" s="12"/>
      <c r="BL91" s="12"/>
      <c r="BM91" s="12"/>
      <c r="BN91" s="12"/>
      <c r="BO91" s="12"/>
      <c r="BP91" s="12"/>
      <c r="BQ91" s="12"/>
      <c r="BR91" s="12"/>
      <c r="BS91" s="12"/>
      <c r="BT91" s="12"/>
      <c r="BU91" s="12"/>
      <c r="BV91" s="12"/>
      <c r="BW91" s="12"/>
      <c r="BX91" s="12"/>
      <c r="BY91" s="12"/>
      <c r="BZ91" s="12"/>
      <c r="CA91" s="12"/>
      <c r="CB91" s="12"/>
      <c r="CC91" s="12"/>
      <c r="CD91" s="12"/>
      <c r="CE91" s="12"/>
      <c r="CF91" s="12"/>
      <c r="CG91" s="12"/>
      <c r="CH91" s="12"/>
      <c r="CI91" s="12"/>
      <c r="CJ91" s="12"/>
      <c r="CK91" s="12"/>
      <c r="CL91" s="12"/>
      <c r="CM91" s="12"/>
      <c r="CN91" s="12"/>
      <c r="CO91" s="12"/>
      <c r="CP91" s="12"/>
      <c r="CQ91" s="12"/>
      <c r="CR91" s="12"/>
      <c r="CS91" s="12"/>
      <c r="CT91" s="12"/>
      <c r="CU91" s="12"/>
      <c r="CV91" s="12"/>
      <c r="CW91" s="12"/>
      <c r="CX91" s="12"/>
      <c r="CY91" s="12"/>
      <c r="CZ91" s="12"/>
      <c r="DA91" s="12"/>
      <c r="DB91" s="12"/>
      <c r="DC91" s="12"/>
      <c r="DD91" s="12"/>
      <c r="DE91" s="12"/>
      <c r="DF91" s="12"/>
      <c r="DG91" s="12"/>
      <c r="DH91" s="12"/>
      <c r="DI91" s="12"/>
      <c r="DJ91" s="12"/>
      <c r="DK91" s="12"/>
      <c r="DL91" s="12"/>
      <c r="DM91" s="12"/>
      <c r="DN91" s="12"/>
      <c r="DO91" s="12"/>
      <c r="DP91" s="12"/>
      <c r="DQ91" s="12"/>
      <c r="DR91" s="12"/>
      <c r="DS91" s="12"/>
      <c r="DT91" s="12"/>
      <c r="DU91" s="12"/>
      <c r="DV91" s="12"/>
      <c r="DW91" s="12"/>
      <c r="DX91" s="12"/>
      <c r="DY91" s="12"/>
      <c r="DZ91" s="12"/>
      <c r="EA91" s="12"/>
      <c r="EB91" s="12"/>
      <c r="EC91" s="12"/>
      <c r="ED91" s="12"/>
      <c r="EE91" s="12"/>
      <c r="EF91" s="12"/>
      <c r="EG91" s="12"/>
      <c r="EH91" s="12"/>
      <c r="EI91" s="12"/>
      <c r="EJ91" s="12"/>
      <c r="EK91" s="12"/>
      <c r="EL91" s="12"/>
      <c r="EM91" s="12"/>
      <c r="EN91" s="12"/>
      <c r="EO91" s="12"/>
      <c r="EP91" s="12"/>
      <c r="EQ91" s="12"/>
      <c r="ER91" s="12"/>
      <c r="ES91" s="12"/>
      <c r="ET91" s="12"/>
      <c r="EU91" s="12"/>
      <c r="EV91" s="12"/>
      <c r="EW91" s="12"/>
      <c r="EX91" s="12"/>
      <c r="EY91" s="12"/>
      <c r="EZ91" s="12"/>
      <c r="FA91" s="12"/>
      <c r="FB91" s="12"/>
      <c r="FC91" s="12"/>
      <c r="FD91" s="12"/>
      <c r="FE91" s="12"/>
      <c r="FF91" s="12"/>
      <c r="FG91" s="12"/>
      <c r="FH91" s="12"/>
      <c r="FI91" s="12"/>
      <c r="FJ91" s="12"/>
      <c r="FK91" s="12"/>
      <c r="FL91" s="12"/>
      <c r="FM91" s="12"/>
      <c r="FN91" s="12"/>
      <c r="FO91" s="12"/>
      <c r="FP91" s="12"/>
      <c r="FQ91" s="12"/>
      <c r="FR91" s="12"/>
      <c r="FS91" s="12"/>
      <c r="FT91" s="12"/>
      <c r="FU91" s="12"/>
      <c r="FV91" s="12"/>
      <c r="FW91" s="12"/>
      <c r="FX91" s="12"/>
      <c r="FY91" s="12"/>
      <c r="FZ91" s="12"/>
      <c r="GA91" s="12"/>
      <c r="GB91" s="12"/>
      <c r="GC91" s="12"/>
      <c r="GD91" s="12"/>
      <c r="GE91" s="12"/>
    </row>
    <row r="92" spans="1:187" ht="21" customHeight="1">
      <c r="A92" s="45"/>
      <c r="B92" s="9" t="s">
        <v>282</v>
      </c>
      <c r="C92" s="10" t="s">
        <v>138</v>
      </c>
      <c r="D92" s="10" t="s">
        <v>139</v>
      </c>
      <c r="E92" s="35">
        <v>79.278000000000006</v>
      </c>
      <c r="F92" s="35">
        <f>132.13-E92</f>
        <v>52.85199999999999</v>
      </c>
      <c r="G92" s="35">
        <v>13.21</v>
      </c>
      <c r="H92" s="35">
        <v>67.05</v>
      </c>
      <c r="I92" s="35">
        <f t="shared" si="7"/>
        <v>212.39</v>
      </c>
      <c r="J92" s="56">
        <f>'2021'!J93</f>
        <v>203.19059328</v>
      </c>
      <c r="K92" s="49">
        <v>3776.6768000000002</v>
      </c>
      <c r="L92" s="49">
        <v>3927.7438720000005</v>
      </c>
      <c r="M92" s="49">
        <v>1390.6352511999999</v>
      </c>
      <c r="N92" s="49">
        <v>1446.2606612479999</v>
      </c>
      <c r="O92" s="56">
        <f t="shared" si="13"/>
        <v>2386.0415488000003</v>
      </c>
      <c r="P92" s="1">
        <f t="shared" si="8"/>
        <v>189160.60190576644</v>
      </c>
      <c r="Q92" s="1">
        <f t="shared" si="9"/>
        <v>126107.06793717759</v>
      </c>
      <c r="R92" s="1">
        <f t="shared" si="10"/>
        <v>32780.393214033931</v>
      </c>
      <c r="S92" s="1">
        <f t="shared" si="11"/>
        <v>166383.44928092163</v>
      </c>
      <c r="T92" s="1">
        <f t="shared" si="12"/>
        <v>514431.51233789953</v>
      </c>
      <c r="U92" s="11"/>
      <c r="V92" s="11"/>
      <c r="W92" s="11"/>
      <c r="X92" s="12"/>
      <c r="Y92" s="12"/>
      <c r="Z92" s="12"/>
      <c r="AA92" s="12"/>
      <c r="AB92" s="12"/>
      <c r="AC92" s="12"/>
      <c r="AD92" s="12"/>
      <c r="AE92" s="12"/>
      <c r="AF92" s="12"/>
      <c r="AG92" s="12"/>
      <c r="AH92" s="12"/>
      <c r="AI92" s="12"/>
      <c r="AJ92" s="12"/>
      <c r="AK92" s="12"/>
      <c r="AL92" s="12"/>
      <c r="AM92" s="12"/>
      <c r="AN92" s="12"/>
      <c r="AO92" s="12"/>
      <c r="AP92" s="12"/>
      <c r="AQ92" s="12"/>
      <c r="AR92" s="12"/>
      <c r="AS92" s="12"/>
      <c r="AT92" s="12"/>
      <c r="AU92" s="12"/>
      <c r="AV92" s="12"/>
      <c r="AW92" s="12"/>
      <c r="AX92" s="12"/>
      <c r="AY92" s="12"/>
      <c r="AZ92" s="12"/>
      <c r="BA92" s="12"/>
      <c r="BB92" s="12"/>
      <c r="BC92" s="12"/>
      <c r="BD92" s="12"/>
      <c r="BE92" s="12"/>
      <c r="BF92" s="12"/>
      <c r="BG92" s="12"/>
      <c r="BH92" s="12"/>
      <c r="BI92" s="12"/>
      <c r="BJ92" s="12"/>
      <c r="BK92" s="12"/>
      <c r="BL92" s="12"/>
      <c r="BM92" s="12"/>
      <c r="BN92" s="12"/>
      <c r="BO92" s="12"/>
      <c r="BP92" s="12"/>
      <c r="BQ92" s="12"/>
      <c r="BR92" s="12"/>
      <c r="BS92" s="12"/>
      <c r="BT92" s="12"/>
      <c r="BU92" s="12"/>
      <c r="BV92" s="12"/>
      <c r="BW92" s="12"/>
      <c r="BX92" s="12"/>
      <c r="BY92" s="12"/>
      <c r="BZ92" s="12"/>
      <c r="CA92" s="12"/>
      <c r="CB92" s="12"/>
      <c r="CC92" s="12"/>
      <c r="CD92" s="12"/>
      <c r="CE92" s="12"/>
      <c r="CF92" s="12"/>
      <c r="CG92" s="12"/>
      <c r="CH92" s="12"/>
      <c r="CI92" s="12"/>
      <c r="CJ92" s="12"/>
      <c r="CK92" s="12"/>
      <c r="CL92" s="12"/>
      <c r="CM92" s="12"/>
      <c r="CN92" s="12"/>
      <c r="CO92" s="12"/>
      <c r="CP92" s="12"/>
      <c r="CQ92" s="12"/>
      <c r="CR92" s="12"/>
      <c r="CS92" s="12"/>
      <c r="CT92" s="12"/>
      <c r="CU92" s="12"/>
      <c r="CV92" s="12"/>
      <c r="CW92" s="12"/>
      <c r="CX92" s="12"/>
      <c r="CY92" s="12"/>
      <c r="CZ92" s="12"/>
      <c r="DA92" s="12"/>
      <c r="DB92" s="12"/>
      <c r="DC92" s="12"/>
      <c r="DD92" s="12"/>
      <c r="DE92" s="12"/>
      <c r="DF92" s="12"/>
      <c r="DG92" s="12"/>
      <c r="DH92" s="12"/>
      <c r="DI92" s="12"/>
      <c r="DJ92" s="12"/>
      <c r="DK92" s="12"/>
      <c r="DL92" s="12"/>
      <c r="DM92" s="12"/>
      <c r="DN92" s="12"/>
      <c r="DO92" s="12"/>
      <c r="DP92" s="12"/>
      <c r="DQ92" s="12"/>
      <c r="DR92" s="12"/>
      <c r="DS92" s="12"/>
      <c r="DT92" s="12"/>
      <c r="DU92" s="12"/>
      <c r="DV92" s="12"/>
      <c r="DW92" s="12"/>
      <c r="DX92" s="12"/>
      <c r="DY92" s="12"/>
      <c r="DZ92" s="12"/>
      <c r="EA92" s="12"/>
      <c r="EB92" s="12"/>
      <c r="EC92" s="12"/>
      <c r="ED92" s="12"/>
      <c r="EE92" s="12"/>
      <c r="EF92" s="12"/>
      <c r="EG92" s="12"/>
      <c r="EH92" s="12"/>
      <c r="EI92" s="12"/>
      <c r="EJ92" s="12"/>
      <c r="EK92" s="12"/>
      <c r="EL92" s="12"/>
      <c r="EM92" s="12"/>
      <c r="EN92" s="12"/>
      <c r="EO92" s="12"/>
      <c r="EP92" s="12"/>
      <c r="EQ92" s="12"/>
      <c r="ER92" s="12"/>
      <c r="ES92" s="12"/>
      <c r="ET92" s="12"/>
      <c r="EU92" s="12"/>
      <c r="EV92" s="12"/>
      <c r="EW92" s="12"/>
      <c r="EX92" s="12"/>
      <c r="EY92" s="12"/>
      <c r="EZ92" s="12"/>
      <c r="FA92" s="12"/>
      <c r="FB92" s="12"/>
      <c r="FC92" s="12"/>
      <c r="FD92" s="12"/>
      <c r="FE92" s="12"/>
      <c r="FF92" s="12"/>
      <c r="FG92" s="12"/>
      <c r="FH92" s="12"/>
      <c r="FI92" s="12"/>
      <c r="FJ92" s="12"/>
      <c r="FK92" s="12"/>
      <c r="FL92" s="12"/>
      <c r="FM92" s="12"/>
      <c r="FN92" s="12"/>
      <c r="FO92" s="12"/>
      <c r="FP92" s="12"/>
      <c r="FQ92" s="12"/>
      <c r="FR92" s="12"/>
      <c r="FS92" s="12"/>
      <c r="FT92" s="12"/>
      <c r="FU92" s="12"/>
      <c r="FV92" s="12"/>
      <c r="FW92" s="12"/>
      <c r="FX92" s="12"/>
      <c r="FY92" s="12"/>
      <c r="FZ92" s="12"/>
      <c r="GA92" s="12"/>
      <c r="GB92" s="12"/>
      <c r="GC92" s="12"/>
      <c r="GD92" s="12"/>
      <c r="GE92" s="12"/>
    </row>
    <row r="93" spans="1:187" ht="21" customHeight="1">
      <c r="A93" s="45"/>
      <c r="B93" s="31" t="s">
        <v>402</v>
      </c>
      <c r="C93" s="32" t="s">
        <v>403</v>
      </c>
      <c r="D93" s="32" t="s">
        <v>139</v>
      </c>
      <c r="E93" s="35">
        <v>84.92</v>
      </c>
      <c r="F93" s="35">
        <f>151.73-E93</f>
        <v>66.809999999999988</v>
      </c>
      <c r="G93" s="35">
        <v>28.62</v>
      </c>
      <c r="H93" s="35">
        <v>77.25</v>
      </c>
      <c r="I93" s="35">
        <f t="shared" si="7"/>
        <v>257.60000000000002</v>
      </c>
      <c r="J93" s="56">
        <f>'2021'!J94</f>
        <v>257.60000000000002</v>
      </c>
      <c r="K93" s="49">
        <v>4748.1050240000013</v>
      </c>
      <c r="L93" s="49">
        <v>4938.0292249600016</v>
      </c>
      <c r="M93" s="49">
        <v>1390.6352511999999</v>
      </c>
      <c r="N93" s="49">
        <v>1446.2606612479999</v>
      </c>
      <c r="O93" s="56">
        <f t="shared" si="13"/>
        <v>3357.4697728000015</v>
      </c>
      <c r="P93" s="1">
        <f t="shared" si="8"/>
        <v>285116.33310617611</v>
      </c>
      <c r="Q93" s="1">
        <f t="shared" si="9"/>
        <v>224312.55552076804</v>
      </c>
      <c r="R93" s="1">
        <f t="shared" si="10"/>
        <v>99934.416293437491</v>
      </c>
      <c r="S93" s="1">
        <f t="shared" si="11"/>
        <v>269739.12154675211</v>
      </c>
      <c r="T93" s="1">
        <f t="shared" si="12"/>
        <v>879102.42646713369</v>
      </c>
      <c r="U93" s="11"/>
      <c r="V93" s="11"/>
      <c r="W93" s="11"/>
      <c r="X93" s="12"/>
      <c r="Y93" s="12"/>
      <c r="Z93" s="12"/>
      <c r="AA93" s="12"/>
      <c r="AB93" s="12"/>
      <c r="AC93" s="12"/>
      <c r="AD93" s="12"/>
      <c r="AE93" s="12"/>
      <c r="AF93" s="12"/>
      <c r="AG93" s="12"/>
      <c r="AH93" s="12"/>
      <c r="AI93" s="12"/>
      <c r="AJ93" s="12"/>
      <c r="AK93" s="12"/>
      <c r="AL93" s="12"/>
      <c r="AM93" s="12"/>
      <c r="AN93" s="12"/>
      <c r="AO93" s="12"/>
      <c r="AP93" s="12"/>
      <c r="AQ93" s="12"/>
      <c r="AR93" s="12"/>
      <c r="AS93" s="12"/>
      <c r="AT93" s="12"/>
      <c r="AU93" s="12"/>
      <c r="AV93" s="12"/>
      <c r="AW93" s="12"/>
      <c r="AX93" s="12"/>
      <c r="AY93" s="12"/>
      <c r="AZ93" s="12"/>
      <c r="BA93" s="12"/>
      <c r="BB93" s="12"/>
      <c r="BC93" s="12"/>
      <c r="BD93" s="12"/>
      <c r="BE93" s="12"/>
      <c r="BF93" s="12"/>
      <c r="BG93" s="12"/>
      <c r="BH93" s="12"/>
      <c r="BI93" s="12"/>
      <c r="BJ93" s="12"/>
      <c r="BK93" s="12"/>
      <c r="BL93" s="12"/>
      <c r="BM93" s="12"/>
      <c r="BN93" s="12"/>
      <c r="BO93" s="12"/>
      <c r="BP93" s="12"/>
      <c r="BQ93" s="12"/>
      <c r="BR93" s="12"/>
      <c r="BS93" s="12"/>
      <c r="BT93" s="12"/>
      <c r="BU93" s="12"/>
      <c r="BV93" s="12"/>
      <c r="BW93" s="12"/>
      <c r="BX93" s="12"/>
      <c r="BY93" s="12"/>
      <c r="BZ93" s="12"/>
      <c r="CA93" s="12"/>
      <c r="CB93" s="12"/>
      <c r="CC93" s="12"/>
      <c r="CD93" s="12"/>
      <c r="CE93" s="12"/>
      <c r="CF93" s="12"/>
      <c r="CG93" s="12"/>
      <c r="CH93" s="12"/>
      <c r="CI93" s="12"/>
      <c r="CJ93" s="12"/>
      <c r="CK93" s="12"/>
      <c r="CL93" s="12"/>
      <c r="CM93" s="12"/>
      <c r="CN93" s="12"/>
      <c r="CO93" s="12"/>
      <c r="CP93" s="12"/>
      <c r="CQ93" s="12"/>
      <c r="CR93" s="12"/>
      <c r="CS93" s="12"/>
      <c r="CT93" s="12"/>
      <c r="CU93" s="12"/>
      <c r="CV93" s="12"/>
      <c r="CW93" s="12"/>
      <c r="CX93" s="12"/>
      <c r="CY93" s="12"/>
      <c r="CZ93" s="12"/>
      <c r="DA93" s="12"/>
      <c r="DB93" s="12"/>
      <c r="DC93" s="12"/>
      <c r="DD93" s="12"/>
      <c r="DE93" s="12"/>
      <c r="DF93" s="12"/>
      <c r="DG93" s="12"/>
      <c r="DH93" s="12"/>
      <c r="DI93" s="12"/>
      <c r="DJ93" s="12"/>
      <c r="DK93" s="12"/>
      <c r="DL93" s="12"/>
      <c r="DM93" s="12"/>
      <c r="DN93" s="12"/>
      <c r="DO93" s="12"/>
      <c r="DP93" s="12"/>
      <c r="DQ93" s="12"/>
      <c r="DR93" s="12"/>
      <c r="DS93" s="12"/>
      <c r="DT93" s="12"/>
      <c r="DU93" s="12"/>
      <c r="DV93" s="12"/>
      <c r="DW93" s="12"/>
      <c r="DX93" s="12"/>
      <c r="DY93" s="12"/>
      <c r="DZ93" s="12"/>
      <c r="EA93" s="12"/>
      <c r="EB93" s="12"/>
      <c r="EC93" s="12"/>
      <c r="ED93" s="12"/>
      <c r="EE93" s="12"/>
      <c r="EF93" s="12"/>
      <c r="EG93" s="12"/>
      <c r="EH93" s="12"/>
      <c r="EI93" s="12"/>
      <c r="EJ93" s="12"/>
      <c r="EK93" s="12"/>
      <c r="EL93" s="12"/>
      <c r="EM93" s="12"/>
      <c r="EN93" s="12"/>
      <c r="EO93" s="12"/>
      <c r="EP93" s="12"/>
      <c r="EQ93" s="12"/>
      <c r="ER93" s="12"/>
      <c r="ES93" s="12"/>
      <c r="ET93" s="12"/>
      <c r="EU93" s="12"/>
      <c r="EV93" s="12"/>
      <c r="EW93" s="12"/>
      <c r="EX93" s="12"/>
      <c r="EY93" s="12"/>
      <c r="EZ93" s="12"/>
      <c r="FA93" s="12"/>
      <c r="FB93" s="12"/>
      <c r="FC93" s="12"/>
      <c r="FD93" s="12"/>
      <c r="FE93" s="12"/>
      <c r="FF93" s="12"/>
      <c r="FG93" s="12"/>
      <c r="FH93" s="12"/>
      <c r="FI93" s="12"/>
      <c r="FJ93" s="12"/>
      <c r="FK93" s="12"/>
      <c r="FL93" s="12"/>
      <c r="FM93" s="12"/>
      <c r="FN93" s="12"/>
      <c r="FO93" s="12"/>
      <c r="FP93" s="12"/>
      <c r="FQ93" s="12"/>
      <c r="FR93" s="12"/>
      <c r="FS93" s="12"/>
      <c r="FT93" s="12"/>
      <c r="FU93" s="12"/>
      <c r="FV93" s="12"/>
      <c r="FW93" s="12"/>
      <c r="FX93" s="12"/>
      <c r="FY93" s="12"/>
      <c r="FZ93" s="12"/>
      <c r="GA93" s="12"/>
      <c r="GB93" s="12"/>
      <c r="GC93" s="12"/>
      <c r="GD93" s="12"/>
      <c r="GE93" s="12"/>
    </row>
    <row r="94" spans="1:187" ht="21" customHeight="1">
      <c r="A94" s="73"/>
      <c r="B94" s="15" t="s">
        <v>19</v>
      </c>
      <c r="C94" s="83" t="s">
        <v>111</v>
      </c>
      <c r="D94" s="10" t="s">
        <v>305</v>
      </c>
      <c r="E94" s="39">
        <v>426.94099999999997</v>
      </c>
      <c r="F94" s="39">
        <f>572.74-E94</f>
        <v>145.79900000000004</v>
      </c>
      <c r="G94" s="39">
        <v>7.0410000000000004</v>
      </c>
      <c r="H94" s="39">
        <f>453.272-G94</f>
        <v>446.23099999999999</v>
      </c>
      <c r="I94" s="35">
        <f t="shared" si="7"/>
        <v>1026.0120000000002</v>
      </c>
      <c r="J94" s="56">
        <f>'2021'!J95</f>
        <v>1201.3530000000001</v>
      </c>
      <c r="K94" s="49">
        <v>4062.5130654943978</v>
      </c>
      <c r="L94" s="49">
        <v>4225.0135881141741</v>
      </c>
      <c r="M94" s="49">
        <v>1344.0233456000001</v>
      </c>
      <c r="N94" s="49">
        <v>1397.784279424</v>
      </c>
      <c r="O94" s="37">
        <f t="shared" si="13"/>
        <v>2718.4897198943977</v>
      </c>
      <c r="P94" s="1">
        <f t="shared" si="8"/>
        <v>1160634.7195014339</v>
      </c>
      <c r="Q94" s="1">
        <f t="shared" si="9"/>
        <v>396353.08267088339</v>
      </c>
      <c r="R94" s="1">
        <f t="shared" si="10"/>
        <v>19906.521562487516</v>
      </c>
      <c r="S94" s="1">
        <f t="shared" si="11"/>
        <v>1261597.3616461251</v>
      </c>
      <c r="T94" s="1">
        <f t="shared" si="12"/>
        <v>2838491.6853809301</v>
      </c>
      <c r="U94" s="11"/>
      <c r="V94" s="11"/>
      <c r="W94" s="11"/>
      <c r="X94" s="12"/>
      <c r="Y94" s="12"/>
      <c r="Z94" s="12"/>
      <c r="AA94" s="12"/>
      <c r="AB94" s="12"/>
      <c r="AC94" s="12"/>
      <c r="AD94" s="12"/>
      <c r="AE94" s="12"/>
      <c r="AF94" s="12"/>
      <c r="AG94" s="12"/>
      <c r="AH94" s="12"/>
      <c r="AI94" s="12"/>
      <c r="AJ94" s="12"/>
      <c r="AK94" s="12"/>
      <c r="AL94" s="12"/>
      <c r="AM94" s="12"/>
      <c r="AN94" s="12"/>
      <c r="AO94" s="12"/>
      <c r="AP94" s="12"/>
      <c r="AQ94" s="12"/>
      <c r="AR94" s="12"/>
      <c r="AS94" s="12"/>
      <c r="AT94" s="12"/>
      <c r="AU94" s="12"/>
      <c r="AV94" s="12"/>
      <c r="AW94" s="12"/>
      <c r="AX94" s="12"/>
      <c r="AY94" s="12"/>
      <c r="AZ94" s="12"/>
      <c r="BA94" s="12"/>
      <c r="BB94" s="12"/>
      <c r="BC94" s="12"/>
      <c r="BD94" s="12"/>
      <c r="BE94" s="12"/>
      <c r="BF94" s="12"/>
      <c r="BG94" s="12"/>
      <c r="BH94" s="12"/>
      <c r="BI94" s="12"/>
      <c r="BJ94" s="12"/>
      <c r="BK94" s="12"/>
      <c r="BL94" s="12"/>
      <c r="BM94" s="12"/>
      <c r="BN94" s="12"/>
      <c r="BO94" s="12"/>
      <c r="BP94" s="12"/>
      <c r="BQ94" s="12"/>
      <c r="BR94" s="12"/>
      <c r="BS94" s="12"/>
      <c r="BT94" s="12"/>
      <c r="BU94" s="12"/>
      <c r="BV94" s="12"/>
      <c r="BW94" s="12"/>
      <c r="BX94" s="12"/>
      <c r="BY94" s="12"/>
      <c r="BZ94" s="12"/>
      <c r="CA94" s="12"/>
      <c r="CB94" s="12"/>
      <c r="CC94" s="12"/>
      <c r="CD94" s="12"/>
      <c r="CE94" s="12"/>
      <c r="CF94" s="12"/>
      <c r="CG94" s="12"/>
      <c r="CH94" s="12"/>
      <c r="CI94" s="12"/>
      <c r="CJ94" s="12"/>
      <c r="CK94" s="12"/>
      <c r="CL94" s="12"/>
      <c r="CM94" s="12"/>
      <c r="CN94" s="12"/>
      <c r="CO94" s="12"/>
      <c r="CP94" s="12"/>
      <c r="CQ94" s="12"/>
      <c r="CR94" s="12"/>
      <c r="CS94" s="12"/>
      <c r="CT94" s="12"/>
      <c r="CU94" s="12"/>
      <c r="CV94" s="12"/>
      <c r="CW94" s="12"/>
      <c r="CX94" s="12"/>
      <c r="CY94" s="12"/>
      <c r="CZ94" s="12"/>
      <c r="DA94" s="12"/>
      <c r="DB94" s="12"/>
      <c r="DC94" s="12"/>
      <c r="DD94" s="12"/>
      <c r="DE94" s="12"/>
      <c r="DF94" s="12"/>
      <c r="DG94" s="12"/>
      <c r="DH94" s="12"/>
      <c r="DI94" s="12"/>
      <c r="DJ94" s="12"/>
      <c r="DK94" s="12"/>
      <c r="DL94" s="12"/>
      <c r="DM94" s="12"/>
      <c r="DN94" s="12"/>
      <c r="DO94" s="12"/>
      <c r="DP94" s="12"/>
      <c r="DQ94" s="12"/>
      <c r="DR94" s="12"/>
      <c r="DS94" s="12"/>
      <c r="DT94" s="12"/>
      <c r="DU94" s="12"/>
      <c r="DV94" s="12"/>
      <c r="DW94" s="12"/>
      <c r="DX94" s="12"/>
      <c r="DY94" s="12"/>
      <c r="DZ94" s="12"/>
      <c r="EA94" s="12"/>
      <c r="EB94" s="12"/>
      <c r="EC94" s="12"/>
      <c r="ED94" s="12"/>
      <c r="EE94" s="12"/>
      <c r="EF94" s="12"/>
      <c r="EG94" s="12"/>
      <c r="EH94" s="12"/>
      <c r="EI94" s="12"/>
      <c r="EJ94" s="12"/>
      <c r="EK94" s="12"/>
      <c r="EL94" s="12"/>
      <c r="EM94" s="12"/>
      <c r="EN94" s="12"/>
      <c r="EO94" s="12"/>
      <c r="EP94" s="12"/>
      <c r="EQ94" s="12"/>
      <c r="ER94" s="12"/>
      <c r="ES94" s="12"/>
      <c r="ET94" s="12"/>
      <c r="EU94" s="12"/>
      <c r="EV94" s="12"/>
      <c r="EW94" s="12"/>
      <c r="EX94" s="12"/>
      <c r="EY94" s="12"/>
      <c r="EZ94" s="12"/>
      <c r="FA94" s="12"/>
      <c r="FB94" s="12"/>
      <c r="FC94" s="12"/>
      <c r="FD94" s="12"/>
      <c r="FE94" s="12"/>
      <c r="FF94" s="12"/>
      <c r="FG94" s="12"/>
      <c r="FH94" s="12"/>
      <c r="FI94" s="12"/>
      <c r="FJ94" s="12"/>
      <c r="FK94" s="12"/>
      <c r="FL94" s="12"/>
      <c r="FM94" s="12"/>
      <c r="FN94" s="12"/>
      <c r="FO94" s="12"/>
      <c r="FP94" s="12"/>
      <c r="FQ94" s="12"/>
      <c r="FR94" s="12"/>
      <c r="FS94" s="12"/>
      <c r="FT94" s="12"/>
      <c r="FU94" s="12"/>
      <c r="FV94" s="12"/>
      <c r="FW94" s="12"/>
      <c r="FX94" s="12"/>
      <c r="FY94" s="12"/>
      <c r="FZ94" s="12"/>
      <c r="GA94" s="12"/>
      <c r="GB94" s="12"/>
      <c r="GC94" s="12"/>
      <c r="GD94" s="12"/>
      <c r="GE94" s="12"/>
    </row>
    <row r="95" spans="1:187" ht="21" customHeight="1">
      <c r="A95" s="45"/>
      <c r="B95" s="101" t="s">
        <v>141</v>
      </c>
      <c r="C95" s="101"/>
      <c r="D95" s="101"/>
      <c r="E95" s="34"/>
      <c r="F95" s="34"/>
      <c r="G95" s="34"/>
      <c r="H95" s="34"/>
      <c r="I95" s="35">
        <f t="shared" si="7"/>
        <v>0</v>
      </c>
      <c r="J95" s="56"/>
      <c r="K95" s="49"/>
      <c r="L95" s="49"/>
      <c r="M95" s="49"/>
      <c r="N95" s="49"/>
      <c r="O95" s="56">
        <f t="shared" si="13"/>
        <v>0</v>
      </c>
      <c r="P95" s="1">
        <f t="shared" si="8"/>
        <v>0</v>
      </c>
      <c r="Q95" s="1">
        <f t="shared" si="9"/>
        <v>0</v>
      </c>
      <c r="R95" s="1">
        <f t="shared" si="10"/>
        <v>0</v>
      </c>
      <c r="S95" s="1">
        <f t="shared" si="11"/>
        <v>0</v>
      </c>
      <c r="T95" s="1">
        <f t="shared" si="12"/>
        <v>0</v>
      </c>
      <c r="U95" s="45"/>
      <c r="V95" s="45"/>
      <c r="W95" s="45"/>
    </row>
    <row r="96" spans="1:187" ht="21" customHeight="1">
      <c r="A96" s="45"/>
      <c r="B96" s="9" t="s">
        <v>21</v>
      </c>
      <c r="C96" s="10" t="s">
        <v>142</v>
      </c>
      <c r="D96" s="10" t="s">
        <v>143</v>
      </c>
      <c r="E96" s="35">
        <v>3837.05</v>
      </c>
      <c r="F96" s="35">
        <f>6416.45-E96</f>
        <v>2579.3999999999996</v>
      </c>
      <c r="G96" s="35">
        <v>1278.1300000000001</v>
      </c>
      <c r="H96" s="35">
        <f>5140.48-G96</f>
        <v>3862.3499999999995</v>
      </c>
      <c r="I96" s="35">
        <f t="shared" si="7"/>
        <v>11556.93</v>
      </c>
      <c r="J96" s="56">
        <f>'2021'!J97</f>
        <v>11420.5</v>
      </c>
      <c r="K96" s="49">
        <v>4727.2700000000004</v>
      </c>
      <c r="L96" s="49">
        <v>4916.3599999999997</v>
      </c>
      <c r="M96" s="49">
        <v>1403.65</v>
      </c>
      <c r="N96" s="49">
        <v>1459.8</v>
      </c>
      <c r="O96" s="56">
        <f t="shared" si="13"/>
        <v>3323.6200000000003</v>
      </c>
      <c r="P96" s="1">
        <f t="shared" si="8"/>
        <v>12752896.121000001</v>
      </c>
      <c r="Q96" s="1">
        <f t="shared" si="9"/>
        <v>8572945.4279999994</v>
      </c>
      <c r="R96" s="1">
        <f t="shared" si="10"/>
        <v>4417933.0328000002</v>
      </c>
      <c r="S96" s="1">
        <f t="shared" si="11"/>
        <v>13350444.515999997</v>
      </c>
      <c r="T96" s="1">
        <f t="shared" si="12"/>
        <v>39094219.097800002</v>
      </c>
      <c r="U96" s="11"/>
      <c r="V96" s="11"/>
      <c r="W96" s="11"/>
      <c r="X96" s="12"/>
      <c r="Y96" s="12"/>
      <c r="Z96" s="12"/>
      <c r="AA96" s="12"/>
      <c r="AB96" s="12"/>
      <c r="AC96" s="12"/>
      <c r="AD96" s="12"/>
      <c r="AE96" s="12"/>
      <c r="AF96" s="12"/>
      <c r="AG96" s="12"/>
      <c r="AH96" s="12"/>
      <c r="AI96" s="12"/>
      <c r="AJ96" s="12"/>
      <c r="AK96" s="12"/>
      <c r="AL96" s="12"/>
      <c r="AM96" s="12"/>
      <c r="AN96" s="12"/>
      <c r="AO96" s="12"/>
      <c r="AP96" s="12"/>
      <c r="AQ96" s="12"/>
      <c r="AR96" s="12"/>
      <c r="AS96" s="12"/>
      <c r="AT96" s="12"/>
      <c r="AU96" s="12"/>
      <c r="AV96" s="12"/>
      <c r="AW96" s="12"/>
      <c r="AX96" s="12"/>
      <c r="AY96" s="12"/>
      <c r="AZ96" s="12"/>
      <c r="BA96" s="12"/>
      <c r="BB96" s="12"/>
      <c r="BC96" s="12"/>
      <c r="BD96" s="12"/>
      <c r="BE96" s="12"/>
      <c r="BF96" s="12"/>
      <c r="BG96" s="12"/>
      <c r="BH96" s="12"/>
      <c r="BI96" s="12"/>
      <c r="BJ96" s="12"/>
      <c r="BK96" s="12"/>
      <c r="BL96" s="12"/>
      <c r="BM96" s="12"/>
      <c r="BN96" s="12"/>
      <c r="BO96" s="12"/>
      <c r="BP96" s="12"/>
      <c r="BQ96" s="12"/>
      <c r="BR96" s="12"/>
      <c r="BS96" s="12"/>
      <c r="BT96" s="12"/>
      <c r="BU96" s="12"/>
      <c r="BV96" s="12"/>
      <c r="BW96" s="12"/>
      <c r="BX96" s="12"/>
      <c r="BY96" s="12"/>
      <c r="BZ96" s="12"/>
      <c r="CA96" s="12"/>
      <c r="CB96" s="12"/>
      <c r="CC96" s="12"/>
      <c r="CD96" s="12"/>
      <c r="CE96" s="12"/>
      <c r="CF96" s="12"/>
      <c r="CG96" s="12"/>
      <c r="CH96" s="12"/>
      <c r="CI96" s="12"/>
      <c r="CJ96" s="12"/>
      <c r="CK96" s="12"/>
      <c r="CL96" s="12"/>
      <c r="CM96" s="12"/>
      <c r="CN96" s="12"/>
      <c r="CO96" s="12"/>
      <c r="CP96" s="12"/>
      <c r="CQ96" s="12"/>
      <c r="CR96" s="12"/>
      <c r="CS96" s="12"/>
      <c r="CT96" s="12"/>
      <c r="CU96" s="12"/>
      <c r="CV96" s="12"/>
      <c r="CW96" s="12"/>
      <c r="CX96" s="12"/>
      <c r="CY96" s="12"/>
      <c r="CZ96" s="12"/>
      <c r="DA96" s="12"/>
      <c r="DB96" s="12"/>
      <c r="DC96" s="12"/>
      <c r="DD96" s="12"/>
      <c r="DE96" s="12"/>
      <c r="DF96" s="12"/>
      <c r="DG96" s="12"/>
      <c r="DH96" s="12"/>
      <c r="DI96" s="12"/>
      <c r="DJ96" s="12"/>
      <c r="DK96" s="12"/>
      <c r="DL96" s="12"/>
      <c r="DM96" s="12"/>
      <c r="DN96" s="12"/>
      <c r="DO96" s="12"/>
      <c r="DP96" s="12"/>
      <c r="DQ96" s="12"/>
      <c r="DR96" s="12"/>
      <c r="DS96" s="12"/>
      <c r="DT96" s="12"/>
      <c r="DU96" s="12"/>
      <c r="DV96" s="12"/>
      <c r="DW96" s="12"/>
      <c r="DX96" s="12"/>
      <c r="DY96" s="12"/>
      <c r="DZ96" s="12"/>
      <c r="EA96" s="12"/>
      <c r="EB96" s="12"/>
      <c r="EC96" s="12"/>
      <c r="ED96" s="12"/>
      <c r="EE96" s="12"/>
      <c r="EF96" s="12"/>
      <c r="EG96" s="12"/>
      <c r="EH96" s="12"/>
      <c r="EI96" s="12"/>
      <c r="EJ96" s="12"/>
      <c r="EK96" s="12"/>
      <c r="EL96" s="12"/>
      <c r="EM96" s="12"/>
      <c r="EN96" s="12"/>
      <c r="EO96" s="12"/>
      <c r="EP96" s="12"/>
      <c r="EQ96" s="12"/>
      <c r="ER96" s="12"/>
      <c r="ES96" s="12"/>
      <c r="ET96" s="12"/>
      <c r="EU96" s="12"/>
      <c r="EV96" s="12"/>
      <c r="EW96" s="12"/>
      <c r="EX96" s="12"/>
      <c r="EY96" s="12"/>
      <c r="EZ96" s="12"/>
      <c r="FA96" s="12"/>
      <c r="FB96" s="12"/>
      <c r="FC96" s="12"/>
      <c r="FD96" s="12"/>
      <c r="FE96" s="12"/>
      <c r="FF96" s="12"/>
      <c r="FG96" s="12"/>
      <c r="FH96" s="12"/>
      <c r="FI96" s="12"/>
      <c r="FJ96" s="12"/>
      <c r="FK96" s="12"/>
      <c r="FL96" s="12"/>
      <c r="FM96" s="12"/>
      <c r="FN96" s="12"/>
      <c r="FO96" s="12"/>
      <c r="FP96" s="12"/>
      <c r="FQ96" s="12"/>
      <c r="FR96" s="12"/>
      <c r="FS96" s="12"/>
      <c r="FT96" s="12"/>
      <c r="FU96" s="12"/>
      <c r="FV96" s="12"/>
      <c r="FW96" s="12"/>
      <c r="FX96" s="12"/>
      <c r="FY96" s="12"/>
      <c r="FZ96" s="12"/>
      <c r="GA96" s="12"/>
      <c r="GB96" s="12"/>
      <c r="GC96" s="12"/>
      <c r="GD96" s="12"/>
      <c r="GE96" s="12"/>
    </row>
    <row r="97" spans="1:187" ht="21" customHeight="1">
      <c r="A97" s="45"/>
      <c r="B97" s="9" t="s">
        <v>281</v>
      </c>
      <c r="C97" s="10" t="s">
        <v>144</v>
      </c>
      <c r="D97" s="10" t="s">
        <v>145</v>
      </c>
      <c r="E97" s="35">
        <v>3423.4589999999998</v>
      </c>
      <c r="F97" s="35">
        <f>5453.973-E97</f>
        <v>2030.5140000000001</v>
      </c>
      <c r="G97" s="35">
        <v>843.28800000000001</v>
      </c>
      <c r="H97" s="35">
        <f>3896.953-G97</f>
        <v>3053.665</v>
      </c>
      <c r="I97" s="35">
        <f t="shared" si="7"/>
        <v>9350.9259999999995</v>
      </c>
      <c r="J97" s="56">
        <f>'2021'!J98</f>
        <v>8307.73</v>
      </c>
      <c r="K97" s="49">
        <v>5172.1383051753528</v>
      </c>
      <c r="L97" s="49">
        <v>5379.0238373823668</v>
      </c>
      <c r="M97" s="49">
        <v>1430.6468591999999</v>
      </c>
      <c r="N97" s="49">
        <v>1487.8727335679998</v>
      </c>
      <c r="O97" s="56">
        <f t="shared" si="13"/>
        <v>3741.4914459753527</v>
      </c>
      <c r="P97" s="1">
        <f t="shared" si="8"/>
        <v>12808842.564147335</v>
      </c>
      <c r="Q97" s="1">
        <f t="shared" si="9"/>
        <v>7597150.7619331982</v>
      </c>
      <c r="R97" s="1">
        <f t="shared" si="10"/>
        <v>3281361.0320334099</v>
      </c>
      <c r="S97" s="1">
        <f t="shared" si="11"/>
        <v>11882271.935429299</v>
      </c>
      <c r="T97" s="1">
        <f t="shared" si="12"/>
        <v>35569626.293543242</v>
      </c>
      <c r="U97" s="11"/>
      <c r="V97" s="11"/>
      <c r="W97" s="11"/>
      <c r="X97" s="12"/>
      <c r="Y97" s="12"/>
      <c r="Z97" s="12"/>
      <c r="AA97" s="12"/>
      <c r="AB97" s="12"/>
      <c r="AC97" s="12"/>
      <c r="AD97" s="12"/>
      <c r="AE97" s="12"/>
      <c r="AF97" s="12"/>
      <c r="AG97" s="12"/>
      <c r="AH97" s="12"/>
      <c r="AI97" s="12"/>
      <c r="AJ97" s="12"/>
      <c r="AK97" s="12"/>
      <c r="AL97" s="12"/>
      <c r="AM97" s="12"/>
      <c r="AN97" s="12"/>
      <c r="AO97" s="12"/>
      <c r="AP97" s="12"/>
      <c r="AQ97" s="12"/>
      <c r="AR97" s="12"/>
      <c r="AS97" s="12"/>
      <c r="AT97" s="12"/>
      <c r="AU97" s="12"/>
      <c r="AV97" s="12"/>
      <c r="AW97" s="12"/>
      <c r="AX97" s="12"/>
      <c r="AY97" s="12"/>
      <c r="AZ97" s="12"/>
      <c r="BA97" s="12"/>
      <c r="BB97" s="12"/>
      <c r="BC97" s="12"/>
      <c r="BD97" s="12"/>
      <c r="BE97" s="12"/>
      <c r="BF97" s="12"/>
      <c r="BG97" s="12"/>
      <c r="BH97" s="12"/>
      <c r="BI97" s="12"/>
      <c r="BJ97" s="12"/>
      <c r="BK97" s="12"/>
      <c r="BL97" s="12"/>
      <c r="BM97" s="12"/>
      <c r="BN97" s="12"/>
      <c r="BO97" s="12"/>
      <c r="BP97" s="12"/>
      <c r="BQ97" s="12"/>
      <c r="BR97" s="12"/>
      <c r="BS97" s="12"/>
      <c r="BT97" s="12"/>
      <c r="BU97" s="12"/>
      <c r="BV97" s="12"/>
      <c r="BW97" s="12"/>
      <c r="BX97" s="12"/>
      <c r="BY97" s="12"/>
      <c r="BZ97" s="12"/>
      <c r="CA97" s="12"/>
      <c r="CB97" s="12"/>
      <c r="CC97" s="12"/>
      <c r="CD97" s="12"/>
      <c r="CE97" s="12"/>
      <c r="CF97" s="12"/>
      <c r="CG97" s="12"/>
      <c r="CH97" s="12"/>
      <c r="CI97" s="12"/>
      <c r="CJ97" s="12"/>
      <c r="CK97" s="12"/>
      <c r="CL97" s="12"/>
      <c r="CM97" s="12"/>
      <c r="CN97" s="12"/>
      <c r="CO97" s="12"/>
      <c r="CP97" s="12"/>
      <c r="CQ97" s="12"/>
      <c r="CR97" s="12"/>
      <c r="CS97" s="12"/>
      <c r="CT97" s="12"/>
      <c r="CU97" s="12"/>
      <c r="CV97" s="12"/>
      <c r="CW97" s="12"/>
      <c r="CX97" s="12"/>
      <c r="CY97" s="12"/>
      <c r="CZ97" s="12"/>
      <c r="DA97" s="12"/>
      <c r="DB97" s="12"/>
      <c r="DC97" s="12"/>
      <c r="DD97" s="12"/>
      <c r="DE97" s="12"/>
      <c r="DF97" s="12"/>
      <c r="DG97" s="12"/>
      <c r="DH97" s="12"/>
      <c r="DI97" s="12"/>
      <c r="DJ97" s="12"/>
      <c r="DK97" s="12"/>
      <c r="DL97" s="12"/>
      <c r="DM97" s="12"/>
      <c r="DN97" s="12"/>
      <c r="DO97" s="12"/>
      <c r="DP97" s="12"/>
      <c r="DQ97" s="12"/>
      <c r="DR97" s="12"/>
      <c r="DS97" s="12"/>
      <c r="DT97" s="12"/>
      <c r="DU97" s="12"/>
      <c r="DV97" s="12"/>
      <c r="DW97" s="12"/>
      <c r="DX97" s="12"/>
      <c r="DY97" s="12"/>
      <c r="DZ97" s="12"/>
      <c r="EA97" s="12"/>
      <c r="EB97" s="12"/>
      <c r="EC97" s="12"/>
      <c r="ED97" s="12"/>
      <c r="EE97" s="12"/>
      <c r="EF97" s="12"/>
      <c r="EG97" s="12"/>
      <c r="EH97" s="12"/>
      <c r="EI97" s="12"/>
      <c r="EJ97" s="12"/>
      <c r="EK97" s="12"/>
      <c r="EL97" s="12"/>
      <c r="EM97" s="12"/>
      <c r="EN97" s="12"/>
      <c r="EO97" s="12"/>
      <c r="EP97" s="12"/>
      <c r="EQ97" s="12"/>
      <c r="ER97" s="12"/>
      <c r="ES97" s="12"/>
      <c r="ET97" s="12"/>
      <c r="EU97" s="12"/>
      <c r="EV97" s="12"/>
      <c r="EW97" s="12"/>
      <c r="EX97" s="12"/>
      <c r="EY97" s="12"/>
      <c r="EZ97" s="12"/>
      <c r="FA97" s="12"/>
      <c r="FB97" s="12"/>
      <c r="FC97" s="12"/>
      <c r="FD97" s="12"/>
      <c r="FE97" s="12"/>
      <c r="FF97" s="12"/>
      <c r="FG97" s="12"/>
      <c r="FH97" s="12"/>
      <c r="FI97" s="12"/>
      <c r="FJ97" s="12"/>
      <c r="FK97" s="12"/>
      <c r="FL97" s="12"/>
      <c r="FM97" s="12"/>
      <c r="FN97" s="12"/>
      <c r="FO97" s="12"/>
      <c r="FP97" s="12"/>
      <c r="FQ97" s="12"/>
      <c r="FR97" s="12"/>
      <c r="FS97" s="12"/>
      <c r="FT97" s="12"/>
      <c r="FU97" s="12"/>
      <c r="FV97" s="12"/>
      <c r="FW97" s="12"/>
      <c r="FX97" s="12"/>
      <c r="FY97" s="12"/>
      <c r="FZ97" s="12"/>
      <c r="GA97" s="12"/>
      <c r="GB97" s="12"/>
      <c r="GC97" s="12"/>
      <c r="GD97" s="12"/>
      <c r="GE97" s="12"/>
    </row>
    <row r="98" spans="1:187" ht="21" customHeight="1">
      <c r="A98" s="45"/>
      <c r="B98" s="9" t="s">
        <v>281</v>
      </c>
      <c r="C98" s="10" t="s">
        <v>144</v>
      </c>
      <c r="D98" s="10" t="s">
        <v>146</v>
      </c>
      <c r="E98" s="35">
        <v>2269.8229999999999</v>
      </c>
      <c r="F98" s="35">
        <f>3590.544-E98</f>
        <v>1320.721</v>
      </c>
      <c r="G98" s="35">
        <v>586.88300000000004</v>
      </c>
      <c r="H98" s="35">
        <f>2646.502-G98</f>
        <v>2059.6189999999997</v>
      </c>
      <c r="I98" s="35">
        <f t="shared" si="7"/>
        <v>6237.0459999999994</v>
      </c>
      <c r="J98" s="56">
        <f>'2021'!J99</f>
        <v>5935.88</v>
      </c>
      <c r="K98" s="49">
        <v>4567.2939520000009</v>
      </c>
      <c r="L98" s="49">
        <v>4749.9857100800009</v>
      </c>
      <c r="M98" s="49">
        <v>1430.6468591999999</v>
      </c>
      <c r="N98" s="49">
        <v>1487.8727335679998</v>
      </c>
      <c r="O98" s="56">
        <f t="shared" si="13"/>
        <v>3136.6470928000008</v>
      </c>
      <c r="P98" s="1">
        <f t="shared" si="8"/>
        <v>7119633.7141205762</v>
      </c>
      <c r="Q98" s="1">
        <f t="shared" si="9"/>
        <v>4142635.6850499096</v>
      </c>
      <c r="R98" s="1">
        <f t="shared" si="10"/>
        <v>1914478.649994293</v>
      </c>
      <c r="S98" s="1">
        <f t="shared" si="11"/>
        <v>6718709.8665706702</v>
      </c>
      <c r="T98" s="1">
        <f t="shared" si="12"/>
        <v>19895457.91573545</v>
      </c>
      <c r="U98" s="11"/>
      <c r="V98" s="11"/>
      <c r="W98" s="11"/>
      <c r="X98" s="12"/>
      <c r="Y98" s="12"/>
      <c r="Z98" s="12"/>
      <c r="AA98" s="12"/>
      <c r="AB98" s="12"/>
      <c r="AC98" s="12"/>
      <c r="AD98" s="12"/>
      <c r="AE98" s="12"/>
      <c r="AF98" s="12"/>
      <c r="AG98" s="12"/>
      <c r="AH98" s="12"/>
      <c r="AI98" s="12"/>
      <c r="AJ98" s="12"/>
      <c r="AK98" s="12"/>
      <c r="AL98" s="12"/>
      <c r="AM98" s="12"/>
      <c r="AN98" s="12"/>
      <c r="AO98" s="12"/>
      <c r="AP98" s="12"/>
      <c r="AQ98" s="12"/>
      <c r="AR98" s="12"/>
      <c r="AS98" s="12"/>
      <c r="AT98" s="12"/>
      <c r="AU98" s="12"/>
      <c r="AV98" s="12"/>
      <c r="AW98" s="12"/>
      <c r="AX98" s="12"/>
      <c r="AY98" s="12"/>
      <c r="AZ98" s="12"/>
      <c r="BA98" s="12"/>
      <c r="BB98" s="12"/>
      <c r="BC98" s="12"/>
      <c r="BD98" s="12"/>
      <c r="BE98" s="12"/>
      <c r="BF98" s="12"/>
      <c r="BG98" s="12"/>
      <c r="BH98" s="12"/>
      <c r="BI98" s="12"/>
      <c r="BJ98" s="12"/>
      <c r="BK98" s="12"/>
      <c r="BL98" s="12"/>
      <c r="BM98" s="12"/>
      <c r="BN98" s="12"/>
      <c r="BO98" s="12"/>
      <c r="BP98" s="12"/>
      <c r="BQ98" s="12"/>
      <c r="BR98" s="12"/>
      <c r="BS98" s="12"/>
      <c r="BT98" s="12"/>
      <c r="BU98" s="12"/>
      <c r="BV98" s="12"/>
      <c r="BW98" s="12"/>
      <c r="BX98" s="12"/>
      <c r="BY98" s="12"/>
      <c r="BZ98" s="12"/>
      <c r="CA98" s="12"/>
      <c r="CB98" s="12"/>
      <c r="CC98" s="12"/>
      <c r="CD98" s="12"/>
      <c r="CE98" s="12"/>
      <c r="CF98" s="12"/>
      <c r="CG98" s="12"/>
      <c r="CH98" s="12"/>
      <c r="CI98" s="12"/>
      <c r="CJ98" s="12"/>
      <c r="CK98" s="12"/>
      <c r="CL98" s="12"/>
      <c r="CM98" s="12"/>
      <c r="CN98" s="12"/>
      <c r="CO98" s="12"/>
      <c r="CP98" s="12"/>
      <c r="CQ98" s="12"/>
      <c r="CR98" s="12"/>
      <c r="CS98" s="12"/>
      <c r="CT98" s="12"/>
      <c r="CU98" s="12"/>
      <c r="CV98" s="12"/>
      <c r="CW98" s="12"/>
      <c r="CX98" s="12"/>
      <c r="CY98" s="12"/>
      <c r="CZ98" s="12"/>
      <c r="DA98" s="12"/>
      <c r="DB98" s="12"/>
      <c r="DC98" s="12"/>
      <c r="DD98" s="12"/>
      <c r="DE98" s="12"/>
      <c r="DF98" s="12"/>
      <c r="DG98" s="12"/>
      <c r="DH98" s="12"/>
      <c r="DI98" s="12"/>
      <c r="DJ98" s="12"/>
      <c r="DK98" s="12"/>
      <c r="DL98" s="12"/>
      <c r="DM98" s="12"/>
      <c r="DN98" s="12"/>
      <c r="DO98" s="12"/>
      <c r="DP98" s="12"/>
      <c r="DQ98" s="12"/>
      <c r="DR98" s="12"/>
      <c r="DS98" s="12"/>
      <c r="DT98" s="12"/>
      <c r="DU98" s="12"/>
      <c r="DV98" s="12"/>
      <c r="DW98" s="12"/>
      <c r="DX98" s="12"/>
      <c r="DY98" s="12"/>
      <c r="DZ98" s="12"/>
      <c r="EA98" s="12"/>
      <c r="EB98" s="12"/>
      <c r="EC98" s="12"/>
      <c r="ED98" s="12"/>
      <c r="EE98" s="12"/>
      <c r="EF98" s="12"/>
      <c r="EG98" s="12"/>
      <c r="EH98" s="12"/>
      <c r="EI98" s="12"/>
      <c r="EJ98" s="12"/>
      <c r="EK98" s="12"/>
      <c r="EL98" s="12"/>
      <c r="EM98" s="12"/>
      <c r="EN98" s="12"/>
      <c r="EO98" s="12"/>
      <c r="EP98" s="12"/>
      <c r="EQ98" s="12"/>
      <c r="ER98" s="12"/>
      <c r="ES98" s="12"/>
      <c r="ET98" s="12"/>
      <c r="EU98" s="12"/>
      <c r="EV98" s="12"/>
      <c r="EW98" s="12"/>
      <c r="EX98" s="12"/>
      <c r="EY98" s="12"/>
      <c r="EZ98" s="12"/>
      <c r="FA98" s="12"/>
      <c r="FB98" s="12"/>
      <c r="FC98" s="12"/>
      <c r="FD98" s="12"/>
      <c r="FE98" s="12"/>
      <c r="FF98" s="12"/>
      <c r="FG98" s="12"/>
      <c r="FH98" s="12"/>
      <c r="FI98" s="12"/>
      <c r="FJ98" s="12"/>
      <c r="FK98" s="12"/>
      <c r="FL98" s="12"/>
      <c r="FM98" s="12"/>
      <c r="FN98" s="12"/>
      <c r="FO98" s="12"/>
      <c r="FP98" s="12"/>
      <c r="FQ98" s="12"/>
      <c r="FR98" s="12"/>
      <c r="FS98" s="12"/>
      <c r="FT98" s="12"/>
      <c r="FU98" s="12"/>
      <c r="FV98" s="12"/>
      <c r="FW98" s="12"/>
      <c r="FX98" s="12"/>
      <c r="FY98" s="12"/>
      <c r="FZ98" s="12"/>
      <c r="GA98" s="12"/>
      <c r="GB98" s="12"/>
      <c r="GC98" s="12"/>
      <c r="GD98" s="12"/>
      <c r="GE98" s="12"/>
    </row>
    <row r="99" spans="1:187" ht="21" customHeight="1">
      <c r="A99" s="45"/>
      <c r="B99" s="9" t="s">
        <v>281</v>
      </c>
      <c r="C99" s="10" t="s">
        <v>144</v>
      </c>
      <c r="D99" s="10" t="s">
        <v>147</v>
      </c>
      <c r="E99" s="35">
        <v>5034.1459999999997</v>
      </c>
      <c r="F99" s="35">
        <f>8466.636-E99</f>
        <v>3432.4900000000007</v>
      </c>
      <c r="G99" s="35">
        <v>1543.15</v>
      </c>
      <c r="H99" s="35">
        <f>6647.439-G99</f>
        <v>5104.2890000000007</v>
      </c>
      <c r="I99" s="35">
        <f t="shared" si="7"/>
        <v>15114.075000000001</v>
      </c>
      <c r="J99" s="56">
        <f>'2021'!J100</f>
        <v>14335.609999999999</v>
      </c>
      <c r="K99" s="49">
        <v>5124.9327999999996</v>
      </c>
      <c r="L99" s="49">
        <v>5329.930112</v>
      </c>
      <c r="M99" s="49">
        <v>1430.6468591999999</v>
      </c>
      <c r="N99" s="49">
        <v>1487.8727335679998</v>
      </c>
      <c r="O99" s="56">
        <f t="shared" si="13"/>
        <v>3694.2859407999995</v>
      </c>
      <c r="P99" s="1">
        <f t="shared" si="8"/>
        <v>18597574.791734554</v>
      </c>
      <c r="Q99" s="1">
        <f t="shared" si="9"/>
        <v>12680599.548936592</v>
      </c>
      <c r="R99" s="1">
        <f t="shared" si="10"/>
        <v>5928870.8435273422</v>
      </c>
      <c r="S99" s="1">
        <f t="shared" si="11"/>
        <v>19610971.214099299</v>
      </c>
      <c r="T99" s="1">
        <f t="shared" si="12"/>
        <v>56818016.398297787</v>
      </c>
      <c r="U99" s="11"/>
      <c r="V99" s="11"/>
      <c r="W99" s="11"/>
      <c r="X99" s="12"/>
      <c r="Y99" s="12"/>
      <c r="Z99" s="12"/>
      <c r="AA99" s="12"/>
      <c r="AB99" s="12"/>
      <c r="AC99" s="12"/>
      <c r="AD99" s="12"/>
      <c r="AE99" s="12"/>
      <c r="AF99" s="12"/>
      <c r="AG99" s="12"/>
      <c r="AH99" s="12"/>
      <c r="AI99" s="12"/>
      <c r="AJ99" s="12"/>
      <c r="AK99" s="12"/>
      <c r="AL99" s="12"/>
      <c r="AM99" s="12"/>
      <c r="AN99" s="12"/>
      <c r="AO99" s="12"/>
      <c r="AP99" s="12"/>
      <c r="AQ99" s="12"/>
      <c r="AR99" s="12"/>
      <c r="AS99" s="12"/>
      <c r="AT99" s="12"/>
      <c r="AU99" s="12"/>
      <c r="AV99" s="12"/>
      <c r="AW99" s="12"/>
      <c r="AX99" s="12"/>
      <c r="AY99" s="12"/>
      <c r="AZ99" s="12"/>
      <c r="BA99" s="12"/>
      <c r="BB99" s="12"/>
      <c r="BC99" s="12"/>
      <c r="BD99" s="12"/>
      <c r="BE99" s="12"/>
      <c r="BF99" s="12"/>
      <c r="BG99" s="12"/>
      <c r="BH99" s="12"/>
      <c r="BI99" s="12"/>
      <c r="BJ99" s="12"/>
      <c r="BK99" s="12"/>
      <c r="BL99" s="12"/>
      <c r="BM99" s="12"/>
      <c r="BN99" s="12"/>
      <c r="BO99" s="12"/>
      <c r="BP99" s="12"/>
      <c r="BQ99" s="12"/>
      <c r="BR99" s="12"/>
      <c r="BS99" s="12"/>
      <c r="BT99" s="12"/>
      <c r="BU99" s="12"/>
      <c r="BV99" s="12"/>
      <c r="BW99" s="12"/>
      <c r="BX99" s="12"/>
      <c r="BY99" s="12"/>
      <c r="BZ99" s="12"/>
      <c r="CA99" s="12"/>
      <c r="CB99" s="12"/>
      <c r="CC99" s="12"/>
      <c r="CD99" s="12"/>
      <c r="CE99" s="12"/>
      <c r="CF99" s="12"/>
      <c r="CG99" s="12"/>
      <c r="CH99" s="12"/>
      <c r="CI99" s="12"/>
      <c r="CJ99" s="12"/>
      <c r="CK99" s="12"/>
      <c r="CL99" s="12"/>
      <c r="CM99" s="12"/>
      <c r="CN99" s="12"/>
      <c r="CO99" s="12"/>
      <c r="CP99" s="12"/>
      <c r="CQ99" s="12"/>
      <c r="CR99" s="12"/>
      <c r="CS99" s="12"/>
      <c r="CT99" s="12"/>
      <c r="CU99" s="12"/>
      <c r="CV99" s="12"/>
      <c r="CW99" s="12"/>
      <c r="CX99" s="12"/>
      <c r="CY99" s="12"/>
      <c r="CZ99" s="12"/>
      <c r="DA99" s="12"/>
      <c r="DB99" s="12"/>
      <c r="DC99" s="12"/>
      <c r="DD99" s="12"/>
      <c r="DE99" s="12"/>
      <c r="DF99" s="12"/>
      <c r="DG99" s="12"/>
      <c r="DH99" s="12"/>
      <c r="DI99" s="12"/>
      <c r="DJ99" s="12"/>
      <c r="DK99" s="12"/>
      <c r="DL99" s="12"/>
      <c r="DM99" s="12"/>
      <c r="DN99" s="12"/>
      <c r="DO99" s="12"/>
      <c r="DP99" s="12"/>
      <c r="DQ99" s="12"/>
      <c r="DR99" s="12"/>
      <c r="DS99" s="12"/>
      <c r="DT99" s="12"/>
      <c r="DU99" s="12"/>
      <c r="DV99" s="12"/>
      <c r="DW99" s="12"/>
      <c r="DX99" s="12"/>
      <c r="DY99" s="12"/>
      <c r="DZ99" s="12"/>
      <c r="EA99" s="12"/>
      <c r="EB99" s="12"/>
      <c r="EC99" s="12"/>
      <c r="ED99" s="12"/>
      <c r="EE99" s="12"/>
      <c r="EF99" s="12"/>
      <c r="EG99" s="12"/>
      <c r="EH99" s="12"/>
      <c r="EI99" s="12"/>
      <c r="EJ99" s="12"/>
      <c r="EK99" s="12"/>
      <c r="EL99" s="12"/>
      <c r="EM99" s="12"/>
      <c r="EN99" s="12"/>
      <c r="EO99" s="12"/>
      <c r="EP99" s="12"/>
      <c r="EQ99" s="12"/>
      <c r="ER99" s="12"/>
      <c r="ES99" s="12"/>
      <c r="ET99" s="12"/>
      <c r="EU99" s="12"/>
      <c r="EV99" s="12"/>
      <c r="EW99" s="12"/>
      <c r="EX99" s="12"/>
      <c r="EY99" s="12"/>
      <c r="EZ99" s="12"/>
      <c r="FA99" s="12"/>
      <c r="FB99" s="12"/>
      <c r="FC99" s="12"/>
      <c r="FD99" s="12"/>
      <c r="FE99" s="12"/>
      <c r="FF99" s="12"/>
      <c r="FG99" s="12"/>
      <c r="FH99" s="12"/>
      <c r="FI99" s="12"/>
      <c r="FJ99" s="12"/>
      <c r="FK99" s="12"/>
      <c r="FL99" s="12"/>
      <c r="FM99" s="12"/>
      <c r="FN99" s="12"/>
      <c r="FO99" s="12"/>
      <c r="FP99" s="12"/>
      <c r="FQ99" s="12"/>
      <c r="FR99" s="12"/>
      <c r="FS99" s="12"/>
      <c r="FT99" s="12"/>
      <c r="FU99" s="12"/>
      <c r="FV99" s="12"/>
      <c r="FW99" s="12"/>
      <c r="FX99" s="12"/>
      <c r="FY99" s="12"/>
      <c r="FZ99" s="12"/>
      <c r="GA99" s="12"/>
      <c r="GB99" s="12"/>
      <c r="GC99" s="12"/>
      <c r="GD99" s="12"/>
      <c r="GE99" s="12"/>
    </row>
    <row r="100" spans="1:187" ht="21" customHeight="1">
      <c r="A100" s="45"/>
      <c r="B100" s="9" t="s">
        <v>281</v>
      </c>
      <c r="C100" s="10" t="s">
        <v>144</v>
      </c>
      <c r="D100" s="10" t="s">
        <v>148</v>
      </c>
      <c r="E100" s="35">
        <v>32.369999999999997</v>
      </c>
      <c r="F100" s="35">
        <f>53.95-E100</f>
        <v>21.580000000000005</v>
      </c>
      <c r="G100" s="35">
        <v>10.79</v>
      </c>
      <c r="H100" s="35">
        <f>43.16-G100</f>
        <v>32.369999999999997</v>
      </c>
      <c r="I100" s="35">
        <f t="shared" si="7"/>
        <v>97.110000000000014</v>
      </c>
      <c r="J100" s="104" t="e">
        <f>'2021'!J101:J103</f>
        <v>#VALUE!</v>
      </c>
      <c r="K100" s="49">
        <v>8373.7263999999996</v>
      </c>
      <c r="L100" s="49">
        <v>8708.675455999999</v>
      </c>
      <c r="M100" s="49">
        <v>1414.4588744</v>
      </c>
      <c r="N100" s="49">
        <v>1471.0372293760001</v>
      </c>
      <c r="O100" s="56">
        <f t="shared" si="13"/>
        <v>6959.2675255999993</v>
      </c>
      <c r="P100" s="1">
        <f t="shared" si="8"/>
        <v>225271.48980367195</v>
      </c>
      <c r="Q100" s="1">
        <f t="shared" si="9"/>
        <v>150180.99320244804</v>
      </c>
      <c r="R100" s="1">
        <f t="shared" si="10"/>
        <v>78094.116465272935</v>
      </c>
      <c r="S100" s="1">
        <f t="shared" si="11"/>
        <v>234282.34939581883</v>
      </c>
      <c r="T100" s="1">
        <f t="shared" si="12"/>
        <v>687828.94886721182</v>
      </c>
      <c r="U100" s="11"/>
      <c r="V100" s="11"/>
      <c r="W100" s="11"/>
      <c r="X100" s="12"/>
      <c r="Y100" s="12"/>
      <c r="Z100" s="12"/>
      <c r="AA100" s="12"/>
      <c r="AB100" s="12"/>
      <c r="AC100" s="12"/>
      <c r="AD100" s="12"/>
      <c r="AE100" s="12"/>
      <c r="AF100" s="12"/>
      <c r="AG100" s="12"/>
      <c r="AH100" s="12"/>
      <c r="AI100" s="12"/>
      <c r="AJ100" s="12"/>
      <c r="AK100" s="12"/>
      <c r="AL100" s="12"/>
      <c r="AM100" s="12"/>
      <c r="AN100" s="12"/>
      <c r="AO100" s="12"/>
      <c r="AP100" s="12"/>
      <c r="AQ100" s="12"/>
      <c r="AR100" s="12"/>
      <c r="AS100" s="12"/>
      <c r="AT100" s="12"/>
      <c r="AU100" s="12"/>
      <c r="AV100" s="12"/>
      <c r="AW100" s="12"/>
      <c r="AX100" s="12"/>
      <c r="AY100" s="12"/>
      <c r="AZ100" s="12"/>
      <c r="BA100" s="12"/>
      <c r="BB100" s="12"/>
      <c r="BC100" s="12"/>
      <c r="BD100" s="12"/>
      <c r="BE100" s="12"/>
      <c r="BF100" s="12"/>
      <c r="BG100" s="12"/>
      <c r="BH100" s="12"/>
      <c r="BI100" s="12"/>
      <c r="BJ100" s="12"/>
      <c r="BK100" s="12"/>
      <c r="BL100" s="12"/>
      <c r="BM100" s="12"/>
      <c r="BN100" s="12"/>
      <c r="BO100" s="12"/>
      <c r="BP100" s="12"/>
      <c r="BQ100" s="12"/>
      <c r="BR100" s="12"/>
      <c r="BS100" s="12"/>
      <c r="BT100" s="12"/>
      <c r="BU100" s="12"/>
      <c r="BV100" s="12"/>
      <c r="BW100" s="12"/>
      <c r="BX100" s="12"/>
      <c r="BY100" s="12"/>
      <c r="BZ100" s="12"/>
      <c r="CA100" s="12"/>
      <c r="CB100" s="12"/>
      <c r="CC100" s="12"/>
      <c r="CD100" s="12"/>
      <c r="CE100" s="12"/>
      <c r="CF100" s="12"/>
      <c r="CG100" s="12"/>
      <c r="CH100" s="12"/>
      <c r="CI100" s="12"/>
      <c r="CJ100" s="12"/>
      <c r="CK100" s="12"/>
      <c r="CL100" s="12"/>
      <c r="CM100" s="12"/>
      <c r="CN100" s="12"/>
      <c r="CO100" s="12"/>
      <c r="CP100" s="12"/>
      <c r="CQ100" s="12"/>
      <c r="CR100" s="12"/>
      <c r="CS100" s="12"/>
      <c r="CT100" s="12"/>
      <c r="CU100" s="12"/>
      <c r="CV100" s="12"/>
      <c r="CW100" s="12"/>
      <c r="CX100" s="12"/>
      <c r="CY100" s="12"/>
      <c r="CZ100" s="12"/>
      <c r="DA100" s="12"/>
      <c r="DB100" s="12"/>
      <c r="DC100" s="12"/>
      <c r="DD100" s="12"/>
      <c r="DE100" s="12"/>
      <c r="DF100" s="12"/>
      <c r="DG100" s="12"/>
      <c r="DH100" s="12"/>
      <c r="DI100" s="12"/>
      <c r="DJ100" s="12"/>
      <c r="DK100" s="12"/>
      <c r="DL100" s="12"/>
      <c r="DM100" s="12"/>
      <c r="DN100" s="12"/>
      <c r="DO100" s="12"/>
      <c r="DP100" s="12"/>
      <c r="DQ100" s="12"/>
      <c r="DR100" s="12"/>
      <c r="DS100" s="12"/>
      <c r="DT100" s="12"/>
      <c r="DU100" s="12"/>
      <c r="DV100" s="12"/>
      <c r="DW100" s="12"/>
      <c r="DX100" s="12"/>
      <c r="DY100" s="12"/>
      <c r="DZ100" s="12"/>
      <c r="EA100" s="12"/>
      <c r="EB100" s="12"/>
      <c r="EC100" s="12"/>
      <c r="ED100" s="12"/>
      <c r="EE100" s="12"/>
      <c r="EF100" s="12"/>
      <c r="EG100" s="12"/>
      <c r="EH100" s="12"/>
      <c r="EI100" s="12"/>
      <c r="EJ100" s="12"/>
      <c r="EK100" s="12"/>
      <c r="EL100" s="12"/>
      <c r="EM100" s="12"/>
      <c r="EN100" s="12"/>
      <c r="EO100" s="12"/>
      <c r="EP100" s="12"/>
      <c r="EQ100" s="12"/>
      <c r="ER100" s="12"/>
      <c r="ES100" s="12"/>
      <c r="ET100" s="12"/>
      <c r="EU100" s="12"/>
      <c r="EV100" s="12"/>
      <c r="EW100" s="12"/>
      <c r="EX100" s="12"/>
      <c r="EY100" s="12"/>
      <c r="EZ100" s="12"/>
      <c r="FA100" s="12"/>
      <c r="FB100" s="12"/>
      <c r="FC100" s="12"/>
      <c r="FD100" s="12"/>
      <c r="FE100" s="12"/>
      <c r="FF100" s="12"/>
      <c r="FG100" s="12"/>
      <c r="FH100" s="12"/>
      <c r="FI100" s="12"/>
      <c r="FJ100" s="12"/>
      <c r="FK100" s="12"/>
      <c r="FL100" s="12"/>
      <c r="FM100" s="12"/>
      <c r="FN100" s="12"/>
      <c r="FO100" s="12"/>
      <c r="FP100" s="12"/>
      <c r="FQ100" s="12"/>
      <c r="FR100" s="12"/>
      <c r="FS100" s="12"/>
      <c r="FT100" s="12"/>
      <c r="FU100" s="12"/>
      <c r="FV100" s="12"/>
      <c r="FW100" s="12"/>
      <c r="FX100" s="12"/>
      <c r="FY100" s="12"/>
      <c r="FZ100" s="12"/>
      <c r="GA100" s="12"/>
      <c r="GB100" s="12"/>
      <c r="GC100" s="12"/>
      <c r="GD100" s="12"/>
      <c r="GE100" s="12"/>
    </row>
    <row r="101" spans="1:187" ht="21" customHeight="1">
      <c r="A101" s="45"/>
      <c r="B101" s="9" t="s">
        <v>281</v>
      </c>
      <c r="C101" s="10" t="s">
        <v>144</v>
      </c>
      <c r="D101" s="10" t="s">
        <v>149</v>
      </c>
      <c r="E101" s="35">
        <v>190.28200000000001</v>
      </c>
      <c r="F101" s="35">
        <f>317.305-E101</f>
        <v>127.023</v>
      </c>
      <c r="G101" s="35">
        <v>63.427999999999997</v>
      </c>
      <c r="H101" s="35">
        <f>253.712-G101</f>
        <v>190.28399999999999</v>
      </c>
      <c r="I101" s="35">
        <f t="shared" si="7"/>
        <v>571.01700000000005</v>
      </c>
      <c r="J101" s="104"/>
      <c r="K101" s="49">
        <v>8373.7263999999996</v>
      </c>
      <c r="L101" s="49">
        <v>8708.675455999999</v>
      </c>
      <c r="M101" s="49">
        <v>1414.4588744</v>
      </c>
      <c r="N101" s="49">
        <v>1471.0372293760001</v>
      </c>
      <c r="O101" s="56">
        <f t="shared" si="13"/>
        <v>6959.2675255999993</v>
      </c>
      <c r="P101" s="1">
        <f t="shared" si="8"/>
        <v>1324223.3433062192</v>
      </c>
      <c r="Q101" s="1">
        <f t="shared" si="9"/>
        <v>883987.03890428867</v>
      </c>
      <c r="R101" s="1">
        <f t="shared" si="10"/>
        <v>459068.91743830696</v>
      </c>
      <c r="S101" s="1">
        <f t="shared" si="11"/>
        <v>1377206.752314921</v>
      </c>
      <c r="T101" s="1">
        <f t="shared" si="12"/>
        <v>4044486.0519637358</v>
      </c>
      <c r="U101" s="11"/>
      <c r="V101" s="11"/>
      <c r="W101" s="11"/>
      <c r="X101" s="12"/>
      <c r="Y101" s="12"/>
      <c r="Z101" s="12"/>
      <c r="AA101" s="12"/>
      <c r="AB101" s="12"/>
      <c r="AC101" s="12"/>
      <c r="AD101" s="12"/>
      <c r="AE101" s="12"/>
      <c r="AF101" s="12"/>
      <c r="AG101" s="12"/>
      <c r="AH101" s="12"/>
      <c r="AI101" s="12"/>
      <c r="AJ101" s="12"/>
      <c r="AK101" s="12"/>
      <c r="AL101" s="12"/>
      <c r="AM101" s="12"/>
      <c r="AN101" s="12"/>
      <c r="AO101" s="12"/>
      <c r="AP101" s="12"/>
      <c r="AQ101" s="12"/>
      <c r="AR101" s="12"/>
      <c r="AS101" s="12"/>
      <c r="AT101" s="12"/>
      <c r="AU101" s="12"/>
      <c r="AV101" s="12"/>
      <c r="AW101" s="12"/>
      <c r="AX101" s="12"/>
      <c r="AY101" s="12"/>
      <c r="AZ101" s="12"/>
      <c r="BA101" s="12"/>
      <c r="BB101" s="12"/>
      <c r="BC101" s="12"/>
      <c r="BD101" s="12"/>
      <c r="BE101" s="12"/>
      <c r="BF101" s="12"/>
      <c r="BG101" s="12"/>
      <c r="BH101" s="12"/>
      <c r="BI101" s="12"/>
      <c r="BJ101" s="12"/>
      <c r="BK101" s="12"/>
      <c r="BL101" s="12"/>
      <c r="BM101" s="12"/>
      <c r="BN101" s="12"/>
      <c r="BO101" s="12"/>
      <c r="BP101" s="12"/>
      <c r="BQ101" s="12"/>
      <c r="BR101" s="12"/>
      <c r="BS101" s="12"/>
      <c r="BT101" s="12"/>
      <c r="BU101" s="12"/>
      <c r="BV101" s="12"/>
      <c r="BW101" s="12"/>
      <c r="BX101" s="12"/>
      <c r="BY101" s="12"/>
      <c r="BZ101" s="12"/>
      <c r="CA101" s="12"/>
      <c r="CB101" s="12"/>
      <c r="CC101" s="12"/>
      <c r="CD101" s="12"/>
      <c r="CE101" s="12"/>
      <c r="CF101" s="12"/>
      <c r="CG101" s="12"/>
      <c r="CH101" s="12"/>
      <c r="CI101" s="12"/>
      <c r="CJ101" s="12"/>
      <c r="CK101" s="12"/>
      <c r="CL101" s="12"/>
      <c r="CM101" s="12"/>
      <c r="CN101" s="12"/>
      <c r="CO101" s="12"/>
      <c r="CP101" s="12"/>
      <c r="CQ101" s="12"/>
      <c r="CR101" s="12"/>
      <c r="CS101" s="12"/>
      <c r="CT101" s="12"/>
      <c r="CU101" s="12"/>
      <c r="CV101" s="12"/>
      <c r="CW101" s="12"/>
      <c r="CX101" s="12"/>
      <c r="CY101" s="12"/>
      <c r="CZ101" s="12"/>
      <c r="DA101" s="12"/>
      <c r="DB101" s="12"/>
      <c r="DC101" s="12"/>
      <c r="DD101" s="12"/>
      <c r="DE101" s="12"/>
      <c r="DF101" s="12"/>
      <c r="DG101" s="12"/>
      <c r="DH101" s="12"/>
      <c r="DI101" s="12"/>
      <c r="DJ101" s="12"/>
      <c r="DK101" s="12"/>
      <c r="DL101" s="12"/>
      <c r="DM101" s="12"/>
      <c r="DN101" s="12"/>
      <c r="DO101" s="12"/>
      <c r="DP101" s="12"/>
      <c r="DQ101" s="12"/>
      <c r="DR101" s="12"/>
      <c r="DS101" s="12"/>
      <c r="DT101" s="12"/>
      <c r="DU101" s="12"/>
      <c r="DV101" s="12"/>
      <c r="DW101" s="12"/>
      <c r="DX101" s="12"/>
      <c r="DY101" s="12"/>
      <c r="DZ101" s="12"/>
      <c r="EA101" s="12"/>
      <c r="EB101" s="12"/>
      <c r="EC101" s="12"/>
      <c r="ED101" s="12"/>
      <c r="EE101" s="12"/>
      <c r="EF101" s="12"/>
      <c r="EG101" s="12"/>
      <c r="EH101" s="12"/>
      <c r="EI101" s="12"/>
      <c r="EJ101" s="12"/>
      <c r="EK101" s="12"/>
      <c r="EL101" s="12"/>
      <c r="EM101" s="12"/>
      <c r="EN101" s="12"/>
      <c r="EO101" s="12"/>
      <c r="EP101" s="12"/>
      <c r="EQ101" s="12"/>
      <c r="ER101" s="12"/>
      <c r="ES101" s="12"/>
      <c r="ET101" s="12"/>
      <c r="EU101" s="12"/>
      <c r="EV101" s="12"/>
      <c r="EW101" s="12"/>
      <c r="EX101" s="12"/>
      <c r="EY101" s="12"/>
      <c r="EZ101" s="12"/>
      <c r="FA101" s="12"/>
      <c r="FB101" s="12"/>
      <c r="FC101" s="12"/>
      <c r="FD101" s="12"/>
      <c r="FE101" s="12"/>
      <c r="FF101" s="12"/>
      <c r="FG101" s="12"/>
      <c r="FH101" s="12"/>
      <c r="FI101" s="12"/>
      <c r="FJ101" s="12"/>
      <c r="FK101" s="12"/>
      <c r="FL101" s="12"/>
      <c r="FM101" s="12"/>
      <c r="FN101" s="12"/>
      <c r="FO101" s="12"/>
      <c r="FP101" s="12"/>
      <c r="FQ101" s="12"/>
      <c r="FR101" s="12"/>
      <c r="FS101" s="12"/>
      <c r="FT101" s="12"/>
      <c r="FU101" s="12"/>
      <c r="FV101" s="12"/>
      <c r="FW101" s="12"/>
      <c r="FX101" s="12"/>
      <c r="FY101" s="12"/>
      <c r="FZ101" s="12"/>
      <c r="GA101" s="12"/>
      <c r="GB101" s="12"/>
      <c r="GC101" s="12"/>
      <c r="GD101" s="12"/>
      <c r="GE101" s="12"/>
    </row>
    <row r="102" spans="1:187" ht="21" customHeight="1">
      <c r="A102" s="45"/>
      <c r="B102" s="9" t="s">
        <v>281</v>
      </c>
      <c r="C102" s="10" t="s">
        <v>144</v>
      </c>
      <c r="D102" s="10" t="s">
        <v>150</v>
      </c>
      <c r="E102" s="35">
        <v>120.273</v>
      </c>
      <c r="F102" s="35">
        <f>200.455-E102</f>
        <v>80.182000000000016</v>
      </c>
      <c r="G102" s="35">
        <v>40.091000000000001</v>
      </c>
      <c r="H102" s="35">
        <f>160.364-G102</f>
        <v>120.273</v>
      </c>
      <c r="I102" s="35">
        <f t="shared" si="7"/>
        <v>360.81900000000002</v>
      </c>
      <c r="J102" s="104"/>
      <c r="K102" s="49">
        <v>8373.7263999999996</v>
      </c>
      <c r="L102" s="49">
        <v>8708.675455999999</v>
      </c>
      <c r="M102" s="49">
        <v>1414.4588744</v>
      </c>
      <c r="N102" s="49">
        <v>1471.0372293760001</v>
      </c>
      <c r="O102" s="56">
        <f t="shared" si="13"/>
        <v>6959.2675255999993</v>
      </c>
      <c r="P102" s="1">
        <f t="shared" si="8"/>
        <v>837011.98310648871</v>
      </c>
      <c r="Q102" s="1">
        <f t="shared" si="9"/>
        <v>558007.9887376593</v>
      </c>
      <c r="R102" s="1">
        <f t="shared" si="10"/>
        <v>290164.15414358274</v>
      </c>
      <c r="S102" s="1">
        <f t="shared" si="11"/>
        <v>870492.46243074816</v>
      </c>
      <c r="T102" s="1">
        <f t="shared" si="12"/>
        <v>2555676.5884184791</v>
      </c>
      <c r="U102" s="11"/>
      <c r="V102" s="11"/>
      <c r="W102" s="11"/>
      <c r="X102" s="12"/>
      <c r="Y102" s="12"/>
      <c r="Z102" s="12"/>
      <c r="AA102" s="12"/>
      <c r="AB102" s="12"/>
      <c r="AC102" s="12"/>
      <c r="AD102" s="12"/>
      <c r="AE102" s="12"/>
      <c r="AF102" s="12"/>
      <c r="AG102" s="12"/>
      <c r="AH102" s="12"/>
      <c r="AI102" s="12"/>
      <c r="AJ102" s="12"/>
      <c r="AK102" s="12"/>
      <c r="AL102" s="12"/>
      <c r="AM102" s="12"/>
      <c r="AN102" s="12"/>
      <c r="AO102" s="12"/>
      <c r="AP102" s="12"/>
      <c r="AQ102" s="12"/>
      <c r="AR102" s="12"/>
      <c r="AS102" s="12"/>
      <c r="AT102" s="12"/>
      <c r="AU102" s="12"/>
      <c r="AV102" s="12"/>
      <c r="AW102" s="12"/>
      <c r="AX102" s="12"/>
      <c r="AY102" s="12"/>
      <c r="AZ102" s="12"/>
      <c r="BA102" s="12"/>
      <c r="BB102" s="12"/>
      <c r="BC102" s="12"/>
      <c r="BD102" s="12"/>
      <c r="BE102" s="12"/>
      <c r="BF102" s="12"/>
      <c r="BG102" s="12"/>
      <c r="BH102" s="12"/>
      <c r="BI102" s="12"/>
      <c r="BJ102" s="12"/>
      <c r="BK102" s="12"/>
      <c r="BL102" s="12"/>
      <c r="BM102" s="12"/>
      <c r="BN102" s="12"/>
      <c r="BO102" s="12"/>
      <c r="BP102" s="12"/>
      <c r="BQ102" s="12"/>
      <c r="BR102" s="12"/>
      <c r="BS102" s="12"/>
      <c r="BT102" s="12"/>
      <c r="BU102" s="12"/>
      <c r="BV102" s="12"/>
      <c r="BW102" s="12"/>
      <c r="BX102" s="12"/>
      <c r="BY102" s="12"/>
      <c r="BZ102" s="12"/>
      <c r="CA102" s="12"/>
      <c r="CB102" s="12"/>
      <c r="CC102" s="12"/>
      <c r="CD102" s="12"/>
      <c r="CE102" s="12"/>
      <c r="CF102" s="12"/>
      <c r="CG102" s="12"/>
      <c r="CH102" s="12"/>
      <c r="CI102" s="12"/>
      <c r="CJ102" s="12"/>
      <c r="CK102" s="12"/>
      <c r="CL102" s="12"/>
      <c r="CM102" s="12"/>
      <c r="CN102" s="12"/>
      <c r="CO102" s="12"/>
      <c r="CP102" s="12"/>
      <c r="CQ102" s="12"/>
      <c r="CR102" s="12"/>
      <c r="CS102" s="12"/>
      <c r="CT102" s="12"/>
      <c r="CU102" s="12"/>
      <c r="CV102" s="12"/>
      <c r="CW102" s="12"/>
      <c r="CX102" s="12"/>
      <c r="CY102" s="12"/>
      <c r="CZ102" s="12"/>
      <c r="DA102" s="12"/>
      <c r="DB102" s="12"/>
      <c r="DC102" s="12"/>
      <c r="DD102" s="12"/>
      <c r="DE102" s="12"/>
      <c r="DF102" s="12"/>
      <c r="DG102" s="12"/>
      <c r="DH102" s="12"/>
      <c r="DI102" s="12"/>
      <c r="DJ102" s="12"/>
      <c r="DK102" s="12"/>
      <c r="DL102" s="12"/>
      <c r="DM102" s="12"/>
      <c r="DN102" s="12"/>
      <c r="DO102" s="12"/>
      <c r="DP102" s="12"/>
      <c r="DQ102" s="12"/>
      <c r="DR102" s="12"/>
      <c r="DS102" s="12"/>
      <c r="DT102" s="12"/>
      <c r="DU102" s="12"/>
      <c r="DV102" s="12"/>
      <c r="DW102" s="12"/>
      <c r="DX102" s="12"/>
      <c r="DY102" s="12"/>
      <c r="DZ102" s="12"/>
      <c r="EA102" s="12"/>
      <c r="EB102" s="12"/>
      <c r="EC102" s="12"/>
      <c r="ED102" s="12"/>
      <c r="EE102" s="12"/>
      <c r="EF102" s="12"/>
      <c r="EG102" s="12"/>
      <c r="EH102" s="12"/>
      <c r="EI102" s="12"/>
      <c r="EJ102" s="12"/>
      <c r="EK102" s="12"/>
      <c r="EL102" s="12"/>
      <c r="EM102" s="12"/>
      <c r="EN102" s="12"/>
      <c r="EO102" s="12"/>
      <c r="EP102" s="12"/>
      <c r="EQ102" s="12"/>
      <c r="ER102" s="12"/>
      <c r="ES102" s="12"/>
      <c r="ET102" s="12"/>
      <c r="EU102" s="12"/>
      <c r="EV102" s="12"/>
      <c r="EW102" s="12"/>
      <c r="EX102" s="12"/>
      <c r="EY102" s="12"/>
      <c r="EZ102" s="12"/>
      <c r="FA102" s="12"/>
      <c r="FB102" s="12"/>
      <c r="FC102" s="12"/>
      <c r="FD102" s="12"/>
      <c r="FE102" s="12"/>
      <c r="FF102" s="12"/>
      <c r="FG102" s="12"/>
      <c r="FH102" s="12"/>
      <c r="FI102" s="12"/>
      <c r="FJ102" s="12"/>
      <c r="FK102" s="12"/>
      <c r="FL102" s="12"/>
      <c r="FM102" s="12"/>
      <c r="FN102" s="12"/>
      <c r="FO102" s="12"/>
      <c r="FP102" s="12"/>
      <c r="FQ102" s="12"/>
      <c r="FR102" s="12"/>
      <c r="FS102" s="12"/>
      <c r="FT102" s="12"/>
      <c r="FU102" s="12"/>
      <c r="FV102" s="12"/>
      <c r="FW102" s="12"/>
      <c r="FX102" s="12"/>
      <c r="FY102" s="12"/>
      <c r="FZ102" s="12"/>
      <c r="GA102" s="12"/>
      <c r="GB102" s="12"/>
      <c r="GC102" s="12"/>
      <c r="GD102" s="12"/>
      <c r="GE102" s="12"/>
    </row>
    <row r="103" spans="1:187" ht="21" customHeight="1">
      <c r="A103" s="45"/>
      <c r="B103" s="9" t="s">
        <v>42</v>
      </c>
      <c r="C103" s="10" t="s">
        <v>41</v>
      </c>
      <c r="D103" s="10" t="s">
        <v>151</v>
      </c>
      <c r="E103" s="35">
        <v>504.57600000000002</v>
      </c>
      <c r="F103" s="35">
        <f>799.747-E103</f>
        <v>295.17099999999994</v>
      </c>
      <c r="G103" s="35">
        <v>132.08600000000001</v>
      </c>
      <c r="H103" s="35">
        <v>590.02499999999998</v>
      </c>
      <c r="I103" s="35">
        <f t="shared" si="7"/>
        <v>1521.8579999999999</v>
      </c>
      <c r="J103" s="56">
        <f>'2021'!J104</f>
        <v>1419.3314999999998</v>
      </c>
      <c r="K103" s="49">
        <v>7015.55</v>
      </c>
      <c r="L103" s="49">
        <v>7296.17</v>
      </c>
      <c r="M103" s="49">
        <v>1656.31</v>
      </c>
      <c r="N103" s="49">
        <v>1722.55</v>
      </c>
      <c r="O103" s="56">
        <f t="shared" si="13"/>
        <v>5359.24</v>
      </c>
      <c r="P103" s="1">
        <f t="shared" si="8"/>
        <v>2704143.8822400002</v>
      </c>
      <c r="Q103" s="1">
        <f t="shared" si="9"/>
        <v>1581892.2300399996</v>
      </c>
      <c r="R103" s="1">
        <f t="shared" si="10"/>
        <v>736197.17132000008</v>
      </c>
      <c r="S103" s="1">
        <f t="shared" si="11"/>
        <v>3288575.1404999997</v>
      </c>
      <c r="T103" s="1">
        <f t="shared" si="12"/>
        <v>8310808.4240999995</v>
      </c>
      <c r="U103" s="11"/>
      <c r="V103" s="11"/>
      <c r="W103" s="11"/>
      <c r="X103" s="12"/>
      <c r="Y103" s="12"/>
      <c r="Z103" s="12"/>
      <c r="AA103" s="12"/>
      <c r="AB103" s="12"/>
      <c r="AC103" s="12"/>
      <c r="AD103" s="12"/>
      <c r="AE103" s="12"/>
      <c r="AF103" s="12"/>
      <c r="AG103" s="12"/>
      <c r="AH103" s="12"/>
      <c r="AI103" s="12"/>
      <c r="AJ103" s="12"/>
      <c r="AK103" s="12"/>
      <c r="AL103" s="12"/>
      <c r="AM103" s="12"/>
      <c r="AN103" s="12"/>
      <c r="AO103" s="12"/>
      <c r="AP103" s="12"/>
      <c r="AQ103" s="12"/>
      <c r="AR103" s="12"/>
      <c r="AS103" s="12"/>
      <c r="AT103" s="12"/>
      <c r="AU103" s="12"/>
      <c r="AV103" s="12"/>
      <c r="AW103" s="12"/>
      <c r="AX103" s="12"/>
      <c r="AY103" s="12"/>
      <c r="AZ103" s="12"/>
      <c r="BA103" s="12"/>
      <c r="BB103" s="12"/>
      <c r="BC103" s="12"/>
      <c r="BD103" s="12"/>
      <c r="BE103" s="12"/>
      <c r="BF103" s="12"/>
      <c r="BG103" s="12"/>
      <c r="BH103" s="12"/>
      <c r="BI103" s="12"/>
      <c r="BJ103" s="12"/>
      <c r="BK103" s="12"/>
      <c r="BL103" s="12"/>
      <c r="BM103" s="12"/>
      <c r="BN103" s="12"/>
      <c r="BO103" s="12"/>
      <c r="BP103" s="12"/>
      <c r="BQ103" s="12"/>
      <c r="BR103" s="12"/>
      <c r="BS103" s="12"/>
      <c r="BT103" s="12"/>
      <c r="BU103" s="12"/>
      <c r="BV103" s="12"/>
      <c r="BW103" s="12"/>
      <c r="BX103" s="12"/>
      <c r="BY103" s="12"/>
      <c r="BZ103" s="12"/>
      <c r="CA103" s="12"/>
      <c r="CB103" s="12"/>
      <c r="CC103" s="12"/>
      <c r="CD103" s="12"/>
      <c r="CE103" s="12"/>
      <c r="CF103" s="12"/>
      <c r="CG103" s="12"/>
      <c r="CH103" s="12"/>
      <c r="CI103" s="12"/>
      <c r="CJ103" s="12"/>
      <c r="CK103" s="12"/>
      <c r="CL103" s="12"/>
      <c r="CM103" s="12"/>
      <c r="CN103" s="12"/>
      <c r="CO103" s="12"/>
      <c r="CP103" s="12"/>
      <c r="CQ103" s="12"/>
      <c r="CR103" s="12"/>
      <c r="CS103" s="12"/>
      <c r="CT103" s="12"/>
      <c r="CU103" s="12"/>
      <c r="CV103" s="12"/>
      <c r="CW103" s="12"/>
      <c r="CX103" s="12"/>
      <c r="CY103" s="12"/>
      <c r="CZ103" s="12"/>
      <c r="DA103" s="12"/>
      <c r="DB103" s="12"/>
      <c r="DC103" s="12"/>
      <c r="DD103" s="12"/>
      <c r="DE103" s="12"/>
      <c r="DF103" s="12"/>
      <c r="DG103" s="12"/>
      <c r="DH103" s="12"/>
      <c r="DI103" s="12"/>
      <c r="DJ103" s="12"/>
      <c r="DK103" s="12"/>
      <c r="DL103" s="12"/>
      <c r="DM103" s="12"/>
      <c r="DN103" s="12"/>
      <c r="DO103" s="12"/>
      <c r="DP103" s="12"/>
      <c r="DQ103" s="12"/>
      <c r="DR103" s="12"/>
      <c r="DS103" s="12"/>
      <c r="DT103" s="12"/>
      <c r="DU103" s="12"/>
      <c r="DV103" s="12"/>
      <c r="DW103" s="12"/>
      <c r="DX103" s="12"/>
      <c r="DY103" s="12"/>
      <c r="DZ103" s="12"/>
      <c r="EA103" s="12"/>
      <c r="EB103" s="12"/>
      <c r="EC103" s="12"/>
      <c r="ED103" s="12"/>
      <c r="EE103" s="12"/>
      <c r="EF103" s="12"/>
      <c r="EG103" s="12"/>
      <c r="EH103" s="12"/>
      <c r="EI103" s="12"/>
      <c r="EJ103" s="12"/>
      <c r="EK103" s="12"/>
      <c r="EL103" s="12"/>
      <c r="EM103" s="12"/>
      <c r="EN103" s="12"/>
      <c r="EO103" s="12"/>
      <c r="EP103" s="12"/>
      <c r="EQ103" s="12"/>
      <c r="ER103" s="12"/>
      <c r="ES103" s="12"/>
      <c r="ET103" s="12"/>
      <c r="EU103" s="12"/>
      <c r="EV103" s="12"/>
      <c r="EW103" s="12"/>
      <c r="EX103" s="12"/>
      <c r="EY103" s="12"/>
      <c r="EZ103" s="12"/>
      <c r="FA103" s="12"/>
      <c r="FB103" s="12"/>
      <c r="FC103" s="12"/>
      <c r="FD103" s="12"/>
      <c r="FE103" s="12"/>
      <c r="FF103" s="12"/>
      <c r="FG103" s="12"/>
      <c r="FH103" s="12"/>
      <c r="FI103" s="12"/>
      <c r="FJ103" s="12"/>
      <c r="FK103" s="12"/>
      <c r="FL103" s="12"/>
      <c r="FM103" s="12"/>
      <c r="FN103" s="12"/>
      <c r="FO103" s="12"/>
      <c r="FP103" s="12"/>
      <c r="FQ103" s="12"/>
      <c r="FR103" s="12"/>
      <c r="FS103" s="12"/>
      <c r="FT103" s="12"/>
      <c r="FU103" s="12"/>
      <c r="FV103" s="12"/>
      <c r="FW103" s="12"/>
      <c r="FX103" s="12"/>
      <c r="FY103" s="12"/>
      <c r="FZ103" s="12"/>
      <c r="GA103" s="12"/>
      <c r="GB103" s="12"/>
      <c r="GC103" s="12"/>
      <c r="GD103" s="12"/>
      <c r="GE103" s="12"/>
    </row>
    <row r="104" spans="1:187" s="21" customFormat="1" ht="21" customHeight="1">
      <c r="A104" s="30"/>
      <c r="B104" s="20" t="s">
        <v>17</v>
      </c>
      <c r="C104" s="84" t="s">
        <v>152</v>
      </c>
      <c r="D104" s="20" t="s">
        <v>151</v>
      </c>
      <c r="E104" s="43">
        <v>4.5119999999999996</v>
      </c>
      <c r="F104" s="2">
        <v>1.504</v>
      </c>
      <c r="G104" s="2">
        <v>1.5740000000000001</v>
      </c>
      <c r="H104" s="2">
        <f>5.866-G104</f>
        <v>4.2919999999999998</v>
      </c>
      <c r="I104" s="35">
        <f t="shared" si="7"/>
        <v>11.882</v>
      </c>
      <c r="J104" s="56">
        <f>'2021'!J105</f>
        <v>13.539981600000001</v>
      </c>
      <c r="K104" s="49">
        <v>3699.34</v>
      </c>
      <c r="L104" s="49">
        <v>3847.32</v>
      </c>
      <c r="M104" s="49">
        <v>1403.65</v>
      </c>
      <c r="N104" s="49">
        <v>1459.8</v>
      </c>
      <c r="O104" s="56">
        <f t="shared" si="13"/>
        <v>2295.69</v>
      </c>
      <c r="P104" s="1">
        <f t="shared" si="8"/>
        <v>10358.153279999999</v>
      </c>
      <c r="Q104" s="1">
        <f t="shared" si="9"/>
        <v>3452.71776</v>
      </c>
      <c r="R104" s="1">
        <f t="shared" si="10"/>
        <v>3757.9564800000007</v>
      </c>
      <c r="S104" s="1">
        <f t="shared" si="11"/>
        <v>10247.235840000001</v>
      </c>
      <c r="T104" s="1">
        <f t="shared" si="12"/>
        <v>27816.06336</v>
      </c>
      <c r="U104" s="1"/>
      <c r="V104" s="1"/>
      <c r="W104" s="1"/>
    </row>
    <row r="105" spans="1:187" s="21" customFormat="1" ht="21" customHeight="1">
      <c r="A105" s="30" t="s">
        <v>337</v>
      </c>
      <c r="B105" s="74">
        <v>2919003788</v>
      </c>
      <c r="C105" s="84" t="s">
        <v>354</v>
      </c>
      <c r="D105" s="20" t="s">
        <v>356</v>
      </c>
      <c r="E105" s="43">
        <f>25.240871*0.6</f>
        <v>15.144522599999998</v>
      </c>
      <c r="F105" s="43">
        <f>25.240871*0.4</f>
        <v>10.0963484</v>
      </c>
      <c r="G105" s="2">
        <f>19.049129*0.2</f>
        <v>3.8098258000000005</v>
      </c>
      <c r="H105" s="2">
        <f>19.049129*0.8</f>
        <v>15.239303200000002</v>
      </c>
      <c r="I105" s="35">
        <f t="shared" si="7"/>
        <v>44.29</v>
      </c>
      <c r="J105" s="56">
        <f>'2021'!J106</f>
        <v>44.29</v>
      </c>
      <c r="K105" s="49">
        <v>4041.12</v>
      </c>
      <c r="L105" s="49">
        <v>4202.76</v>
      </c>
      <c r="M105" s="49">
        <v>1688.16</v>
      </c>
      <c r="N105" s="49">
        <v>1755.68</v>
      </c>
      <c r="O105" s="56">
        <f t="shared" si="13"/>
        <v>2352.96</v>
      </c>
      <c r="P105" s="1">
        <f t="shared" si="8"/>
        <v>35634.455896895997</v>
      </c>
      <c r="Q105" s="1">
        <f t="shared" si="9"/>
        <v>23756.303931263999</v>
      </c>
      <c r="R105" s="1">
        <f t="shared" si="10"/>
        <v>9322.9485186640013</v>
      </c>
      <c r="S105" s="1">
        <f t="shared" si="11"/>
        <v>37291.794074656005</v>
      </c>
      <c r="T105" s="1">
        <f t="shared" si="12"/>
        <v>106005.50242147999</v>
      </c>
      <c r="U105" s="1"/>
      <c r="V105" s="1"/>
      <c r="W105" s="1"/>
    </row>
    <row r="106" spans="1:187" s="21" customFormat="1" ht="21" customHeight="1">
      <c r="A106" s="30" t="s">
        <v>337</v>
      </c>
      <c r="B106" s="74">
        <v>2919003805</v>
      </c>
      <c r="C106" s="84" t="s">
        <v>355</v>
      </c>
      <c r="D106" s="20" t="s">
        <v>357</v>
      </c>
      <c r="E106" s="43">
        <f>29.3936544*0.6</f>
        <v>17.636192639999997</v>
      </c>
      <c r="F106" s="43">
        <f>29.3936544*0.4</f>
        <v>11.75746176</v>
      </c>
      <c r="G106" s="2">
        <f>24.0493536*0.8</f>
        <v>19.239482880000001</v>
      </c>
      <c r="H106" s="2">
        <f>24.0493536*0.2</f>
        <v>4.8098707200000002</v>
      </c>
      <c r="I106" s="35">
        <f t="shared" si="7"/>
        <v>53.443007999999999</v>
      </c>
      <c r="J106" s="56">
        <f>'2021'!J107</f>
        <v>53.443007999999992</v>
      </c>
      <c r="K106" s="49">
        <v>3528.69</v>
      </c>
      <c r="L106" s="49">
        <v>3669.84</v>
      </c>
      <c r="M106" s="49">
        <v>1688.1592000000001</v>
      </c>
      <c r="N106" s="49">
        <v>1755.68</v>
      </c>
      <c r="O106" s="56">
        <f t="shared" si="13"/>
        <v>1840.5308</v>
      </c>
      <c r="P106" s="1">
        <f t="shared" si="8"/>
        <v>32459.955748653309</v>
      </c>
      <c r="Q106" s="1">
        <f t="shared" si="9"/>
        <v>21639.970499102208</v>
      </c>
      <c r="R106" s="1">
        <f t="shared" si="10"/>
        <v>36827.448549580804</v>
      </c>
      <c r="S106" s="1">
        <f t="shared" si="11"/>
        <v>9206.862137395201</v>
      </c>
      <c r="T106" s="1">
        <f t="shared" si="12"/>
        <v>100134.23693473153</v>
      </c>
      <c r="U106" s="1"/>
      <c r="V106" s="1"/>
      <c r="W106" s="1"/>
    </row>
    <row r="107" spans="1:187" ht="21" customHeight="1">
      <c r="A107" s="45"/>
      <c r="B107" s="101" t="s">
        <v>153</v>
      </c>
      <c r="C107" s="101"/>
      <c r="D107" s="101"/>
      <c r="E107" s="34"/>
      <c r="F107" s="34"/>
      <c r="G107" s="34"/>
      <c r="H107" s="34"/>
      <c r="I107" s="35">
        <f t="shared" si="7"/>
        <v>0</v>
      </c>
      <c r="J107" s="56"/>
      <c r="K107" s="49"/>
      <c r="L107" s="49"/>
      <c r="M107" s="49"/>
      <c r="N107" s="49"/>
      <c r="O107" s="56">
        <f t="shared" si="13"/>
        <v>0</v>
      </c>
      <c r="P107" s="1">
        <f t="shared" si="8"/>
        <v>0</v>
      </c>
      <c r="Q107" s="1">
        <f t="shared" si="9"/>
        <v>0</v>
      </c>
      <c r="R107" s="1">
        <f t="shared" si="10"/>
        <v>0</v>
      </c>
      <c r="S107" s="1">
        <f t="shared" si="11"/>
        <v>0</v>
      </c>
      <c r="T107" s="1">
        <f t="shared" si="12"/>
        <v>0</v>
      </c>
      <c r="U107" s="45"/>
      <c r="V107" s="45"/>
      <c r="W107" s="45"/>
    </row>
    <row r="108" spans="1:187" ht="24.75" customHeight="1">
      <c r="A108" s="45"/>
      <c r="B108" s="15" t="s">
        <v>19</v>
      </c>
      <c r="C108" s="83" t="s">
        <v>111</v>
      </c>
      <c r="D108" s="18" t="s">
        <v>307</v>
      </c>
      <c r="E108" s="41">
        <v>907.62900000000002</v>
      </c>
      <c r="F108" s="41">
        <f>1250.759-E108</f>
        <v>343.13</v>
      </c>
      <c r="G108" s="41">
        <v>285.39400000000001</v>
      </c>
      <c r="H108" s="41">
        <f>1276.721-G108</f>
        <v>991.327</v>
      </c>
      <c r="I108" s="35">
        <f t="shared" si="7"/>
        <v>2527.48</v>
      </c>
      <c r="J108" s="56">
        <f>'2021'!J109</f>
        <v>3498.2710000000002</v>
      </c>
      <c r="K108" s="49">
        <v>2915.5717760000002</v>
      </c>
      <c r="L108" s="49">
        <v>3032.1946470400003</v>
      </c>
      <c r="M108" s="49">
        <v>1997.7332127999998</v>
      </c>
      <c r="N108" s="49">
        <v>2077.642541312</v>
      </c>
      <c r="O108" s="56">
        <f t="shared" si="13"/>
        <v>917.83856320000041</v>
      </c>
      <c r="P108" s="1">
        <f t="shared" si="8"/>
        <v>833056.89727865322</v>
      </c>
      <c r="Q108" s="1">
        <f t="shared" si="9"/>
        <v>314937.94619081612</v>
      </c>
      <c r="R108" s="1">
        <f t="shared" si="10"/>
        <v>272423.44366213691</v>
      </c>
      <c r="S108" s="1">
        <f t="shared" si="11"/>
        <v>946273.27531502128</v>
      </c>
      <c r="T108" s="1">
        <f t="shared" si="12"/>
        <v>2366691.5624466273</v>
      </c>
      <c r="U108" s="45"/>
      <c r="V108" s="45"/>
      <c r="W108" s="45"/>
    </row>
    <row r="109" spans="1:187" ht="24.75" customHeight="1">
      <c r="A109" s="45"/>
      <c r="B109" s="9" t="s">
        <v>279</v>
      </c>
      <c r="C109" s="10" t="s">
        <v>164</v>
      </c>
      <c r="D109" s="10" t="s">
        <v>160</v>
      </c>
      <c r="E109" s="35">
        <v>36.850999999999999</v>
      </c>
      <c r="F109" s="35">
        <f>74.688-E109</f>
        <v>37.837000000000003</v>
      </c>
      <c r="G109" s="35">
        <v>21.411999999999999</v>
      </c>
      <c r="H109" s="35">
        <f>83.089-G109</f>
        <v>61.677</v>
      </c>
      <c r="I109" s="35">
        <f t="shared" si="7"/>
        <v>157.77699999999999</v>
      </c>
      <c r="J109" s="56">
        <f>'2021'!J110</f>
        <v>260.8</v>
      </c>
      <c r="K109" s="49">
        <v>6887.2543999999998</v>
      </c>
      <c r="L109" s="49">
        <v>7162.7445760000001</v>
      </c>
      <c r="M109" s="49">
        <v>2402.6700983999999</v>
      </c>
      <c r="N109" s="49">
        <v>2498.7769023360001</v>
      </c>
      <c r="O109" s="56">
        <f t="shared" si="13"/>
        <v>4484.5843015999999</v>
      </c>
      <c r="P109" s="1">
        <f t="shared" si="8"/>
        <v>165261.4160982616</v>
      </c>
      <c r="Q109" s="1">
        <f t="shared" si="9"/>
        <v>169683.2162196392</v>
      </c>
      <c r="R109" s="1">
        <f t="shared" si="10"/>
        <v>99864.875828493547</v>
      </c>
      <c r="S109" s="1">
        <f t="shared" si="11"/>
        <v>287659.53420857451</v>
      </c>
      <c r="T109" s="1">
        <f t="shared" si="12"/>
        <v>722469.04235496884</v>
      </c>
      <c r="U109" s="11"/>
      <c r="V109" s="11"/>
      <c r="W109" s="11"/>
      <c r="X109" s="12"/>
      <c r="Y109" s="12"/>
      <c r="Z109" s="12"/>
      <c r="AA109" s="12"/>
      <c r="AB109" s="12"/>
      <c r="AC109" s="12"/>
      <c r="AD109" s="12"/>
      <c r="AE109" s="12"/>
      <c r="AF109" s="12"/>
      <c r="AG109" s="12"/>
      <c r="AH109" s="12"/>
      <c r="AI109" s="12"/>
      <c r="AJ109" s="12"/>
      <c r="AK109" s="12"/>
      <c r="AL109" s="12"/>
      <c r="AM109" s="12"/>
      <c r="AN109" s="12"/>
      <c r="AO109" s="12"/>
      <c r="AP109" s="12"/>
      <c r="AQ109" s="12"/>
      <c r="AR109" s="12"/>
      <c r="AS109" s="12"/>
      <c r="AT109" s="12"/>
      <c r="AU109" s="12"/>
      <c r="AV109" s="12"/>
      <c r="AW109" s="12"/>
      <c r="AX109" s="12"/>
      <c r="AY109" s="12"/>
      <c r="AZ109" s="12"/>
      <c r="BA109" s="12"/>
      <c r="BB109" s="12"/>
      <c r="BC109" s="12"/>
      <c r="BD109" s="12"/>
      <c r="BE109" s="12"/>
      <c r="BF109" s="12"/>
      <c r="BG109" s="12"/>
      <c r="BH109" s="12"/>
      <c r="BI109" s="12"/>
      <c r="BJ109" s="12"/>
      <c r="BK109" s="12"/>
      <c r="BL109" s="12"/>
      <c r="BM109" s="12"/>
      <c r="BN109" s="12"/>
      <c r="BO109" s="12"/>
      <c r="BP109" s="12"/>
      <c r="BQ109" s="12"/>
      <c r="BR109" s="12"/>
      <c r="BS109" s="12"/>
      <c r="BT109" s="12"/>
      <c r="BU109" s="12"/>
      <c r="BV109" s="12"/>
      <c r="BW109" s="12"/>
      <c r="BX109" s="12"/>
      <c r="BY109" s="12"/>
      <c r="BZ109" s="12"/>
      <c r="CA109" s="12"/>
      <c r="CB109" s="12"/>
      <c r="CC109" s="12"/>
      <c r="CD109" s="12"/>
      <c r="CE109" s="12"/>
      <c r="CF109" s="12"/>
      <c r="CG109" s="12"/>
      <c r="CH109" s="12"/>
      <c r="CI109" s="12"/>
      <c r="CJ109" s="12"/>
      <c r="CK109" s="12"/>
      <c r="CL109" s="12"/>
      <c r="CM109" s="12"/>
      <c r="CN109" s="12"/>
      <c r="CO109" s="12"/>
      <c r="CP109" s="12"/>
      <c r="CQ109" s="12"/>
      <c r="CR109" s="12"/>
      <c r="CS109" s="12"/>
      <c r="CT109" s="12"/>
      <c r="CU109" s="12"/>
      <c r="CV109" s="12"/>
      <c r="CW109" s="12"/>
      <c r="CX109" s="12"/>
      <c r="CY109" s="12"/>
      <c r="CZ109" s="12"/>
      <c r="DA109" s="12"/>
      <c r="DB109" s="12"/>
      <c r="DC109" s="12"/>
      <c r="DD109" s="12"/>
      <c r="DE109" s="12"/>
      <c r="DF109" s="12"/>
      <c r="DG109" s="12"/>
      <c r="DH109" s="12"/>
      <c r="DI109" s="12"/>
      <c r="DJ109" s="12"/>
      <c r="DK109" s="12"/>
      <c r="DL109" s="12"/>
      <c r="DM109" s="12"/>
      <c r="DN109" s="12"/>
      <c r="DO109" s="12"/>
      <c r="DP109" s="12"/>
      <c r="DQ109" s="12"/>
      <c r="DR109" s="12"/>
      <c r="DS109" s="12"/>
      <c r="DT109" s="12"/>
      <c r="DU109" s="12"/>
      <c r="DV109" s="12"/>
      <c r="DW109" s="12"/>
      <c r="DX109" s="12"/>
      <c r="DY109" s="12"/>
      <c r="DZ109" s="12"/>
      <c r="EA109" s="12"/>
      <c r="EB109" s="12"/>
      <c r="EC109" s="12"/>
      <c r="ED109" s="12"/>
      <c r="EE109" s="12"/>
      <c r="EF109" s="12"/>
      <c r="EG109" s="12"/>
      <c r="EH109" s="12"/>
      <c r="EI109" s="12"/>
      <c r="EJ109" s="12"/>
      <c r="EK109" s="12"/>
      <c r="EL109" s="12"/>
      <c r="EM109" s="12"/>
      <c r="EN109" s="12"/>
      <c r="EO109" s="12"/>
      <c r="EP109" s="12"/>
      <c r="EQ109" s="12"/>
      <c r="ER109" s="12"/>
      <c r="ES109" s="12"/>
      <c r="ET109" s="12"/>
      <c r="EU109" s="12"/>
      <c r="EV109" s="12"/>
      <c r="EW109" s="12"/>
      <c r="EX109" s="12"/>
      <c r="EY109" s="12"/>
      <c r="EZ109" s="12"/>
      <c r="FA109" s="12"/>
      <c r="FB109" s="12"/>
      <c r="FC109" s="12"/>
      <c r="FD109" s="12"/>
      <c r="FE109" s="12"/>
      <c r="FF109" s="12"/>
      <c r="FG109" s="12"/>
      <c r="FH109" s="12"/>
      <c r="FI109" s="12"/>
      <c r="FJ109" s="12"/>
      <c r="FK109" s="12"/>
      <c r="FL109" s="12"/>
      <c r="FM109" s="12"/>
      <c r="FN109" s="12"/>
      <c r="FO109" s="12"/>
      <c r="FP109" s="12"/>
      <c r="FQ109" s="12"/>
      <c r="FR109" s="12"/>
      <c r="FS109" s="12"/>
      <c r="FT109" s="12"/>
      <c r="FU109" s="12"/>
      <c r="FV109" s="12"/>
      <c r="FW109" s="12"/>
      <c r="FX109" s="12"/>
      <c r="FY109" s="12"/>
      <c r="FZ109" s="12"/>
      <c r="GA109" s="12"/>
      <c r="GB109" s="12"/>
      <c r="GC109" s="12"/>
      <c r="GD109" s="12"/>
      <c r="GE109" s="12"/>
    </row>
    <row r="110" spans="1:187" ht="24.75" customHeight="1">
      <c r="A110" s="45"/>
      <c r="B110" s="9" t="s">
        <v>16</v>
      </c>
      <c r="C110" s="10" t="s">
        <v>162</v>
      </c>
      <c r="D110" s="10" t="s">
        <v>160</v>
      </c>
      <c r="E110" s="35">
        <v>87.527000000000001</v>
      </c>
      <c r="F110" s="35">
        <f>128.384-E110</f>
        <v>40.856999999999985</v>
      </c>
      <c r="G110" s="35">
        <v>14.358000000000001</v>
      </c>
      <c r="H110" s="35">
        <f>98.935-G110</f>
        <v>84.576999999999998</v>
      </c>
      <c r="I110" s="35">
        <f t="shared" si="7"/>
        <v>227.31899999999999</v>
      </c>
      <c r="J110" s="56">
        <f>'2021'!J111</f>
        <v>220.71</v>
      </c>
      <c r="K110" s="49">
        <v>3693.9127680000006</v>
      </c>
      <c r="L110" s="49">
        <v>3841.6692787200009</v>
      </c>
      <c r="M110" s="49">
        <v>2402.6593136000001</v>
      </c>
      <c r="N110" s="49">
        <v>2498.765686144</v>
      </c>
      <c r="O110" s="56">
        <f t="shared" si="13"/>
        <v>1291.2534544000005</v>
      </c>
      <c r="P110" s="1">
        <f t="shared" si="8"/>
        <v>113019.54110326884</v>
      </c>
      <c r="Q110" s="1">
        <f t="shared" si="9"/>
        <v>52756.742386420803</v>
      </c>
      <c r="R110" s="1">
        <f t="shared" si="10"/>
        <v>19281.409782206221</v>
      </c>
      <c r="S110" s="1">
        <f t="shared" si="11"/>
        <v>113578.75714930042</v>
      </c>
      <c r="T110" s="1">
        <f t="shared" si="12"/>
        <v>298636.45042119629</v>
      </c>
      <c r="U110" s="11"/>
      <c r="V110" s="11"/>
      <c r="W110" s="11"/>
      <c r="X110" s="12"/>
      <c r="Y110" s="12"/>
      <c r="Z110" s="12"/>
      <c r="AA110" s="12"/>
      <c r="AB110" s="12"/>
      <c r="AC110" s="12"/>
      <c r="AD110" s="12"/>
      <c r="AE110" s="12"/>
      <c r="AF110" s="12"/>
      <c r="AG110" s="12"/>
      <c r="AH110" s="12"/>
      <c r="AI110" s="12"/>
      <c r="AJ110" s="12"/>
      <c r="AK110" s="12"/>
      <c r="AL110" s="12"/>
      <c r="AM110" s="12"/>
      <c r="AN110" s="12"/>
      <c r="AO110" s="12"/>
      <c r="AP110" s="12"/>
      <c r="AQ110" s="12"/>
      <c r="AR110" s="12"/>
      <c r="AS110" s="12"/>
      <c r="AT110" s="12"/>
      <c r="AU110" s="12"/>
      <c r="AV110" s="12"/>
      <c r="AW110" s="12"/>
      <c r="AX110" s="12"/>
      <c r="AY110" s="12"/>
      <c r="AZ110" s="12"/>
      <c r="BA110" s="12"/>
      <c r="BB110" s="12"/>
      <c r="BC110" s="12"/>
      <c r="BD110" s="12"/>
      <c r="BE110" s="12"/>
      <c r="BF110" s="12"/>
      <c r="BG110" s="12"/>
      <c r="BH110" s="12"/>
      <c r="BI110" s="12"/>
      <c r="BJ110" s="12"/>
      <c r="BK110" s="12"/>
      <c r="BL110" s="12"/>
      <c r="BM110" s="12"/>
      <c r="BN110" s="12"/>
      <c r="BO110" s="12"/>
      <c r="BP110" s="12"/>
      <c r="BQ110" s="12"/>
      <c r="BR110" s="12"/>
      <c r="BS110" s="12"/>
      <c r="BT110" s="12"/>
      <c r="BU110" s="12"/>
      <c r="BV110" s="12"/>
      <c r="BW110" s="12"/>
      <c r="BX110" s="12"/>
      <c r="BY110" s="12"/>
      <c r="BZ110" s="12"/>
      <c r="CA110" s="12"/>
      <c r="CB110" s="12"/>
      <c r="CC110" s="12"/>
      <c r="CD110" s="12"/>
      <c r="CE110" s="12"/>
      <c r="CF110" s="12"/>
      <c r="CG110" s="12"/>
      <c r="CH110" s="12"/>
      <c r="CI110" s="12"/>
      <c r="CJ110" s="12"/>
      <c r="CK110" s="12"/>
      <c r="CL110" s="12"/>
      <c r="CM110" s="12"/>
      <c r="CN110" s="12"/>
      <c r="CO110" s="12"/>
      <c r="CP110" s="12"/>
      <c r="CQ110" s="12"/>
      <c r="CR110" s="12"/>
      <c r="CS110" s="12"/>
      <c r="CT110" s="12"/>
      <c r="CU110" s="12"/>
      <c r="CV110" s="12"/>
      <c r="CW110" s="12"/>
      <c r="CX110" s="12"/>
      <c r="CY110" s="12"/>
      <c r="CZ110" s="12"/>
      <c r="DA110" s="12"/>
      <c r="DB110" s="12"/>
      <c r="DC110" s="12"/>
      <c r="DD110" s="12"/>
      <c r="DE110" s="12"/>
      <c r="DF110" s="12"/>
      <c r="DG110" s="12"/>
      <c r="DH110" s="12"/>
      <c r="DI110" s="12"/>
      <c r="DJ110" s="12"/>
      <c r="DK110" s="12"/>
      <c r="DL110" s="12"/>
      <c r="DM110" s="12"/>
      <c r="DN110" s="12"/>
      <c r="DO110" s="12"/>
      <c r="DP110" s="12"/>
      <c r="DQ110" s="12"/>
      <c r="DR110" s="12"/>
      <c r="DS110" s="12"/>
      <c r="DT110" s="12"/>
      <c r="DU110" s="12"/>
      <c r="DV110" s="12"/>
      <c r="DW110" s="12"/>
      <c r="DX110" s="12"/>
      <c r="DY110" s="12"/>
      <c r="DZ110" s="12"/>
      <c r="EA110" s="12"/>
      <c r="EB110" s="12"/>
      <c r="EC110" s="12"/>
      <c r="ED110" s="12"/>
      <c r="EE110" s="12"/>
      <c r="EF110" s="12"/>
      <c r="EG110" s="12"/>
      <c r="EH110" s="12"/>
      <c r="EI110" s="12"/>
      <c r="EJ110" s="12"/>
      <c r="EK110" s="12"/>
      <c r="EL110" s="12"/>
      <c r="EM110" s="12"/>
      <c r="EN110" s="12"/>
      <c r="EO110" s="12"/>
      <c r="EP110" s="12"/>
      <c r="EQ110" s="12"/>
      <c r="ER110" s="12"/>
      <c r="ES110" s="12"/>
      <c r="ET110" s="12"/>
      <c r="EU110" s="12"/>
      <c r="EV110" s="12"/>
      <c r="EW110" s="12"/>
      <c r="EX110" s="12"/>
      <c r="EY110" s="12"/>
      <c r="EZ110" s="12"/>
      <c r="FA110" s="12"/>
      <c r="FB110" s="12"/>
      <c r="FC110" s="12"/>
      <c r="FD110" s="12"/>
      <c r="FE110" s="12"/>
      <c r="FF110" s="12"/>
      <c r="FG110" s="12"/>
      <c r="FH110" s="12"/>
      <c r="FI110" s="12"/>
      <c r="FJ110" s="12"/>
      <c r="FK110" s="12"/>
      <c r="FL110" s="12"/>
      <c r="FM110" s="12"/>
      <c r="FN110" s="12"/>
      <c r="FO110" s="12"/>
      <c r="FP110" s="12"/>
      <c r="FQ110" s="12"/>
      <c r="FR110" s="12"/>
      <c r="FS110" s="12"/>
      <c r="FT110" s="12"/>
      <c r="FU110" s="12"/>
      <c r="FV110" s="12"/>
      <c r="FW110" s="12"/>
      <c r="FX110" s="12"/>
      <c r="FY110" s="12"/>
      <c r="FZ110" s="12"/>
      <c r="GA110" s="12"/>
      <c r="GB110" s="12"/>
      <c r="GC110" s="12"/>
      <c r="GD110" s="12"/>
      <c r="GE110" s="12"/>
    </row>
    <row r="111" spans="1:187" ht="24.75" customHeight="1">
      <c r="A111" s="45"/>
      <c r="B111" s="9" t="s">
        <v>393</v>
      </c>
      <c r="C111" s="10" t="s">
        <v>394</v>
      </c>
      <c r="D111" s="10" t="s">
        <v>160</v>
      </c>
      <c r="E111" s="35">
        <v>673.81100000000004</v>
      </c>
      <c r="F111" s="35">
        <f>1104.972-E111</f>
        <v>431.16099999999994</v>
      </c>
      <c r="G111" s="35">
        <v>227.3</v>
      </c>
      <c r="H111" s="35">
        <v>672.83</v>
      </c>
      <c r="I111" s="35">
        <f t="shared" si="7"/>
        <v>2005.1019999999999</v>
      </c>
      <c r="J111" s="56">
        <f>'2021'!J112</f>
        <v>2045.76</v>
      </c>
      <c r="K111" s="49">
        <v>3765.80672</v>
      </c>
      <c r="L111" s="49">
        <v>3916.4389888000001</v>
      </c>
      <c r="M111" s="49">
        <v>2402.6700983999999</v>
      </c>
      <c r="N111" s="49">
        <v>2498.7769023360001</v>
      </c>
      <c r="O111" s="56"/>
      <c r="P111" s="1">
        <f t="shared" si="8"/>
        <v>918496.45013691776</v>
      </c>
      <c r="Q111" s="1">
        <f t="shared" si="9"/>
        <v>587731.34890567756</v>
      </c>
      <c r="R111" s="1">
        <f t="shared" si="10"/>
        <v>322234.59225326718</v>
      </c>
      <c r="S111" s="1">
        <f t="shared" si="11"/>
        <v>953845.58163557306</v>
      </c>
      <c r="T111" s="1">
        <f t="shared" si="12"/>
        <v>2782307.9729314353</v>
      </c>
      <c r="U111" s="11"/>
      <c r="V111" s="11"/>
      <c r="W111" s="11"/>
      <c r="X111" s="12"/>
      <c r="Y111" s="12"/>
      <c r="Z111" s="12"/>
      <c r="AA111" s="12"/>
      <c r="AB111" s="12"/>
      <c r="AC111" s="12"/>
      <c r="AD111" s="12"/>
      <c r="AE111" s="12"/>
      <c r="AF111" s="12"/>
      <c r="AG111" s="12"/>
      <c r="AH111" s="12"/>
      <c r="AI111" s="12"/>
      <c r="AJ111" s="12"/>
      <c r="AK111" s="12"/>
      <c r="AL111" s="12"/>
      <c r="AM111" s="12"/>
      <c r="AN111" s="12"/>
      <c r="AO111" s="12"/>
      <c r="AP111" s="12"/>
      <c r="AQ111" s="12"/>
      <c r="AR111" s="12"/>
      <c r="AS111" s="12"/>
      <c r="AT111" s="12"/>
      <c r="AU111" s="12"/>
      <c r="AV111" s="12"/>
      <c r="AW111" s="12"/>
      <c r="AX111" s="12"/>
      <c r="AY111" s="12"/>
      <c r="AZ111" s="12"/>
      <c r="BA111" s="12"/>
      <c r="BB111" s="12"/>
      <c r="BC111" s="12"/>
      <c r="BD111" s="12"/>
      <c r="BE111" s="12"/>
      <c r="BF111" s="12"/>
      <c r="BG111" s="12"/>
      <c r="BH111" s="12"/>
      <c r="BI111" s="12"/>
      <c r="BJ111" s="12"/>
      <c r="BK111" s="12"/>
      <c r="BL111" s="12"/>
      <c r="BM111" s="12"/>
      <c r="BN111" s="12"/>
      <c r="BO111" s="12"/>
      <c r="BP111" s="12"/>
      <c r="BQ111" s="12"/>
      <c r="BR111" s="12"/>
      <c r="BS111" s="12"/>
      <c r="BT111" s="12"/>
      <c r="BU111" s="12"/>
      <c r="BV111" s="12"/>
      <c r="BW111" s="12"/>
      <c r="BX111" s="12"/>
      <c r="BY111" s="12"/>
      <c r="BZ111" s="12"/>
      <c r="CA111" s="12"/>
      <c r="CB111" s="12"/>
      <c r="CC111" s="12"/>
      <c r="CD111" s="12"/>
      <c r="CE111" s="12"/>
      <c r="CF111" s="12"/>
      <c r="CG111" s="12"/>
      <c r="CH111" s="12"/>
      <c r="CI111" s="12"/>
      <c r="CJ111" s="12"/>
      <c r="CK111" s="12"/>
      <c r="CL111" s="12"/>
      <c r="CM111" s="12"/>
      <c r="CN111" s="12"/>
      <c r="CO111" s="12"/>
      <c r="CP111" s="12"/>
      <c r="CQ111" s="12"/>
      <c r="CR111" s="12"/>
      <c r="CS111" s="12"/>
      <c r="CT111" s="12"/>
      <c r="CU111" s="12"/>
      <c r="CV111" s="12"/>
      <c r="CW111" s="12"/>
      <c r="CX111" s="12"/>
      <c r="CY111" s="12"/>
      <c r="CZ111" s="12"/>
      <c r="DA111" s="12"/>
      <c r="DB111" s="12"/>
      <c r="DC111" s="12"/>
      <c r="DD111" s="12"/>
      <c r="DE111" s="12"/>
      <c r="DF111" s="12"/>
      <c r="DG111" s="12"/>
      <c r="DH111" s="12"/>
      <c r="DI111" s="12"/>
      <c r="DJ111" s="12"/>
      <c r="DK111" s="12"/>
      <c r="DL111" s="12"/>
      <c r="DM111" s="12"/>
      <c r="DN111" s="12"/>
      <c r="DO111" s="12"/>
      <c r="DP111" s="12"/>
      <c r="DQ111" s="12"/>
      <c r="DR111" s="12"/>
      <c r="DS111" s="12"/>
      <c r="DT111" s="12"/>
      <c r="DU111" s="12"/>
      <c r="DV111" s="12"/>
      <c r="DW111" s="12"/>
      <c r="DX111" s="12"/>
      <c r="DY111" s="12"/>
      <c r="DZ111" s="12"/>
      <c r="EA111" s="12"/>
      <c r="EB111" s="12"/>
      <c r="EC111" s="12"/>
      <c r="ED111" s="12"/>
      <c r="EE111" s="12"/>
      <c r="EF111" s="12"/>
      <c r="EG111" s="12"/>
      <c r="EH111" s="12"/>
      <c r="EI111" s="12"/>
      <c r="EJ111" s="12"/>
      <c r="EK111" s="12"/>
      <c r="EL111" s="12"/>
      <c r="EM111" s="12"/>
      <c r="EN111" s="12"/>
      <c r="EO111" s="12"/>
      <c r="EP111" s="12"/>
      <c r="EQ111" s="12"/>
      <c r="ER111" s="12"/>
      <c r="ES111" s="12"/>
      <c r="ET111" s="12"/>
      <c r="EU111" s="12"/>
      <c r="EV111" s="12"/>
      <c r="EW111" s="12"/>
      <c r="EX111" s="12"/>
      <c r="EY111" s="12"/>
      <c r="EZ111" s="12"/>
      <c r="FA111" s="12"/>
      <c r="FB111" s="12"/>
      <c r="FC111" s="12"/>
      <c r="FD111" s="12"/>
      <c r="FE111" s="12"/>
      <c r="FF111" s="12"/>
      <c r="FG111" s="12"/>
      <c r="FH111" s="12"/>
      <c r="FI111" s="12"/>
      <c r="FJ111" s="12"/>
      <c r="FK111" s="12"/>
      <c r="FL111" s="12"/>
      <c r="FM111" s="12"/>
      <c r="FN111" s="12"/>
      <c r="FO111" s="12"/>
      <c r="FP111" s="12"/>
      <c r="FQ111" s="12"/>
      <c r="FR111" s="12"/>
      <c r="FS111" s="12"/>
      <c r="FT111" s="12"/>
      <c r="FU111" s="12"/>
      <c r="FV111" s="12"/>
      <c r="FW111" s="12"/>
      <c r="FX111" s="12"/>
      <c r="FY111" s="12"/>
      <c r="FZ111" s="12"/>
      <c r="GA111" s="12"/>
      <c r="GB111" s="12"/>
      <c r="GC111" s="12"/>
      <c r="GD111" s="12"/>
      <c r="GE111" s="12"/>
    </row>
    <row r="112" spans="1:187" ht="24.75" customHeight="1">
      <c r="A112" s="45"/>
      <c r="B112" s="9" t="s">
        <v>2</v>
      </c>
      <c r="C112" s="10" t="s">
        <v>68</v>
      </c>
      <c r="D112" s="10" t="s">
        <v>163</v>
      </c>
      <c r="E112" s="35">
        <v>14149.423000000001</v>
      </c>
      <c r="F112" s="35">
        <f>19302.424-E112</f>
        <v>5153.0009999999984</v>
      </c>
      <c r="G112" s="35">
        <v>346.16500000000002</v>
      </c>
      <c r="H112" s="35">
        <f>9445.861-G112</f>
        <v>9099.6959999999999</v>
      </c>
      <c r="I112" s="35">
        <f t="shared" si="7"/>
        <v>28748.285</v>
      </c>
      <c r="J112" s="56">
        <f>'2021'!J113</f>
        <v>26944.46</v>
      </c>
      <c r="K112" s="49">
        <v>8575.0912000000008</v>
      </c>
      <c r="L112" s="49">
        <v>8918.0948480000006</v>
      </c>
      <c r="M112" s="49">
        <v>2036.1594551999999</v>
      </c>
      <c r="N112" s="49">
        <v>2117.6058334079999</v>
      </c>
      <c r="O112" s="56">
        <f t="shared" si="13"/>
        <v>6538.9317448000011</v>
      </c>
      <c r="P112" s="1">
        <f t="shared" si="8"/>
        <v>92522111.225303277</v>
      </c>
      <c r="Q112" s="1">
        <f t="shared" si="9"/>
        <v>33695121.819886141</v>
      </c>
      <c r="R112" s="1">
        <f t="shared" si="10"/>
        <v>2354091.2797362399</v>
      </c>
      <c r="S112" s="1">
        <f t="shared" si="11"/>
        <v>61882382.684126772</v>
      </c>
      <c r="T112" s="1">
        <f t="shared" si="12"/>
        <v>190453707.00905243</v>
      </c>
      <c r="U112" s="11"/>
      <c r="V112" s="11"/>
      <c r="W112" s="11"/>
      <c r="X112" s="12"/>
      <c r="Y112" s="12"/>
      <c r="Z112" s="12"/>
      <c r="AA112" s="12"/>
      <c r="AB112" s="12"/>
      <c r="AC112" s="12"/>
      <c r="AD112" s="12"/>
      <c r="AE112" s="12"/>
      <c r="AF112" s="12"/>
      <c r="AG112" s="12"/>
      <c r="AH112" s="12"/>
      <c r="AI112" s="12"/>
      <c r="AJ112" s="12"/>
      <c r="AK112" s="12"/>
      <c r="AL112" s="12"/>
      <c r="AM112" s="12"/>
      <c r="AN112" s="12"/>
      <c r="AO112" s="12"/>
      <c r="AP112" s="12"/>
      <c r="AQ112" s="12"/>
      <c r="AR112" s="12"/>
      <c r="AS112" s="12"/>
      <c r="AT112" s="12"/>
      <c r="AU112" s="12"/>
      <c r="AV112" s="12"/>
      <c r="AW112" s="12"/>
      <c r="AX112" s="12"/>
      <c r="AY112" s="12"/>
      <c r="AZ112" s="12"/>
      <c r="BA112" s="12"/>
      <c r="BB112" s="12"/>
      <c r="BC112" s="12"/>
      <c r="BD112" s="12"/>
      <c r="BE112" s="12"/>
      <c r="BF112" s="12"/>
      <c r="BG112" s="12"/>
      <c r="BH112" s="12"/>
      <c r="BI112" s="12"/>
      <c r="BJ112" s="12"/>
      <c r="BK112" s="12"/>
      <c r="BL112" s="12"/>
      <c r="BM112" s="12"/>
      <c r="BN112" s="12"/>
      <c r="BO112" s="12"/>
      <c r="BP112" s="12"/>
      <c r="BQ112" s="12"/>
      <c r="BR112" s="12"/>
      <c r="BS112" s="12"/>
      <c r="BT112" s="12"/>
      <c r="BU112" s="12"/>
      <c r="BV112" s="12"/>
      <c r="BW112" s="12"/>
      <c r="BX112" s="12"/>
      <c r="BY112" s="12"/>
      <c r="BZ112" s="12"/>
      <c r="CA112" s="12"/>
      <c r="CB112" s="12"/>
      <c r="CC112" s="12"/>
      <c r="CD112" s="12"/>
      <c r="CE112" s="12"/>
      <c r="CF112" s="12"/>
      <c r="CG112" s="12"/>
      <c r="CH112" s="12"/>
      <c r="CI112" s="12"/>
      <c r="CJ112" s="12"/>
      <c r="CK112" s="12"/>
      <c r="CL112" s="12"/>
      <c r="CM112" s="12"/>
      <c r="CN112" s="12"/>
      <c r="CO112" s="12"/>
      <c r="CP112" s="12"/>
      <c r="CQ112" s="12"/>
      <c r="CR112" s="12"/>
      <c r="CS112" s="12"/>
      <c r="CT112" s="12"/>
      <c r="CU112" s="12"/>
      <c r="CV112" s="12"/>
      <c r="CW112" s="12"/>
      <c r="CX112" s="12"/>
      <c r="CY112" s="12"/>
      <c r="CZ112" s="12"/>
      <c r="DA112" s="12"/>
      <c r="DB112" s="12"/>
      <c r="DC112" s="12"/>
      <c r="DD112" s="12"/>
      <c r="DE112" s="12"/>
      <c r="DF112" s="12"/>
      <c r="DG112" s="12"/>
      <c r="DH112" s="12"/>
      <c r="DI112" s="12"/>
      <c r="DJ112" s="12"/>
      <c r="DK112" s="12"/>
      <c r="DL112" s="12"/>
      <c r="DM112" s="12"/>
      <c r="DN112" s="12"/>
      <c r="DO112" s="12"/>
      <c r="DP112" s="12"/>
      <c r="DQ112" s="12"/>
      <c r="DR112" s="12"/>
      <c r="DS112" s="12"/>
      <c r="DT112" s="12"/>
      <c r="DU112" s="12"/>
      <c r="DV112" s="12"/>
      <c r="DW112" s="12"/>
      <c r="DX112" s="12"/>
      <c r="DY112" s="12"/>
      <c r="DZ112" s="12"/>
      <c r="EA112" s="12"/>
      <c r="EB112" s="12"/>
      <c r="EC112" s="12"/>
      <c r="ED112" s="12"/>
      <c r="EE112" s="12"/>
      <c r="EF112" s="12"/>
      <c r="EG112" s="12"/>
      <c r="EH112" s="12"/>
      <c r="EI112" s="12"/>
      <c r="EJ112" s="12"/>
      <c r="EK112" s="12"/>
      <c r="EL112" s="12"/>
      <c r="EM112" s="12"/>
      <c r="EN112" s="12"/>
      <c r="EO112" s="12"/>
      <c r="EP112" s="12"/>
      <c r="EQ112" s="12"/>
      <c r="ER112" s="12"/>
      <c r="ES112" s="12"/>
      <c r="ET112" s="12"/>
      <c r="EU112" s="12"/>
      <c r="EV112" s="12"/>
      <c r="EW112" s="12"/>
      <c r="EX112" s="12"/>
      <c r="EY112" s="12"/>
      <c r="EZ112" s="12"/>
      <c r="FA112" s="12"/>
      <c r="FB112" s="12"/>
      <c r="FC112" s="12"/>
      <c r="FD112" s="12"/>
      <c r="FE112" s="12"/>
      <c r="FF112" s="12"/>
      <c r="FG112" s="12"/>
      <c r="FH112" s="12"/>
      <c r="FI112" s="12"/>
      <c r="FJ112" s="12"/>
      <c r="FK112" s="12"/>
      <c r="FL112" s="12"/>
      <c r="FM112" s="12"/>
      <c r="FN112" s="12"/>
      <c r="FO112" s="12"/>
      <c r="FP112" s="12"/>
      <c r="FQ112" s="12"/>
      <c r="FR112" s="12"/>
      <c r="FS112" s="12"/>
      <c r="FT112" s="12"/>
      <c r="FU112" s="12"/>
      <c r="FV112" s="12"/>
      <c r="FW112" s="12"/>
      <c r="FX112" s="12"/>
      <c r="FY112" s="12"/>
      <c r="FZ112" s="12"/>
      <c r="GA112" s="12"/>
      <c r="GB112" s="12"/>
      <c r="GC112" s="12"/>
      <c r="GD112" s="12"/>
      <c r="GE112" s="12"/>
    </row>
    <row r="113" spans="1:187" ht="24.75" customHeight="1">
      <c r="A113" s="45"/>
      <c r="B113" s="9" t="s">
        <v>280</v>
      </c>
      <c r="C113" s="10" t="s">
        <v>159</v>
      </c>
      <c r="D113" s="10" t="s">
        <v>160</v>
      </c>
      <c r="E113" s="35">
        <v>11687.329</v>
      </c>
      <c r="F113" s="35">
        <f>18105.86-E113</f>
        <v>6418.5310000000009</v>
      </c>
      <c r="G113" s="35">
        <v>672.48400000000004</v>
      </c>
      <c r="H113" s="35">
        <f>11245.756-G113</f>
        <v>10573.271999999999</v>
      </c>
      <c r="I113" s="35">
        <f t="shared" si="7"/>
        <v>29351.616000000002</v>
      </c>
      <c r="J113" s="56">
        <f>'2021'!J114</f>
        <v>31477.25</v>
      </c>
      <c r="K113" s="49">
        <v>2975.6762880000001</v>
      </c>
      <c r="L113" s="49">
        <v>3094.7033395200001</v>
      </c>
      <c r="M113" s="49">
        <v>2036.1594551999999</v>
      </c>
      <c r="N113" s="49">
        <v>2117.6058334079999</v>
      </c>
      <c r="O113" s="56">
        <f t="shared" si="13"/>
        <v>939.5168328000002</v>
      </c>
      <c r="P113" s="1">
        <f t="shared" si="8"/>
        <v>10980442.325971594</v>
      </c>
      <c r="Q113" s="1">
        <f t="shared" si="9"/>
        <v>6030317.9163486185</v>
      </c>
      <c r="R113" s="1">
        <f t="shared" si="10"/>
        <v>657082.43930022244</v>
      </c>
      <c r="S113" s="1">
        <f t="shared" si="11"/>
        <v>10331117.70264384</v>
      </c>
      <c r="T113" s="1">
        <f t="shared" si="12"/>
        <v>27998960.384264275</v>
      </c>
      <c r="U113" s="11"/>
      <c r="V113" s="11"/>
      <c r="W113" s="11"/>
      <c r="X113" s="12"/>
      <c r="Y113" s="12"/>
      <c r="Z113" s="12"/>
      <c r="AA113" s="12"/>
      <c r="AB113" s="12"/>
      <c r="AC113" s="12"/>
      <c r="AD113" s="12"/>
      <c r="AE113" s="12"/>
      <c r="AF113" s="12"/>
      <c r="AG113" s="12"/>
      <c r="AH113" s="12"/>
      <c r="AI113" s="12"/>
      <c r="AJ113" s="12"/>
      <c r="AK113" s="12"/>
      <c r="AL113" s="12"/>
      <c r="AM113" s="12"/>
      <c r="AN113" s="12"/>
      <c r="AO113" s="12"/>
      <c r="AP113" s="12"/>
      <c r="AQ113" s="12"/>
      <c r="AR113" s="12"/>
      <c r="AS113" s="12"/>
      <c r="AT113" s="12"/>
      <c r="AU113" s="12"/>
      <c r="AV113" s="12"/>
      <c r="AW113" s="12"/>
      <c r="AX113" s="12"/>
      <c r="AY113" s="12"/>
      <c r="AZ113" s="12"/>
      <c r="BA113" s="12"/>
      <c r="BB113" s="12"/>
      <c r="BC113" s="12"/>
      <c r="BD113" s="12"/>
      <c r="BE113" s="12"/>
      <c r="BF113" s="12"/>
      <c r="BG113" s="12"/>
      <c r="BH113" s="12"/>
      <c r="BI113" s="12"/>
      <c r="BJ113" s="12"/>
      <c r="BK113" s="12"/>
      <c r="BL113" s="12"/>
      <c r="BM113" s="12"/>
      <c r="BN113" s="12"/>
      <c r="BO113" s="12"/>
      <c r="BP113" s="12"/>
      <c r="BQ113" s="12"/>
      <c r="BR113" s="12"/>
      <c r="BS113" s="12"/>
      <c r="BT113" s="12"/>
      <c r="BU113" s="12"/>
      <c r="BV113" s="12"/>
      <c r="BW113" s="12"/>
      <c r="BX113" s="12"/>
      <c r="BY113" s="12"/>
      <c r="BZ113" s="12"/>
      <c r="CA113" s="12"/>
      <c r="CB113" s="12"/>
      <c r="CC113" s="12"/>
      <c r="CD113" s="12"/>
      <c r="CE113" s="12"/>
      <c r="CF113" s="12"/>
      <c r="CG113" s="12"/>
      <c r="CH113" s="12"/>
      <c r="CI113" s="12"/>
      <c r="CJ113" s="12"/>
      <c r="CK113" s="12"/>
      <c r="CL113" s="12"/>
      <c r="CM113" s="12"/>
      <c r="CN113" s="12"/>
      <c r="CO113" s="12"/>
      <c r="CP113" s="12"/>
      <c r="CQ113" s="12"/>
      <c r="CR113" s="12"/>
      <c r="CS113" s="12"/>
      <c r="CT113" s="12"/>
      <c r="CU113" s="12"/>
      <c r="CV113" s="12"/>
      <c r="CW113" s="12"/>
      <c r="CX113" s="12"/>
      <c r="CY113" s="12"/>
      <c r="CZ113" s="12"/>
      <c r="DA113" s="12"/>
      <c r="DB113" s="12"/>
      <c r="DC113" s="12"/>
      <c r="DD113" s="12"/>
      <c r="DE113" s="12"/>
      <c r="DF113" s="12"/>
      <c r="DG113" s="12"/>
      <c r="DH113" s="12"/>
      <c r="DI113" s="12"/>
      <c r="DJ113" s="12"/>
      <c r="DK113" s="12"/>
      <c r="DL113" s="12"/>
      <c r="DM113" s="12"/>
      <c r="DN113" s="12"/>
      <c r="DO113" s="12"/>
      <c r="DP113" s="12"/>
      <c r="DQ113" s="12"/>
      <c r="DR113" s="12"/>
      <c r="DS113" s="12"/>
      <c r="DT113" s="12"/>
      <c r="DU113" s="12"/>
      <c r="DV113" s="12"/>
      <c r="DW113" s="12"/>
      <c r="DX113" s="12"/>
      <c r="DY113" s="12"/>
      <c r="DZ113" s="12"/>
      <c r="EA113" s="12"/>
      <c r="EB113" s="12"/>
      <c r="EC113" s="12"/>
      <c r="ED113" s="12"/>
      <c r="EE113" s="12"/>
      <c r="EF113" s="12"/>
      <c r="EG113" s="12"/>
      <c r="EH113" s="12"/>
      <c r="EI113" s="12"/>
      <c r="EJ113" s="12"/>
      <c r="EK113" s="12"/>
      <c r="EL113" s="12"/>
      <c r="EM113" s="12"/>
      <c r="EN113" s="12"/>
      <c r="EO113" s="12"/>
      <c r="EP113" s="12"/>
      <c r="EQ113" s="12"/>
      <c r="ER113" s="12"/>
      <c r="ES113" s="12"/>
      <c r="ET113" s="12"/>
      <c r="EU113" s="12"/>
      <c r="EV113" s="12"/>
      <c r="EW113" s="12"/>
      <c r="EX113" s="12"/>
      <c r="EY113" s="12"/>
      <c r="EZ113" s="12"/>
      <c r="FA113" s="12"/>
      <c r="FB113" s="12"/>
      <c r="FC113" s="12"/>
      <c r="FD113" s="12"/>
      <c r="FE113" s="12"/>
      <c r="FF113" s="12"/>
      <c r="FG113" s="12"/>
      <c r="FH113" s="12"/>
      <c r="FI113" s="12"/>
      <c r="FJ113" s="12"/>
      <c r="FK113" s="12"/>
      <c r="FL113" s="12"/>
      <c r="FM113" s="12"/>
      <c r="FN113" s="12"/>
      <c r="FO113" s="12"/>
      <c r="FP113" s="12"/>
      <c r="FQ113" s="12"/>
      <c r="FR113" s="12"/>
      <c r="FS113" s="12"/>
      <c r="FT113" s="12"/>
      <c r="FU113" s="12"/>
      <c r="FV113" s="12"/>
      <c r="FW113" s="12"/>
      <c r="FX113" s="12"/>
      <c r="FY113" s="12"/>
      <c r="FZ113" s="12"/>
      <c r="GA113" s="12"/>
      <c r="GB113" s="12"/>
      <c r="GC113" s="12"/>
      <c r="GD113" s="12"/>
      <c r="GE113" s="12"/>
    </row>
    <row r="114" spans="1:187" ht="24.75" customHeight="1">
      <c r="A114" s="45"/>
      <c r="B114" s="9" t="s">
        <v>280</v>
      </c>
      <c r="C114" s="10" t="s">
        <v>159</v>
      </c>
      <c r="D114" s="10" t="s">
        <v>155</v>
      </c>
      <c r="E114" s="35">
        <v>11324.012000000001</v>
      </c>
      <c r="F114" s="35">
        <f>17310.857-E114</f>
        <v>5986.8449999999993</v>
      </c>
      <c r="G114" s="35">
        <v>1064.5630000000001</v>
      </c>
      <c r="H114" s="35">
        <f>11874.3-G114</f>
        <v>10809.736999999999</v>
      </c>
      <c r="I114" s="35">
        <f t="shared" si="7"/>
        <v>29185.156999999999</v>
      </c>
      <c r="J114" s="56">
        <f>'2021'!J115</f>
        <v>30175.199999999997</v>
      </c>
      <c r="K114" s="49">
        <v>2510.6099199999999</v>
      </c>
      <c r="L114" s="49">
        <v>2611.0343167999999</v>
      </c>
      <c r="M114" s="49">
        <v>2036.1594551999999</v>
      </c>
      <c r="N114" s="49">
        <v>2117.6058334079999</v>
      </c>
      <c r="O114" s="56">
        <f t="shared" si="13"/>
        <v>474.45046479999996</v>
      </c>
      <c r="P114" s="1">
        <f t="shared" si="8"/>
        <v>5372682.7568007773</v>
      </c>
      <c r="Q114" s="1">
        <f t="shared" si="9"/>
        <v>2840461.3929355554</v>
      </c>
      <c r="R114" s="1">
        <f t="shared" si="10"/>
        <v>525285.70656523784</v>
      </c>
      <c r="S114" s="1">
        <f t="shared" si="11"/>
        <v>5333832.1337763881</v>
      </c>
      <c r="T114" s="1">
        <f t="shared" si="12"/>
        <v>14072261.990077958</v>
      </c>
      <c r="U114" s="11"/>
      <c r="V114" s="11"/>
      <c r="W114" s="11"/>
      <c r="X114" s="12"/>
      <c r="Y114" s="12"/>
      <c r="Z114" s="12"/>
      <c r="AA114" s="12"/>
      <c r="AB114" s="12"/>
      <c r="AC114" s="12"/>
      <c r="AD114" s="12"/>
      <c r="AE114" s="12"/>
      <c r="AF114" s="12"/>
      <c r="AG114" s="12"/>
      <c r="AH114" s="12"/>
      <c r="AI114" s="12"/>
      <c r="AJ114" s="12"/>
      <c r="AK114" s="12"/>
      <c r="AL114" s="12"/>
      <c r="AM114" s="12"/>
      <c r="AN114" s="12"/>
      <c r="AO114" s="12"/>
      <c r="AP114" s="12"/>
      <c r="AQ114" s="12"/>
      <c r="AR114" s="12"/>
      <c r="AS114" s="12"/>
      <c r="AT114" s="12"/>
      <c r="AU114" s="12"/>
      <c r="AV114" s="12"/>
      <c r="AW114" s="12"/>
      <c r="AX114" s="12"/>
      <c r="AY114" s="12"/>
      <c r="AZ114" s="12"/>
      <c r="BA114" s="12"/>
      <c r="BB114" s="12"/>
      <c r="BC114" s="12"/>
      <c r="BD114" s="12"/>
      <c r="BE114" s="12"/>
      <c r="BF114" s="12"/>
      <c r="BG114" s="12"/>
      <c r="BH114" s="12"/>
      <c r="BI114" s="12"/>
      <c r="BJ114" s="12"/>
      <c r="BK114" s="12"/>
      <c r="BL114" s="12"/>
      <c r="BM114" s="12"/>
      <c r="BN114" s="12"/>
      <c r="BO114" s="12"/>
      <c r="BP114" s="12"/>
      <c r="BQ114" s="12"/>
      <c r="BR114" s="12"/>
      <c r="BS114" s="12"/>
      <c r="BT114" s="12"/>
      <c r="BU114" s="12"/>
      <c r="BV114" s="12"/>
      <c r="BW114" s="12"/>
      <c r="BX114" s="12"/>
      <c r="BY114" s="12"/>
      <c r="BZ114" s="12"/>
      <c r="CA114" s="12"/>
      <c r="CB114" s="12"/>
      <c r="CC114" s="12"/>
      <c r="CD114" s="12"/>
      <c r="CE114" s="12"/>
      <c r="CF114" s="12"/>
      <c r="CG114" s="12"/>
      <c r="CH114" s="12"/>
      <c r="CI114" s="12"/>
      <c r="CJ114" s="12"/>
      <c r="CK114" s="12"/>
      <c r="CL114" s="12"/>
      <c r="CM114" s="12"/>
      <c r="CN114" s="12"/>
      <c r="CO114" s="12"/>
      <c r="CP114" s="12"/>
      <c r="CQ114" s="12"/>
      <c r="CR114" s="12"/>
      <c r="CS114" s="12"/>
      <c r="CT114" s="12"/>
      <c r="CU114" s="12"/>
      <c r="CV114" s="12"/>
      <c r="CW114" s="12"/>
      <c r="CX114" s="12"/>
      <c r="CY114" s="12"/>
      <c r="CZ114" s="12"/>
      <c r="DA114" s="12"/>
      <c r="DB114" s="12"/>
      <c r="DC114" s="12"/>
      <c r="DD114" s="12"/>
      <c r="DE114" s="12"/>
      <c r="DF114" s="12"/>
      <c r="DG114" s="12"/>
      <c r="DH114" s="12"/>
      <c r="DI114" s="12"/>
      <c r="DJ114" s="12"/>
      <c r="DK114" s="12"/>
      <c r="DL114" s="12"/>
      <c r="DM114" s="12"/>
      <c r="DN114" s="12"/>
      <c r="DO114" s="12"/>
      <c r="DP114" s="12"/>
      <c r="DQ114" s="12"/>
      <c r="DR114" s="12"/>
      <c r="DS114" s="12"/>
      <c r="DT114" s="12"/>
      <c r="DU114" s="12"/>
      <c r="DV114" s="12"/>
      <c r="DW114" s="12"/>
      <c r="DX114" s="12"/>
      <c r="DY114" s="12"/>
      <c r="DZ114" s="12"/>
      <c r="EA114" s="12"/>
      <c r="EB114" s="12"/>
      <c r="EC114" s="12"/>
      <c r="ED114" s="12"/>
      <c r="EE114" s="12"/>
      <c r="EF114" s="12"/>
      <c r="EG114" s="12"/>
      <c r="EH114" s="12"/>
      <c r="EI114" s="12"/>
      <c r="EJ114" s="12"/>
      <c r="EK114" s="12"/>
      <c r="EL114" s="12"/>
      <c r="EM114" s="12"/>
      <c r="EN114" s="12"/>
      <c r="EO114" s="12"/>
      <c r="EP114" s="12"/>
      <c r="EQ114" s="12"/>
      <c r="ER114" s="12"/>
      <c r="ES114" s="12"/>
      <c r="ET114" s="12"/>
      <c r="EU114" s="12"/>
      <c r="EV114" s="12"/>
      <c r="EW114" s="12"/>
      <c r="EX114" s="12"/>
      <c r="EY114" s="12"/>
      <c r="EZ114" s="12"/>
      <c r="FA114" s="12"/>
      <c r="FB114" s="12"/>
      <c r="FC114" s="12"/>
      <c r="FD114" s="12"/>
      <c r="FE114" s="12"/>
      <c r="FF114" s="12"/>
      <c r="FG114" s="12"/>
      <c r="FH114" s="12"/>
      <c r="FI114" s="12"/>
      <c r="FJ114" s="12"/>
      <c r="FK114" s="12"/>
      <c r="FL114" s="12"/>
      <c r="FM114" s="12"/>
      <c r="FN114" s="12"/>
      <c r="FO114" s="12"/>
      <c r="FP114" s="12"/>
      <c r="FQ114" s="12"/>
      <c r="FR114" s="12"/>
      <c r="FS114" s="12"/>
      <c r="FT114" s="12"/>
      <c r="FU114" s="12"/>
      <c r="FV114" s="12"/>
      <c r="FW114" s="12"/>
      <c r="FX114" s="12"/>
      <c r="FY114" s="12"/>
      <c r="FZ114" s="12"/>
      <c r="GA114" s="12"/>
      <c r="GB114" s="12"/>
      <c r="GC114" s="12"/>
      <c r="GD114" s="12"/>
      <c r="GE114" s="12"/>
    </row>
    <row r="115" spans="1:187" ht="24.75" customHeight="1">
      <c r="A115" s="45"/>
      <c r="B115" s="9" t="s">
        <v>28</v>
      </c>
      <c r="C115" s="10" t="s">
        <v>154</v>
      </c>
      <c r="D115" s="10" t="s">
        <v>155</v>
      </c>
      <c r="E115" s="35">
        <v>326.39600000000002</v>
      </c>
      <c r="F115" s="35">
        <f>502.467-E115</f>
        <v>176.07099999999997</v>
      </c>
      <c r="G115" s="35">
        <v>24.228000000000002</v>
      </c>
      <c r="H115" s="35">
        <f>393.457-G115</f>
        <v>369.22899999999998</v>
      </c>
      <c r="I115" s="35">
        <f t="shared" si="7"/>
        <v>895.92399999999998</v>
      </c>
      <c r="J115" s="56">
        <f>'2021'!J116</f>
        <v>1156.6099999999999</v>
      </c>
      <c r="K115" s="49">
        <v>6856.0028160000002</v>
      </c>
      <c r="L115" s="49">
        <v>7130.2429286400002</v>
      </c>
      <c r="M115" s="49">
        <v>2036.1594551999999</v>
      </c>
      <c r="N115" s="49">
        <v>2117.6058334079999</v>
      </c>
      <c r="O115" s="56">
        <f t="shared" si="13"/>
        <v>4819.8433608000005</v>
      </c>
      <c r="P115" s="1">
        <f t="shared" si="8"/>
        <v>1573177.593591677</v>
      </c>
      <c r="Q115" s="1">
        <f t="shared" si="9"/>
        <v>848634.64037941676</v>
      </c>
      <c r="R115" s="1">
        <f t="shared" si="10"/>
        <v>121446.17154328091</v>
      </c>
      <c r="S115" s="1">
        <f t="shared" si="11"/>
        <v>1850810.9820354162</v>
      </c>
      <c r="T115" s="1">
        <f t="shared" si="12"/>
        <v>4394069.3875497915</v>
      </c>
      <c r="U115" s="11"/>
      <c r="V115" s="11"/>
      <c r="W115" s="11"/>
      <c r="X115" s="12"/>
      <c r="Y115" s="12"/>
      <c r="Z115" s="12"/>
      <c r="AA115" s="12"/>
      <c r="AB115" s="12"/>
      <c r="AC115" s="12"/>
      <c r="AD115" s="12"/>
      <c r="AE115" s="12"/>
      <c r="AF115" s="12"/>
      <c r="AG115" s="12"/>
      <c r="AH115" s="12"/>
      <c r="AI115" s="12"/>
      <c r="AJ115" s="12"/>
      <c r="AK115" s="12"/>
      <c r="AL115" s="12"/>
      <c r="AM115" s="12"/>
      <c r="AN115" s="12"/>
      <c r="AO115" s="12"/>
      <c r="AP115" s="12"/>
      <c r="AQ115" s="12"/>
      <c r="AR115" s="12"/>
      <c r="AS115" s="12"/>
      <c r="AT115" s="12"/>
      <c r="AU115" s="12"/>
      <c r="AV115" s="12"/>
      <c r="AW115" s="12"/>
      <c r="AX115" s="12"/>
      <c r="AY115" s="12"/>
      <c r="AZ115" s="12"/>
      <c r="BA115" s="12"/>
      <c r="BB115" s="12"/>
      <c r="BC115" s="12"/>
      <c r="BD115" s="12"/>
      <c r="BE115" s="12"/>
      <c r="BF115" s="12"/>
      <c r="BG115" s="12"/>
      <c r="BH115" s="12"/>
      <c r="BI115" s="12"/>
      <c r="BJ115" s="12"/>
      <c r="BK115" s="12"/>
      <c r="BL115" s="12"/>
      <c r="BM115" s="12"/>
      <c r="BN115" s="12"/>
      <c r="BO115" s="12"/>
      <c r="BP115" s="12"/>
      <c r="BQ115" s="12"/>
      <c r="BR115" s="12"/>
      <c r="BS115" s="12"/>
      <c r="BT115" s="12"/>
      <c r="BU115" s="12"/>
      <c r="BV115" s="12"/>
      <c r="BW115" s="12"/>
      <c r="BX115" s="12"/>
      <c r="BY115" s="12"/>
      <c r="BZ115" s="12"/>
      <c r="CA115" s="12"/>
      <c r="CB115" s="12"/>
      <c r="CC115" s="12"/>
      <c r="CD115" s="12"/>
      <c r="CE115" s="12"/>
      <c r="CF115" s="12"/>
      <c r="CG115" s="12"/>
      <c r="CH115" s="12"/>
      <c r="CI115" s="12"/>
      <c r="CJ115" s="12"/>
      <c r="CK115" s="12"/>
      <c r="CL115" s="12"/>
      <c r="CM115" s="12"/>
      <c r="CN115" s="12"/>
      <c r="CO115" s="12"/>
      <c r="CP115" s="12"/>
      <c r="CQ115" s="12"/>
      <c r="CR115" s="12"/>
      <c r="CS115" s="12"/>
      <c r="CT115" s="12"/>
      <c r="CU115" s="12"/>
      <c r="CV115" s="12"/>
      <c r="CW115" s="12"/>
      <c r="CX115" s="12"/>
      <c r="CY115" s="12"/>
      <c r="CZ115" s="12"/>
      <c r="DA115" s="12"/>
      <c r="DB115" s="12"/>
      <c r="DC115" s="12"/>
      <c r="DD115" s="12"/>
      <c r="DE115" s="12"/>
      <c r="DF115" s="12"/>
      <c r="DG115" s="12"/>
      <c r="DH115" s="12"/>
      <c r="DI115" s="12"/>
      <c r="DJ115" s="12"/>
      <c r="DK115" s="12"/>
      <c r="DL115" s="12"/>
      <c r="DM115" s="12"/>
      <c r="DN115" s="12"/>
      <c r="DO115" s="12"/>
      <c r="DP115" s="12"/>
      <c r="DQ115" s="12"/>
      <c r="DR115" s="12"/>
      <c r="DS115" s="12"/>
      <c r="DT115" s="12"/>
      <c r="DU115" s="12"/>
      <c r="DV115" s="12"/>
      <c r="DW115" s="12"/>
      <c r="DX115" s="12"/>
      <c r="DY115" s="12"/>
      <c r="DZ115" s="12"/>
      <c r="EA115" s="12"/>
      <c r="EB115" s="12"/>
      <c r="EC115" s="12"/>
      <c r="ED115" s="12"/>
      <c r="EE115" s="12"/>
      <c r="EF115" s="12"/>
      <c r="EG115" s="12"/>
      <c r="EH115" s="12"/>
      <c r="EI115" s="12"/>
      <c r="EJ115" s="12"/>
      <c r="EK115" s="12"/>
      <c r="EL115" s="12"/>
      <c r="EM115" s="12"/>
      <c r="EN115" s="12"/>
      <c r="EO115" s="12"/>
      <c r="EP115" s="12"/>
      <c r="EQ115" s="12"/>
      <c r="ER115" s="12"/>
      <c r="ES115" s="12"/>
      <c r="ET115" s="12"/>
      <c r="EU115" s="12"/>
      <c r="EV115" s="12"/>
      <c r="EW115" s="12"/>
      <c r="EX115" s="12"/>
      <c r="EY115" s="12"/>
      <c r="EZ115" s="12"/>
      <c r="FA115" s="12"/>
      <c r="FB115" s="12"/>
      <c r="FC115" s="12"/>
      <c r="FD115" s="12"/>
      <c r="FE115" s="12"/>
      <c r="FF115" s="12"/>
      <c r="FG115" s="12"/>
      <c r="FH115" s="12"/>
      <c r="FI115" s="12"/>
      <c r="FJ115" s="12"/>
      <c r="FK115" s="12"/>
      <c r="FL115" s="12"/>
      <c r="FM115" s="12"/>
      <c r="FN115" s="12"/>
      <c r="FO115" s="12"/>
      <c r="FP115" s="12"/>
      <c r="FQ115" s="12"/>
      <c r="FR115" s="12"/>
      <c r="FS115" s="12"/>
      <c r="FT115" s="12"/>
      <c r="FU115" s="12"/>
      <c r="FV115" s="12"/>
      <c r="FW115" s="12"/>
      <c r="FX115" s="12"/>
      <c r="FY115" s="12"/>
      <c r="FZ115" s="12"/>
      <c r="GA115" s="12"/>
      <c r="GB115" s="12"/>
      <c r="GC115" s="12"/>
      <c r="GD115" s="12"/>
      <c r="GE115" s="12"/>
    </row>
    <row r="116" spans="1:187" ht="24.75" customHeight="1">
      <c r="A116" s="45"/>
      <c r="B116" s="9" t="s">
        <v>28</v>
      </c>
      <c r="C116" s="10" t="s">
        <v>154</v>
      </c>
      <c r="D116" s="10" t="s">
        <v>156</v>
      </c>
      <c r="E116" s="35">
        <v>800.14400000000001</v>
      </c>
      <c r="F116" s="35">
        <f>1143.36-E116</f>
        <v>343.21599999999989</v>
      </c>
      <c r="G116" s="35">
        <v>106.825</v>
      </c>
      <c r="H116" s="35">
        <f>871.144-G116</f>
        <v>764.31899999999996</v>
      </c>
      <c r="I116" s="35">
        <f t="shared" si="7"/>
        <v>2014.5039999999999</v>
      </c>
      <c r="J116" s="56">
        <f>'2021'!J117</f>
        <v>2133.04</v>
      </c>
      <c r="K116" s="49">
        <v>6856.0028160000002</v>
      </c>
      <c r="L116" s="49">
        <v>7130.2429286400002</v>
      </c>
      <c r="M116" s="49">
        <v>2036.1594551999999</v>
      </c>
      <c r="N116" s="49">
        <v>2117.6058334079999</v>
      </c>
      <c r="O116" s="56">
        <f t="shared" si="13"/>
        <v>4819.8433608000005</v>
      </c>
      <c r="P116" s="1">
        <f t="shared" si="8"/>
        <v>3856568.7460839557</v>
      </c>
      <c r="Q116" s="1">
        <f t="shared" si="9"/>
        <v>1654247.3589203325</v>
      </c>
      <c r="R116" s="1">
        <f t="shared" si="10"/>
        <v>535474.95769815845</v>
      </c>
      <c r="S116" s="1">
        <f t="shared" si="11"/>
        <v>3831253.7719906271</v>
      </c>
      <c r="T116" s="1">
        <f t="shared" si="12"/>
        <v>9877544.8346930742</v>
      </c>
      <c r="U116" s="11"/>
      <c r="V116" s="11"/>
      <c r="W116" s="11"/>
      <c r="X116" s="12"/>
      <c r="Y116" s="12"/>
      <c r="Z116" s="12"/>
      <c r="AA116" s="12"/>
      <c r="AB116" s="12"/>
      <c r="AC116" s="12"/>
      <c r="AD116" s="12"/>
      <c r="AE116" s="12"/>
      <c r="AF116" s="12"/>
      <c r="AG116" s="12"/>
      <c r="AH116" s="12"/>
      <c r="AI116" s="12"/>
      <c r="AJ116" s="12"/>
      <c r="AK116" s="12"/>
      <c r="AL116" s="12"/>
      <c r="AM116" s="12"/>
      <c r="AN116" s="12"/>
      <c r="AO116" s="12"/>
      <c r="AP116" s="12"/>
      <c r="AQ116" s="12"/>
      <c r="AR116" s="12"/>
      <c r="AS116" s="12"/>
      <c r="AT116" s="12"/>
      <c r="AU116" s="12"/>
      <c r="AV116" s="12"/>
      <c r="AW116" s="12"/>
      <c r="AX116" s="12"/>
      <c r="AY116" s="12"/>
      <c r="AZ116" s="12"/>
      <c r="BA116" s="12"/>
      <c r="BB116" s="12"/>
      <c r="BC116" s="12"/>
      <c r="BD116" s="12"/>
      <c r="BE116" s="12"/>
      <c r="BF116" s="12"/>
      <c r="BG116" s="12"/>
      <c r="BH116" s="12"/>
      <c r="BI116" s="12"/>
      <c r="BJ116" s="12"/>
      <c r="BK116" s="12"/>
      <c r="BL116" s="12"/>
      <c r="BM116" s="12"/>
      <c r="BN116" s="12"/>
      <c r="BO116" s="12"/>
      <c r="BP116" s="12"/>
      <c r="BQ116" s="12"/>
      <c r="BR116" s="12"/>
      <c r="BS116" s="12"/>
      <c r="BT116" s="12"/>
      <c r="BU116" s="12"/>
      <c r="BV116" s="12"/>
      <c r="BW116" s="12"/>
      <c r="BX116" s="12"/>
      <c r="BY116" s="12"/>
      <c r="BZ116" s="12"/>
      <c r="CA116" s="12"/>
      <c r="CB116" s="12"/>
      <c r="CC116" s="12"/>
      <c r="CD116" s="12"/>
      <c r="CE116" s="12"/>
      <c r="CF116" s="12"/>
      <c r="CG116" s="12"/>
      <c r="CH116" s="12"/>
      <c r="CI116" s="12"/>
      <c r="CJ116" s="12"/>
      <c r="CK116" s="12"/>
      <c r="CL116" s="12"/>
      <c r="CM116" s="12"/>
      <c r="CN116" s="12"/>
      <c r="CO116" s="12"/>
      <c r="CP116" s="12"/>
      <c r="CQ116" s="12"/>
      <c r="CR116" s="12"/>
      <c r="CS116" s="12"/>
      <c r="CT116" s="12"/>
      <c r="CU116" s="12"/>
      <c r="CV116" s="12"/>
      <c r="CW116" s="12"/>
      <c r="CX116" s="12"/>
      <c r="CY116" s="12"/>
      <c r="CZ116" s="12"/>
      <c r="DA116" s="12"/>
      <c r="DB116" s="12"/>
      <c r="DC116" s="12"/>
      <c r="DD116" s="12"/>
      <c r="DE116" s="12"/>
      <c r="DF116" s="12"/>
      <c r="DG116" s="12"/>
      <c r="DH116" s="12"/>
      <c r="DI116" s="12"/>
      <c r="DJ116" s="12"/>
      <c r="DK116" s="12"/>
      <c r="DL116" s="12"/>
      <c r="DM116" s="12"/>
      <c r="DN116" s="12"/>
      <c r="DO116" s="12"/>
      <c r="DP116" s="12"/>
      <c r="DQ116" s="12"/>
      <c r="DR116" s="12"/>
      <c r="DS116" s="12"/>
      <c r="DT116" s="12"/>
      <c r="DU116" s="12"/>
      <c r="DV116" s="12"/>
      <c r="DW116" s="12"/>
      <c r="DX116" s="12"/>
      <c r="DY116" s="12"/>
      <c r="DZ116" s="12"/>
      <c r="EA116" s="12"/>
      <c r="EB116" s="12"/>
      <c r="EC116" s="12"/>
      <c r="ED116" s="12"/>
      <c r="EE116" s="12"/>
      <c r="EF116" s="12"/>
      <c r="EG116" s="12"/>
      <c r="EH116" s="12"/>
      <c r="EI116" s="12"/>
      <c r="EJ116" s="12"/>
      <c r="EK116" s="12"/>
      <c r="EL116" s="12"/>
      <c r="EM116" s="12"/>
      <c r="EN116" s="12"/>
      <c r="EO116" s="12"/>
      <c r="EP116" s="12"/>
      <c r="EQ116" s="12"/>
      <c r="ER116" s="12"/>
      <c r="ES116" s="12"/>
      <c r="ET116" s="12"/>
      <c r="EU116" s="12"/>
      <c r="EV116" s="12"/>
      <c r="EW116" s="12"/>
      <c r="EX116" s="12"/>
      <c r="EY116" s="12"/>
      <c r="EZ116" s="12"/>
      <c r="FA116" s="12"/>
      <c r="FB116" s="12"/>
      <c r="FC116" s="12"/>
      <c r="FD116" s="12"/>
      <c r="FE116" s="12"/>
      <c r="FF116" s="12"/>
      <c r="FG116" s="12"/>
      <c r="FH116" s="12"/>
      <c r="FI116" s="12"/>
      <c r="FJ116" s="12"/>
      <c r="FK116" s="12"/>
      <c r="FL116" s="12"/>
      <c r="FM116" s="12"/>
      <c r="FN116" s="12"/>
      <c r="FO116" s="12"/>
      <c r="FP116" s="12"/>
      <c r="FQ116" s="12"/>
      <c r="FR116" s="12"/>
      <c r="FS116" s="12"/>
      <c r="FT116" s="12"/>
      <c r="FU116" s="12"/>
      <c r="FV116" s="12"/>
      <c r="FW116" s="12"/>
      <c r="FX116" s="12"/>
      <c r="FY116" s="12"/>
      <c r="FZ116" s="12"/>
      <c r="GA116" s="12"/>
      <c r="GB116" s="12"/>
      <c r="GC116" s="12"/>
      <c r="GD116" s="12"/>
      <c r="GE116" s="12"/>
    </row>
    <row r="117" spans="1:187" ht="21" customHeight="1">
      <c r="A117" s="45"/>
      <c r="B117" s="9" t="s">
        <v>28</v>
      </c>
      <c r="C117" s="10" t="s">
        <v>154</v>
      </c>
      <c r="D117" s="10" t="s">
        <v>157</v>
      </c>
      <c r="E117" s="35">
        <v>61.305</v>
      </c>
      <c r="F117" s="35">
        <f>86.354-E117</f>
        <v>25.048999999999999</v>
      </c>
      <c r="G117" s="35">
        <v>7.4930000000000003</v>
      </c>
      <c r="H117" s="35">
        <f>68.798-G117</f>
        <v>61.305</v>
      </c>
      <c r="I117" s="35">
        <f t="shared" si="7"/>
        <v>155.15199999999999</v>
      </c>
      <c r="J117" s="56">
        <f>'2021'!J118</f>
        <v>0</v>
      </c>
      <c r="K117" s="49">
        <v>6856.0028160000002</v>
      </c>
      <c r="L117" s="49">
        <v>7130.2429286400002</v>
      </c>
      <c r="M117" s="49">
        <v>2036.1594551999999</v>
      </c>
      <c r="N117" s="49">
        <v>2117.6058334079999</v>
      </c>
      <c r="O117" s="56">
        <f t="shared" si="13"/>
        <v>4819.8433608000005</v>
      </c>
      <c r="P117" s="1">
        <f t="shared" si="8"/>
        <v>295480.49723384401</v>
      </c>
      <c r="Q117" s="1">
        <f t="shared" si="9"/>
        <v>120732.2563446792</v>
      </c>
      <c r="R117" s="1">
        <f t="shared" si="10"/>
        <v>37559.689754573381</v>
      </c>
      <c r="S117" s="1">
        <f t="shared" si="11"/>
        <v>307299.7171231978</v>
      </c>
      <c r="T117" s="1">
        <f t="shared" si="12"/>
        <v>761072.16045629443</v>
      </c>
      <c r="U117" s="11"/>
      <c r="V117" s="11"/>
      <c r="W117" s="11"/>
      <c r="X117" s="12"/>
      <c r="Y117" s="12"/>
      <c r="Z117" s="12"/>
      <c r="AA117" s="12"/>
      <c r="AB117" s="12"/>
      <c r="AC117" s="12"/>
      <c r="AD117" s="12"/>
      <c r="AE117" s="12"/>
      <c r="AF117" s="12"/>
      <c r="AG117" s="12"/>
      <c r="AH117" s="12"/>
      <c r="AI117" s="12"/>
      <c r="AJ117" s="12"/>
      <c r="AK117" s="12"/>
      <c r="AL117" s="12"/>
      <c r="AM117" s="12"/>
      <c r="AN117" s="12"/>
      <c r="AO117" s="12"/>
      <c r="AP117" s="12"/>
      <c r="AQ117" s="12"/>
      <c r="AR117" s="12"/>
      <c r="AS117" s="12"/>
      <c r="AT117" s="12"/>
      <c r="AU117" s="12"/>
      <c r="AV117" s="12"/>
      <c r="AW117" s="12"/>
      <c r="AX117" s="12"/>
      <c r="AY117" s="12"/>
      <c r="AZ117" s="12"/>
      <c r="BA117" s="12"/>
      <c r="BB117" s="12"/>
      <c r="BC117" s="12"/>
      <c r="BD117" s="12"/>
      <c r="BE117" s="12"/>
      <c r="BF117" s="12"/>
      <c r="BG117" s="12"/>
      <c r="BH117" s="12"/>
      <c r="BI117" s="12"/>
      <c r="BJ117" s="12"/>
      <c r="BK117" s="12"/>
      <c r="BL117" s="12"/>
      <c r="BM117" s="12"/>
      <c r="BN117" s="12"/>
      <c r="BO117" s="12"/>
      <c r="BP117" s="12"/>
      <c r="BQ117" s="12"/>
      <c r="BR117" s="12"/>
      <c r="BS117" s="12"/>
      <c r="BT117" s="12"/>
      <c r="BU117" s="12"/>
      <c r="BV117" s="12"/>
      <c r="BW117" s="12"/>
      <c r="BX117" s="12"/>
      <c r="BY117" s="12"/>
      <c r="BZ117" s="12"/>
      <c r="CA117" s="12"/>
      <c r="CB117" s="12"/>
      <c r="CC117" s="12"/>
      <c r="CD117" s="12"/>
      <c r="CE117" s="12"/>
      <c r="CF117" s="12"/>
      <c r="CG117" s="12"/>
      <c r="CH117" s="12"/>
      <c r="CI117" s="12"/>
      <c r="CJ117" s="12"/>
      <c r="CK117" s="12"/>
      <c r="CL117" s="12"/>
      <c r="CM117" s="12"/>
      <c r="CN117" s="12"/>
      <c r="CO117" s="12"/>
      <c r="CP117" s="12"/>
      <c r="CQ117" s="12"/>
      <c r="CR117" s="12"/>
      <c r="CS117" s="12"/>
      <c r="CT117" s="12"/>
      <c r="CU117" s="12"/>
      <c r="CV117" s="12"/>
      <c r="CW117" s="12"/>
      <c r="CX117" s="12"/>
      <c r="CY117" s="12"/>
      <c r="CZ117" s="12"/>
      <c r="DA117" s="12"/>
      <c r="DB117" s="12"/>
      <c r="DC117" s="12"/>
      <c r="DD117" s="12"/>
      <c r="DE117" s="12"/>
      <c r="DF117" s="12"/>
      <c r="DG117" s="12"/>
      <c r="DH117" s="12"/>
      <c r="DI117" s="12"/>
      <c r="DJ117" s="12"/>
      <c r="DK117" s="12"/>
      <c r="DL117" s="12"/>
      <c r="DM117" s="12"/>
      <c r="DN117" s="12"/>
      <c r="DO117" s="12"/>
      <c r="DP117" s="12"/>
      <c r="DQ117" s="12"/>
      <c r="DR117" s="12"/>
      <c r="DS117" s="12"/>
      <c r="DT117" s="12"/>
      <c r="DU117" s="12"/>
      <c r="DV117" s="12"/>
      <c r="DW117" s="12"/>
      <c r="DX117" s="12"/>
      <c r="DY117" s="12"/>
      <c r="DZ117" s="12"/>
      <c r="EA117" s="12"/>
      <c r="EB117" s="12"/>
      <c r="EC117" s="12"/>
      <c r="ED117" s="12"/>
      <c r="EE117" s="12"/>
      <c r="EF117" s="12"/>
      <c r="EG117" s="12"/>
      <c r="EH117" s="12"/>
      <c r="EI117" s="12"/>
      <c r="EJ117" s="12"/>
      <c r="EK117" s="12"/>
      <c r="EL117" s="12"/>
      <c r="EM117" s="12"/>
      <c r="EN117" s="12"/>
      <c r="EO117" s="12"/>
      <c r="EP117" s="12"/>
      <c r="EQ117" s="12"/>
      <c r="ER117" s="12"/>
      <c r="ES117" s="12"/>
      <c r="ET117" s="12"/>
      <c r="EU117" s="12"/>
      <c r="EV117" s="12"/>
      <c r="EW117" s="12"/>
      <c r="EX117" s="12"/>
      <c r="EY117" s="12"/>
      <c r="EZ117" s="12"/>
      <c r="FA117" s="12"/>
      <c r="FB117" s="12"/>
      <c r="FC117" s="12"/>
      <c r="FD117" s="12"/>
      <c r="FE117" s="12"/>
      <c r="FF117" s="12"/>
      <c r="FG117" s="12"/>
      <c r="FH117" s="12"/>
      <c r="FI117" s="12"/>
      <c r="FJ117" s="12"/>
      <c r="FK117" s="12"/>
      <c r="FL117" s="12"/>
      <c r="FM117" s="12"/>
      <c r="FN117" s="12"/>
      <c r="FO117" s="12"/>
      <c r="FP117" s="12"/>
      <c r="FQ117" s="12"/>
      <c r="FR117" s="12"/>
      <c r="FS117" s="12"/>
      <c r="FT117" s="12"/>
      <c r="FU117" s="12"/>
      <c r="FV117" s="12"/>
      <c r="FW117" s="12"/>
      <c r="FX117" s="12"/>
      <c r="FY117" s="12"/>
      <c r="FZ117" s="12"/>
      <c r="GA117" s="12"/>
      <c r="GB117" s="12"/>
      <c r="GC117" s="12"/>
      <c r="GD117" s="12"/>
      <c r="GE117" s="12"/>
    </row>
    <row r="118" spans="1:187" ht="21" customHeight="1">
      <c r="A118" s="45"/>
      <c r="B118" s="9" t="s">
        <v>397</v>
      </c>
      <c r="C118" s="10" t="s">
        <v>398</v>
      </c>
      <c r="D118" s="10" t="s">
        <v>158</v>
      </c>
      <c r="E118" s="35">
        <v>2688.52</v>
      </c>
      <c r="F118" s="35">
        <f>3901.316-E118</f>
        <v>1212.7959999999998</v>
      </c>
      <c r="G118" s="35">
        <v>321.04300000000001</v>
      </c>
      <c r="H118" s="35">
        <f>2759.806-G118</f>
        <v>2438.7629999999999</v>
      </c>
      <c r="I118" s="35">
        <f t="shared" si="7"/>
        <v>6661.1219999999994</v>
      </c>
      <c r="J118" s="56">
        <f>'2021'!J119</f>
        <v>7115.8</v>
      </c>
      <c r="K118" s="49">
        <v>4994.3296</v>
      </c>
      <c r="L118" s="49">
        <v>5194.1027840000006</v>
      </c>
      <c r="M118" s="49">
        <v>2402.6700983999999</v>
      </c>
      <c r="N118" s="49">
        <v>2498.7769023360001</v>
      </c>
      <c r="O118" s="56">
        <f t="shared" si="13"/>
        <v>2591.6595016000001</v>
      </c>
      <c r="P118" s="1">
        <f t="shared" si="8"/>
        <v>6967728.4032416325</v>
      </c>
      <c r="Q118" s="1">
        <f t="shared" si="9"/>
        <v>3143154.2769024731</v>
      </c>
      <c r="R118" s="1">
        <f t="shared" si="10"/>
        <v>865315.50702705572</v>
      </c>
      <c r="S118" s="1">
        <f t="shared" si="11"/>
        <v>6573261.0331445429</v>
      </c>
      <c r="T118" s="1">
        <f t="shared" si="12"/>
        <v>17549459.220315702</v>
      </c>
      <c r="U118" s="11"/>
      <c r="V118" s="11"/>
      <c r="W118" s="11"/>
      <c r="X118" s="12"/>
      <c r="Y118" s="12"/>
      <c r="Z118" s="12"/>
      <c r="AA118" s="12"/>
      <c r="AB118" s="12"/>
      <c r="AC118" s="12"/>
      <c r="AD118" s="12"/>
      <c r="AE118" s="12"/>
      <c r="AF118" s="12"/>
      <c r="AG118" s="12"/>
      <c r="AH118" s="12"/>
      <c r="AI118" s="12"/>
      <c r="AJ118" s="12"/>
      <c r="AK118" s="12"/>
      <c r="AL118" s="12"/>
      <c r="AM118" s="12"/>
      <c r="AN118" s="12"/>
      <c r="AO118" s="12"/>
      <c r="AP118" s="12"/>
      <c r="AQ118" s="12"/>
      <c r="AR118" s="12"/>
      <c r="AS118" s="12"/>
      <c r="AT118" s="12"/>
      <c r="AU118" s="12"/>
      <c r="AV118" s="12"/>
      <c r="AW118" s="12"/>
      <c r="AX118" s="12"/>
      <c r="AY118" s="12"/>
      <c r="AZ118" s="12"/>
      <c r="BA118" s="12"/>
      <c r="BB118" s="12"/>
      <c r="BC118" s="12"/>
      <c r="BD118" s="12"/>
      <c r="BE118" s="12"/>
      <c r="BF118" s="12"/>
      <c r="BG118" s="12"/>
      <c r="BH118" s="12"/>
      <c r="BI118" s="12"/>
      <c r="BJ118" s="12"/>
      <c r="BK118" s="12"/>
      <c r="BL118" s="12"/>
      <c r="BM118" s="12"/>
      <c r="BN118" s="12"/>
      <c r="BO118" s="12"/>
      <c r="BP118" s="12"/>
      <c r="BQ118" s="12"/>
      <c r="BR118" s="12"/>
      <c r="BS118" s="12"/>
      <c r="BT118" s="12"/>
      <c r="BU118" s="12"/>
      <c r="BV118" s="12"/>
      <c r="BW118" s="12"/>
      <c r="BX118" s="12"/>
      <c r="BY118" s="12"/>
      <c r="BZ118" s="12"/>
      <c r="CA118" s="12"/>
      <c r="CB118" s="12"/>
      <c r="CC118" s="12"/>
      <c r="CD118" s="12"/>
      <c r="CE118" s="12"/>
      <c r="CF118" s="12"/>
      <c r="CG118" s="12"/>
      <c r="CH118" s="12"/>
      <c r="CI118" s="12"/>
      <c r="CJ118" s="12"/>
      <c r="CK118" s="12"/>
      <c r="CL118" s="12"/>
      <c r="CM118" s="12"/>
      <c r="CN118" s="12"/>
      <c r="CO118" s="12"/>
      <c r="CP118" s="12"/>
      <c r="CQ118" s="12"/>
      <c r="CR118" s="12"/>
      <c r="CS118" s="12"/>
      <c r="CT118" s="12"/>
      <c r="CU118" s="12"/>
      <c r="CV118" s="12"/>
      <c r="CW118" s="12"/>
      <c r="CX118" s="12"/>
      <c r="CY118" s="12"/>
      <c r="CZ118" s="12"/>
      <c r="DA118" s="12"/>
      <c r="DB118" s="12"/>
      <c r="DC118" s="12"/>
      <c r="DD118" s="12"/>
      <c r="DE118" s="12"/>
      <c r="DF118" s="12"/>
      <c r="DG118" s="12"/>
      <c r="DH118" s="12"/>
      <c r="DI118" s="12"/>
      <c r="DJ118" s="12"/>
      <c r="DK118" s="12"/>
      <c r="DL118" s="12"/>
      <c r="DM118" s="12"/>
      <c r="DN118" s="12"/>
      <c r="DO118" s="12"/>
      <c r="DP118" s="12"/>
      <c r="DQ118" s="12"/>
      <c r="DR118" s="12"/>
      <c r="DS118" s="12"/>
      <c r="DT118" s="12"/>
      <c r="DU118" s="12"/>
      <c r="DV118" s="12"/>
      <c r="DW118" s="12"/>
      <c r="DX118" s="12"/>
      <c r="DY118" s="12"/>
      <c r="DZ118" s="12"/>
      <c r="EA118" s="12"/>
      <c r="EB118" s="12"/>
      <c r="EC118" s="12"/>
      <c r="ED118" s="12"/>
      <c r="EE118" s="12"/>
      <c r="EF118" s="12"/>
      <c r="EG118" s="12"/>
      <c r="EH118" s="12"/>
      <c r="EI118" s="12"/>
      <c r="EJ118" s="12"/>
      <c r="EK118" s="12"/>
      <c r="EL118" s="12"/>
      <c r="EM118" s="12"/>
      <c r="EN118" s="12"/>
      <c r="EO118" s="12"/>
      <c r="EP118" s="12"/>
      <c r="EQ118" s="12"/>
      <c r="ER118" s="12"/>
      <c r="ES118" s="12"/>
      <c r="ET118" s="12"/>
      <c r="EU118" s="12"/>
      <c r="EV118" s="12"/>
      <c r="EW118" s="12"/>
      <c r="EX118" s="12"/>
      <c r="EY118" s="12"/>
      <c r="EZ118" s="12"/>
      <c r="FA118" s="12"/>
      <c r="FB118" s="12"/>
      <c r="FC118" s="12"/>
      <c r="FD118" s="12"/>
      <c r="FE118" s="12"/>
      <c r="FF118" s="12"/>
      <c r="FG118" s="12"/>
      <c r="FH118" s="12"/>
      <c r="FI118" s="12"/>
      <c r="FJ118" s="12"/>
      <c r="FK118" s="12"/>
      <c r="FL118" s="12"/>
      <c r="FM118" s="12"/>
      <c r="FN118" s="12"/>
      <c r="FO118" s="12"/>
      <c r="FP118" s="12"/>
      <c r="FQ118" s="12"/>
      <c r="FR118" s="12"/>
      <c r="FS118" s="12"/>
      <c r="FT118" s="12"/>
      <c r="FU118" s="12"/>
      <c r="FV118" s="12"/>
      <c r="FW118" s="12"/>
      <c r="FX118" s="12"/>
      <c r="FY118" s="12"/>
      <c r="FZ118" s="12"/>
      <c r="GA118" s="12"/>
      <c r="GB118" s="12"/>
      <c r="GC118" s="12"/>
      <c r="GD118" s="12"/>
      <c r="GE118" s="12"/>
    </row>
    <row r="119" spans="1:187" ht="21" customHeight="1">
      <c r="A119" s="45"/>
      <c r="B119" s="9" t="s">
        <v>28</v>
      </c>
      <c r="C119" s="10" t="s">
        <v>154</v>
      </c>
      <c r="D119" s="10" t="s">
        <v>299</v>
      </c>
      <c r="E119" s="35">
        <v>8.7780000000000005</v>
      </c>
      <c r="F119" s="35">
        <f>12.931-E119</f>
        <v>4.1529999999999987</v>
      </c>
      <c r="G119" s="35">
        <v>1.073</v>
      </c>
      <c r="H119" s="35">
        <f>9.851-G119</f>
        <v>8.7780000000000005</v>
      </c>
      <c r="I119" s="35">
        <f t="shared" si="7"/>
        <v>22.782</v>
      </c>
      <c r="J119" s="56">
        <f>'2021'!J120</f>
        <v>22.87</v>
      </c>
      <c r="K119" s="49">
        <v>7612.9064960000005</v>
      </c>
      <c r="L119" s="49">
        <v>7917.4227558400007</v>
      </c>
      <c r="M119" s="49">
        <v>2036.1594551999999</v>
      </c>
      <c r="N119" s="49">
        <v>2117.6058334079999</v>
      </c>
      <c r="O119" s="56">
        <f t="shared" si="13"/>
        <v>5576.7470408000008</v>
      </c>
      <c r="P119" s="1">
        <f t="shared" si="8"/>
        <v>48952.685524142413</v>
      </c>
      <c r="Q119" s="1">
        <f t="shared" si="9"/>
        <v>23160.230460442395</v>
      </c>
      <c r="R119" s="1">
        <f t="shared" si="10"/>
        <v>6223.2035577695369</v>
      </c>
      <c r="S119" s="1">
        <f t="shared" si="11"/>
        <v>50910.792945108107</v>
      </c>
      <c r="T119" s="1">
        <f t="shared" si="12"/>
        <v>129246.91248746245</v>
      </c>
      <c r="U119" s="11"/>
      <c r="V119" s="11"/>
      <c r="W119" s="11"/>
      <c r="X119" s="12"/>
      <c r="Y119" s="12"/>
      <c r="Z119" s="12"/>
      <c r="AA119" s="12"/>
      <c r="AB119" s="12"/>
      <c r="AC119" s="12"/>
      <c r="AD119" s="12"/>
      <c r="AE119" s="12"/>
      <c r="AF119" s="12"/>
      <c r="AG119" s="12"/>
      <c r="AH119" s="12"/>
      <c r="AI119" s="12"/>
      <c r="AJ119" s="12"/>
      <c r="AK119" s="12"/>
      <c r="AL119" s="12"/>
      <c r="AM119" s="12"/>
      <c r="AN119" s="12"/>
      <c r="AO119" s="12"/>
      <c r="AP119" s="12"/>
      <c r="AQ119" s="12"/>
      <c r="AR119" s="12"/>
      <c r="AS119" s="12"/>
      <c r="AT119" s="12"/>
      <c r="AU119" s="12"/>
      <c r="AV119" s="12"/>
      <c r="AW119" s="12"/>
      <c r="AX119" s="12"/>
      <c r="AY119" s="12"/>
      <c r="AZ119" s="12"/>
      <c r="BA119" s="12"/>
      <c r="BB119" s="12"/>
      <c r="BC119" s="12"/>
      <c r="BD119" s="12"/>
      <c r="BE119" s="12"/>
      <c r="BF119" s="12"/>
      <c r="BG119" s="12"/>
      <c r="BH119" s="12"/>
      <c r="BI119" s="12"/>
      <c r="BJ119" s="12"/>
      <c r="BK119" s="12"/>
      <c r="BL119" s="12"/>
      <c r="BM119" s="12"/>
      <c r="BN119" s="12"/>
      <c r="BO119" s="12"/>
      <c r="BP119" s="12"/>
      <c r="BQ119" s="12"/>
      <c r="BR119" s="12"/>
      <c r="BS119" s="12"/>
      <c r="BT119" s="12"/>
      <c r="BU119" s="12"/>
      <c r="BV119" s="12"/>
      <c r="BW119" s="12"/>
      <c r="BX119" s="12"/>
      <c r="BY119" s="12"/>
      <c r="BZ119" s="12"/>
      <c r="CA119" s="12"/>
      <c r="CB119" s="12"/>
      <c r="CC119" s="12"/>
      <c r="CD119" s="12"/>
      <c r="CE119" s="12"/>
      <c r="CF119" s="12"/>
      <c r="CG119" s="12"/>
      <c r="CH119" s="12"/>
      <c r="CI119" s="12"/>
      <c r="CJ119" s="12"/>
      <c r="CK119" s="12"/>
      <c r="CL119" s="12"/>
      <c r="CM119" s="12"/>
      <c r="CN119" s="12"/>
      <c r="CO119" s="12"/>
      <c r="CP119" s="12"/>
      <c r="CQ119" s="12"/>
      <c r="CR119" s="12"/>
      <c r="CS119" s="12"/>
      <c r="CT119" s="12"/>
      <c r="CU119" s="12"/>
      <c r="CV119" s="12"/>
      <c r="CW119" s="12"/>
      <c r="CX119" s="12"/>
      <c r="CY119" s="12"/>
      <c r="CZ119" s="12"/>
      <c r="DA119" s="12"/>
      <c r="DB119" s="12"/>
      <c r="DC119" s="12"/>
      <c r="DD119" s="12"/>
      <c r="DE119" s="12"/>
      <c r="DF119" s="12"/>
      <c r="DG119" s="12"/>
      <c r="DH119" s="12"/>
      <c r="DI119" s="12"/>
      <c r="DJ119" s="12"/>
      <c r="DK119" s="12"/>
      <c r="DL119" s="12"/>
      <c r="DM119" s="12"/>
      <c r="DN119" s="12"/>
      <c r="DO119" s="12"/>
      <c r="DP119" s="12"/>
      <c r="DQ119" s="12"/>
      <c r="DR119" s="12"/>
      <c r="DS119" s="12"/>
      <c r="DT119" s="12"/>
      <c r="DU119" s="12"/>
      <c r="DV119" s="12"/>
      <c r="DW119" s="12"/>
      <c r="DX119" s="12"/>
      <c r="DY119" s="12"/>
      <c r="DZ119" s="12"/>
      <c r="EA119" s="12"/>
      <c r="EB119" s="12"/>
      <c r="EC119" s="12"/>
      <c r="ED119" s="12"/>
      <c r="EE119" s="12"/>
      <c r="EF119" s="12"/>
      <c r="EG119" s="12"/>
      <c r="EH119" s="12"/>
      <c r="EI119" s="12"/>
      <c r="EJ119" s="12"/>
      <c r="EK119" s="12"/>
      <c r="EL119" s="12"/>
      <c r="EM119" s="12"/>
      <c r="EN119" s="12"/>
      <c r="EO119" s="12"/>
      <c r="EP119" s="12"/>
      <c r="EQ119" s="12"/>
      <c r="ER119" s="12"/>
      <c r="ES119" s="12"/>
      <c r="ET119" s="12"/>
      <c r="EU119" s="12"/>
      <c r="EV119" s="12"/>
      <c r="EW119" s="12"/>
      <c r="EX119" s="12"/>
      <c r="EY119" s="12"/>
      <c r="EZ119" s="12"/>
      <c r="FA119" s="12"/>
      <c r="FB119" s="12"/>
      <c r="FC119" s="12"/>
      <c r="FD119" s="12"/>
      <c r="FE119" s="12"/>
      <c r="FF119" s="12"/>
      <c r="FG119" s="12"/>
      <c r="FH119" s="12"/>
      <c r="FI119" s="12"/>
      <c r="FJ119" s="12"/>
      <c r="FK119" s="12"/>
      <c r="FL119" s="12"/>
      <c r="FM119" s="12"/>
      <c r="FN119" s="12"/>
      <c r="FO119" s="12"/>
      <c r="FP119" s="12"/>
      <c r="FQ119" s="12"/>
      <c r="FR119" s="12"/>
      <c r="FS119" s="12"/>
      <c r="FT119" s="12"/>
      <c r="FU119" s="12"/>
      <c r="FV119" s="12"/>
      <c r="FW119" s="12"/>
      <c r="FX119" s="12"/>
      <c r="FY119" s="12"/>
      <c r="FZ119" s="12"/>
      <c r="GA119" s="12"/>
      <c r="GB119" s="12"/>
      <c r="GC119" s="12"/>
      <c r="GD119" s="12"/>
      <c r="GE119" s="12"/>
    </row>
    <row r="120" spans="1:187" ht="21" customHeight="1">
      <c r="A120" s="45"/>
      <c r="B120" s="9" t="s">
        <v>28</v>
      </c>
      <c r="C120" s="10" t="s">
        <v>154</v>
      </c>
      <c r="D120" s="10" t="s">
        <v>161</v>
      </c>
      <c r="E120" s="35">
        <v>143.04300000000001</v>
      </c>
      <c r="F120" s="35">
        <f>210.719-E120</f>
        <v>67.675999999999988</v>
      </c>
      <c r="G120" s="35">
        <v>17.483000000000001</v>
      </c>
      <c r="H120" s="35">
        <f>160.526-G120</f>
        <v>143.04300000000001</v>
      </c>
      <c r="I120" s="35">
        <f t="shared" si="7"/>
        <v>371.245</v>
      </c>
      <c r="J120" s="56">
        <f>'2021'!J121</f>
        <v>383.41</v>
      </c>
      <c r="K120" s="49">
        <v>7612.9064960000005</v>
      </c>
      <c r="L120" s="49">
        <v>7917.4227558400007</v>
      </c>
      <c r="M120" s="49">
        <v>2036.1594551999999</v>
      </c>
      <c r="N120" s="49">
        <v>2117.6058334079999</v>
      </c>
      <c r="O120" s="56">
        <f t="shared" si="13"/>
        <v>5576.7470408000008</v>
      </c>
      <c r="P120" s="1">
        <f t="shared" si="8"/>
        <v>797714.6269571546</v>
      </c>
      <c r="Q120" s="1">
        <f t="shared" si="9"/>
        <v>377411.93273318082</v>
      </c>
      <c r="R120" s="1">
        <f t="shared" si="10"/>
        <v>101398.19925487868</v>
      </c>
      <c r="S120" s="1">
        <f t="shared" si="11"/>
        <v>829623.21203544072</v>
      </c>
      <c r="T120" s="1">
        <f t="shared" si="12"/>
        <v>2106147.9709806549</v>
      </c>
      <c r="U120" s="11"/>
      <c r="V120" s="11"/>
      <c r="W120" s="11"/>
      <c r="X120" s="12"/>
      <c r="Y120" s="12"/>
      <c r="Z120" s="12"/>
      <c r="AA120" s="12"/>
      <c r="AB120" s="12"/>
      <c r="AC120" s="12"/>
      <c r="AD120" s="12"/>
      <c r="AE120" s="12"/>
      <c r="AF120" s="12"/>
      <c r="AG120" s="12"/>
      <c r="AH120" s="12"/>
      <c r="AI120" s="12"/>
      <c r="AJ120" s="12"/>
      <c r="AK120" s="12"/>
      <c r="AL120" s="12"/>
      <c r="AM120" s="12"/>
      <c r="AN120" s="12"/>
      <c r="AO120" s="12"/>
      <c r="AP120" s="12"/>
      <c r="AQ120" s="12"/>
      <c r="AR120" s="12"/>
      <c r="AS120" s="12"/>
      <c r="AT120" s="12"/>
      <c r="AU120" s="12"/>
      <c r="AV120" s="12"/>
      <c r="AW120" s="12"/>
      <c r="AX120" s="12"/>
      <c r="AY120" s="12"/>
      <c r="AZ120" s="12"/>
      <c r="BA120" s="12"/>
      <c r="BB120" s="12"/>
      <c r="BC120" s="12"/>
      <c r="BD120" s="12"/>
      <c r="BE120" s="12"/>
      <c r="BF120" s="12"/>
      <c r="BG120" s="12"/>
      <c r="BH120" s="12"/>
      <c r="BI120" s="12"/>
      <c r="BJ120" s="12"/>
      <c r="BK120" s="12"/>
      <c r="BL120" s="12"/>
      <c r="BM120" s="12"/>
      <c r="BN120" s="12"/>
      <c r="BO120" s="12"/>
      <c r="BP120" s="12"/>
      <c r="BQ120" s="12"/>
      <c r="BR120" s="12"/>
      <c r="BS120" s="12"/>
      <c r="BT120" s="12"/>
      <c r="BU120" s="12"/>
      <c r="BV120" s="12"/>
      <c r="BW120" s="12"/>
      <c r="BX120" s="12"/>
      <c r="BY120" s="12"/>
      <c r="BZ120" s="12"/>
      <c r="CA120" s="12"/>
      <c r="CB120" s="12"/>
      <c r="CC120" s="12"/>
      <c r="CD120" s="12"/>
      <c r="CE120" s="12"/>
      <c r="CF120" s="12"/>
      <c r="CG120" s="12"/>
      <c r="CH120" s="12"/>
      <c r="CI120" s="12"/>
      <c r="CJ120" s="12"/>
      <c r="CK120" s="12"/>
      <c r="CL120" s="12"/>
      <c r="CM120" s="12"/>
      <c r="CN120" s="12"/>
      <c r="CO120" s="12"/>
      <c r="CP120" s="12"/>
      <c r="CQ120" s="12"/>
      <c r="CR120" s="12"/>
      <c r="CS120" s="12"/>
      <c r="CT120" s="12"/>
      <c r="CU120" s="12"/>
      <c r="CV120" s="12"/>
      <c r="CW120" s="12"/>
      <c r="CX120" s="12"/>
      <c r="CY120" s="12"/>
      <c r="CZ120" s="12"/>
      <c r="DA120" s="12"/>
      <c r="DB120" s="12"/>
      <c r="DC120" s="12"/>
      <c r="DD120" s="12"/>
      <c r="DE120" s="12"/>
      <c r="DF120" s="12"/>
      <c r="DG120" s="12"/>
      <c r="DH120" s="12"/>
      <c r="DI120" s="12"/>
      <c r="DJ120" s="12"/>
      <c r="DK120" s="12"/>
      <c r="DL120" s="12"/>
      <c r="DM120" s="12"/>
      <c r="DN120" s="12"/>
      <c r="DO120" s="12"/>
      <c r="DP120" s="12"/>
      <c r="DQ120" s="12"/>
      <c r="DR120" s="12"/>
      <c r="DS120" s="12"/>
      <c r="DT120" s="12"/>
      <c r="DU120" s="12"/>
      <c r="DV120" s="12"/>
      <c r="DW120" s="12"/>
      <c r="DX120" s="12"/>
      <c r="DY120" s="12"/>
      <c r="DZ120" s="12"/>
      <c r="EA120" s="12"/>
      <c r="EB120" s="12"/>
      <c r="EC120" s="12"/>
      <c r="ED120" s="12"/>
      <c r="EE120" s="12"/>
      <c r="EF120" s="12"/>
      <c r="EG120" s="12"/>
      <c r="EH120" s="12"/>
      <c r="EI120" s="12"/>
      <c r="EJ120" s="12"/>
      <c r="EK120" s="12"/>
      <c r="EL120" s="12"/>
      <c r="EM120" s="12"/>
      <c r="EN120" s="12"/>
      <c r="EO120" s="12"/>
      <c r="EP120" s="12"/>
      <c r="EQ120" s="12"/>
      <c r="ER120" s="12"/>
      <c r="ES120" s="12"/>
      <c r="ET120" s="12"/>
      <c r="EU120" s="12"/>
      <c r="EV120" s="12"/>
      <c r="EW120" s="12"/>
      <c r="EX120" s="12"/>
      <c r="EY120" s="12"/>
      <c r="EZ120" s="12"/>
      <c r="FA120" s="12"/>
      <c r="FB120" s="12"/>
      <c r="FC120" s="12"/>
      <c r="FD120" s="12"/>
      <c r="FE120" s="12"/>
      <c r="FF120" s="12"/>
      <c r="FG120" s="12"/>
      <c r="FH120" s="12"/>
      <c r="FI120" s="12"/>
      <c r="FJ120" s="12"/>
      <c r="FK120" s="12"/>
      <c r="FL120" s="12"/>
      <c r="FM120" s="12"/>
      <c r="FN120" s="12"/>
      <c r="FO120" s="12"/>
      <c r="FP120" s="12"/>
      <c r="FQ120" s="12"/>
      <c r="FR120" s="12"/>
      <c r="FS120" s="12"/>
      <c r="FT120" s="12"/>
      <c r="FU120" s="12"/>
      <c r="FV120" s="12"/>
      <c r="FW120" s="12"/>
      <c r="FX120" s="12"/>
      <c r="FY120" s="12"/>
      <c r="FZ120" s="12"/>
      <c r="GA120" s="12"/>
      <c r="GB120" s="12"/>
      <c r="GC120" s="12"/>
      <c r="GD120" s="12"/>
      <c r="GE120" s="12"/>
    </row>
    <row r="121" spans="1:187" ht="24.75" customHeight="1">
      <c r="A121" s="45"/>
      <c r="B121" s="9" t="s">
        <v>28</v>
      </c>
      <c r="C121" s="10" t="s">
        <v>154</v>
      </c>
      <c r="D121" s="10" t="s">
        <v>410</v>
      </c>
      <c r="E121" s="35">
        <v>335.642</v>
      </c>
      <c r="F121" s="35">
        <f>741.661-E121</f>
        <v>406.01899999999995</v>
      </c>
      <c r="G121" s="35">
        <v>48.347000000000001</v>
      </c>
      <c r="H121" s="35">
        <v>503.46300000000002</v>
      </c>
      <c r="I121" s="35">
        <f t="shared" si="7"/>
        <v>1293.471</v>
      </c>
      <c r="J121" s="56">
        <f>'2021'!J122</f>
        <v>1330.3</v>
      </c>
      <c r="K121" s="49">
        <v>5771.5149440000005</v>
      </c>
      <c r="L121" s="49">
        <v>6002.3755417600005</v>
      </c>
      <c r="M121" s="49">
        <v>2036.1594551999999</v>
      </c>
      <c r="N121" s="49">
        <v>2117.6058334079999</v>
      </c>
      <c r="O121" s="56"/>
      <c r="P121" s="1">
        <f t="shared" si="8"/>
        <v>1253742.1869718099</v>
      </c>
      <c r="Q121" s="1">
        <f t="shared" si="9"/>
        <v>1516625.3002070873</v>
      </c>
      <c r="R121" s="1">
        <f t="shared" si="10"/>
        <v>187816.96108969417</v>
      </c>
      <c r="S121" s="1">
        <f t="shared" si="11"/>
        <v>1955837.8116760233</v>
      </c>
      <c r="T121" s="1">
        <f t="shared" si="12"/>
        <v>4914022.259944615</v>
      </c>
      <c r="U121" s="11"/>
      <c r="V121" s="11"/>
      <c r="W121" s="11"/>
      <c r="X121" s="12"/>
      <c r="Y121" s="12"/>
      <c r="Z121" s="12"/>
      <c r="AA121" s="12"/>
      <c r="AB121" s="12"/>
      <c r="AC121" s="12"/>
      <c r="AD121" s="12"/>
      <c r="AE121" s="12"/>
      <c r="AF121" s="12"/>
      <c r="AG121" s="12"/>
      <c r="AH121" s="12"/>
      <c r="AI121" s="12"/>
      <c r="AJ121" s="12"/>
      <c r="AK121" s="12"/>
      <c r="AL121" s="12"/>
      <c r="AM121" s="12"/>
      <c r="AN121" s="12"/>
      <c r="AO121" s="12"/>
      <c r="AP121" s="12"/>
      <c r="AQ121" s="12"/>
      <c r="AR121" s="12"/>
      <c r="AS121" s="12"/>
      <c r="AT121" s="12"/>
      <c r="AU121" s="12"/>
      <c r="AV121" s="12"/>
      <c r="AW121" s="12"/>
      <c r="AX121" s="12"/>
      <c r="AY121" s="12"/>
      <c r="AZ121" s="12"/>
      <c r="BA121" s="12"/>
      <c r="BB121" s="12"/>
      <c r="BC121" s="12"/>
      <c r="BD121" s="12"/>
      <c r="BE121" s="12"/>
      <c r="BF121" s="12"/>
      <c r="BG121" s="12"/>
      <c r="BH121" s="12"/>
      <c r="BI121" s="12"/>
      <c r="BJ121" s="12"/>
      <c r="BK121" s="12"/>
      <c r="BL121" s="12"/>
      <c r="BM121" s="12"/>
      <c r="BN121" s="12"/>
      <c r="BO121" s="12"/>
      <c r="BP121" s="12"/>
      <c r="BQ121" s="12"/>
      <c r="BR121" s="12"/>
      <c r="BS121" s="12"/>
      <c r="BT121" s="12"/>
      <c r="BU121" s="12"/>
      <c r="BV121" s="12"/>
      <c r="BW121" s="12"/>
      <c r="BX121" s="12"/>
      <c r="BY121" s="12"/>
      <c r="BZ121" s="12"/>
      <c r="CA121" s="12"/>
      <c r="CB121" s="12"/>
      <c r="CC121" s="12"/>
      <c r="CD121" s="12"/>
      <c r="CE121" s="12"/>
      <c r="CF121" s="12"/>
      <c r="CG121" s="12"/>
      <c r="CH121" s="12"/>
      <c r="CI121" s="12"/>
      <c r="CJ121" s="12"/>
      <c r="CK121" s="12"/>
      <c r="CL121" s="12"/>
      <c r="CM121" s="12"/>
      <c r="CN121" s="12"/>
      <c r="CO121" s="12"/>
      <c r="CP121" s="12"/>
      <c r="CQ121" s="12"/>
      <c r="CR121" s="12"/>
      <c r="CS121" s="12"/>
      <c r="CT121" s="12"/>
      <c r="CU121" s="12"/>
      <c r="CV121" s="12"/>
      <c r="CW121" s="12"/>
      <c r="CX121" s="12"/>
      <c r="CY121" s="12"/>
      <c r="CZ121" s="12"/>
      <c r="DA121" s="12"/>
      <c r="DB121" s="12"/>
      <c r="DC121" s="12"/>
      <c r="DD121" s="12"/>
      <c r="DE121" s="12"/>
      <c r="DF121" s="12"/>
      <c r="DG121" s="12"/>
      <c r="DH121" s="12"/>
      <c r="DI121" s="12"/>
      <c r="DJ121" s="12"/>
      <c r="DK121" s="12"/>
      <c r="DL121" s="12"/>
      <c r="DM121" s="12"/>
      <c r="DN121" s="12"/>
      <c r="DO121" s="12"/>
      <c r="DP121" s="12"/>
      <c r="DQ121" s="12"/>
      <c r="DR121" s="12"/>
      <c r="DS121" s="12"/>
      <c r="DT121" s="12"/>
      <c r="DU121" s="12"/>
      <c r="DV121" s="12"/>
      <c r="DW121" s="12"/>
      <c r="DX121" s="12"/>
      <c r="DY121" s="12"/>
      <c r="DZ121" s="12"/>
      <c r="EA121" s="12"/>
      <c r="EB121" s="12"/>
      <c r="EC121" s="12"/>
      <c r="ED121" s="12"/>
      <c r="EE121" s="12"/>
      <c r="EF121" s="12"/>
      <c r="EG121" s="12"/>
      <c r="EH121" s="12"/>
      <c r="EI121" s="12"/>
      <c r="EJ121" s="12"/>
      <c r="EK121" s="12"/>
      <c r="EL121" s="12"/>
      <c r="EM121" s="12"/>
      <c r="EN121" s="12"/>
      <c r="EO121" s="12"/>
      <c r="EP121" s="12"/>
      <c r="EQ121" s="12"/>
      <c r="ER121" s="12"/>
      <c r="ES121" s="12"/>
      <c r="ET121" s="12"/>
      <c r="EU121" s="12"/>
      <c r="EV121" s="12"/>
      <c r="EW121" s="12"/>
      <c r="EX121" s="12"/>
      <c r="EY121" s="12"/>
      <c r="EZ121" s="12"/>
      <c r="FA121" s="12"/>
      <c r="FB121" s="12"/>
      <c r="FC121" s="12"/>
      <c r="FD121" s="12"/>
      <c r="FE121" s="12"/>
      <c r="FF121" s="12"/>
      <c r="FG121" s="12"/>
      <c r="FH121" s="12"/>
      <c r="FI121" s="12"/>
      <c r="FJ121" s="12"/>
      <c r="FK121" s="12"/>
      <c r="FL121" s="12"/>
      <c r="FM121" s="12"/>
      <c r="FN121" s="12"/>
      <c r="FO121" s="12"/>
      <c r="FP121" s="12"/>
      <c r="FQ121" s="12"/>
      <c r="FR121" s="12"/>
      <c r="FS121" s="12"/>
      <c r="FT121" s="12"/>
      <c r="FU121" s="12"/>
      <c r="FV121" s="12"/>
      <c r="FW121" s="12"/>
      <c r="FX121" s="12"/>
      <c r="FY121" s="12"/>
      <c r="FZ121" s="12"/>
      <c r="GA121" s="12"/>
      <c r="GB121" s="12"/>
      <c r="GC121" s="12"/>
      <c r="GD121" s="12"/>
      <c r="GE121" s="12"/>
    </row>
    <row r="122" spans="1:187" ht="24.75" customHeight="1">
      <c r="A122" s="30" t="s">
        <v>337</v>
      </c>
      <c r="B122" s="9" t="s">
        <v>361</v>
      </c>
      <c r="C122" s="10" t="s">
        <v>358</v>
      </c>
      <c r="D122" s="10" t="s">
        <v>160</v>
      </c>
      <c r="E122" s="35">
        <f>61.039*0.4</f>
        <v>24.415600000000001</v>
      </c>
      <c r="F122" s="35">
        <f>61.039*0.6</f>
        <v>36.623399999999997</v>
      </c>
      <c r="G122" s="35">
        <f>49.941*0.2</f>
        <v>9.9882000000000009</v>
      </c>
      <c r="H122" s="35">
        <f>49.941*0.8</f>
        <v>39.952800000000003</v>
      </c>
      <c r="I122" s="35">
        <f t="shared" si="7"/>
        <v>110.98000000000002</v>
      </c>
      <c r="J122" s="56">
        <f>'2021'!J123</f>
        <v>110.97999999999999</v>
      </c>
      <c r="K122" s="49">
        <v>3486.2513088000001</v>
      </c>
      <c r="L122" s="49">
        <v>3625.7013611520001</v>
      </c>
      <c r="M122" s="49">
        <v>2402.7024528000002</v>
      </c>
      <c r="N122" s="49">
        <v>2498.8105509120001</v>
      </c>
      <c r="O122" s="56">
        <f t="shared" si="13"/>
        <v>1083.5488559999999</v>
      </c>
      <c r="P122" s="1">
        <f t="shared" si="8"/>
        <v>26455.4954485536</v>
      </c>
      <c r="Q122" s="1">
        <f t="shared" si="9"/>
        <v>39683.243172830393</v>
      </c>
      <c r="R122" s="1">
        <f t="shared" si="10"/>
        <v>11255.61079083917</v>
      </c>
      <c r="S122" s="1">
        <f t="shared" si="11"/>
        <v>45022.443163356678</v>
      </c>
      <c r="T122" s="1">
        <f t="shared" si="12"/>
        <v>122416.79257557984</v>
      </c>
      <c r="U122" s="11"/>
      <c r="V122" s="11"/>
      <c r="W122" s="11"/>
      <c r="X122" s="12"/>
      <c r="Y122" s="12"/>
      <c r="Z122" s="12"/>
      <c r="AA122" s="12"/>
      <c r="AB122" s="12"/>
      <c r="AC122" s="12"/>
      <c r="AD122" s="12"/>
      <c r="AE122" s="12"/>
      <c r="AF122" s="12"/>
      <c r="AG122" s="12"/>
      <c r="AH122" s="12"/>
      <c r="AI122" s="12"/>
      <c r="AJ122" s="12"/>
      <c r="AK122" s="12"/>
      <c r="AL122" s="12"/>
      <c r="AM122" s="12"/>
      <c r="AN122" s="12"/>
      <c r="AO122" s="12"/>
      <c r="AP122" s="12"/>
      <c r="AQ122" s="12"/>
      <c r="AR122" s="12"/>
      <c r="AS122" s="12"/>
      <c r="AT122" s="12"/>
      <c r="AU122" s="12"/>
      <c r="AV122" s="12"/>
      <c r="AW122" s="12"/>
      <c r="AX122" s="12"/>
      <c r="AY122" s="12"/>
      <c r="AZ122" s="12"/>
      <c r="BA122" s="12"/>
      <c r="BB122" s="12"/>
      <c r="BC122" s="12"/>
      <c r="BD122" s="12"/>
      <c r="BE122" s="12"/>
      <c r="BF122" s="12"/>
      <c r="BG122" s="12"/>
      <c r="BH122" s="12"/>
      <c r="BI122" s="12"/>
      <c r="BJ122" s="12"/>
      <c r="BK122" s="12"/>
      <c r="BL122" s="12"/>
      <c r="BM122" s="12"/>
      <c r="BN122" s="12"/>
      <c r="BO122" s="12"/>
      <c r="BP122" s="12"/>
      <c r="BQ122" s="12"/>
      <c r="BR122" s="12"/>
      <c r="BS122" s="12"/>
      <c r="BT122" s="12"/>
      <c r="BU122" s="12"/>
      <c r="BV122" s="12"/>
      <c r="BW122" s="12"/>
      <c r="BX122" s="12"/>
      <c r="BY122" s="12"/>
      <c r="BZ122" s="12"/>
      <c r="CA122" s="12"/>
      <c r="CB122" s="12"/>
      <c r="CC122" s="12"/>
      <c r="CD122" s="12"/>
      <c r="CE122" s="12"/>
      <c r="CF122" s="12"/>
      <c r="CG122" s="12"/>
      <c r="CH122" s="12"/>
      <c r="CI122" s="12"/>
      <c r="CJ122" s="12"/>
      <c r="CK122" s="12"/>
      <c r="CL122" s="12"/>
      <c r="CM122" s="12"/>
      <c r="CN122" s="12"/>
      <c r="CO122" s="12"/>
      <c r="CP122" s="12"/>
      <c r="CQ122" s="12"/>
      <c r="CR122" s="12"/>
      <c r="CS122" s="12"/>
      <c r="CT122" s="12"/>
      <c r="CU122" s="12"/>
      <c r="CV122" s="12"/>
      <c r="CW122" s="12"/>
      <c r="CX122" s="12"/>
      <c r="CY122" s="12"/>
      <c r="CZ122" s="12"/>
      <c r="DA122" s="12"/>
      <c r="DB122" s="12"/>
      <c r="DC122" s="12"/>
      <c r="DD122" s="12"/>
      <c r="DE122" s="12"/>
      <c r="DF122" s="12"/>
      <c r="DG122" s="12"/>
      <c r="DH122" s="12"/>
      <c r="DI122" s="12"/>
      <c r="DJ122" s="12"/>
      <c r="DK122" s="12"/>
      <c r="DL122" s="12"/>
      <c r="DM122" s="12"/>
      <c r="DN122" s="12"/>
      <c r="DO122" s="12"/>
      <c r="DP122" s="12"/>
      <c r="DQ122" s="12"/>
      <c r="DR122" s="12"/>
      <c r="DS122" s="12"/>
      <c r="DT122" s="12"/>
      <c r="DU122" s="12"/>
      <c r="DV122" s="12"/>
      <c r="DW122" s="12"/>
      <c r="DX122" s="12"/>
      <c r="DY122" s="12"/>
      <c r="DZ122" s="12"/>
      <c r="EA122" s="12"/>
      <c r="EB122" s="12"/>
      <c r="EC122" s="12"/>
      <c r="ED122" s="12"/>
      <c r="EE122" s="12"/>
      <c r="EF122" s="12"/>
      <c r="EG122" s="12"/>
      <c r="EH122" s="12"/>
      <c r="EI122" s="12"/>
      <c r="EJ122" s="12"/>
      <c r="EK122" s="12"/>
      <c r="EL122" s="12"/>
      <c r="EM122" s="12"/>
      <c r="EN122" s="12"/>
      <c r="EO122" s="12"/>
      <c r="EP122" s="12"/>
      <c r="EQ122" s="12"/>
      <c r="ER122" s="12"/>
      <c r="ES122" s="12"/>
      <c r="ET122" s="12"/>
      <c r="EU122" s="12"/>
      <c r="EV122" s="12"/>
      <c r="EW122" s="12"/>
      <c r="EX122" s="12"/>
      <c r="EY122" s="12"/>
      <c r="EZ122" s="12"/>
      <c r="FA122" s="12"/>
      <c r="FB122" s="12"/>
      <c r="FC122" s="12"/>
      <c r="FD122" s="12"/>
      <c r="FE122" s="12"/>
      <c r="FF122" s="12"/>
      <c r="FG122" s="12"/>
      <c r="FH122" s="12"/>
      <c r="FI122" s="12"/>
      <c r="FJ122" s="12"/>
      <c r="FK122" s="12"/>
      <c r="FL122" s="12"/>
      <c r="FM122" s="12"/>
      <c r="FN122" s="12"/>
      <c r="FO122" s="12"/>
      <c r="FP122" s="12"/>
      <c r="FQ122" s="12"/>
      <c r="FR122" s="12"/>
      <c r="FS122" s="12"/>
      <c r="FT122" s="12"/>
      <c r="FU122" s="12"/>
      <c r="FV122" s="12"/>
      <c r="FW122" s="12"/>
      <c r="FX122" s="12"/>
      <c r="FY122" s="12"/>
      <c r="FZ122" s="12"/>
      <c r="GA122" s="12"/>
      <c r="GB122" s="12"/>
      <c r="GC122" s="12"/>
      <c r="GD122" s="12"/>
      <c r="GE122" s="12"/>
    </row>
    <row r="123" spans="1:187" ht="24.75" customHeight="1">
      <c r="A123" s="30" t="s">
        <v>337</v>
      </c>
      <c r="B123" s="9" t="s">
        <v>362</v>
      </c>
      <c r="C123" s="10" t="s">
        <v>359</v>
      </c>
      <c r="D123" s="10" t="s">
        <v>163</v>
      </c>
      <c r="E123" s="35">
        <f>67.6*0.4</f>
        <v>27.04</v>
      </c>
      <c r="F123" s="35">
        <f>67.6*0.6</f>
        <v>40.559999999999995</v>
      </c>
      <c r="G123" s="35">
        <f>62.4*0.2</f>
        <v>12.48</v>
      </c>
      <c r="H123" s="35">
        <f>62.4*0.8</f>
        <v>49.92</v>
      </c>
      <c r="I123" s="35">
        <f t="shared" si="7"/>
        <v>130</v>
      </c>
      <c r="J123" s="56">
        <f>'2021'!J124</f>
        <v>130</v>
      </c>
      <c r="K123" s="49">
        <v>2311.6248167999997</v>
      </c>
      <c r="L123" s="49">
        <v>2404.0898094719996</v>
      </c>
      <c r="M123" s="49">
        <v>1920.1689312000001</v>
      </c>
      <c r="N123" s="49">
        <v>1996.9756884480003</v>
      </c>
      <c r="O123" s="56">
        <f t="shared" si="13"/>
        <v>391.45588559999965</v>
      </c>
      <c r="P123" s="1">
        <f t="shared" si="8"/>
        <v>10584.967146623991</v>
      </c>
      <c r="Q123" s="1">
        <f t="shared" si="9"/>
        <v>15877.450719935983</v>
      </c>
      <c r="R123" s="1">
        <f t="shared" si="10"/>
        <v>5080.7842303795123</v>
      </c>
      <c r="S123" s="1">
        <f t="shared" si="11"/>
        <v>20323.136921518049</v>
      </c>
      <c r="T123" s="1">
        <f t="shared" si="12"/>
        <v>51866.33901845754</v>
      </c>
      <c r="U123" s="11"/>
      <c r="V123" s="11"/>
      <c r="W123" s="11"/>
      <c r="X123" s="12"/>
      <c r="Y123" s="12"/>
      <c r="Z123" s="12"/>
      <c r="AA123" s="12"/>
      <c r="AB123" s="12"/>
      <c r="AC123" s="12"/>
      <c r="AD123" s="12"/>
      <c r="AE123" s="12"/>
      <c r="AF123" s="12"/>
      <c r="AG123" s="12"/>
      <c r="AH123" s="12"/>
      <c r="AI123" s="12"/>
      <c r="AJ123" s="12"/>
      <c r="AK123" s="12"/>
      <c r="AL123" s="12"/>
      <c r="AM123" s="12"/>
      <c r="AN123" s="12"/>
      <c r="AO123" s="12"/>
      <c r="AP123" s="12"/>
      <c r="AQ123" s="12"/>
      <c r="AR123" s="12"/>
      <c r="AS123" s="12"/>
      <c r="AT123" s="12"/>
      <c r="AU123" s="12"/>
      <c r="AV123" s="12"/>
      <c r="AW123" s="12"/>
      <c r="AX123" s="12"/>
      <c r="AY123" s="12"/>
      <c r="AZ123" s="12"/>
      <c r="BA123" s="12"/>
      <c r="BB123" s="12"/>
      <c r="BC123" s="12"/>
      <c r="BD123" s="12"/>
      <c r="BE123" s="12"/>
      <c r="BF123" s="12"/>
      <c r="BG123" s="12"/>
      <c r="BH123" s="12"/>
      <c r="BI123" s="12"/>
      <c r="BJ123" s="12"/>
      <c r="BK123" s="12"/>
      <c r="BL123" s="12"/>
      <c r="BM123" s="12"/>
      <c r="BN123" s="12"/>
      <c r="BO123" s="12"/>
      <c r="BP123" s="12"/>
      <c r="BQ123" s="12"/>
      <c r="BR123" s="12"/>
      <c r="BS123" s="12"/>
      <c r="BT123" s="12"/>
      <c r="BU123" s="12"/>
      <c r="BV123" s="12"/>
      <c r="BW123" s="12"/>
      <c r="BX123" s="12"/>
      <c r="BY123" s="12"/>
      <c r="BZ123" s="12"/>
      <c r="CA123" s="12"/>
      <c r="CB123" s="12"/>
      <c r="CC123" s="12"/>
      <c r="CD123" s="12"/>
      <c r="CE123" s="12"/>
      <c r="CF123" s="12"/>
      <c r="CG123" s="12"/>
      <c r="CH123" s="12"/>
      <c r="CI123" s="12"/>
      <c r="CJ123" s="12"/>
      <c r="CK123" s="12"/>
      <c r="CL123" s="12"/>
      <c r="CM123" s="12"/>
      <c r="CN123" s="12"/>
      <c r="CO123" s="12"/>
      <c r="CP123" s="12"/>
      <c r="CQ123" s="12"/>
      <c r="CR123" s="12"/>
      <c r="CS123" s="12"/>
      <c r="CT123" s="12"/>
      <c r="CU123" s="12"/>
      <c r="CV123" s="12"/>
      <c r="CW123" s="12"/>
      <c r="CX123" s="12"/>
      <c r="CY123" s="12"/>
      <c r="CZ123" s="12"/>
      <c r="DA123" s="12"/>
      <c r="DB123" s="12"/>
      <c r="DC123" s="12"/>
      <c r="DD123" s="12"/>
      <c r="DE123" s="12"/>
      <c r="DF123" s="12"/>
      <c r="DG123" s="12"/>
      <c r="DH123" s="12"/>
      <c r="DI123" s="12"/>
      <c r="DJ123" s="12"/>
      <c r="DK123" s="12"/>
      <c r="DL123" s="12"/>
      <c r="DM123" s="12"/>
      <c r="DN123" s="12"/>
      <c r="DO123" s="12"/>
      <c r="DP123" s="12"/>
      <c r="DQ123" s="12"/>
      <c r="DR123" s="12"/>
      <c r="DS123" s="12"/>
      <c r="DT123" s="12"/>
      <c r="DU123" s="12"/>
      <c r="DV123" s="12"/>
      <c r="DW123" s="12"/>
      <c r="DX123" s="12"/>
      <c r="DY123" s="12"/>
      <c r="DZ123" s="12"/>
      <c r="EA123" s="12"/>
      <c r="EB123" s="12"/>
      <c r="EC123" s="12"/>
      <c r="ED123" s="12"/>
      <c r="EE123" s="12"/>
      <c r="EF123" s="12"/>
      <c r="EG123" s="12"/>
      <c r="EH123" s="12"/>
      <c r="EI123" s="12"/>
      <c r="EJ123" s="12"/>
      <c r="EK123" s="12"/>
      <c r="EL123" s="12"/>
      <c r="EM123" s="12"/>
      <c r="EN123" s="12"/>
      <c r="EO123" s="12"/>
      <c r="EP123" s="12"/>
      <c r="EQ123" s="12"/>
      <c r="ER123" s="12"/>
      <c r="ES123" s="12"/>
      <c r="ET123" s="12"/>
      <c r="EU123" s="12"/>
      <c r="EV123" s="12"/>
      <c r="EW123" s="12"/>
      <c r="EX123" s="12"/>
      <c r="EY123" s="12"/>
      <c r="EZ123" s="12"/>
      <c r="FA123" s="12"/>
      <c r="FB123" s="12"/>
      <c r="FC123" s="12"/>
      <c r="FD123" s="12"/>
      <c r="FE123" s="12"/>
      <c r="FF123" s="12"/>
      <c r="FG123" s="12"/>
      <c r="FH123" s="12"/>
      <c r="FI123" s="12"/>
      <c r="FJ123" s="12"/>
      <c r="FK123" s="12"/>
      <c r="FL123" s="12"/>
      <c r="FM123" s="12"/>
      <c r="FN123" s="12"/>
      <c r="FO123" s="12"/>
      <c r="FP123" s="12"/>
      <c r="FQ123" s="12"/>
      <c r="FR123" s="12"/>
      <c r="FS123" s="12"/>
      <c r="FT123" s="12"/>
      <c r="FU123" s="12"/>
      <c r="FV123" s="12"/>
      <c r="FW123" s="12"/>
      <c r="FX123" s="12"/>
      <c r="FY123" s="12"/>
      <c r="FZ123" s="12"/>
      <c r="GA123" s="12"/>
      <c r="GB123" s="12"/>
      <c r="GC123" s="12"/>
      <c r="GD123" s="12"/>
      <c r="GE123" s="12"/>
    </row>
    <row r="124" spans="1:187" ht="24.75" customHeight="1">
      <c r="A124" s="30" t="s">
        <v>337</v>
      </c>
      <c r="B124" s="9" t="s">
        <v>363</v>
      </c>
      <c r="C124" s="10" t="s">
        <v>438</v>
      </c>
      <c r="D124" s="10" t="s">
        <v>161</v>
      </c>
      <c r="E124" s="35">
        <f>258.5658*0.6</f>
        <v>155.13948000000002</v>
      </c>
      <c r="F124" s="35">
        <f>258.5658*0.4</f>
        <v>103.42632000000002</v>
      </c>
      <c r="G124" s="35">
        <f>229.2942*0.2</f>
        <v>45.858840000000001</v>
      </c>
      <c r="H124" s="35">
        <f>229.2942*0.8</f>
        <v>183.43536</v>
      </c>
      <c r="I124" s="35">
        <f t="shared" si="7"/>
        <v>487.86</v>
      </c>
      <c r="J124" s="56">
        <f>'2021'!J125</f>
        <v>487.86</v>
      </c>
      <c r="K124" s="49">
        <v>4372.3118616809952</v>
      </c>
      <c r="L124" s="49">
        <v>4547.2043361482356</v>
      </c>
      <c r="M124" s="49">
        <v>2402.6700983999999</v>
      </c>
      <c r="N124" s="49">
        <v>2498.7769023360001</v>
      </c>
      <c r="O124" s="56">
        <f t="shared" si="13"/>
        <v>1969.6417632809953</v>
      </c>
      <c r="P124" s="1">
        <f t="shared" si="8"/>
        <v>305569.19894169673</v>
      </c>
      <c r="Q124" s="1">
        <f t="shared" si="9"/>
        <v>203712.79929446449</v>
      </c>
      <c r="R124" s="1">
        <f t="shared" si="10"/>
        <v>93938.505938805902</v>
      </c>
      <c r="S124" s="1">
        <f t="shared" si="11"/>
        <v>375754.02375522361</v>
      </c>
      <c r="T124" s="1">
        <f t="shared" si="12"/>
        <v>978974.52793019067</v>
      </c>
      <c r="U124" s="11"/>
      <c r="V124" s="11"/>
      <c r="W124" s="11"/>
      <c r="X124" s="12"/>
      <c r="Y124" s="12"/>
      <c r="Z124" s="12"/>
      <c r="AA124" s="12"/>
      <c r="AB124" s="12"/>
      <c r="AC124" s="12"/>
      <c r="AD124" s="12"/>
      <c r="AE124" s="12"/>
      <c r="AF124" s="12"/>
      <c r="AG124" s="12"/>
      <c r="AH124" s="12"/>
      <c r="AI124" s="12"/>
      <c r="AJ124" s="12"/>
      <c r="AK124" s="12"/>
      <c r="AL124" s="12"/>
      <c r="AM124" s="12"/>
      <c r="AN124" s="12"/>
      <c r="AO124" s="12"/>
      <c r="AP124" s="12"/>
      <c r="AQ124" s="12"/>
      <c r="AR124" s="12"/>
      <c r="AS124" s="12"/>
      <c r="AT124" s="12"/>
      <c r="AU124" s="12"/>
      <c r="AV124" s="12"/>
      <c r="AW124" s="12"/>
      <c r="AX124" s="12"/>
      <c r="AY124" s="12"/>
      <c r="AZ124" s="12"/>
      <c r="BA124" s="12"/>
      <c r="BB124" s="12"/>
      <c r="BC124" s="12"/>
      <c r="BD124" s="12"/>
      <c r="BE124" s="12"/>
      <c r="BF124" s="12"/>
      <c r="BG124" s="12"/>
      <c r="BH124" s="12"/>
      <c r="BI124" s="12"/>
      <c r="BJ124" s="12"/>
      <c r="BK124" s="12"/>
      <c r="BL124" s="12"/>
      <c r="BM124" s="12"/>
      <c r="BN124" s="12"/>
      <c r="BO124" s="12"/>
      <c r="BP124" s="12"/>
      <c r="BQ124" s="12"/>
      <c r="BR124" s="12"/>
      <c r="BS124" s="12"/>
      <c r="BT124" s="12"/>
      <c r="BU124" s="12"/>
      <c r="BV124" s="12"/>
      <c r="BW124" s="12"/>
      <c r="BX124" s="12"/>
      <c r="BY124" s="12"/>
      <c r="BZ124" s="12"/>
      <c r="CA124" s="12"/>
      <c r="CB124" s="12"/>
      <c r="CC124" s="12"/>
      <c r="CD124" s="12"/>
      <c r="CE124" s="12"/>
      <c r="CF124" s="12"/>
      <c r="CG124" s="12"/>
      <c r="CH124" s="12"/>
      <c r="CI124" s="12"/>
      <c r="CJ124" s="12"/>
      <c r="CK124" s="12"/>
      <c r="CL124" s="12"/>
      <c r="CM124" s="12"/>
      <c r="CN124" s="12"/>
      <c r="CO124" s="12"/>
      <c r="CP124" s="12"/>
      <c r="CQ124" s="12"/>
      <c r="CR124" s="12"/>
      <c r="CS124" s="12"/>
      <c r="CT124" s="12"/>
      <c r="CU124" s="12"/>
      <c r="CV124" s="12"/>
      <c r="CW124" s="12"/>
      <c r="CX124" s="12"/>
      <c r="CY124" s="12"/>
      <c r="CZ124" s="12"/>
      <c r="DA124" s="12"/>
      <c r="DB124" s="12"/>
      <c r="DC124" s="12"/>
      <c r="DD124" s="12"/>
      <c r="DE124" s="12"/>
      <c r="DF124" s="12"/>
      <c r="DG124" s="12"/>
      <c r="DH124" s="12"/>
      <c r="DI124" s="12"/>
      <c r="DJ124" s="12"/>
      <c r="DK124" s="12"/>
      <c r="DL124" s="12"/>
      <c r="DM124" s="12"/>
      <c r="DN124" s="12"/>
      <c r="DO124" s="12"/>
      <c r="DP124" s="12"/>
      <c r="DQ124" s="12"/>
      <c r="DR124" s="12"/>
      <c r="DS124" s="12"/>
      <c r="DT124" s="12"/>
      <c r="DU124" s="12"/>
      <c r="DV124" s="12"/>
      <c r="DW124" s="12"/>
      <c r="DX124" s="12"/>
      <c r="DY124" s="12"/>
      <c r="DZ124" s="12"/>
      <c r="EA124" s="12"/>
      <c r="EB124" s="12"/>
      <c r="EC124" s="12"/>
      <c r="ED124" s="12"/>
      <c r="EE124" s="12"/>
      <c r="EF124" s="12"/>
      <c r="EG124" s="12"/>
      <c r="EH124" s="12"/>
      <c r="EI124" s="12"/>
      <c r="EJ124" s="12"/>
      <c r="EK124" s="12"/>
      <c r="EL124" s="12"/>
      <c r="EM124" s="12"/>
      <c r="EN124" s="12"/>
      <c r="EO124" s="12"/>
      <c r="EP124" s="12"/>
      <c r="EQ124" s="12"/>
      <c r="ER124" s="12"/>
      <c r="ES124" s="12"/>
      <c r="ET124" s="12"/>
      <c r="EU124" s="12"/>
      <c r="EV124" s="12"/>
      <c r="EW124" s="12"/>
      <c r="EX124" s="12"/>
      <c r="EY124" s="12"/>
      <c r="EZ124" s="12"/>
      <c r="FA124" s="12"/>
      <c r="FB124" s="12"/>
      <c r="FC124" s="12"/>
      <c r="FD124" s="12"/>
      <c r="FE124" s="12"/>
      <c r="FF124" s="12"/>
      <c r="FG124" s="12"/>
      <c r="FH124" s="12"/>
      <c r="FI124" s="12"/>
      <c r="FJ124" s="12"/>
      <c r="FK124" s="12"/>
      <c r="FL124" s="12"/>
      <c r="FM124" s="12"/>
      <c r="FN124" s="12"/>
      <c r="FO124" s="12"/>
      <c r="FP124" s="12"/>
      <c r="FQ124" s="12"/>
      <c r="FR124" s="12"/>
      <c r="FS124" s="12"/>
      <c r="FT124" s="12"/>
      <c r="FU124" s="12"/>
      <c r="FV124" s="12"/>
      <c r="FW124" s="12"/>
      <c r="FX124" s="12"/>
      <c r="FY124" s="12"/>
      <c r="FZ124" s="12"/>
      <c r="GA124" s="12"/>
      <c r="GB124" s="12"/>
      <c r="GC124" s="12"/>
      <c r="GD124" s="12"/>
      <c r="GE124" s="12"/>
    </row>
    <row r="125" spans="1:187" ht="24.75" customHeight="1">
      <c r="A125" s="30" t="s">
        <v>337</v>
      </c>
      <c r="B125" s="9" t="s">
        <v>364</v>
      </c>
      <c r="C125" s="10" t="s">
        <v>360</v>
      </c>
      <c r="D125" s="10" t="s">
        <v>365</v>
      </c>
      <c r="E125" s="35">
        <f>388.84352*0.6</f>
        <v>233.30611199999998</v>
      </c>
      <c r="F125" s="35">
        <f>388.84352*0.4</f>
        <v>155.53740800000003</v>
      </c>
      <c r="G125" s="35">
        <f>261.39648*0.2</f>
        <v>52.279296000000002</v>
      </c>
      <c r="H125" s="35">
        <f>261.39648*0.8</f>
        <v>209.11718400000001</v>
      </c>
      <c r="I125" s="35">
        <f t="shared" si="7"/>
        <v>650.24</v>
      </c>
      <c r="J125" s="56">
        <f>'2021'!J126</f>
        <v>650.24</v>
      </c>
      <c r="K125" s="49">
        <v>3284.9752000000003</v>
      </c>
      <c r="L125" s="49">
        <v>3416.3742080000006</v>
      </c>
      <c r="M125" s="49">
        <v>2402.7024528000002</v>
      </c>
      <c r="N125" s="49">
        <v>2498.8105509120001</v>
      </c>
      <c r="O125" s="56">
        <f t="shared" si="13"/>
        <v>882.27274720000014</v>
      </c>
      <c r="P125" s="1">
        <f t="shared" si="8"/>
        <v>205839.62437279092</v>
      </c>
      <c r="Q125" s="1">
        <f t="shared" si="9"/>
        <v>137226.4162485273</v>
      </c>
      <c r="R125" s="1">
        <f t="shared" si="10"/>
        <v>47969.582027746081</v>
      </c>
      <c r="S125" s="1">
        <f t="shared" si="11"/>
        <v>191878.32811098432</v>
      </c>
      <c r="T125" s="1">
        <f t="shared" si="12"/>
        <v>582913.95076004858</v>
      </c>
      <c r="U125" s="11"/>
      <c r="V125" s="11"/>
      <c r="W125" s="11"/>
      <c r="X125" s="12"/>
      <c r="Y125" s="12"/>
      <c r="Z125" s="12"/>
      <c r="AA125" s="12"/>
      <c r="AB125" s="12"/>
      <c r="AC125" s="12"/>
      <c r="AD125" s="12"/>
      <c r="AE125" s="12"/>
      <c r="AF125" s="12"/>
      <c r="AG125" s="12"/>
      <c r="AH125" s="12"/>
      <c r="AI125" s="12"/>
      <c r="AJ125" s="12"/>
      <c r="AK125" s="12"/>
      <c r="AL125" s="12"/>
      <c r="AM125" s="12"/>
      <c r="AN125" s="12"/>
      <c r="AO125" s="12"/>
      <c r="AP125" s="12"/>
      <c r="AQ125" s="12"/>
      <c r="AR125" s="12"/>
      <c r="AS125" s="12"/>
      <c r="AT125" s="12"/>
      <c r="AU125" s="12"/>
      <c r="AV125" s="12"/>
      <c r="AW125" s="12"/>
      <c r="AX125" s="12"/>
      <c r="AY125" s="12"/>
      <c r="AZ125" s="12"/>
      <c r="BA125" s="12"/>
      <c r="BB125" s="12"/>
      <c r="BC125" s="12"/>
      <c r="BD125" s="12"/>
      <c r="BE125" s="12"/>
      <c r="BF125" s="12"/>
      <c r="BG125" s="12"/>
      <c r="BH125" s="12"/>
      <c r="BI125" s="12"/>
      <c r="BJ125" s="12"/>
      <c r="BK125" s="12"/>
      <c r="BL125" s="12"/>
      <c r="BM125" s="12"/>
      <c r="BN125" s="12"/>
      <c r="BO125" s="12"/>
      <c r="BP125" s="12"/>
      <c r="BQ125" s="12"/>
      <c r="BR125" s="12"/>
      <c r="BS125" s="12"/>
      <c r="BT125" s="12"/>
      <c r="BU125" s="12"/>
      <c r="BV125" s="12"/>
      <c r="BW125" s="12"/>
      <c r="BX125" s="12"/>
      <c r="BY125" s="12"/>
      <c r="BZ125" s="12"/>
      <c r="CA125" s="12"/>
      <c r="CB125" s="12"/>
      <c r="CC125" s="12"/>
      <c r="CD125" s="12"/>
      <c r="CE125" s="12"/>
      <c r="CF125" s="12"/>
      <c r="CG125" s="12"/>
      <c r="CH125" s="12"/>
      <c r="CI125" s="12"/>
      <c r="CJ125" s="12"/>
      <c r="CK125" s="12"/>
      <c r="CL125" s="12"/>
      <c r="CM125" s="12"/>
      <c r="CN125" s="12"/>
      <c r="CO125" s="12"/>
      <c r="CP125" s="12"/>
      <c r="CQ125" s="12"/>
      <c r="CR125" s="12"/>
      <c r="CS125" s="12"/>
      <c r="CT125" s="12"/>
      <c r="CU125" s="12"/>
      <c r="CV125" s="12"/>
      <c r="CW125" s="12"/>
      <c r="CX125" s="12"/>
      <c r="CY125" s="12"/>
      <c r="CZ125" s="12"/>
      <c r="DA125" s="12"/>
      <c r="DB125" s="12"/>
      <c r="DC125" s="12"/>
      <c r="DD125" s="12"/>
      <c r="DE125" s="12"/>
      <c r="DF125" s="12"/>
      <c r="DG125" s="12"/>
      <c r="DH125" s="12"/>
      <c r="DI125" s="12"/>
      <c r="DJ125" s="12"/>
      <c r="DK125" s="12"/>
      <c r="DL125" s="12"/>
      <c r="DM125" s="12"/>
      <c r="DN125" s="12"/>
      <c r="DO125" s="12"/>
      <c r="DP125" s="12"/>
      <c r="DQ125" s="12"/>
      <c r="DR125" s="12"/>
      <c r="DS125" s="12"/>
      <c r="DT125" s="12"/>
      <c r="DU125" s="12"/>
      <c r="DV125" s="12"/>
      <c r="DW125" s="12"/>
      <c r="DX125" s="12"/>
      <c r="DY125" s="12"/>
      <c r="DZ125" s="12"/>
      <c r="EA125" s="12"/>
      <c r="EB125" s="12"/>
      <c r="EC125" s="12"/>
      <c r="ED125" s="12"/>
      <c r="EE125" s="12"/>
      <c r="EF125" s="12"/>
      <c r="EG125" s="12"/>
      <c r="EH125" s="12"/>
      <c r="EI125" s="12"/>
      <c r="EJ125" s="12"/>
      <c r="EK125" s="12"/>
      <c r="EL125" s="12"/>
      <c r="EM125" s="12"/>
      <c r="EN125" s="12"/>
      <c r="EO125" s="12"/>
      <c r="EP125" s="12"/>
      <c r="EQ125" s="12"/>
      <c r="ER125" s="12"/>
      <c r="ES125" s="12"/>
      <c r="ET125" s="12"/>
      <c r="EU125" s="12"/>
      <c r="EV125" s="12"/>
      <c r="EW125" s="12"/>
      <c r="EX125" s="12"/>
      <c r="EY125" s="12"/>
      <c r="EZ125" s="12"/>
      <c r="FA125" s="12"/>
      <c r="FB125" s="12"/>
      <c r="FC125" s="12"/>
      <c r="FD125" s="12"/>
      <c r="FE125" s="12"/>
      <c r="FF125" s="12"/>
      <c r="FG125" s="12"/>
      <c r="FH125" s="12"/>
      <c r="FI125" s="12"/>
      <c r="FJ125" s="12"/>
      <c r="FK125" s="12"/>
      <c r="FL125" s="12"/>
      <c r="FM125" s="12"/>
      <c r="FN125" s="12"/>
      <c r="FO125" s="12"/>
      <c r="FP125" s="12"/>
      <c r="FQ125" s="12"/>
      <c r="FR125" s="12"/>
      <c r="FS125" s="12"/>
      <c r="FT125" s="12"/>
      <c r="FU125" s="12"/>
      <c r="FV125" s="12"/>
      <c r="FW125" s="12"/>
      <c r="FX125" s="12"/>
      <c r="FY125" s="12"/>
      <c r="FZ125" s="12"/>
      <c r="GA125" s="12"/>
      <c r="GB125" s="12"/>
      <c r="GC125" s="12"/>
      <c r="GD125" s="12"/>
      <c r="GE125" s="12"/>
    </row>
    <row r="126" spans="1:187" ht="21" customHeight="1">
      <c r="A126" s="45"/>
      <c r="B126" s="101" t="s">
        <v>165</v>
      </c>
      <c r="C126" s="101"/>
      <c r="D126" s="101"/>
      <c r="E126" s="34"/>
      <c r="F126" s="34"/>
      <c r="G126" s="34"/>
      <c r="H126" s="34"/>
      <c r="I126" s="35">
        <f t="shared" si="7"/>
        <v>0</v>
      </c>
      <c r="J126" s="56"/>
      <c r="K126" s="49"/>
      <c r="L126" s="49"/>
      <c r="M126" s="49"/>
      <c r="N126" s="49"/>
      <c r="O126" s="56">
        <f t="shared" si="13"/>
        <v>0</v>
      </c>
      <c r="P126" s="1">
        <f t="shared" si="8"/>
        <v>0</v>
      </c>
      <c r="Q126" s="1">
        <f t="shared" si="9"/>
        <v>0</v>
      </c>
      <c r="R126" s="1">
        <f t="shared" si="10"/>
        <v>0</v>
      </c>
      <c r="S126" s="1">
        <f t="shared" si="11"/>
        <v>0</v>
      </c>
      <c r="T126" s="1">
        <f t="shared" si="12"/>
        <v>0</v>
      </c>
      <c r="U126" s="45"/>
      <c r="V126" s="45"/>
      <c r="W126" s="45"/>
    </row>
    <row r="127" spans="1:187" ht="21" customHeight="1">
      <c r="A127" s="45"/>
      <c r="B127" s="9" t="s">
        <v>20</v>
      </c>
      <c r="C127" s="10" t="s">
        <v>175</v>
      </c>
      <c r="D127" s="10" t="s">
        <v>176</v>
      </c>
      <c r="E127" s="35">
        <v>2403.3229999999999</v>
      </c>
      <c r="F127" s="35">
        <f>3490.923-E127</f>
        <v>1087.5999999999999</v>
      </c>
      <c r="G127" s="35">
        <v>377.45100000000002</v>
      </c>
      <c r="H127" s="35">
        <f>2163.852-G127</f>
        <v>1786.4009999999998</v>
      </c>
      <c r="I127" s="35">
        <f t="shared" si="7"/>
        <v>5654.7749999999996</v>
      </c>
      <c r="J127" s="56">
        <f>'2021'!J128</f>
        <v>5725.9</v>
      </c>
      <c r="K127" s="49">
        <v>3881.8832000000002</v>
      </c>
      <c r="L127" s="49">
        <v>4037.1585280000004</v>
      </c>
      <c r="M127" s="49">
        <v>2272.4520000000002</v>
      </c>
      <c r="N127" s="49">
        <v>2363.3500800000002</v>
      </c>
      <c r="O127" s="56">
        <f t="shared" si="13"/>
        <v>1609.4312</v>
      </c>
      <c r="P127" s="1">
        <f t="shared" si="8"/>
        <v>3867983.0198775996</v>
      </c>
      <c r="Q127" s="1">
        <f t="shared" si="9"/>
        <v>1750417.3731199999</v>
      </c>
      <c r="R127" s="1">
        <f t="shared" si="10"/>
        <v>631780.67250604811</v>
      </c>
      <c r="S127" s="1">
        <f t="shared" si="11"/>
        <v>2990093.085315648</v>
      </c>
      <c r="T127" s="1">
        <f t="shared" si="12"/>
        <v>9240274.150819296</v>
      </c>
      <c r="U127" s="11"/>
      <c r="V127" s="11"/>
      <c r="W127" s="11"/>
      <c r="X127" s="12"/>
      <c r="Y127" s="12"/>
      <c r="Z127" s="12"/>
      <c r="AA127" s="12"/>
      <c r="AB127" s="12"/>
      <c r="AC127" s="12"/>
      <c r="AD127" s="12"/>
      <c r="AE127" s="12"/>
      <c r="AF127" s="12"/>
      <c r="AG127" s="12"/>
      <c r="AH127" s="12"/>
      <c r="AI127" s="12"/>
      <c r="AJ127" s="12"/>
      <c r="AK127" s="12"/>
      <c r="AL127" s="12"/>
      <c r="AM127" s="12"/>
      <c r="AN127" s="12"/>
      <c r="AO127" s="12"/>
      <c r="AP127" s="12"/>
      <c r="AQ127" s="12"/>
      <c r="AR127" s="12"/>
      <c r="AS127" s="12"/>
      <c r="AT127" s="12"/>
      <c r="AU127" s="12"/>
      <c r="AV127" s="12"/>
      <c r="AW127" s="12"/>
      <c r="AX127" s="12"/>
      <c r="AY127" s="12"/>
      <c r="AZ127" s="12"/>
      <c r="BA127" s="12"/>
      <c r="BB127" s="12"/>
      <c r="BC127" s="12"/>
      <c r="BD127" s="12"/>
      <c r="BE127" s="12"/>
      <c r="BF127" s="12"/>
      <c r="BG127" s="12"/>
      <c r="BH127" s="12"/>
      <c r="BI127" s="12"/>
      <c r="BJ127" s="12"/>
      <c r="BK127" s="12"/>
      <c r="BL127" s="12"/>
      <c r="BM127" s="12"/>
      <c r="BN127" s="12"/>
      <c r="BO127" s="12"/>
      <c r="BP127" s="12"/>
      <c r="BQ127" s="12"/>
      <c r="BR127" s="12"/>
      <c r="BS127" s="12"/>
      <c r="BT127" s="12"/>
      <c r="BU127" s="12"/>
      <c r="BV127" s="12"/>
      <c r="BW127" s="12"/>
      <c r="BX127" s="12"/>
      <c r="BY127" s="12"/>
      <c r="BZ127" s="12"/>
      <c r="CA127" s="12"/>
      <c r="CB127" s="12"/>
      <c r="CC127" s="12"/>
      <c r="CD127" s="12"/>
      <c r="CE127" s="12"/>
      <c r="CF127" s="12"/>
      <c r="CG127" s="12"/>
      <c r="CH127" s="12"/>
      <c r="CI127" s="12"/>
      <c r="CJ127" s="12"/>
      <c r="CK127" s="12"/>
      <c r="CL127" s="12"/>
      <c r="CM127" s="12"/>
      <c r="CN127" s="12"/>
      <c r="CO127" s="12"/>
      <c r="CP127" s="12"/>
      <c r="CQ127" s="12"/>
      <c r="CR127" s="12"/>
      <c r="CS127" s="12"/>
      <c r="CT127" s="12"/>
      <c r="CU127" s="12"/>
      <c r="CV127" s="12"/>
      <c r="CW127" s="12"/>
      <c r="CX127" s="12"/>
      <c r="CY127" s="12"/>
      <c r="CZ127" s="12"/>
      <c r="DA127" s="12"/>
      <c r="DB127" s="12"/>
      <c r="DC127" s="12"/>
      <c r="DD127" s="12"/>
      <c r="DE127" s="12"/>
      <c r="DF127" s="12"/>
      <c r="DG127" s="12"/>
      <c r="DH127" s="12"/>
      <c r="DI127" s="12"/>
      <c r="DJ127" s="12"/>
      <c r="DK127" s="12"/>
      <c r="DL127" s="12"/>
      <c r="DM127" s="12"/>
      <c r="DN127" s="12"/>
      <c r="DO127" s="12"/>
      <c r="DP127" s="12"/>
      <c r="DQ127" s="12"/>
      <c r="DR127" s="12"/>
      <c r="DS127" s="12"/>
      <c r="DT127" s="12"/>
      <c r="DU127" s="12"/>
      <c r="DV127" s="12"/>
      <c r="DW127" s="12"/>
      <c r="DX127" s="12"/>
      <c r="DY127" s="12"/>
      <c r="DZ127" s="12"/>
      <c r="EA127" s="12"/>
      <c r="EB127" s="12"/>
      <c r="EC127" s="12"/>
      <c r="ED127" s="12"/>
      <c r="EE127" s="12"/>
      <c r="EF127" s="12"/>
      <c r="EG127" s="12"/>
      <c r="EH127" s="12"/>
      <c r="EI127" s="12"/>
      <c r="EJ127" s="12"/>
      <c r="EK127" s="12"/>
      <c r="EL127" s="12"/>
      <c r="EM127" s="12"/>
      <c r="EN127" s="12"/>
      <c r="EO127" s="12"/>
      <c r="EP127" s="12"/>
      <c r="EQ127" s="12"/>
      <c r="ER127" s="12"/>
      <c r="ES127" s="12"/>
      <c r="ET127" s="12"/>
      <c r="EU127" s="12"/>
      <c r="EV127" s="12"/>
      <c r="EW127" s="12"/>
      <c r="EX127" s="12"/>
      <c r="EY127" s="12"/>
      <c r="EZ127" s="12"/>
      <c r="FA127" s="12"/>
      <c r="FB127" s="12"/>
      <c r="FC127" s="12"/>
      <c r="FD127" s="12"/>
      <c r="FE127" s="12"/>
      <c r="FF127" s="12"/>
      <c r="FG127" s="12"/>
      <c r="FH127" s="12"/>
      <c r="FI127" s="12"/>
      <c r="FJ127" s="12"/>
      <c r="FK127" s="12"/>
      <c r="FL127" s="12"/>
      <c r="FM127" s="12"/>
      <c r="FN127" s="12"/>
      <c r="FO127" s="12"/>
      <c r="FP127" s="12"/>
      <c r="FQ127" s="12"/>
      <c r="FR127" s="12"/>
      <c r="FS127" s="12"/>
      <c r="FT127" s="12"/>
      <c r="FU127" s="12"/>
      <c r="FV127" s="12"/>
      <c r="FW127" s="12"/>
      <c r="FX127" s="12"/>
      <c r="FY127" s="12"/>
      <c r="FZ127" s="12"/>
      <c r="GA127" s="12"/>
      <c r="GB127" s="12"/>
      <c r="GC127" s="12"/>
      <c r="GD127" s="12"/>
      <c r="GE127" s="12"/>
    </row>
    <row r="128" spans="1:187" ht="21" customHeight="1">
      <c r="A128" s="45"/>
      <c r="B128" s="9" t="s">
        <v>23</v>
      </c>
      <c r="C128" s="10" t="s">
        <v>173</v>
      </c>
      <c r="D128" s="10" t="s">
        <v>168</v>
      </c>
      <c r="E128" s="35">
        <v>409.23899999999998</v>
      </c>
      <c r="F128" s="35">
        <f>682.063-E128</f>
        <v>272.82400000000001</v>
      </c>
      <c r="G128" s="35">
        <v>136.41300000000001</v>
      </c>
      <c r="H128" s="35">
        <f>545.652-G128</f>
        <v>409.23900000000003</v>
      </c>
      <c r="I128" s="35">
        <f t="shared" si="7"/>
        <v>1227.7150000000001</v>
      </c>
      <c r="J128" s="56">
        <f>'2021'!J129</f>
        <v>1227.7</v>
      </c>
      <c r="K128" s="49">
        <v>6371.4247999999998</v>
      </c>
      <c r="L128" s="49">
        <v>6626.2817919999998</v>
      </c>
      <c r="M128" s="49">
        <v>2272.4520000000002</v>
      </c>
      <c r="N128" s="49">
        <v>2363.3500800000002</v>
      </c>
      <c r="O128" s="56">
        <f t="shared" si="13"/>
        <v>4098.9727999999996</v>
      </c>
      <c r="P128" s="1">
        <f t="shared" si="8"/>
        <v>1677459.5296991998</v>
      </c>
      <c r="Q128" s="1">
        <f t="shared" si="9"/>
        <v>1118298.1551871998</v>
      </c>
      <c r="R128" s="1">
        <f t="shared" si="10"/>
        <v>581519.30362905597</v>
      </c>
      <c r="S128" s="1">
        <f t="shared" si="11"/>
        <v>1744557.910887168</v>
      </c>
      <c r="T128" s="1">
        <f t="shared" si="12"/>
        <v>5121834.899402624</v>
      </c>
      <c r="U128" s="11"/>
      <c r="V128" s="11"/>
      <c r="W128" s="11"/>
      <c r="X128" s="12"/>
      <c r="Y128" s="12"/>
      <c r="Z128" s="12"/>
      <c r="AA128" s="12"/>
      <c r="AB128" s="12"/>
      <c r="AC128" s="12"/>
      <c r="AD128" s="12"/>
      <c r="AE128" s="12"/>
      <c r="AF128" s="12"/>
      <c r="AG128" s="12"/>
      <c r="AH128" s="12"/>
      <c r="AI128" s="12"/>
      <c r="AJ128" s="12"/>
      <c r="AK128" s="12"/>
      <c r="AL128" s="12"/>
      <c r="AM128" s="12"/>
      <c r="AN128" s="12"/>
      <c r="AO128" s="12"/>
      <c r="AP128" s="12"/>
      <c r="AQ128" s="12"/>
      <c r="AR128" s="12"/>
      <c r="AS128" s="12"/>
      <c r="AT128" s="12"/>
      <c r="AU128" s="12"/>
      <c r="AV128" s="12"/>
      <c r="AW128" s="12"/>
      <c r="AX128" s="12"/>
      <c r="AY128" s="12"/>
      <c r="AZ128" s="12"/>
      <c r="BA128" s="12"/>
      <c r="BB128" s="12"/>
      <c r="BC128" s="12"/>
      <c r="BD128" s="12"/>
      <c r="BE128" s="12"/>
      <c r="BF128" s="12"/>
      <c r="BG128" s="12"/>
      <c r="BH128" s="12"/>
      <c r="BI128" s="12"/>
      <c r="BJ128" s="12"/>
      <c r="BK128" s="12"/>
      <c r="BL128" s="12"/>
      <c r="BM128" s="12"/>
      <c r="BN128" s="12"/>
      <c r="BO128" s="12"/>
      <c r="BP128" s="12"/>
      <c r="BQ128" s="12"/>
      <c r="BR128" s="12"/>
      <c r="BS128" s="12"/>
      <c r="BT128" s="12"/>
      <c r="BU128" s="12"/>
      <c r="BV128" s="12"/>
      <c r="BW128" s="12"/>
      <c r="BX128" s="12"/>
      <c r="BY128" s="12"/>
      <c r="BZ128" s="12"/>
      <c r="CA128" s="12"/>
      <c r="CB128" s="12"/>
      <c r="CC128" s="12"/>
      <c r="CD128" s="12"/>
      <c r="CE128" s="12"/>
      <c r="CF128" s="12"/>
      <c r="CG128" s="12"/>
      <c r="CH128" s="12"/>
      <c r="CI128" s="12"/>
      <c r="CJ128" s="12"/>
      <c r="CK128" s="12"/>
      <c r="CL128" s="12"/>
      <c r="CM128" s="12"/>
      <c r="CN128" s="12"/>
      <c r="CO128" s="12"/>
      <c r="CP128" s="12"/>
      <c r="CQ128" s="12"/>
      <c r="CR128" s="12"/>
      <c r="CS128" s="12"/>
      <c r="CT128" s="12"/>
      <c r="CU128" s="12"/>
      <c r="CV128" s="12"/>
      <c r="CW128" s="12"/>
      <c r="CX128" s="12"/>
      <c r="CY128" s="12"/>
      <c r="CZ128" s="12"/>
      <c r="DA128" s="12"/>
      <c r="DB128" s="12"/>
      <c r="DC128" s="12"/>
      <c r="DD128" s="12"/>
      <c r="DE128" s="12"/>
      <c r="DF128" s="12"/>
      <c r="DG128" s="12"/>
      <c r="DH128" s="12"/>
      <c r="DI128" s="12"/>
      <c r="DJ128" s="12"/>
      <c r="DK128" s="12"/>
      <c r="DL128" s="12"/>
      <c r="DM128" s="12"/>
      <c r="DN128" s="12"/>
      <c r="DO128" s="12"/>
      <c r="DP128" s="12"/>
      <c r="DQ128" s="12"/>
      <c r="DR128" s="12"/>
      <c r="DS128" s="12"/>
      <c r="DT128" s="12"/>
      <c r="DU128" s="12"/>
      <c r="DV128" s="12"/>
      <c r="DW128" s="12"/>
      <c r="DX128" s="12"/>
      <c r="DY128" s="12"/>
      <c r="DZ128" s="12"/>
      <c r="EA128" s="12"/>
      <c r="EB128" s="12"/>
      <c r="EC128" s="12"/>
      <c r="ED128" s="12"/>
      <c r="EE128" s="12"/>
      <c r="EF128" s="12"/>
      <c r="EG128" s="12"/>
      <c r="EH128" s="12"/>
      <c r="EI128" s="12"/>
      <c r="EJ128" s="12"/>
      <c r="EK128" s="12"/>
      <c r="EL128" s="12"/>
      <c r="EM128" s="12"/>
      <c r="EN128" s="12"/>
      <c r="EO128" s="12"/>
      <c r="EP128" s="12"/>
      <c r="EQ128" s="12"/>
      <c r="ER128" s="12"/>
      <c r="ES128" s="12"/>
      <c r="ET128" s="12"/>
      <c r="EU128" s="12"/>
      <c r="EV128" s="12"/>
      <c r="EW128" s="12"/>
      <c r="EX128" s="12"/>
      <c r="EY128" s="12"/>
      <c r="EZ128" s="12"/>
      <c r="FA128" s="12"/>
      <c r="FB128" s="12"/>
      <c r="FC128" s="12"/>
      <c r="FD128" s="12"/>
      <c r="FE128" s="12"/>
      <c r="FF128" s="12"/>
      <c r="FG128" s="12"/>
      <c r="FH128" s="12"/>
      <c r="FI128" s="12"/>
      <c r="FJ128" s="12"/>
      <c r="FK128" s="12"/>
      <c r="FL128" s="12"/>
      <c r="FM128" s="12"/>
      <c r="FN128" s="12"/>
      <c r="FO128" s="12"/>
      <c r="FP128" s="12"/>
      <c r="FQ128" s="12"/>
      <c r="FR128" s="12"/>
      <c r="FS128" s="12"/>
      <c r="FT128" s="12"/>
      <c r="FU128" s="12"/>
      <c r="FV128" s="12"/>
      <c r="FW128" s="12"/>
      <c r="FX128" s="12"/>
      <c r="FY128" s="12"/>
      <c r="FZ128" s="12"/>
      <c r="GA128" s="12"/>
      <c r="GB128" s="12"/>
      <c r="GC128" s="12"/>
      <c r="GD128" s="12"/>
      <c r="GE128" s="12"/>
    </row>
    <row r="129" spans="1:187" ht="21" customHeight="1">
      <c r="A129" s="45"/>
      <c r="B129" s="9" t="s">
        <v>23</v>
      </c>
      <c r="C129" s="10" t="s">
        <v>173</v>
      </c>
      <c r="D129" s="10" t="s">
        <v>166</v>
      </c>
      <c r="E129" s="35">
        <v>243.75</v>
      </c>
      <c r="F129" s="35">
        <f>328.372-E129</f>
        <v>84.622000000000014</v>
      </c>
      <c r="G129" s="35">
        <v>14.686999999999999</v>
      </c>
      <c r="H129" s="35">
        <f>170.398-G129</f>
        <v>155.71099999999998</v>
      </c>
      <c r="I129" s="35">
        <f t="shared" si="7"/>
        <v>498.77</v>
      </c>
      <c r="J129" s="56">
        <f>'2021'!J130</f>
        <v>513.29999999999995</v>
      </c>
      <c r="K129" s="49">
        <v>8639.75</v>
      </c>
      <c r="L129" s="49">
        <v>8985.33</v>
      </c>
      <c r="M129" s="49">
        <v>2272.4520000000002</v>
      </c>
      <c r="N129" s="49">
        <v>2363.3500800000002</v>
      </c>
      <c r="O129" s="56">
        <f t="shared" si="13"/>
        <v>6367.2979999999998</v>
      </c>
      <c r="P129" s="1">
        <f t="shared" si="8"/>
        <v>1552028.8875</v>
      </c>
      <c r="Q129" s="1">
        <f t="shared" si="9"/>
        <v>538813.49135600007</v>
      </c>
      <c r="R129" s="1">
        <f t="shared" si="10"/>
        <v>97257.019085039996</v>
      </c>
      <c r="S129" s="1">
        <f t="shared" si="11"/>
        <v>1031115.1153231199</v>
      </c>
      <c r="T129" s="1">
        <f t="shared" si="12"/>
        <v>3219214.5132641597</v>
      </c>
      <c r="U129" s="11"/>
      <c r="V129" s="11"/>
      <c r="W129" s="11"/>
      <c r="X129" s="12"/>
      <c r="Y129" s="12"/>
      <c r="Z129" s="12"/>
      <c r="AA129" s="12"/>
      <c r="AB129" s="12"/>
      <c r="AC129" s="12"/>
      <c r="AD129" s="12"/>
      <c r="AE129" s="12"/>
      <c r="AF129" s="12"/>
      <c r="AG129" s="12"/>
      <c r="AH129" s="12"/>
      <c r="AI129" s="12"/>
      <c r="AJ129" s="12"/>
      <c r="AK129" s="12"/>
      <c r="AL129" s="12"/>
      <c r="AM129" s="12"/>
      <c r="AN129" s="12"/>
      <c r="AO129" s="12"/>
      <c r="AP129" s="12"/>
      <c r="AQ129" s="12"/>
      <c r="AR129" s="12"/>
      <c r="AS129" s="12"/>
      <c r="AT129" s="12"/>
      <c r="AU129" s="12"/>
      <c r="AV129" s="12"/>
      <c r="AW129" s="12"/>
      <c r="AX129" s="12"/>
      <c r="AY129" s="12"/>
      <c r="AZ129" s="12"/>
      <c r="BA129" s="12"/>
      <c r="BB129" s="12"/>
      <c r="BC129" s="12"/>
      <c r="BD129" s="12"/>
      <c r="BE129" s="12"/>
      <c r="BF129" s="12"/>
      <c r="BG129" s="12"/>
      <c r="BH129" s="12"/>
      <c r="BI129" s="12"/>
      <c r="BJ129" s="12"/>
      <c r="BK129" s="12"/>
      <c r="BL129" s="12"/>
      <c r="BM129" s="12"/>
      <c r="BN129" s="12"/>
      <c r="BO129" s="12"/>
      <c r="BP129" s="12"/>
      <c r="BQ129" s="12"/>
      <c r="BR129" s="12"/>
      <c r="BS129" s="12"/>
      <c r="BT129" s="12"/>
      <c r="BU129" s="12"/>
      <c r="BV129" s="12"/>
      <c r="BW129" s="12"/>
      <c r="BX129" s="12"/>
      <c r="BY129" s="12"/>
      <c r="BZ129" s="12"/>
      <c r="CA129" s="12"/>
      <c r="CB129" s="12"/>
      <c r="CC129" s="12"/>
      <c r="CD129" s="12"/>
      <c r="CE129" s="12"/>
      <c r="CF129" s="12"/>
      <c r="CG129" s="12"/>
      <c r="CH129" s="12"/>
      <c r="CI129" s="12"/>
      <c r="CJ129" s="12"/>
      <c r="CK129" s="12"/>
      <c r="CL129" s="12"/>
      <c r="CM129" s="12"/>
      <c r="CN129" s="12"/>
      <c r="CO129" s="12"/>
      <c r="CP129" s="12"/>
      <c r="CQ129" s="12"/>
      <c r="CR129" s="12"/>
      <c r="CS129" s="12"/>
      <c r="CT129" s="12"/>
      <c r="CU129" s="12"/>
      <c r="CV129" s="12"/>
      <c r="CW129" s="12"/>
      <c r="CX129" s="12"/>
      <c r="CY129" s="12"/>
      <c r="CZ129" s="12"/>
      <c r="DA129" s="12"/>
      <c r="DB129" s="12"/>
      <c r="DC129" s="12"/>
      <c r="DD129" s="12"/>
      <c r="DE129" s="12"/>
      <c r="DF129" s="12"/>
      <c r="DG129" s="12"/>
      <c r="DH129" s="12"/>
      <c r="DI129" s="12"/>
      <c r="DJ129" s="12"/>
      <c r="DK129" s="12"/>
      <c r="DL129" s="12"/>
      <c r="DM129" s="12"/>
      <c r="DN129" s="12"/>
      <c r="DO129" s="12"/>
      <c r="DP129" s="12"/>
      <c r="DQ129" s="12"/>
      <c r="DR129" s="12"/>
      <c r="DS129" s="12"/>
      <c r="DT129" s="12"/>
      <c r="DU129" s="12"/>
      <c r="DV129" s="12"/>
      <c r="DW129" s="12"/>
      <c r="DX129" s="12"/>
      <c r="DY129" s="12"/>
      <c r="DZ129" s="12"/>
      <c r="EA129" s="12"/>
      <c r="EB129" s="12"/>
      <c r="EC129" s="12"/>
      <c r="ED129" s="12"/>
      <c r="EE129" s="12"/>
      <c r="EF129" s="12"/>
      <c r="EG129" s="12"/>
      <c r="EH129" s="12"/>
      <c r="EI129" s="12"/>
      <c r="EJ129" s="12"/>
      <c r="EK129" s="12"/>
      <c r="EL129" s="12"/>
      <c r="EM129" s="12"/>
      <c r="EN129" s="12"/>
      <c r="EO129" s="12"/>
      <c r="EP129" s="12"/>
      <c r="EQ129" s="12"/>
      <c r="ER129" s="12"/>
      <c r="ES129" s="12"/>
      <c r="ET129" s="12"/>
      <c r="EU129" s="12"/>
      <c r="EV129" s="12"/>
      <c r="EW129" s="12"/>
      <c r="EX129" s="12"/>
      <c r="EY129" s="12"/>
      <c r="EZ129" s="12"/>
      <c r="FA129" s="12"/>
      <c r="FB129" s="12"/>
      <c r="FC129" s="12"/>
      <c r="FD129" s="12"/>
      <c r="FE129" s="12"/>
      <c r="FF129" s="12"/>
      <c r="FG129" s="12"/>
      <c r="FH129" s="12"/>
      <c r="FI129" s="12"/>
      <c r="FJ129" s="12"/>
      <c r="FK129" s="12"/>
      <c r="FL129" s="12"/>
      <c r="FM129" s="12"/>
      <c r="FN129" s="12"/>
      <c r="FO129" s="12"/>
      <c r="FP129" s="12"/>
      <c r="FQ129" s="12"/>
      <c r="FR129" s="12"/>
      <c r="FS129" s="12"/>
      <c r="FT129" s="12"/>
      <c r="FU129" s="12"/>
      <c r="FV129" s="12"/>
      <c r="FW129" s="12"/>
      <c r="FX129" s="12"/>
      <c r="FY129" s="12"/>
      <c r="FZ129" s="12"/>
      <c r="GA129" s="12"/>
      <c r="GB129" s="12"/>
      <c r="GC129" s="12"/>
      <c r="GD129" s="12"/>
      <c r="GE129" s="12"/>
    </row>
    <row r="130" spans="1:187" ht="24.75" customHeight="1">
      <c r="A130" s="45"/>
      <c r="B130" s="9" t="s">
        <v>387</v>
      </c>
      <c r="C130" s="10" t="s">
        <v>388</v>
      </c>
      <c r="D130" s="10" t="s">
        <v>389</v>
      </c>
      <c r="E130" s="35">
        <v>1372.38</v>
      </c>
      <c r="F130" s="35">
        <f>2096.847-E130</f>
        <v>724.4670000000001</v>
      </c>
      <c r="G130" s="35">
        <v>188.2</v>
      </c>
      <c r="H130" s="35">
        <v>1474.8</v>
      </c>
      <c r="I130" s="35">
        <f t="shared" si="7"/>
        <v>3759.8469999999998</v>
      </c>
      <c r="J130" s="56">
        <f>'2021'!J131</f>
        <v>4157.41</v>
      </c>
      <c r="K130" s="49">
        <v>6914.73</v>
      </c>
      <c r="L130" s="49">
        <v>7191.32</v>
      </c>
      <c r="M130" s="49">
        <v>2272.4520000000002</v>
      </c>
      <c r="N130" s="49">
        <v>2363.3500800000002</v>
      </c>
      <c r="O130" s="56">
        <f>K130-M130</f>
        <v>4642.2779999999993</v>
      </c>
      <c r="P130" s="1">
        <f t="shared" si="8"/>
        <v>6370969.4816399999</v>
      </c>
      <c r="Q130" s="1">
        <f t="shared" si="9"/>
        <v>3363177.2158260001</v>
      </c>
      <c r="R130" s="1">
        <f t="shared" si="10"/>
        <v>908623.93894399982</v>
      </c>
      <c r="S130" s="1">
        <f t="shared" si="11"/>
        <v>7120290.0380159989</v>
      </c>
      <c r="T130" s="1">
        <f t="shared" si="12"/>
        <v>17763060.674426001</v>
      </c>
      <c r="U130" s="11"/>
      <c r="V130" s="11"/>
      <c r="W130" s="11"/>
      <c r="X130" s="12"/>
      <c r="Y130" s="12"/>
      <c r="Z130" s="12"/>
      <c r="AA130" s="12"/>
      <c r="AB130" s="12"/>
      <c r="AC130" s="12"/>
      <c r="AD130" s="12"/>
      <c r="AE130" s="12"/>
      <c r="AF130" s="12"/>
      <c r="AG130" s="12"/>
      <c r="AH130" s="12"/>
      <c r="AI130" s="12"/>
      <c r="AJ130" s="12"/>
      <c r="AK130" s="12"/>
      <c r="AL130" s="12"/>
      <c r="AM130" s="12"/>
      <c r="AN130" s="12"/>
      <c r="AO130" s="12"/>
      <c r="AP130" s="12"/>
      <c r="AQ130" s="12"/>
      <c r="AR130" s="12"/>
      <c r="AS130" s="12"/>
      <c r="AT130" s="12"/>
      <c r="AU130" s="12"/>
      <c r="AV130" s="12"/>
      <c r="AW130" s="12"/>
      <c r="AX130" s="12"/>
      <c r="AY130" s="12"/>
      <c r="AZ130" s="12"/>
      <c r="BA130" s="12"/>
      <c r="BB130" s="12"/>
      <c r="BC130" s="12"/>
      <c r="BD130" s="12"/>
      <c r="BE130" s="12"/>
      <c r="BF130" s="12"/>
      <c r="BG130" s="12"/>
      <c r="BH130" s="12"/>
      <c r="BI130" s="12"/>
      <c r="BJ130" s="12"/>
      <c r="BK130" s="12"/>
      <c r="BL130" s="12"/>
      <c r="BM130" s="12"/>
      <c r="BN130" s="12"/>
      <c r="BO130" s="12"/>
      <c r="BP130" s="12"/>
      <c r="BQ130" s="12"/>
      <c r="BR130" s="12"/>
      <c r="BS130" s="12"/>
      <c r="BT130" s="12"/>
      <c r="BU130" s="12"/>
      <c r="BV130" s="12"/>
      <c r="BW130" s="12"/>
      <c r="BX130" s="12"/>
      <c r="BY130" s="12"/>
      <c r="BZ130" s="12"/>
      <c r="CA130" s="12"/>
      <c r="CB130" s="12"/>
      <c r="CC130" s="12"/>
      <c r="CD130" s="12"/>
      <c r="CE130" s="12"/>
      <c r="CF130" s="12"/>
      <c r="CG130" s="12"/>
      <c r="CH130" s="12"/>
      <c r="CI130" s="12"/>
      <c r="CJ130" s="12"/>
      <c r="CK130" s="12"/>
      <c r="CL130" s="12"/>
      <c r="CM130" s="12"/>
      <c r="CN130" s="12"/>
      <c r="CO130" s="12"/>
      <c r="CP130" s="12"/>
      <c r="CQ130" s="12"/>
      <c r="CR130" s="12"/>
      <c r="CS130" s="12"/>
      <c r="CT130" s="12"/>
      <c r="CU130" s="12"/>
      <c r="CV130" s="12"/>
      <c r="CW130" s="12"/>
      <c r="CX130" s="12"/>
      <c r="CY130" s="12"/>
      <c r="CZ130" s="12"/>
      <c r="DA130" s="12"/>
      <c r="DB130" s="12"/>
      <c r="DC130" s="12"/>
      <c r="DD130" s="12"/>
      <c r="DE130" s="12"/>
      <c r="DF130" s="12"/>
      <c r="DG130" s="12"/>
      <c r="DH130" s="12"/>
      <c r="DI130" s="12"/>
      <c r="DJ130" s="12"/>
      <c r="DK130" s="12"/>
      <c r="DL130" s="12"/>
      <c r="DM130" s="12"/>
      <c r="DN130" s="12"/>
      <c r="DO130" s="12"/>
      <c r="DP130" s="12"/>
      <c r="DQ130" s="12"/>
      <c r="DR130" s="12"/>
      <c r="DS130" s="12"/>
      <c r="DT130" s="12"/>
      <c r="DU130" s="12"/>
      <c r="DV130" s="12"/>
      <c r="DW130" s="12"/>
      <c r="DX130" s="12"/>
      <c r="DY130" s="12"/>
      <c r="DZ130" s="12"/>
      <c r="EA130" s="12"/>
      <c r="EB130" s="12"/>
      <c r="EC130" s="12"/>
      <c r="ED130" s="12"/>
      <c r="EE130" s="12"/>
      <c r="EF130" s="12"/>
      <c r="EG130" s="12"/>
      <c r="EH130" s="12"/>
      <c r="EI130" s="12"/>
      <c r="EJ130" s="12"/>
      <c r="EK130" s="12"/>
      <c r="EL130" s="12"/>
      <c r="EM130" s="12"/>
      <c r="EN130" s="12"/>
      <c r="EO130" s="12"/>
      <c r="EP130" s="12"/>
      <c r="EQ130" s="12"/>
      <c r="ER130" s="12"/>
      <c r="ES130" s="12"/>
      <c r="ET130" s="12"/>
      <c r="EU130" s="12"/>
      <c r="EV130" s="12"/>
      <c r="EW130" s="12"/>
      <c r="EX130" s="12"/>
      <c r="EY130" s="12"/>
      <c r="EZ130" s="12"/>
      <c r="FA130" s="12"/>
      <c r="FB130" s="12"/>
      <c r="FC130" s="12"/>
      <c r="FD130" s="12"/>
      <c r="FE130" s="12"/>
      <c r="FF130" s="12"/>
      <c r="FG130" s="12"/>
      <c r="FH130" s="12"/>
      <c r="FI130" s="12"/>
      <c r="FJ130" s="12"/>
      <c r="FK130" s="12"/>
      <c r="FL130" s="12"/>
      <c r="FM130" s="12"/>
      <c r="FN130" s="12"/>
      <c r="FO130" s="12"/>
      <c r="FP130" s="12"/>
      <c r="FQ130" s="12"/>
      <c r="FR130" s="12"/>
      <c r="FS130" s="12"/>
      <c r="FT130" s="12"/>
      <c r="FU130" s="12"/>
      <c r="FV130" s="12"/>
      <c r="FW130" s="12"/>
      <c r="FX130" s="12"/>
      <c r="FY130" s="12"/>
      <c r="FZ130" s="12"/>
      <c r="GA130" s="12"/>
      <c r="GB130" s="12"/>
      <c r="GC130" s="12"/>
      <c r="GD130" s="12"/>
      <c r="GE130" s="12"/>
    </row>
    <row r="131" spans="1:187" ht="24.75" customHeight="1">
      <c r="A131" s="45"/>
      <c r="B131" s="9" t="s">
        <v>387</v>
      </c>
      <c r="C131" s="10" t="s">
        <v>388</v>
      </c>
      <c r="D131" s="10" t="s">
        <v>390</v>
      </c>
      <c r="E131" s="35">
        <v>66.92</v>
      </c>
      <c r="F131" s="35">
        <f>111.451-E131</f>
        <v>44.530999999999992</v>
      </c>
      <c r="G131" s="35">
        <v>5.8</v>
      </c>
      <c r="H131" s="35">
        <v>75.2</v>
      </c>
      <c r="I131" s="35">
        <f t="shared" si="7"/>
        <v>192.45099999999999</v>
      </c>
      <c r="J131" s="56">
        <f>'2021'!J132</f>
        <v>188.3</v>
      </c>
      <c r="K131" s="49">
        <v>6914.73</v>
      </c>
      <c r="L131" s="49">
        <v>7191.32</v>
      </c>
      <c r="M131" s="49">
        <v>2229.5832</v>
      </c>
      <c r="N131" s="49">
        <v>2318.7665280000001</v>
      </c>
      <c r="O131" s="56"/>
      <c r="P131" s="1">
        <f t="shared" si="8"/>
        <v>313530.02385599999</v>
      </c>
      <c r="Q131" s="1">
        <f t="shared" si="9"/>
        <v>208634.27215079995</v>
      </c>
      <c r="R131" s="1">
        <f t="shared" si="10"/>
        <v>28260.810137599998</v>
      </c>
      <c r="S131" s="1">
        <f t="shared" si="11"/>
        <v>366416.02109439997</v>
      </c>
      <c r="T131" s="1">
        <f t="shared" si="12"/>
        <v>916841.12723879982</v>
      </c>
      <c r="U131" s="11"/>
      <c r="V131" s="11"/>
      <c r="W131" s="11"/>
      <c r="X131" s="12"/>
      <c r="Y131" s="12"/>
      <c r="Z131" s="12"/>
      <c r="AA131" s="12"/>
      <c r="AB131" s="12"/>
      <c r="AC131" s="12"/>
      <c r="AD131" s="12"/>
      <c r="AE131" s="12"/>
      <c r="AF131" s="12"/>
      <c r="AG131" s="12"/>
      <c r="AH131" s="12"/>
      <c r="AI131" s="12"/>
      <c r="AJ131" s="12"/>
      <c r="AK131" s="12"/>
      <c r="AL131" s="12"/>
      <c r="AM131" s="12"/>
      <c r="AN131" s="12"/>
      <c r="AO131" s="12"/>
      <c r="AP131" s="12"/>
      <c r="AQ131" s="12"/>
      <c r="AR131" s="12"/>
      <c r="AS131" s="12"/>
      <c r="AT131" s="12"/>
      <c r="AU131" s="12"/>
      <c r="AV131" s="12"/>
      <c r="AW131" s="12"/>
      <c r="AX131" s="12"/>
      <c r="AY131" s="12"/>
      <c r="AZ131" s="12"/>
      <c r="BA131" s="12"/>
      <c r="BB131" s="12"/>
      <c r="BC131" s="12"/>
      <c r="BD131" s="12"/>
      <c r="BE131" s="12"/>
      <c r="BF131" s="12"/>
      <c r="BG131" s="12"/>
      <c r="BH131" s="12"/>
      <c r="BI131" s="12"/>
      <c r="BJ131" s="12"/>
      <c r="BK131" s="12"/>
      <c r="BL131" s="12"/>
      <c r="BM131" s="12"/>
      <c r="BN131" s="12"/>
      <c r="BO131" s="12"/>
      <c r="BP131" s="12"/>
      <c r="BQ131" s="12"/>
      <c r="BR131" s="12"/>
      <c r="BS131" s="12"/>
      <c r="BT131" s="12"/>
      <c r="BU131" s="12"/>
      <c r="BV131" s="12"/>
      <c r="BW131" s="12"/>
      <c r="BX131" s="12"/>
      <c r="BY131" s="12"/>
      <c r="BZ131" s="12"/>
      <c r="CA131" s="12"/>
      <c r="CB131" s="12"/>
      <c r="CC131" s="12"/>
      <c r="CD131" s="12"/>
      <c r="CE131" s="12"/>
      <c r="CF131" s="12"/>
      <c r="CG131" s="12"/>
      <c r="CH131" s="12"/>
      <c r="CI131" s="12"/>
      <c r="CJ131" s="12"/>
      <c r="CK131" s="12"/>
      <c r="CL131" s="12"/>
      <c r="CM131" s="12"/>
      <c r="CN131" s="12"/>
      <c r="CO131" s="12"/>
      <c r="CP131" s="12"/>
      <c r="CQ131" s="12"/>
      <c r="CR131" s="12"/>
      <c r="CS131" s="12"/>
      <c r="CT131" s="12"/>
      <c r="CU131" s="12"/>
      <c r="CV131" s="12"/>
      <c r="CW131" s="12"/>
      <c r="CX131" s="12"/>
      <c r="CY131" s="12"/>
      <c r="CZ131" s="12"/>
      <c r="DA131" s="12"/>
      <c r="DB131" s="12"/>
      <c r="DC131" s="12"/>
      <c r="DD131" s="12"/>
      <c r="DE131" s="12"/>
      <c r="DF131" s="12"/>
      <c r="DG131" s="12"/>
      <c r="DH131" s="12"/>
      <c r="DI131" s="12"/>
      <c r="DJ131" s="12"/>
      <c r="DK131" s="12"/>
      <c r="DL131" s="12"/>
      <c r="DM131" s="12"/>
      <c r="DN131" s="12"/>
      <c r="DO131" s="12"/>
      <c r="DP131" s="12"/>
      <c r="DQ131" s="12"/>
      <c r="DR131" s="12"/>
      <c r="DS131" s="12"/>
      <c r="DT131" s="12"/>
      <c r="DU131" s="12"/>
      <c r="DV131" s="12"/>
      <c r="DW131" s="12"/>
      <c r="DX131" s="12"/>
      <c r="DY131" s="12"/>
      <c r="DZ131" s="12"/>
      <c r="EA131" s="12"/>
      <c r="EB131" s="12"/>
      <c r="EC131" s="12"/>
      <c r="ED131" s="12"/>
      <c r="EE131" s="12"/>
      <c r="EF131" s="12"/>
      <c r="EG131" s="12"/>
      <c r="EH131" s="12"/>
      <c r="EI131" s="12"/>
      <c r="EJ131" s="12"/>
      <c r="EK131" s="12"/>
      <c r="EL131" s="12"/>
      <c r="EM131" s="12"/>
      <c r="EN131" s="12"/>
      <c r="EO131" s="12"/>
      <c r="EP131" s="12"/>
      <c r="EQ131" s="12"/>
      <c r="ER131" s="12"/>
      <c r="ES131" s="12"/>
      <c r="ET131" s="12"/>
      <c r="EU131" s="12"/>
      <c r="EV131" s="12"/>
      <c r="EW131" s="12"/>
      <c r="EX131" s="12"/>
      <c r="EY131" s="12"/>
      <c r="EZ131" s="12"/>
      <c r="FA131" s="12"/>
      <c r="FB131" s="12"/>
      <c r="FC131" s="12"/>
      <c r="FD131" s="12"/>
      <c r="FE131" s="12"/>
      <c r="FF131" s="12"/>
      <c r="FG131" s="12"/>
      <c r="FH131" s="12"/>
      <c r="FI131" s="12"/>
      <c r="FJ131" s="12"/>
      <c r="FK131" s="12"/>
      <c r="FL131" s="12"/>
      <c r="FM131" s="12"/>
      <c r="FN131" s="12"/>
      <c r="FO131" s="12"/>
      <c r="FP131" s="12"/>
      <c r="FQ131" s="12"/>
      <c r="FR131" s="12"/>
      <c r="FS131" s="12"/>
      <c r="FT131" s="12"/>
      <c r="FU131" s="12"/>
      <c r="FV131" s="12"/>
      <c r="FW131" s="12"/>
      <c r="FX131" s="12"/>
      <c r="FY131" s="12"/>
      <c r="FZ131" s="12"/>
      <c r="GA131" s="12"/>
      <c r="GB131" s="12"/>
      <c r="GC131" s="12"/>
      <c r="GD131" s="12"/>
      <c r="GE131" s="12"/>
    </row>
    <row r="132" spans="1:187" ht="24.75" customHeight="1">
      <c r="A132" s="45"/>
      <c r="B132" s="9" t="s">
        <v>277</v>
      </c>
      <c r="C132" s="10" t="s">
        <v>172</v>
      </c>
      <c r="D132" s="10" t="s">
        <v>427</v>
      </c>
      <c r="E132" s="61">
        <f>902.5548*0.6</f>
        <v>541.53287999999998</v>
      </c>
      <c r="F132" s="61">
        <f>902.5548*0.4</f>
        <v>361.02192000000002</v>
      </c>
      <c r="G132" s="61">
        <f>720.7452*0.2</f>
        <v>144.14903999999999</v>
      </c>
      <c r="H132" s="61">
        <f>720.7452*0.8</f>
        <v>576.59615999999994</v>
      </c>
      <c r="I132" s="35">
        <f t="shared" si="7"/>
        <v>1623.2999999999997</v>
      </c>
      <c r="J132" s="56">
        <f>'2021'!J133</f>
        <v>1623.3</v>
      </c>
      <c r="K132" s="49">
        <v>3898.6584000000003</v>
      </c>
      <c r="L132" s="49">
        <v>4054.6047360000002</v>
      </c>
      <c r="M132" s="49">
        <v>1893.71</v>
      </c>
      <c r="N132" s="49">
        <v>1969.4638080000002</v>
      </c>
      <c r="O132" s="56"/>
      <c r="P132" s="1">
        <f t="shared" si="8"/>
        <v>1085745.481303392</v>
      </c>
      <c r="Q132" s="1">
        <f t="shared" si="9"/>
        <v>723830.3208689281</v>
      </c>
      <c r="R132" s="1">
        <f t="shared" si="10"/>
        <v>300571.06303590909</v>
      </c>
      <c r="S132" s="1">
        <f t="shared" si="11"/>
        <v>1202284.2521436363</v>
      </c>
      <c r="T132" s="1">
        <f t="shared" si="12"/>
        <v>3312431.1173518654</v>
      </c>
      <c r="U132" s="11"/>
      <c r="V132" s="11"/>
      <c r="W132" s="11"/>
      <c r="X132" s="12"/>
      <c r="Y132" s="12"/>
      <c r="Z132" s="12"/>
      <c r="AA132" s="12"/>
      <c r="AB132" s="12"/>
      <c r="AC132" s="12"/>
      <c r="AD132" s="12"/>
      <c r="AE132" s="12"/>
      <c r="AF132" s="12"/>
      <c r="AG132" s="12"/>
      <c r="AH132" s="12"/>
      <c r="AI132" s="12"/>
      <c r="AJ132" s="12"/>
      <c r="AK132" s="12"/>
      <c r="AL132" s="12"/>
      <c r="AM132" s="12"/>
      <c r="AN132" s="12"/>
      <c r="AO132" s="12"/>
      <c r="AP132" s="12"/>
      <c r="AQ132" s="12"/>
      <c r="AR132" s="12"/>
      <c r="AS132" s="12"/>
      <c r="AT132" s="12"/>
      <c r="AU132" s="12"/>
      <c r="AV132" s="12"/>
      <c r="AW132" s="12"/>
      <c r="AX132" s="12"/>
      <c r="AY132" s="12"/>
      <c r="AZ132" s="12"/>
      <c r="BA132" s="12"/>
      <c r="BB132" s="12"/>
      <c r="BC132" s="12"/>
      <c r="BD132" s="12"/>
      <c r="BE132" s="12"/>
      <c r="BF132" s="12"/>
      <c r="BG132" s="12"/>
      <c r="BH132" s="12"/>
      <c r="BI132" s="12"/>
      <c r="BJ132" s="12"/>
      <c r="BK132" s="12"/>
      <c r="BL132" s="12"/>
      <c r="BM132" s="12"/>
      <c r="BN132" s="12"/>
      <c r="BO132" s="12"/>
      <c r="BP132" s="12"/>
      <c r="BQ132" s="12"/>
      <c r="BR132" s="12"/>
      <c r="BS132" s="12"/>
      <c r="BT132" s="12"/>
      <c r="BU132" s="12"/>
      <c r="BV132" s="12"/>
      <c r="BW132" s="12"/>
      <c r="BX132" s="12"/>
      <c r="BY132" s="12"/>
      <c r="BZ132" s="12"/>
      <c r="CA132" s="12"/>
      <c r="CB132" s="12"/>
      <c r="CC132" s="12"/>
      <c r="CD132" s="12"/>
      <c r="CE132" s="12"/>
      <c r="CF132" s="12"/>
      <c r="CG132" s="12"/>
      <c r="CH132" s="12"/>
      <c r="CI132" s="12"/>
      <c r="CJ132" s="12"/>
      <c r="CK132" s="12"/>
      <c r="CL132" s="12"/>
      <c r="CM132" s="12"/>
      <c r="CN132" s="12"/>
      <c r="CO132" s="12"/>
      <c r="CP132" s="12"/>
      <c r="CQ132" s="12"/>
      <c r="CR132" s="12"/>
      <c r="CS132" s="12"/>
      <c r="CT132" s="12"/>
      <c r="CU132" s="12"/>
      <c r="CV132" s="12"/>
      <c r="CW132" s="12"/>
      <c r="CX132" s="12"/>
      <c r="CY132" s="12"/>
      <c r="CZ132" s="12"/>
      <c r="DA132" s="12"/>
      <c r="DB132" s="12"/>
      <c r="DC132" s="12"/>
      <c r="DD132" s="12"/>
      <c r="DE132" s="12"/>
      <c r="DF132" s="12"/>
      <c r="DG132" s="12"/>
      <c r="DH132" s="12"/>
      <c r="DI132" s="12"/>
      <c r="DJ132" s="12"/>
      <c r="DK132" s="12"/>
      <c r="DL132" s="12"/>
      <c r="DM132" s="12"/>
      <c r="DN132" s="12"/>
      <c r="DO132" s="12"/>
      <c r="DP132" s="12"/>
      <c r="DQ132" s="12"/>
      <c r="DR132" s="12"/>
      <c r="DS132" s="12"/>
      <c r="DT132" s="12"/>
      <c r="DU132" s="12"/>
      <c r="DV132" s="12"/>
      <c r="DW132" s="12"/>
      <c r="DX132" s="12"/>
      <c r="DY132" s="12"/>
      <c r="DZ132" s="12"/>
      <c r="EA132" s="12"/>
      <c r="EB132" s="12"/>
      <c r="EC132" s="12"/>
      <c r="ED132" s="12"/>
      <c r="EE132" s="12"/>
      <c r="EF132" s="12"/>
      <c r="EG132" s="12"/>
      <c r="EH132" s="12"/>
      <c r="EI132" s="12"/>
      <c r="EJ132" s="12"/>
      <c r="EK132" s="12"/>
      <c r="EL132" s="12"/>
      <c r="EM132" s="12"/>
      <c r="EN132" s="12"/>
      <c r="EO132" s="12"/>
      <c r="EP132" s="12"/>
      <c r="EQ132" s="12"/>
      <c r="ER132" s="12"/>
      <c r="ES132" s="12"/>
      <c r="ET132" s="12"/>
      <c r="EU132" s="12"/>
      <c r="EV132" s="12"/>
      <c r="EW132" s="12"/>
      <c r="EX132" s="12"/>
      <c r="EY132" s="12"/>
      <c r="EZ132" s="12"/>
      <c r="FA132" s="12"/>
      <c r="FB132" s="12"/>
      <c r="FC132" s="12"/>
      <c r="FD132" s="12"/>
      <c r="FE132" s="12"/>
      <c r="FF132" s="12"/>
      <c r="FG132" s="12"/>
      <c r="FH132" s="12"/>
      <c r="FI132" s="12"/>
      <c r="FJ132" s="12"/>
      <c r="FK132" s="12"/>
      <c r="FL132" s="12"/>
      <c r="FM132" s="12"/>
      <c r="FN132" s="12"/>
      <c r="FO132" s="12"/>
      <c r="FP132" s="12"/>
      <c r="FQ132" s="12"/>
      <c r="FR132" s="12"/>
      <c r="FS132" s="12"/>
      <c r="FT132" s="12"/>
      <c r="FU132" s="12"/>
      <c r="FV132" s="12"/>
      <c r="FW132" s="12"/>
      <c r="FX132" s="12"/>
      <c r="FY132" s="12"/>
      <c r="FZ132" s="12"/>
      <c r="GA132" s="12"/>
      <c r="GB132" s="12"/>
      <c r="GC132" s="12"/>
      <c r="GD132" s="12"/>
      <c r="GE132" s="12"/>
    </row>
    <row r="133" spans="1:187" ht="24.75" customHeight="1">
      <c r="A133" s="45"/>
      <c r="B133" s="9" t="s">
        <v>277</v>
      </c>
      <c r="C133" s="10" t="s">
        <v>172</v>
      </c>
      <c r="D133" s="10" t="s">
        <v>422</v>
      </c>
      <c r="E133" s="61">
        <f>181.9232*0.6</f>
        <v>109.15392</v>
      </c>
      <c r="F133" s="61">
        <f>181.9232*0.4</f>
        <v>72.769280000000009</v>
      </c>
      <c r="G133" s="61">
        <f>145.2768*0.2</f>
        <v>29.055360000000004</v>
      </c>
      <c r="H133" s="61">
        <f>145.2768*0.8</f>
        <v>116.22144000000002</v>
      </c>
      <c r="I133" s="35">
        <f t="shared" si="7"/>
        <v>327.20000000000005</v>
      </c>
      <c r="J133" s="56">
        <f>'2021'!J134</f>
        <v>327.2</v>
      </c>
      <c r="K133" s="49">
        <v>9491.4663999999993</v>
      </c>
      <c r="L133" s="49">
        <v>9871.1250559999989</v>
      </c>
      <c r="M133" s="49">
        <v>1893.71</v>
      </c>
      <c r="N133" s="49">
        <v>1969.4638080000002</v>
      </c>
      <c r="O133" s="56"/>
      <c r="P133" s="1">
        <f t="shared" si="8"/>
        <v>829324.8942650879</v>
      </c>
      <c r="Q133" s="1">
        <f t="shared" si="9"/>
        <v>552883.26284339197</v>
      </c>
      <c r="R133" s="1">
        <f t="shared" si="10"/>
        <v>229585.61215868927</v>
      </c>
      <c r="S133" s="1">
        <f t="shared" si="11"/>
        <v>918342.44863475708</v>
      </c>
      <c r="T133" s="1">
        <f t="shared" si="12"/>
        <v>2530136.217901926</v>
      </c>
      <c r="U133" s="11"/>
      <c r="V133" s="11"/>
      <c r="W133" s="11"/>
      <c r="X133" s="12"/>
      <c r="Y133" s="12"/>
      <c r="Z133" s="12"/>
      <c r="AA133" s="12"/>
      <c r="AB133" s="12"/>
      <c r="AC133" s="12"/>
      <c r="AD133" s="12"/>
      <c r="AE133" s="12"/>
      <c r="AF133" s="12"/>
      <c r="AG133" s="12"/>
      <c r="AH133" s="12"/>
      <c r="AI133" s="12"/>
      <c r="AJ133" s="12"/>
      <c r="AK133" s="12"/>
      <c r="AL133" s="12"/>
      <c r="AM133" s="12"/>
      <c r="AN133" s="12"/>
      <c r="AO133" s="12"/>
      <c r="AP133" s="12"/>
      <c r="AQ133" s="12"/>
      <c r="AR133" s="12"/>
      <c r="AS133" s="12"/>
      <c r="AT133" s="12"/>
      <c r="AU133" s="12"/>
      <c r="AV133" s="12"/>
      <c r="AW133" s="12"/>
      <c r="AX133" s="12"/>
      <c r="AY133" s="12"/>
      <c r="AZ133" s="12"/>
      <c r="BA133" s="12"/>
      <c r="BB133" s="12"/>
      <c r="BC133" s="12"/>
      <c r="BD133" s="12"/>
      <c r="BE133" s="12"/>
      <c r="BF133" s="12"/>
      <c r="BG133" s="12"/>
      <c r="BH133" s="12"/>
      <c r="BI133" s="12"/>
      <c r="BJ133" s="12"/>
      <c r="BK133" s="12"/>
      <c r="BL133" s="12"/>
      <c r="BM133" s="12"/>
      <c r="BN133" s="12"/>
      <c r="BO133" s="12"/>
      <c r="BP133" s="12"/>
      <c r="BQ133" s="12"/>
      <c r="BR133" s="12"/>
      <c r="BS133" s="12"/>
      <c r="BT133" s="12"/>
      <c r="BU133" s="12"/>
      <c r="BV133" s="12"/>
      <c r="BW133" s="12"/>
      <c r="BX133" s="12"/>
      <c r="BY133" s="12"/>
      <c r="BZ133" s="12"/>
      <c r="CA133" s="12"/>
      <c r="CB133" s="12"/>
      <c r="CC133" s="12"/>
      <c r="CD133" s="12"/>
      <c r="CE133" s="12"/>
      <c r="CF133" s="12"/>
      <c r="CG133" s="12"/>
      <c r="CH133" s="12"/>
      <c r="CI133" s="12"/>
      <c r="CJ133" s="12"/>
      <c r="CK133" s="12"/>
      <c r="CL133" s="12"/>
      <c r="CM133" s="12"/>
      <c r="CN133" s="12"/>
      <c r="CO133" s="12"/>
      <c r="CP133" s="12"/>
      <c r="CQ133" s="12"/>
      <c r="CR133" s="12"/>
      <c r="CS133" s="12"/>
      <c r="CT133" s="12"/>
      <c r="CU133" s="12"/>
      <c r="CV133" s="12"/>
      <c r="CW133" s="12"/>
      <c r="CX133" s="12"/>
      <c r="CY133" s="12"/>
      <c r="CZ133" s="12"/>
      <c r="DA133" s="12"/>
      <c r="DB133" s="12"/>
      <c r="DC133" s="12"/>
      <c r="DD133" s="12"/>
      <c r="DE133" s="12"/>
      <c r="DF133" s="12"/>
      <c r="DG133" s="12"/>
      <c r="DH133" s="12"/>
      <c r="DI133" s="12"/>
      <c r="DJ133" s="12"/>
      <c r="DK133" s="12"/>
      <c r="DL133" s="12"/>
      <c r="DM133" s="12"/>
      <c r="DN133" s="12"/>
      <c r="DO133" s="12"/>
      <c r="DP133" s="12"/>
      <c r="DQ133" s="12"/>
      <c r="DR133" s="12"/>
      <c r="DS133" s="12"/>
      <c r="DT133" s="12"/>
      <c r="DU133" s="12"/>
      <c r="DV133" s="12"/>
      <c r="DW133" s="12"/>
      <c r="DX133" s="12"/>
      <c r="DY133" s="12"/>
      <c r="DZ133" s="12"/>
      <c r="EA133" s="12"/>
      <c r="EB133" s="12"/>
      <c r="EC133" s="12"/>
      <c r="ED133" s="12"/>
      <c r="EE133" s="12"/>
      <c r="EF133" s="12"/>
      <c r="EG133" s="12"/>
      <c r="EH133" s="12"/>
      <c r="EI133" s="12"/>
      <c r="EJ133" s="12"/>
      <c r="EK133" s="12"/>
      <c r="EL133" s="12"/>
      <c r="EM133" s="12"/>
      <c r="EN133" s="12"/>
      <c r="EO133" s="12"/>
      <c r="EP133" s="12"/>
      <c r="EQ133" s="12"/>
      <c r="ER133" s="12"/>
      <c r="ES133" s="12"/>
      <c r="ET133" s="12"/>
      <c r="EU133" s="12"/>
      <c r="EV133" s="12"/>
      <c r="EW133" s="12"/>
      <c r="EX133" s="12"/>
      <c r="EY133" s="12"/>
      <c r="EZ133" s="12"/>
      <c r="FA133" s="12"/>
      <c r="FB133" s="12"/>
      <c r="FC133" s="12"/>
      <c r="FD133" s="12"/>
      <c r="FE133" s="12"/>
      <c r="FF133" s="12"/>
      <c r="FG133" s="12"/>
      <c r="FH133" s="12"/>
      <c r="FI133" s="12"/>
      <c r="FJ133" s="12"/>
      <c r="FK133" s="12"/>
      <c r="FL133" s="12"/>
      <c r="FM133" s="12"/>
      <c r="FN133" s="12"/>
      <c r="FO133" s="12"/>
      <c r="FP133" s="12"/>
      <c r="FQ133" s="12"/>
      <c r="FR133" s="12"/>
      <c r="FS133" s="12"/>
      <c r="FT133" s="12"/>
      <c r="FU133" s="12"/>
      <c r="FV133" s="12"/>
      <c r="FW133" s="12"/>
      <c r="FX133" s="12"/>
      <c r="FY133" s="12"/>
      <c r="FZ133" s="12"/>
      <c r="GA133" s="12"/>
      <c r="GB133" s="12"/>
      <c r="GC133" s="12"/>
      <c r="GD133" s="12"/>
      <c r="GE133" s="12"/>
    </row>
    <row r="134" spans="1:187" ht="24.75" customHeight="1">
      <c r="A134" s="45"/>
      <c r="B134" s="9" t="s">
        <v>277</v>
      </c>
      <c r="C134" s="10" t="s">
        <v>172</v>
      </c>
      <c r="D134" s="10" t="s">
        <v>423</v>
      </c>
      <c r="E134" s="61">
        <f>378.4692*0.6</f>
        <v>227.08151999999998</v>
      </c>
      <c r="F134" s="61">
        <f>378.4692*0.4</f>
        <v>151.38768000000002</v>
      </c>
      <c r="G134" s="61">
        <f>302.2308*0.2</f>
        <v>60.446159999999999</v>
      </c>
      <c r="H134" s="61">
        <f>302.2308*0.8</f>
        <v>241.78464</v>
      </c>
      <c r="I134" s="35">
        <f t="shared" si="7"/>
        <v>680.7</v>
      </c>
      <c r="J134" s="56">
        <f>'2021'!J135</f>
        <v>680.7</v>
      </c>
      <c r="K134" s="49">
        <v>6265.0432000000001</v>
      </c>
      <c r="L134" s="49">
        <v>6515.6449280000006</v>
      </c>
      <c r="M134" s="49">
        <v>1893.71</v>
      </c>
      <c r="N134" s="49">
        <v>1969.4638080000002</v>
      </c>
      <c r="O134" s="56">
        <f t="shared" si="13"/>
        <v>4371.3332</v>
      </c>
      <c r="P134" s="1">
        <f t="shared" si="8"/>
        <v>992648.98748246394</v>
      </c>
      <c r="Q134" s="1">
        <f t="shared" si="9"/>
        <v>661765.99165497604</v>
      </c>
      <c r="R134" s="1">
        <f t="shared" si="10"/>
        <v>274799.19136849919</v>
      </c>
      <c r="S134" s="1">
        <f t="shared" si="11"/>
        <v>1099196.7654739968</v>
      </c>
      <c r="T134" s="1">
        <f t="shared" si="12"/>
        <v>3028410.9359799358</v>
      </c>
      <c r="U134" s="11"/>
      <c r="V134" s="11"/>
      <c r="W134" s="11"/>
      <c r="X134" s="12"/>
      <c r="Y134" s="12"/>
      <c r="Z134" s="12"/>
      <c r="AA134" s="12"/>
      <c r="AB134" s="12"/>
      <c r="AC134" s="12"/>
      <c r="AD134" s="12"/>
      <c r="AE134" s="12"/>
      <c r="AF134" s="12"/>
      <c r="AG134" s="12"/>
      <c r="AH134" s="12"/>
      <c r="AI134" s="12"/>
      <c r="AJ134" s="12"/>
      <c r="AK134" s="12"/>
      <c r="AL134" s="12"/>
      <c r="AM134" s="12"/>
      <c r="AN134" s="12"/>
      <c r="AO134" s="12"/>
      <c r="AP134" s="12"/>
      <c r="AQ134" s="12"/>
      <c r="AR134" s="12"/>
      <c r="AS134" s="12"/>
      <c r="AT134" s="12"/>
      <c r="AU134" s="12"/>
      <c r="AV134" s="12"/>
      <c r="AW134" s="12"/>
      <c r="AX134" s="12"/>
      <c r="AY134" s="12"/>
      <c r="AZ134" s="12"/>
      <c r="BA134" s="12"/>
      <c r="BB134" s="12"/>
      <c r="BC134" s="12"/>
      <c r="BD134" s="12"/>
      <c r="BE134" s="12"/>
      <c r="BF134" s="12"/>
      <c r="BG134" s="12"/>
      <c r="BH134" s="12"/>
      <c r="BI134" s="12"/>
      <c r="BJ134" s="12"/>
      <c r="BK134" s="12"/>
      <c r="BL134" s="12"/>
      <c r="BM134" s="12"/>
      <c r="BN134" s="12"/>
      <c r="BO134" s="12"/>
      <c r="BP134" s="12"/>
      <c r="BQ134" s="12"/>
      <c r="BR134" s="12"/>
      <c r="BS134" s="12"/>
      <c r="BT134" s="12"/>
      <c r="BU134" s="12"/>
      <c r="BV134" s="12"/>
      <c r="BW134" s="12"/>
      <c r="BX134" s="12"/>
      <c r="BY134" s="12"/>
      <c r="BZ134" s="12"/>
      <c r="CA134" s="12"/>
      <c r="CB134" s="12"/>
      <c r="CC134" s="12"/>
      <c r="CD134" s="12"/>
      <c r="CE134" s="12"/>
      <c r="CF134" s="12"/>
      <c r="CG134" s="12"/>
      <c r="CH134" s="12"/>
      <c r="CI134" s="12"/>
      <c r="CJ134" s="12"/>
      <c r="CK134" s="12"/>
      <c r="CL134" s="12"/>
      <c r="CM134" s="12"/>
      <c r="CN134" s="12"/>
      <c r="CO134" s="12"/>
      <c r="CP134" s="12"/>
      <c r="CQ134" s="12"/>
      <c r="CR134" s="12"/>
      <c r="CS134" s="12"/>
      <c r="CT134" s="12"/>
      <c r="CU134" s="12"/>
      <c r="CV134" s="12"/>
      <c r="CW134" s="12"/>
      <c r="CX134" s="12"/>
      <c r="CY134" s="12"/>
      <c r="CZ134" s="12"/>
      <c r="DA134" s="12"/>
      <c r="DB134" s="12"/>
      <c r="DC134" s="12"/>
      <c r="DD134" s="12"/>
      <c r="DE134" s="12"/>
      <c r="DF134" s="12"/>
      <c r="DG134" s="12"/>
      <c r="DH134" s="12"/>
      <c r="DI134" s="12"/>
      <c r="DJ134" s="12"/>
      <c r="DK134" s="12"/>
      <c r="DL134" s="12"/>
      <c r="DM134" s="12"/>
      <c r="DN134" s="12"/>
      <c r="DO134" s="12"/>
      <c r="DP134" s="12"/>
      <c r="DQ134" s="12"/>
      <c r="DR134" s="12"/>
      <c r="DS134" s="12"/>
      <c r="DT134" s="12"/>
      <c r="DU134" s="12"/>
      <c r="DV134" s="12"/>
      <c r="DW134" s="12"/>
      <c r="DX134" s="12"/>
      <c r="DY134" s="12"/>
      <c r="DZ134" s="12"/>
      <c r="EA134" s="12"/>
      <c r="EB134" s="12"/>
      <c r="EC134" s="12"/>
      <c r="ED134" s="12"/>
      <c r="EE134" s="12"/>
      <c r="EF134" s="12"/>
      <c r="EG134" s="12"/>
      <c r="EH134" s="12"/>
      <c r="EI134" s="12"/>
      <c r="EJ134" s="12"/>
      <c r="EK134" s="12"/>
      <c r="EL134" s="12"/>
      <c r="EM134" s="12"/>
      <c r="EN134" s="12"/>
      <c r="EO134" s="12"/>
      <c r="EP134" s="12"/>
      <c r="EQ134" s="12"/>
      <c r="ER134" s="12"/>
      <c r="ES134" s="12"/>
      <c r="ET134" s="12"/>
      <c r="EU134" s="12"/>
      <c r="EV134" s="12"/>
      <c r="EW134" s="12"/>
      <c r="EX134" s="12"/>
      <c r="EY134" s="12"/>
      <c r="EZ134" s="12"/>
      <c r="FA134" s="12"/>
      <c r="FB134" s="12"/>
      <c r="FC134" s="12"/>
      <c r="FD134" s="12"/>
      <c r="FE134" s="12"/>
      <c r="FF134" s="12"/>
      <c r="FG134" s="12"/>
      <c r="FH134" s="12"/>
      <c r="FI134" s="12"/>
      <c r="FJ134" s="12"/>
      <c r="FK134" s="12"/>
      <c r="FL134" s="12"/>
      <c r="FM134" s="12"/>
      <c r="FN134" s="12"/>
      <c r="FO134" s="12"/>
      <c r="FP134" s="12"/>
      <c r="FQ134" s="12"/>
      <c r="FR134" s="12"/>
      <c r="FS134" s="12"/>
      <c r="FT134" s="12"/>
      <c r="FU134" s="12"/>
      <c r="FV134" s="12"/>
      <c r="FW134" s="12"/>
      <c r="FX134" s="12"/>
      <c r="FY134" s="12"/>
      <c r="FZ134" s="12"/>
      <c r="GA134" s="12"/>
      <c r="GB134" s="12"/>
      <c r="GC134" s="12"/>
      <c r="GD134" s="12"/>
      <c r="GE134" s="12"/>
    </row>
    <row r="135" spans="1:187" ht="24.75" customHeight="1">
      <c r="A135" s="45"/>
      <c r="B135" s="9" t="s">
        <v>277</v>
      </c>
      <c r="C135" s="10" t="s">
        <v>172</v>
      </c>
      <c r="D135" s="10" t="s">
        <v>309</v>
      </c>
      <c r="E135" s="35">
        <f>642.308+556.683</f>
        <v>1198.991</v>
      </c>
      <c r="F135" s="35">
        <f>(642.308+1355.937)-E135</f>
        <v>799.25399999999991</v>
      </c>
      <c r="G135" s="35">
        <v>399.66699999999997</v>
      </c>
      <c r="H135" s="35">
        <f>1598.668-G135</f>
        <v>1199.001</v>
      </c>
      <c r="I135" s="35">
        <f t="shared" si="7"/>
        <v>3596.9129999999996</v>
      </c>
      <c r="J135" s="56">
        <f>'2021'!J136</f>
        <v>3605.6</v>
      </c>
      <c r="K135" s="49">
        <v>3889.2360000000003</v>
      </c>
      <c r="L135" s="49">
        <v>4044.8054400000005</v>
      </c>
      <c r="M135" s="49">
        <v>1453.192</v>
      </c>
      <c r="N135" s="49">
        <v>1511.31</v>
      </c>
      <c r="O135" s="56">
        <f t="shared" si="13"/>
        <v>2436.0440000000003</v>
      </c>
      <c r="P135" s="1">
        <f t="shared" si="8"/>
        <v>2920794.8316040002</v>
      </c>
      <c r="Q135" s="1">
        <f t="shared" si="9"/>
        <v>1947017.911176</v>
      </c>
      <c r="R135" s="1">
        <f t="shared" si="10"/>
        <v>1012554.5220184801</v>
      </c>
      <c r="S135" s="1">
        <f t="shared" si="11"/>
        <v>3037663.5660554408</v>
      </c>
      <c r="T135" s="1">
        <f t="shared" si="12"/>
        <v>8918030.8308539204</v>
      </c>
      <c r="U135" s="11"/>
      <c r="V135" s="11"/>
      <c r="W135" s="11"/>
      <c r="X135" s="12"/>
      <c r="Y135" s="12"/>
      <c r="Z135" s="12"/>
      <c r="AA135" s="12"/>
      <c r="AB135" s="12"/>
      <c r="AC135" s="12"/>
      <c r="AD135" s="12"/>
      <c r="AE135" s="12"/>
      <c r="AF135" s="12"/>
      <c r="AG135" s="12"/>
      <c r="AH135" s="12"/>
      <c r="AI135" s="12"/>
      <c r="AJ135" s="12"/>
      <c r="AK135" s="12"/>
      <c r="AL135" s="12"/>
      <c r="AM135" s="12"/>
      <c r="AN135" s="12"/>
      <c r="AO135" s="12"/>
      <c r="AP135" s="12"/>
      <c r="AQ135" s="12"/>
      <c r="AR135" s="12"/>
      <c r="AS135" s="12"/>
      <c r="AT135" s="12"/>
      <c r="AU135" s="12"/>
      <c r="AV135" s="12"/>
      <c r="AW135" s="12"/>
      <c r="AX135" s="12"/>
      <c r="AY135" s="12"/>
      <c r="AZ135" s="12"/>
      <c r="BA135" s="12"/>
      <c r="BB135" s="12"/>
      <c r="BC135" s="12"/>
      <c r="BD135" s="12"/>
      <c r="BE135" s="12"/>
      <c r="BF135" s="12"/>
      <c r="BG135" s="12"/>
      <c r="BH135" s="12"/>
      <c r="BI135" s="12"/>
      <c r="BJ135" s="12"/>
      <c r="BK135" s="12"/>
      <c r="BL135" s="12"/>
      <c r="BM135" s="12"/>
      <c r="BN135" s="12"/>
      <c r="BO135" s="12"/>
      <c r="BP135" s="12"/>
      <c r="BQ135" s="12"/>
      <c r="BR135" s="12"/>
      <c r="BS135" s="12"/>
      <c r="BT135" s="12"/>
      <c r="BU135" s="12"/>
      <c r="BV135" s="12"/>
      <c r="BW135" s="12"/>
      <c r="BX135" s="12"/>
      <c r="BY135" s="12"/>
      <c r="BZ135" s="12"/>
      <c r="CA135" s="12"/>
      <c r="CB135" s="12"/>
      <c r="CC135" s="12"/>
      <c r="CD135" s="12"/>
      <c r="CE135" s="12"/>
      <c r="CF135" s="12"/>
      <c r="CG135" s="12"/>
      <c r="CH135" s="12"/>
      <c r="CI135" s="12"/>
      <c r="CJ135" s="12"/>
      <c r="CK135" s="12"/>
      <c r="CL135" s="12"/>
      <c r="CM135" s="12"/>
      <c r="CN135" s="12"/>
      <c r="CO135" s="12"/>
      <c r="CP135" s="12"/>
      <c r="CQ135" s="12"/>
      <c r="CR135" s="12"/>
      <c r="CS135" s="12"/>
      <c r="CT135" s="12"/>
      <c r="CU135" s="12"/>
      <c r="CV135" s="12"/>
      <c r="CW135" s="12"/>
      <c r="CX135" s="12"/>
      <c r="CY135" s="12"/>
      <c r="CZ135" s="12"/>
      <c r="DA135" s="12"/>
      <c r="DB135" s="12"/>
      <c r="DC135" s="12"/>
      <c r="DD135" s="12"/>
      <c r="DE135" s="12"/>
      <c r="DF135" s="12"/>
      <c r="DG135" s="12"/>
      <c r="DH135" s="12"/>
      <c r="DI135" s="12"/>
      <c r="DJ135" s="12"/>
      <c r="DK135" s="12"/>
      <c r="DL135" s="12"/>
      <c r="DM135" s="12"/>
      <c r="DN135" s="12"/>
      <c r="DO135" s="12"/>
      <c r="DP135" s="12"/>
      <c r="DQ135" s="12"/>
      <c r="DR135" s="12"/>
      <c r="DS135" s="12"/>
      <c r="DT135" s="12"/>
      <c r="DU135" s="12"/>
      <c r="DV135" s="12"/>
      <c r="DW135" s="12"/>
      <c r="DX135" s="12"/>
      <c r="DY135" s="12"/>
      <c r="DZ135" s="12"/>
      <c r="EA135" s="12"/>
      <c r="EB135" s="12"/>
      <c r="EC135" s="12"/>
      <c r="ED135" s="12"/>
      <c r="EE135" s="12"/>
      <c r="EF135" s="12"/>
      <c r="EG135" s="12"/>
      <c r="EH135" s="12"/>
      <c r="EI135" s="12"/>
      <c r="EJ135" s="12"/>
      <c r="EK135" s="12"/>
      <c r="EL135" s="12"/>
      <c r="EM135" s="12"/>
      <c r="EN135" s="12"/>
      <c r="EO135" s="12"/>
      <c r="EP135" s="12"/>
      <c r="EQ135" s="12"/>
      <c r="ER135" s="12"/>
      <c r="ES135" s="12"/>
      <c r="ET135" s="12"/>
      <c r="EU135" s="12"/>
      <c r="EV135" s="12"/>
      <c r="EW135" s="12"/>
      <c r="EX135" s="12"/>
      <c r="EY135" s="12"/>
      <c r="EZ135" s="12"/>
      <c r="FA135" s="12"/>
      <c r="FB135" s="12"/>
      <c r="FC135" s="12"/>
      <c r="FD135" s="12"/>
      <c r="FE135" s="12"/>
      <c r="FF135" s="12"/>
      <c r="FG135" s="12"/>
      <c r="FH135" s="12"/>
      <c r="FI135" s="12"/>
      <c r="FJ135" s="12"/>
      <c r="FK135" s="12"/>
      <c r="FL135" s="12"/>
      <c r="FM135" s="12"/>
      <c r="FN135" s="12"/>
      <c r="FO135" s="12"/>
      <c r="FP135" s="12"/>
      <c r="FQ135" s="12"/>
      <c r="FR135" s="12"/>
      <c r="FS135" s="12"/>
      <c r="FT135" s="12"/>
      <c r="FU135" s="12"/>
      <c r="FV135" s="12"/>
      <c r="FW135" s="12"/>
      <c r="FX135" s="12"/>
      <c r="FY135" s="12"/>
      <c r="FZ135" s="12"/>
      <c r="GA135" s="12"/>
      <c r="GB135" s="12"/>
      <c r="GC135" s="12"/>
      <c r="GD135" s="12"/>
      <c r="GE135" s="12"/>
    </row>
    <row r="136" spans="1:187" ht="24.75" customHeight="1">
      <c r="A136" s="45"/>
      <c r="B136" s="9" t="s">
        <v>277</v>
      </c>
      <c r="C136" s="10" t="s">
        <v>172</v>
      </c>
      <c r="D136" s="10" t="s">
        <v>308</v>
      </c>
      <c r="E136" s="35">
        <f>200.529+173.802</f>
        <v>374.33100000000002</v>
      </c>
      <c r="F136" s="35">
        <f>(200.529+423.356)-E136</f>
        <v>249.55399999999997</v>
      </c>
      <c r="G136" s="35">
        <v>124.777</v>
      </c>
      <c r="H136" s="35">
        <f>499.108-G136</f>
        <v>374.33100000000002</v>
      </c>
      <c r="I136" s="35">
        <f t="shared" si="7"/>
        <v>1122.9929999999999</v>
      </c>
      <c r="J136" s="56">
        <f>'2021'!J137</f>
        <v>1123</v>
      </c>
      <c r="K136" s="49">
        <v>6386.3904000000002</v>
      </c>
      <c r="L136" s="49">
        <v>6641.8460160000004</v>
      </c>
      <c r="M136" s="49">
        <v>1893.71</v>
      </c>
      <c r="N136" s="49">
        <v>1969.4638080000002</v>
      </c>
      <c r="O136" s="56">
        <f t="shared" si="13"/>
        <v>4492.6804000000002</v>
      </c>
      <c r="P136" s="1">
        <f t="shared" si="8"/>
        <v>1681749.5468124002</v>
      </c>
      <c r="Q136" s="1">
        <f t="shared" si="9"/>
        <v>1121166.3645416</v>
      </c>
      <c r="R136" s="1">
        <f t="shared" si="10"/>
        <v>583005.834767616</v>
      </c>
      <c r="S136" s="1">
        <f t="shared" si="11"/>
        <v>1749017.5043028481</v>
      </c>
      <c r="T136" s="1">
        <f t="shared" si="12"/>
        <v>5134939.2504244642</v>
      </c>
      <c r="U136" s="11"/>
      <c r="V136" s="11"/>
      <c r="W136" s="11"/>
      <c r="X136" s="12"/>
      <c r="Y136" s="12"/>
      <c r="Z136" s="12"/>
      <c r="AA136" s="12"/>
      <c r="AB136" s="12"/>
      <c r="AC136" s="12"/>
      <c r="AD136" s="12"/>
      <c r="AE136" s="12"/>
      <c r="AF136" s="12"/>
      <c r="AG136" s="12"/>
      <c r="AH136" s="12"/>
      <c r="AI136" s="12"/>
      <c r="AJ136" s="12"/>
      <c r="AK136" s="12"/>
      <c r="AL136" s="12"/>
      <c r="AM136" s="12"/>
      <c r="AN136" s="12"/>
      <c r="AO136" s="12"/>
      <c r="AP136" s="12"/>
      <c r="AQ136" s="12"/>
      <c r="AR136" s="12"/>
      <c r="AS136" s="12"/>
      <c r="AT136" s="12"/>
      <c r="AU136" s="12"/>
      <c r="AV136" s="12"/>
      <c r="AW136" s="12"/>
      <c r="AX136" s="12"/>
      <c r="AY136" s="12"/>
      <c r="AZ136" s="12"/>
      <c r="BA136" s="12"/>
      <c r="BB136" s="12"/>
      <c r="BC136" s="12"/>
      <c r="BD136" s="12"/>
      <c r="BE136" s="12"/>
      <c r="BF136" s="12"/>
      <c r="BG136" s="12"/>
      <c r="BH136" s="12"/>
      <c r="BI136" s="12"/>
      <c r="BJ136" s="12"/>
      <c r="BK136" s="12"/>
      <c r="BL136" s="12"/>
      <c r="BM136" s="12"/>
      <c r="BN136" s="12"/>
      <c r="BO136" s="12"/>
      <c r="BP136" s="12"/>
      <c r="BQ136" s="12"/>
      <c r="BR136" s="12"/>
      <c r="BS136" s="12"/>
      <c r="BT136" s="12"/>
      <c r="BU136" s="12"/>
      <c r="BV136" s="12"/>
      <c r="BW136" s="12"/>
      <c r="BX136" s="12"/>
      <c r="BY136" s="12"/>
      <c r="BZ136" s="12"/>
      <c r="CA136" s="12"/>
      <c r="CB136" s="12"/>
      <c r="CC136" s="12"/>
      <c r="CD136" s="12"/>
      <c r="CE136" s="12"/>
      <c r="CF136" s="12"/>
      <c r="CG136" s="12"/>
      <c r="CH136" s="12"/>
      <c r="CI136" s="12"/>
      <c r="CJ136" s="12"/>
      <c r="CK136" s="12"/>
      <c r="CL136" s="12"/>
      <c r="CM136" s="12"/>
      <c r="CN136" s="12"/>
      <c r="CO136" s="12"/>
      <c r="CP136" s="12"/>
      <c r="CQ136" s="12"/>
      <c r="CR136" s="12"/>
      <c r="CS136" s="12"/>
      <c r="CT136" s="12"/>
      <c r="CU136" s="12"/>
      <c r="CV136" s="12"/>
      <c r="CW136" s="12"/>
      <c r="CX136" s="12"/>
      <c r="CY136" s="12"/>
      <c r="CZ136" s="12"/>
      <c r="DA136" s="12"/>
      <c r="DB136" s="12"/>
      <c r="DC136" s="12"/>
      <c r="DD136" s="12"/>
      <c r="DE136" s="12"/>
      <c r="DF136" s="12"/>
      <c r="DG136" s="12"/>
      <c r="DH136" s="12"/>
      <c r="DI136" s="12"/>
      <c r="DJ136" s="12"/>
      <c r="DK136" s="12"/>
      <c r="DL136" s="12"/>
      <c r="DM136" s="12"/>
      <c r="DN136" s="12"/>
      <c r="DO136" s="12"/>
      <c r="DP136" s="12"/>
      <c r="DQ136" s="12"/>
      <c r="DR136" s="12"/>
      <c r="DS136" s="12"/>
      <c r="DT136" s="12"/>
      <c r="DU136" s="12"/>
      <c r="DV136" s="12"/>
      <c r="DW136" s="12"/>
      <c r="DX136" s="12"/>
      <c r="DY136" s="12"/>
      <c r="DZ136" s="12"/>
      <c r="EA136" s="12"/>
      <c r="EB136" s="12"/>
      <c r="EC136" s="12"/>
      <c r="ED136" s="12"/>
      <c r="EE136" s="12"/>
      <c r="EF136" s="12"/>
      <c r="EG136" s="12"/>
      <c r="EH136" s="12"/>
      <c r="EI136" s="12"/>
      <c r="EJ136" s="12"/>
      <c r="EK136" s="12"/>
      <c r="EL136" s="12"/>
      <c r="EM136" s="12"/>
      <c r="EN136" s="12"/>
      <c r="EO136" s="12"/>
      <c r="EP136" s="12"/>
      <c r="EQ136" s="12"/>
      <c r="ER136" s="12"/>
      <c r="ES136" s="12"/>
      <c r="ET136" s="12"/>
      <c r="EU136" s="12"/>
      <c r="EV136" s="12"/>
      <c r="EW136" s="12"/>
      <c r="EX136" s="12"/>
      <c r="EY136" s="12"/>
      <c r="EZ136" s="12"/>
      <c r="FA136" s="12"/>
      <c r="FB136" s="12"/>
      <c r="FC136" s="12"/>
      <c r="FD136" s="12"/>
      <c r="FE136" s="12"/>
      <c r="FF136" s="12"/>
      <c r="FG136" s="12"/>
      <c r="FH136" s="12"/>
      <c r="FI136" s="12"/>
      <c r="FJ136" s="12"/>
      <c r="FK136" s="12"/>
      <c r="FL136" s="12"/>
      <c r="FM136" s="12"/>
      <c r="FN136" s="12"/>
      <c r="FO136" s="12"/>
      <c r="FP136" s="12"/>
      <c r="FQ136" s="12"/>
      <c r="FR136" s="12"/>
      <c r="FS136" s="12"/>
      <c r="FT136" s="12"/>
      <c r="FU136" s="12"/>
      <c r="FV136" s="12"/>
      <c r="FW136" s="12"/>
      <c r="FX136" s="12"/>
      <c r="FY136" s="12"/>
      <c r="FZ136" s="12"/>
      <c r="GA136" s="12"/>
      <c r="GB136" s="12"/>
      <c r="GC136" s="12"/>
      <c r="GD136" s="12"/>
      <c r="GE136" s="12"/>
    </row>
    <row r="137" spans="1:187" ht="21" customHeight="1">
      <c r="A137" s="45"/>
      <c r="B137" s="9" t="s">
        <v>278</v>
      </c>
      <c r="C137" s="10" t="s">
        <v>167</v>
      </c>
      <c r="D137" s="10" t="s">
        <v>168</v>
      </c>
      <c r="E137" s="35">
        <v>6665.7049999999999</v>
      </c>
      <c r="F137" s="35">
        <f>9991.06-E137</f>
        <v>3325.3549999999996</v>
      </c>
      <c r="G137" s="35">
        <v>1143.3</v>
      </c>
      <c r="H137" s="35">
        <f>6955.636-G137</f>
        <v>5812.3360000000002</v>
      </c>
      <c r="I137" s="35">
        <f t="shared" si="7"/>
        <v>16946.696</v>
      </c>
      <c r="J137" s="56">
        <f>'2021'!J138</f>
        <v>17338.61</v>
      </c>
      <c r="K137" s="49">
        <v>2439.0079999999998</v>
      </c>
      <c r="L137" s="49">
        <v>2536.5683199999999</v>
      </c>
      <c r="M137" s="49">
        <v>1889.48</v>
      </c>
      <c r="N137" s="49">
        <v>1965.05088</v>
      </c>
      <c r="O137" s="56">
        <f t="shared" si="13"/>
        <v>549.52799999999979</v>
      </c>
      <c r="P137" s="1">
        <f t="shared" ref="P137:P200" si="14">(K137-M137)*E137</f>
        <v>3662991.5372399986</v>
      </c>
      <c r="Q137" s="1">
        <f t="shared" ref="Q137:Q200" si="15">(K137-M137)*F137</f>
        <v>1827375.682439999</v>
      </c>
      <c r="R137" s="1">
        <f t="shared" ref="R137:R200" si="16">(L137-N137)*G137</f>
        <v>653415.88915199984</v>
      </c>
      <c r="S137" s="1">
        <f t="shared" ref="S137:S200" si="17">(H137*(L137-N137))</f>
        <v>3321851.3911398393</v>
      </c>
      <c r="T137" s="1">
        <f t="shared" ref="T137:T200" si="18">SUM(P137:S137)</f>
        <v>9465634.4999718368</v>
      </c>
      <c r="U137" s="11"/>
      <c r="V137" s="11"/>
      <c r="W137" s="11"/>
      <c r="X137" s="12"/>
      <c r="Y137" s="12"/>
      <c r="Z137" s="12"/>
      <c r="AA137" s="12"/>
      <c r="AB137" s="12"/>
      <c r="AC137" s="12"/>
      <c r="AD137" s="12"/>
      <c r="AE137" s="12"/>
      <c r="AF137" s="12"/>
      <c r="AG137" s="12"/>
      <c r="AH137" s="12"/>
      <c r="AI137" s="12"/>
      <c r="AJ137" s="12"/>
      <c r="AK137" s="12"/>
      <c r="AL137" s="12"/>
      <c r="AM137" s="12"/>
      <c r="AN137" s="12"/>
      <c r="AO137" s="12"/>
      <c r="AP137" s="12"/>
      <c r="AQ137" s="12"/>
      <c r="AR137" s="12"/>
      <c r="AS137" s="12"/>
      <c r="AT137" s="12"/>
      <c r="AU137" s="12"/>
      <c r="AV137" s="12"/>
      <c r="AW137" s="12"/>
      <c r="AX137" s="12"/>
      <c r="AY137" s="12"/>
      <c r="AZ137" s="12"/>
      <c r="BA137" s="12"/>
      <c r="BB137" s="12"/>
      <c r="BC137" s="12"/>
      <c r="BD137" s="12"/>
      <c r="BE137" s="12"/>
      <c r="BF137" s="12"/>
      <c r="BG137" s="12"/>
      <c r="BH137" s="12"/>
      <c r="BI137" s="12"/>
      <c r="BJ137" s="12"/>
      <c r="BK137" s="12"/>
      <c r="BL137" s="12"/>
      <c r="BM137" s="12"/>
      <c r="BN137" s="12"/>
      <c r="BO137" s="12"/>
      <c r="BP137" s="12"/>
      <c r="BQ137" s="12"/>
      <c r="BR137" s="12"/>
      <c r="BS137" s="12"/>
      <c r="BT137" s="12"/>
      <c r="BU137" s="12"/>
      <c r="BV137" s="12"/>
      <c r="BW137" s="12"/>
      <c r="BX137" s="12"/>
      <c r="BY137" s="12"/>
      <c r="BZ137" s="12"/>
      <c r="CA137" s="12"/>
      <c r="CB137" s="12"/>
      <c r="CC137" s="12"/>
      <c r="CD137" s="12"/>
      <c r="CE137" s="12"/>
      <c r="CF137" s="12"/>
      <c r="CG137" s="12"/>
      <c r="CH137" s="12"/>
      <c r="CI137" s="12"/>
      <c r="CJ137" s="12"/>
      <c r="CK137" s="12"/>
      <c r="CL137" s="12"/>
      <c r="CM137" s="12"/>
      <c r="CN137" s="12"/>
      <c r="CO137" s="12"/>
      <c r="CP137" s="12"/>
      <c r="CQ137" s="12"/>
      <c r="CR137" s="12"/>
      <c r="CS137" s="12"/>
      <c r="CT137" s="12"/>
      <c r="CU137" s="12"/>
      <c r="CV137" s="12"/>
      <c r="CW137" s="12"/>
      <c r="CX137" s="12"/>
      <c r="CY137" s="12"/>
      <c r="CZ137" s="12"/>
      <c r="DA137" s="12"/>
      <c r="DB137" s="12"/>
      <c r="DC137" s="12"/>
      <c r="DD137" s="12"/>
      <c r="DE137" s="12"/>
      <c r="DF137" s="12"/>
      <c r="DG137" s="12"/>
      <c r="DH137" s="12"/>
      <c r="DI137" s="12"/>
      <c r="DJ137" s="12"/>
      <c r="DK137" s="12"/>
      <c r="DL137" s="12"/>
      <c r="DM137" s="12"/>
      <c r="DN137" s="12"/>
      <c r="DO137" s="12"/>
      <c r="DP137" s="12"/>
      <c r="DQ137" s="12"/>
      <c r="DR137" s="12"/>
      <c r="DS137" s="12"/>
      <c r="DT137" s="12"/>
      <c r="DU137" s="12"/>
      <c r="DV137" s="12"/>
      <c r="DW137" s="12"/>
      <c r="DX137" s="12"/>
      <c r="DY137" s="12"/>
      <c r="DZ137" s="12"/>
      <c r="EA137" s="12"/>
      <c r="EB137" s="12"/>
      <c r="EC137" s="12"/>
      <c r="ED137" s="12"/>
      <c r="EE137" s="12"/>
      <c r="EF137" s="12"/>
      <c r="EG137" s="12"/>
      <c r="EH137" s="12"/>
      <c r="EI137" s="12"/>
      <c r="EJ137" s="12"/>
      <c r="EK137" s="12"/>
      <c r="EL137" s="12"/>
      <c r="EM137" s="12"/>
      <c r="EN137" s="12"/>
      <c r="EO137" s="12"/>
      <c r="EP137" s="12"/>
      <c r="EQ137" s="12"/>
      <c r="ER137" s="12"/>
      <c r="ES137" s="12"/>
      <c r="ET137" s="12"/>
      <c r="EU137" s="12"/>
      <c r="EV137" s="12"/>
      <c r="EW137" s="12"/>
      <c r="EX137" s="12"/>
      <c r="EY137" s="12"/>
      <c r="EZ137" s="12"/>
      <c r="FA137" s="12"/>
      <c r="FB137" s="12"/>
      <c r="FC137" s="12"/>
      <c r="FD137" s="12"/>
      <c r="FE137" s="12"/>
      <c r="FF137" s="12"/>
      <c r="FG137" s="12"/>
      <c r="FH137" s="12"/>
      <c r="FI137" s="12"/>
      <c r="FJ137" s="12"/>
      <c r="FK137" s="12"/>
      <c r="FL137" s="12"/>
      <c r="FM137" s="12"/>
      <c r="FN137" s="12"/>
      <c r="FO137" s="12"/>
      <c r="FP137" s="12"/>
      <c r="FQ137" s="12"/>
      <c r="FR137" s="12"/>
      <c r="FS137" s="12"/>
      <c r="FT137" s="12"/>
      <c r="FU137" s="12"/>
      <c r="FV137" s="12"/>
      <c r="FW137" s="12"/>
      <c r="FX137" s="12"/>
      <c r="FY137" s="12"/>
      <c r="FZ137" s="12"/>
      <c r="GA137" s="12"/>
      <c r="GB137" s="12"/>
      <c r="GC137" s="12"/>
      <c r="GD137" s="12"/>
      <c r="GE137" s="12"/>
    </row>
    <row r="138" spans="1:187" ht="21" customHeight="1">
      <c r="A138" s="45"/>
      <c r="B138" s="9" t="s">
        <v>278</v>
      </c>
      <c r="C138" s="10" t="s">
        <v>167</v>
      </c>
      <c r="D138" s="10" t="s">
        <v>169</v>
      </c>
      <c r="E138" s="35">
        <v>3872.3339999999998</v>
      </c>
      <c r="F138" s="35">
        <f>5648.207-E138</f>
        <v>1775.8730000000005</v>
      </c>
      <c r="G138" s="35">
        <v>587.77499999999998</v>
      </c>
      <c r="H138" s="35">
        <f>3776.44-G138</f>
        <v>3188.665</v>
      </c>
      <c r="I138" s="35">
        <f t="shared" ref="I138:I203" si="19">SUM(E138:H138)</f>
        <v>9424.6470000000008</v>
      </c>
      <c r="J138" s="56">
        <f>'2021'!J139</f>
        <v>9954.2900000000009</v>
      </c>
      <c r="K138" s="49">
        <v>2780.7728000000002</v>
      </c>
      <c r="L138" s="49">
        <v>2892.0037120000002</v>
      </c>
      <c r="M138" s="49">
        <v>1889.48</v>
      </c>
      <c r="N138" s="49">
        <v>1965.05088</v>
      </c>
      <c r="O138" s="56">
        <f t="shared" si="13"/>
        <v>891.29280000000017</v>
      </c>
      <c r="P138" s="1">
        <f t="shared" si="14"/>
        <v>3451383.4133952004</v>
      </c>
      <c r="Q138" s="1">
        <f t="shared" si="15"/>
        <v>1582822.8186144007</v>
      </c>
      <c r="R138" s="1">
        <f t="shared" si="16"/>
        <v>544839.70082880009</v>
      </c>
      <c r="S138" s="1">
        <f t="shared" si="17"/>
        <v>2955742.0520492806</v>
      </c>
      <c r="T138" s="1">
        <f t="shared" si="18"/>
        <v>8534787.9848876819</v>
      </c>
      <c r="U138" s="11"/>
      <c r="V138" s="11"/>
      <c r="W138" s="11"/>
      <c r="X138" s="12"/>
      <c r="Y138" s="12"/>
      <c r="Z138" s="12"/>
      <c r="AA138" s="12"/>
      <c r="AB138" s="12"/>
      <c r="AC138" s="12"/>
      <c r="AD138" s="12"/>
      <c r="AE138" s="12"/>
      <c r="AF138" s="12"/>
      <c r="AG138" s="12"/>
      <c r="AH138" s="12"/>
      <c r="AI138" s="12"/>
      <c r="AJ138" s="12"/>
      <c r="AK138" s="12"/>
      <c r="AL138" s="12"/>
      <c r="AM138" s="12"/>
      <c r="AN138" s="12"/>
      <c r="AO138" s="12"/>
      <c r="AP138" s="12"/>
      <c r="AQ138" s="12"/>
      <c r="AR138" s="12"/>
      <c r="AS138" s="12"/>
      <c r="AT138" s="12"/>
      <c r="AU138" s="12"/>
      <c r="AV138" s="12"/>
      <c r="AW138" s="12"/>
      <c r="AX138" s="12"/>
      <c r="AY138" s="12"/>
      <c r="AZ138" s="12"/>
      <c r="BA138" s="12"/>
      <c r="BB138" s="12"/>
      <c r="BC138" s="12"/>
      <c r="BD138" s="12"/>
      <c r="BE138" s="12"/>
      <c r="BF138" s="12"/>
      <c r="BG138" s="12"/>
      <c r="BH138" s="12"/>
      <c r="BI138" s="12"/>
      <c r="BJ138" s="12"/>
      <c r="BK138" s="12"/>
      <c r="BL138" s="12"/>
      <c r="BM138" s="12"/>
      <c r="BN138" s="12"/>
      <c r="BO138" s="12"/>
      <c r="BP138" s="12"/>
      <c r="BQ138" s="12"/>
      <c r="BR138" s="12"/>
      <c r="BS138" s="12"/>
      <c r="BT138" s="12"/>
      <c r="BU138" s="12"/>
      <c r="BV138" s="12"/>
      <c r="BW138" s="12"/>
      <c r="BX138" s="12"/>
      <c r="BY138" s="12"/>
      <c r="BZ138" s="12"/>
      <c r="CA138" s="12"/>
      <c r="CB138" s="12"/>
      <c r="CC138" s="12"/>
      <c r="CD138" s="12"/>
      <c r="CE138" s="12"/>
      <c r="CF138" s="12"/>
      <c r="CG138" s="12"/>
      <c r="CH138" s="12"/>
      <c r="CI138" s="12"/>
      <c r="CJ138" s="12"/>
      <c r="CK138" s="12"/>
      <c r="CL138" s="12"/>
      <c r="CM138" s="12"/>
      <c r="CN138" s="12"/>
      <c r="CO138" s="12"/>
      <c r="CP138" s="12"/>
      <c r="CQ138" s="12"/>
      <c r="CR138" s="12"/>
      <c r="CS138" s="12"/>
      <c r="CT138" s="12"/>
      <c r="CU138" s="12"/>
      <c r="CV138" s="12"/>
      <c r="CW138" s="12"/>
      <c r="CX138" s="12"/>
      <c r="CY138" s="12"/>
      <c r="CZ138" s="12"/>
      <c r="DA138" s="12"/>
      <c r="DB138" s="12"/>
      <c r="DC138" s="12"/>
      <c r="DD138" s="12"/>
      <c r="DE138" s="12"/>
      <c r="DF138" s="12"/>
      <c r="DG138" s="12"/>
      <c r="DH138" s="12"/>
      <c r="DI138" s="12"/>
      <c r="DJ138" s="12"/>
      <c r="DK138" s="12"/>
      <c r="DL138" s="12"/>
      <c r="DM138" s="12"/>
      <c r="DN138" s="12"/>
      <c r="DO138" s="12"/>
      <c r="DP138" s="12"/>
      <c r="DQ138" s="12"/>
      <c r="DR138" s="12"/>
      <c r="DS138" s="12"/>
      <c r="DT138" s="12"/>
      <c r="DU138" s="12"/>
      <c r="DV138" s="12"/>
      <c r="DW138" s="12"/>
      <c r="DX138" s="12"/>
      <c r="DY138" s="12"/>
      <c r="DZ138" s="12"/>
      <c r="EA138" s="12"/>
      <c r="EB138" s="12"/>
      <c r="EC138" s="12"/>
      <c r="ED138" s="12"/>
      <c r="EE138" s="12"/>
      <c r="EF138" s="12"/>
      <c r="EG138" s="12"/>
      <c r="EH138" s="12"/>
      <c r="EI138" s="12"/>
      <c r="EJ138" s="12"/>
      <c r="EK138" s="12"/>
      <c r="EL138" s="12"/>
      <c r="EM138" s="12"/>
      <c r="EN138" s="12"/>
      <c r="EO138" s="12"/>
      <c r="EP138" s="12"/>
      <c r="EQ138" s="12"/>
      <c r="ER138" s="12"/>
      <c r="ES138" s="12"/>
      <c r="ET138" s="12"/>
      <c r="EU138" s="12"/>
      <c r="EV138" s="12"/>
      <c r="EW138" s="12"/>
      <c r="EX138" s="12"/>
      <c r="EY138" s="12"/>
      <c r="EZ138" s="12"/>
      <c r="FA138" s="12"/>
      <c r="FB138" s="12"/>
      <c r="FC138" s="12"/>
      <c r="FD138" s="12"/>
      <c r="FE138" s="12"/>
      <c r="FF138" s="12"/>
      <c r="FG138" s="12"/>
      <c r="FH138" s="12"/>
      <c r="FI138" s="12"/>
      <c r="FJ138" s="12"/>
      <c r="FK138" s="12"/>
      <c r="FL138" s="12"/>
      <c r="FM138" s="12"/>
      <c r="FN138" s="12"/>
      <c r="FO138" s="12"/>
      <c r="FP138" s="12"/>
      <c r="FQ138" s="12"/>
      <c r="FR138" s="12"/>
      <c r="FS138" s="12"/>
      <c r="FT138" s="12"/>
      <c r="FU138" s="12"/>
      <c r="FV138" s="12"/>
      <c r="FW138" s="12"/>
      <c r="FX138" s="12"/>
      <c r="FY138" s="12"/>
      <c r="FZ138" s="12"/>
      <c r="GA138" s="12"/>
      <c r="GB138" s="12"/>
      <c r="GC138" s="12"/>
      <c r="GD138" s="12"/>
      <c r="GE138" s="12"/>
    </row>
    <row r="139" spans="1:187" ht="26.25" customHeight="1">
      <c r="A139" s="45"/>
      <c r="B139" s="9" t="s">
        <v>3</v>
      </c>
      <c r="C139" s="10" t="s">
        <v>174</v>
      </c>
      <c r="D139" s="10" t="s">
        <v>171</v>
      </c>
      <c r="E139" s="35">
        <v>85.286000000000001</v>
      </c>
      <c r="F139" s="35">
        <f>114.638-E139</f>
        <v>29.352000000000004</v>
      </c>
      <c r="G139" s="35">
        <v>14.039</v>
      </c>
      <c r="H139" s="35">
        <f>70.639-G139</f>
        <v>56.599999999999994</v>
      </c>
      <c r="I139" s="35">
        <f t="shared" si="19"/>
        <v>185.27699999999999</v>
      </c>
      <c r="J139" s="56">
        <f>'2021'!J140</f>
        <v>199.2</v>
      </c>
      <c r="K139" s="49">
        <v>3377.9096</v>
      </c>
      <c r="L139" s="49">
        <v>3513.0259839999999</v>
      </c>
      <c r="M139" s="49">
        <v>1907.6512</v>
      </c>
      <c r="N139" s="49">
        <v>1983.95</v>
      </c>
      <c r="O139" s="56">
        <f t="shared" si="13"/>
        <v>1470.2583999999999</v>
      </c>
      <c r="P139" s="1">
        <f t="shared" si="14"/>
        <v>125392.4579024</v>
      </c>
      <c r="Q139" s="1">
        <f t="shared" si="15"/>
        <v>43155.024556800003</v>
      </c>
      <c r="R139" s="1">
        <f t="shared" si="16"/>
        <v>21466.697739375999</v>
      </c>
      <c r="S139" s="1">
        <f t="shared" si="17"/>
        <v>86545.700694399988</v>
      </c>
      <c r="T139" s="1">
        <f t="shared" si="18"/>
        <v>276559.88089297595</v>
      </c>
      <c r="U139" s="11"/>
      <c r="V139" s="11"/>
      <c r="W139" s="11"/>
      <c r="X139" s="12"/>
      <c r="Y139" s="12"/>
      <c r="Z139" s="12"/>
      <c r="AA139" s="12"/>
      <c r="AB139" s="12"/>
      <c r="AC139" s="12"/>
      <c r="AD139" s="12"/>
      <c r="AE139" s="12"/>
      <c r="AF139" s="12"/>
      <c r="AG139" s="12"/>
      <c r="AH139" s="12"/>
      <c r="AI139" s="12"/>
      <c r="AJ139" s="12"/>
      <c r="AK139" s="12"/>
      <c r="AL139" s="12"/>
      <c r="AM139" s="12"/>
      <c r="AN139" s="12"/>
      <c r="AO139" s="12"/>
      <c r="AP139" s="12"/>
      <c r="AQ139" s="12"/>
      <c r="AR139" s="12"/>
      <c r="AS139" s="12"/>
      <c r="AT139" s="12"/>
      <c r="AU139" s="12"/>
      <c r="AV139" s="12"/>
      <c r="AW139" s="12"/>
      <c r="AX139" s="12"/>
      <c r="AY139" s="12"/>
      <c r="AZ139" s="12"/>
      <c r="BA139" s="12"/>
      <c r="BB139" s="12"/>
      <c r="BC139" s="12"/>
      <c r="BD139" s="12"/>
      <c r="BE139" s="12"/>
      <c r="BF139" s="12"/>
      <c r="BG139" s="12"/>
      <c r="BH139" s="12"/>
      <c r="BI139" s="12"/>
      <c r="BJ139" s="12"/>
      <c r="BK139" s="12"/>
      <c r="BL139" s="12"/>
      <c r="BM139" s="12"/>
      <c r="BN139" s="12"/>
      <c r="BO139" s="12"/>
      <c r="BP139" s="12"/>
      <c r="BQ139" s="12"/>
      <c r="BR139" s="12"/>
      <c r="BS139" s="12"/>
      <c r="BT139" s="12"/>
      <c r="BU139" s="12"/>
      <c r="BV139" s="12"/>
      <c r="BW139" s="12"/>
      <c r="BX139" s="12"/>
      <c r="BY139" s="12"/>
      <c r="BZ139" s="12"/>
      <c r="CA139" s="12"/>
      <c r="CB139" s="12"/>
      <c r="CC139" s="12"/>
      <c r="CD139" s="12"/>
      <c r="CE139" s="12"/>
      <c r="CF139" s="12"/>
      <c r="CG139" s="12"/>
      <c r="CH139" s="12"/>
      <c r="CI139" s="12"/>
      <c r="CJ139" s="12"/>
      <c r="CK139" s="12"/>
      <c r="CL139" s="12"/>
      <c r="CM139" s="12"/>
      <c r="CN139" s="12"/>
      <c r="CO139" s="12"/>
      <c r="CP139" s="12"/>
      <c r="CQ139" s="12"/>
      <c r="CR139" s="12"/>
      <c r="CS139" s="12"/>
      <c r="CT139" s="12"/>
      <c r="CU139" s="12"/>
      <c r="CV139" s="12"/>
      <c r="CW139" s="12"/>
      <c r="CX139" s="12"/>
      <c r="CY139" s="12"/>
      <c r="CZ139" s="12"/>
      <c r="DA139" s="12"/>
      <c r="DB139" s="12"/>
      <c r="DC139" s="12"/>
      <c r="DD139" s="12"/>
      <c r="DE139" s="12"/>
      <c r="DF139" s="12"/>
      <c r="DG139" s="12"/>
      <c r="DH139" s="12"/>
      <c r="DI139" s="12"/>
      <c r="DJ139" s="12"/>
      <c r="DK139" s="12"/>
      <c r="DL139" s="12"/>
      <c r="DM139" s="12"/>
      <c r="DN139" s="12"/>
      <c r="DO139" s="12"/>
      <c r="DP139" s="12"/>
      <c r="DQ139" s="12"/>
      <c r="DR139" s="12"/>
      <c r="DS139" s="12"/>
      <c r="DT139" s="12"/>
      <c r="DU139" s="12"/>
      <c r="DV139" s="12"/>
      <c r="DW139" s="12"/>
      <c r="DX139" s="12"/>
      <c r="DY139" s="12"/>
      <c r="DZ139" s="12"/>
      <c r="EA139" s="12"/>
      <c r="EB139" s="12"/>
      <c r="EC139" s="12"/>
      <c r="ED139" s="12"/>
      <c r="EE139" s="12"/>
      <c r="EF139" s="12"/>
      <c r="EG139" s="12"/>
      <c r="EH139" s="12"/>
      <c r="EI139" s="12"/>
      <c r="EJ139" s="12"/>
      <c r="EK139" s="12"/>
      <c r="EL139" s="12"/>
      <c r="EM139" s="12"/>
      <c r="EN139" s="12"/>
      <c r="EO139" s="12"/>
      <c r="EP139" s="12"/>
      <c r="EQ139" s="12"/>
      <c r="ER139" s="12"/>
      <c r="ES139" s="12"/>
      <c r="ET139" s="12"/>
      <c r="EU139" s="12"/>
      <c r="EV139" s="12"/>
      <c r="EW139" s="12"/>
      <c r="EX139" s="12"/>
      <c r="EY139" s="12"/>
      <c r="EZ139" s="12"/>
      <c r="FA139" s="12"/>
      <c r="FB139" s="12"/>
      <c r="FC139" s="12"/>
      <c r="FD139" s="12"/>
      <c r="FE139" s="12"/>
      <c r="FF139" s="12"/>
      <c r="FG139" s="12"/>
      <c r="FH139" s="12"/>
      <c r="FI139" s="12"/>
      <c r="FJ139" s="12"/>
      <c r="FK139" s="12"/>
      <c r="FL139" s="12"/>
      <c r="FM139" s="12"/>
      <c r="FN139" s="12"/>
      <c r="FO139" s="12"/>
      <c r="FP139" s="12"/>
      <c r="FQ139" s="12"/>
      <c r="FR139" s="12"/>
      <c r="FS139" s="12"/>
      <c r="FT139" s="12"/>
      <c r="FU139" s="12"/>
      <c r="FV139" s="12"/>
      <c r="FW139" s="12"/>
      <c r="FX139" s="12"/>
      <c r="FY139" s="12"/>
      <c r="FZ139" s="12"/>
      <c r="GA139" s="12"/>
      <c r="GB139" s="12"/>
      <c r="GC139" s="12"/>
      <c r="GD139" s="12"/>
      <c r="GE139" s="12"/>
    </row>
    <row r="140" spans="1:187" ht="26.25" customHeight="1">
      <c r="A140" s="45"/>
      <c r="B140" s="9" t="s">
        <v>276</v>
      </c>
      <c r="C140" s="10" t="s">
        <v>431</v>
      </c>
      <c r="D140" s="10" t="s">
        <v>424</v>
      </c>
      <c r="E140" s="61">
        <f>389.04*0.6</f>
        <v>233.42400000000001</v>
      </c>
      <c r="F140" s="61">
        <f>389.04*0.4</f>
        <v>155.61600000000001</v>
      </c>
      <c r="G140" s="61">
        <f>259.36*0.2</f>
        <v>51.872000000000007</v>
      </c>
      <c r="H140" s="61">
        <f>259.36*0.8</f>
        <v>207.48800000000003</v>
      </c>
      <c r="I140" s="35">
        <f t="shared" si="19"/>
        <v>648.40000000000009</v>
      </c>
      <c r="J140" s="56">
        <f>'2021'!J141</f>
        <v>648.4</v>
      </c>
      <c r="K140" s="49">
        <v>10017.4256</v>
      </c>
      <c r="L140" s="49">
        <v>10418.122624000001</v>
      </c>
      <c r="M140" s="49">
        <v>2229.5832</v>
      </c>
      <c r="N140" s="49">
        <v>2318.7665280000001</v>
      </c>
      <c r="O140" s="56">
        <f t="shared" si="13"/>
        <v>7787.8424000000005</v>
      </c>
      <c r="P140" s="1">
        <f t="shared" si="14"/>
        <v>1817869.3243776001</v>
      </c>
      <c r="Q140" s="1">
        <f t="shared" si="15"/>
        <v>1211912.8829184002</v>
      </c>
      <c r="R140" s="1">
        <f t="shared" si="16"/>
        <v>420129.7994117121</v>
      </c>
      <c r="S140" s="1">
        <f t="shared" si="17"/>
        <v>1680519.1976468484</v>
      </c>
      <c r="T140" s="1">
        <f t="shared" si="18"/>
        <v>5130431.2043545609</v>
      </c>
      <c r="U140" s="11"/>
      <c r="V140" s="11"/>
      <c r="W140" s="11"/>
      <c r="X140" s="12"/>
      <c r="Y140" s="12"/>
      <c r="Z140" s="12"/>
      <c r="AA140" s="12"/>
      <c r="AB140" s="12"/>
      <c r="AC140" s="12"/>
      <c r="AD140" s="12"/>
      <c r="AE140" s="12"/>
      <c r="AF140" s="12"/>
      <c r="AG140" s="12"/>
      <c r="AH140" s="12"/>
      <c r="AI140" s="12"/>
      <c r="AJ140" s="12"/>
      <c r="AK140" s="12"/>
      <c r="AL140" s="12"/>
      <c r="AM140" s="12"/>
      <c r="AN140" s="12"/>
      <c r="AO140" s="12"/>
      <c r="AP140" s="12"/>
      <c r="AQ140" s="12"/>
      <c r="AR140" s="12"/>
      <c r="AS140" s="12"/>
      <c r="AT140" s="12"/>
      <c r="AU140" s="12"/>
      <c r="AV140" s="12"/>
      <c r="AW140" s="12"/>
      <c r="AX140" s="12"/>
      <c r="AY140" s="12"/>
      <c r="AZ140" s="12"/>
      <c r="BA140" s="12"/>
      <c r="BB140" s="12"/>
      <c r="BC140" s="12"/>
      <c r="BD140" s="12"/>
      <c r="BE140" s="12"/>
      <c r="BF140" s="12"/>
      <c r="BG140" s="12"/>
      <c r="BH140" s="12"/>
      <c r="BI140" s="12"/>
      <c r="BJ140" s="12"/>
      <c r="BK140" s="12"/>
      <c r="BL140" s="12"/>
      <c r="BM140" s="12"/>
      <c r="BN140" s="12"/>
      <c r="BO140" s="12"/>
      <c r="BP140" s="12"/>
      <c r="BQ140" s="12"/>
      <c r="BR140" s="12"/>
      <c r="BS140" s="12"/>
      <c r="BT140" s="12"/>
      <c r="BU140" s="12"/>
      <c r="BV140" s="12"/>
      <c r="BW140" s="12"/>
      <c r="BX140" s="12"/>
      <c r="BY140" s="12"/>
      <c r="BZ140" s="12"/>
      <c r="CA140" s="12"/>
      <c r="CB140" s="12"/>
      <c r="CC140" s="12"/>
      <c r="CD140" s="12"/>
      <c r="CE140" s="12"/>
      <c r="CF140" s="12"/>
      <c r="CG140" s="12"/>
      <c r="CH140" s="12"/>
      <c r="CI140" s="12"/>
      <c r="CJ140" s="12"/>
      <c r="CK140" s="12"/>
      <c r="CL140" s="12"/>
      <c r="CM140" s="12"/>
      <c r="CN140" s="12"/>
      <c r="CO140" s="12"/>
      <c r="CP140" s="12"/>
      <c r="CQ140" s="12"/>
      <c r="CR140" s="12"/>
      <c r="CS140" s="12"/>
      <c r="CT140" s="12"/>
      <c r="CU140" s="12"/>
      <c r="CV140" s="12"/>
      <c r="CW140" s="12"/>
      <c r="CX140" s="12"/>
      <c r="CY140" s="12"/>
      <c r="CZ140" s="12"/>
      <c r="DA140" s="12"/>
      <c r="DB140" s="12"/>
      <c r="DC140" s="12"/>
      <c r="DD140" s="12"/>
      <c r="DE140" s="12"/>
      <c r="DF140" s="12"/>
      <c r="DG140" s="12"/>
      <c r="DH140" s="12"/>
      <c r="DI140" s="12"/>
      <c r="DJ140" s="12"/>
      <c r="DK140" s="12"/>
      <c r="DL140" s="12"/>
      <c r="DM140" s="12"/>
      <c r="DN140" s="12"/>
      <c r="DO140" s="12"/>
      <c r="DP140" s="12"/>
      <c r="DQ140" s="12"/>
      <c r="DR140" s="12"/>
      <c r="DS140" s="12"/>
      <c r="DT140" s="12"/>
      <c r="DU140" s="12"/>
      <c r="DV140" s="12"/>
      <c r="DW140" s="12"/>
      <c r="DX140" s="12"/>
      <c r="DY140" s="12"/>
      <c r="DZ140" s="12"/>
      <c r="EA140" s="12"/>
      <c r="EB140" s="12"/>
      <c r="EC140" s="12"/>
      <c r="ED140" s="12"/>
      <c r="EE140" s="12"/>
      <c r="EF140" s="12"/>
      <c r="EG140" s="12"/>
      <c r="EH140" s="12"/>
      <c r="EI140" s="12"/>
      <c r="EJ140" s="12"/>
      <c r="EK140" s="12"/>
      <c r="EL140" s="12"/>
      <c r="EM140" s="12"/>
      <c r="EN140" s="12"/>
      <c r="EO140" s="12"/>
      <c r="EP140" s="12"/>
      <c r="EQ140" s="12"/>
      <c r="ER140" s="12"/>
      <c r="ES140" s="12"/>
      <c r="ET140" s="12"/>
      <c r="EU140" s="12"/>
      <c r="EV140" s="12"/>
      <c r="EW140" s="12"/>
      <c r="EX140" s="12"/>
      <c r="EY140" s="12"/>
      <c r="EZ140" s="12"/>
      <c r="FA140" s="12"/>
      <c r="FB140" s="12"/>
      <c r="FC140" s="12"/>
      <c r="FD140" s="12"/>
      <c r="FE140" s="12"/>
      <c r="FF140" s="12"/>
      <c r="FG140" s="12"/>
      <c r="FH140" s="12"/>
      <c r="FI140" s="12"/>
      <c r="FJ140" s="12"/>
      <c r="FK140" s="12"/>
      <c r="FL140" s="12"/>
      <c r="FM140" s="12"/>
      <c r="FN140" s="12"/>
      <c r="FO140" s="12"/>
      <c r="FP140" s="12"/>
      <c r="FQ140" s="12"/>
      <c r="FR140" s="12"/>
      <c r="FS140" s="12"/>
      <c r="FT140" s="12"/>
      <c r="FU140" s="12"/>
      <c r="FV140" s="12"/>
      <c r="FW140" s="12"/>
      <c r="FX140" s="12"/>
      <c r="FY140" s="12"/>
      <c r="FZ140" s="12"/>
      <c r="GA140" s="12"/>
      <c r="GB140" s="12"/>
      <c r="GC140" s="12"/>
      <c r="GD140" s="12"/>
      <c r="GE140" s="12"/>
    </row>
    <row r="141" spans="1:187" ht="21.75" customHeight="1">
      <c r="A141" s="45"/>
      <c r="B141" s="9" t="s">
        <v>265</v>
      </c>
      <c r="C141" s="10" t="s">
        <v>88</v>
      </c>
      <c r="D141" s="10" t="s">
        <v>170</v>
      </c>
      <c r="E141" s="35">
        <v>1968.194</v>
      </c>
      <c r="F141" s="35">
        <f>2741.589-E141</f>
        <v>773.39499999999998</v>
      </c>
      <c r="G141" s="35">
        <v>198.244</v>
      </c>
      <c r="H141" s="35">
        <f>1762.231-G141</f>
        <v>1563.9870000000001</v>
      </c>
      <c r="I141" s="35">
        <f t="shared" si="19"/>
        <v>4503.82</v>
      </c>
      <c r="J141" s="56">
        <f>'2021'!J142</f>
        <v>4871.83</v>
      </c>
      <c r="K141" s="49">
        <v>5302.3384960000012</v>
      </c>
      <c r="L141" s="49">
        <v>5514.4320358400018</v>
      </c>
      <c r="M141" s="49">
        <v>2272.4544231999998</v>
      </c>
      <c r="N141" s="49">
        <v>2363.3526001279997</v>
      </c>
      <c r="O141" s="56">
        <f t="shared" si="13"/>
        <v>3029.8840728000014</v>
      </c>
      <c r="P141" s="1">
        <f t="shared" si="14"/>
        <v>5963399.6527805254</v>
      </c>
      <c r="Q141" s="1">
        <f t="shared" si="15"/>
        <v>2343297.1924831569</v>
      </c>
      <c r="R141" s="1">
        <f t="shared" si="16"/>
        <v>624682.5916532902</v>
      </c>
      <c r="S141" s="1">
        <f t="shared" si="17"/>
        <v>4928247.2734209076</v>
      </c>
      <c r="T141" s="1">
        <f t="shared" si="18"/>
        <v>13859626.710337881</v>
      </c>
      <c r="U141" s="11"/>
      <c r="V141" s="11"/>
      <c r="W141" s="11"/>
      <c r="X141" s="12"/>
      <c r="Y141" s="12"/>
      <c r="Z141" s="12"/>
      <c r="AA141" s="12"/>
      <c r="AB141" s="12"/>
      <c r="AC141" s="12"/>
      <c r="AD141" s="12"/>
      <c r="AE141" s="12"/>
      <c r="AF141" s="12"/>
      <c r="AG141" s="12"/>
      <c r="AH141" s="12"/>
      <c r="AI141" s="12"/>
      <c r="AJ141" s="12"/>
      <c r="AK141" s="12"/>
      <c r="AL141" s="12"/>
      <c r="AM141" s="12"/>
      <c r="AN141" s="12"/>
      <c r="AO141" s="12"/>
      <c r="AP141" s="12"/>
      <c r="AQ141" s="12"/>
      <c r="AR141" s="12"/>
      <c r="AS141" s="12"/>
      <c r="AT141" s="12"/>
      <c r="AU141" s="12"/>
      <c r="AV141" s="12"/>
      <c r="AW141" s="12"/>
      <c r="AX141" s="12"/>
      <c r="AY141" s="12"/>
      <c r="AZ141" s="12"/>
      <c r="BA141" s="12"/>
      <c r="BB141" s="12"/>
      <c r="BC141" s="12"/>
      <c r="BD141" s="12"/>
      <c r="BE141" s="12"/>
      <c r="BF141" s="12"/>
      <c r="BG141" s="12"/>
      <c r="BH141" s="12"/>
      <c r="BI141" s="12"/>
      <c r="BJ141" s="12"/>
      <c r="BK141" s="12"/>
      <c r="BL141" s="12"/>
      <c r="BM141" s="12"/>
      <c r="BN141" s="12"/>
      <c r="BO141" s="12"/>
      <c r="BP141" s="12"/>
      <c r="BQ141" s="12"/>
      <c r="BR141" s="12"/>
      <c r="BS141" s="12"/>
      <c r="BT141" s="12"/>
      <c r="BU141" s="12"/>
      <c r="BV141" s="12"/>
      <c r="BW141" s="12"/>
      <c r="BX141" s="12"/>
      <c r="BY141" s="12"/>
      <c r="BZ141" s="12"/>
      <c r="CA141" s="12"/>
      <c r="CB141" s="12"/>
      <c r="CC141" s="12"/>
      <c r="CD141" s="12"/>
      <c r="CE141" s="12"/>
      <c r="CF141" s="12"/>
      <c r="CG141" s="12"/>
      <c r="CH141" s="12"/>
      <c r="CI141" s="12"/>
      <c r="CJ141" s="12"/>
      <c r="CK141" s="12"/>
      <c r="CL141" s="12"/>
      <c r="CM141" s="12"/>
      <c r="CN141" s="12"/>
      <c r="CO141" s="12"/>
      <c r="CP141" s="12"/>
      <c r="CQ141" s="12"/>
      <c r="CR141" s="12"/>
      <c r="CS141" s="12"/>
      <c r="CT141" s="12"/>
      <c r="CU141" s="12"/>
      <c r="CV141" s="12"/>
      <c r="CW141" s="12"/>
      <c r="CX141" s="12"/>
      <c r="CY141" s="12"/>
      <c r="CZ141" s="12"/>
      <c r="DA141" s="12"/>
      <c r="DB141" s="12"/>
      <c r="DC141" s="12"/>
      <c r="DD141" s="12"/>
      <c r="DE141" s="12"/>
      <c r="DF141" s="12"/>
      <c r="DG141" s="12"/>
      <c r="DH141" s="12"/>
      <c r="DI141" s="12"/>
      <c r="DJ141" s="12"/>
      <c r="DK141" s="12"/>
      <c r="DL141" s="12"/>
      <c r="DM141" s="12"/>
      <c r="DN141" s="12"/>
      <c r="DO141" s="12"/>
      <c r="DP141" s="12"/>
      <c r="DQ141" s="12"/>
      <c r="DR141" s="12"/>
      <c r="DS141" s="12"/>
      <c r="DT141" s="12"/>
      <c r="DU141" s="12"/>
      <c r="DV141" s="12"/>
      <c r="DW141" s="12"/>
      <c r="DX141" s="12"/>
      <c r="DY141" s="12"/>
      <c r="DZ141" s="12"/>
      <c r="EA141" s="12"/>
      <c r="EB141" s="12"/>
      <c r="EC141" s="12"/>
      <c r="ED141" s="12"/>
      <c r="EE141" s="12"/>
      <c r="EF141" s="12"/>
      <c r="EG141" s="12"/>
      <c r="EH141" s="12"/>
      <c r="EI141" s="12"/>
      <c r="EJ141" s="12"/>
      <c r="EK141" s="12"/>
      <c r="EL141" s="12"/>
      <c r="EM141" s="12"/>
      <c r="EN141" s="12"/>
      <c r="EO141" s="12"/>
      <c r="EP141" s="12"/>
      <c r="EQ141" s="12"/>
      <c r="ER141" s="12"/>
      <c r="ES141" s="12"/>
      <c r="ET141" s="12"/>
      <c r="EU141" s="12"/>
      <c r="EV141" s="12"/>
      <c r="EW141" s="12"/>
      <c r="EX141" s="12"/>
      <c r="EY141" s="12"/>
      <c r="EZ141" s="12"/>
      <c r="FA141" s="12"/>
      <c r="FB141" s="12"/>
      <c r="FC141" s="12"/>
      <c r="FD141" s="12"/>
      <c r="FE141" s="12"/>
      <c r="FF141" s="12"/>
      <c r="FG141" s="12"/>
      <c r="FH141" s="12"/>
      <c r="FI141" s="12"/>
      <c r="FJ141" s="12"/>
      <c r="FK141" s="12"/>
      <c r="FL141" s="12"/>
      <c r="FM141" s="12"/>
      <c r="FN141" s="12"/>
      <c r="FO141" s="12"/>
      <c r="FP141" s="12"/>
      <c r="FQ141" s="12"/>
      <c r="FR141" s="12"/>
      <c r="FS141" s="12"/>
      <c r="FT141" s="12"/>
      <c r="FU141" s="12"/>
      <c r="FV141" s="12"/>
      <c r="FW141" s="12"/>
      <c r="FX141" s="12"/>
      <c r="FY141" s="12"/>
      <c r="FZ141" s="12"/>
      <c r="GA141" s="12"/>
      <c r="GB141" s="12"/>
      <c r="GC141" s="12"/>
      <c r="GD141" s="12"/>
      <c r="GE141" s="12"/>
    </row>
    <row r="142" spans="1:187" ht="21.75" customHeight="1">
      <c r="A142" s="45"/>
      <c r="B142" s="9" t="s">
        <v>2</v>
      </c>
      <c r="C142" s="10" t="s">
        <v>68</v>
      </c>
      <c r="D142" s="10" t="s">
        <v>176</v>
      </c>
      <c r="E142" s="35">
        <v>747.04</v>
      </c>
      <c r="F142" s="35">
        <f>1146.944-E142</f>
        <v>399.904</v>
      </c>
      <c r="G142" s="35">
        <v>132.57</v>
      </c>
      <c r="H142" s="35">
        <f>650.592-G142</f>
        <v>518.02199999999993</v>
      </c>
      <c r="I142" s="35">
        <f t="shared" si="19"/>
        <v>1797.5359999999998</v>
      </c>
      <c r="J142" s="56">
        <f>'2021'!J143</f>
        <v>1959.5</v>
      </c>
      <c r="K142" s="49">
        <v>2641.0383999999999</v>
      </c>
      <c r="L142" s="49">
        <v>2746.679936</v>
      </c>
      <c r="M142" s="49">
        <v>1792.4503999999999</v>
      </c>
      <c r="N142" s="49">
        <v>1864.148416</v>
      </c>
      <c r="O142" s="56">
        <f t="shared" ref="O142:O208" si="20">K142-M142</f>
        <v>848.58799999999997</v>
      </c>
      <c r="P142" s="1">
        <f t="shared" si="14"/>
        <v>633929.17951999989</v>
      </c>
      <c r="Q142" s="1">
        <f t="shared" si="15"/>
        <v>339353.735552</v>
      </c>
      <c r="R142" s="1">
        <f t="shared" si="16"/>
        <v>116997.2036064</v>
      </c>
      <c r="S142" s="1">
        <f t="shared" si="17"/>
        <v>457170.74305343995</v>
      </c>
      <c r="T142" s="1">
        <f t="shared" si="18"/>
        <v>1547450.8617318398</v>
      </c>
      <c r="U142" s="11"/>
      <c r="V142" s="11"/>
      <c r="W142" s="11"/>
      <c r="X142" s="12"/>
      <c r="Y142" s="12"/>
      <c r="Z142" s="12"/>
      <c r="AA142" s="12"/>
      <c r="AB142" s="12"/>
      <c r="AC142" s="12"/>
      <c r="AD142" s="12"/>
      <c r="AE142" s="12"/>
      <c r="AF142" s="12"/>
      <c r="AG142" s="12"/>
      <c r="AH142" s="12"/>
      <c r="AI142" s="12"/>
      <c r="AJ142" s="12"/>
      <c r="AK142" s="12"/>
      <c r="AL142" s="12"/>
      <c r="AM142" s="12"/>
      <c r="AN142" s="12"/>
      <c r="AO142" s="12"/>
      <c r="AP142" s="12"/>
      <c r="AQ142" s="12"/>
      <c r="AR142" s="12"/>
      <c r="AS142" s="12"/>
      <c r="AT142" s="12"/>
      <c r="AU142" s="12"/>
      <c r="AV142" s="12"/>
      <c r="AW142" s="12"/>
      <c r="AX142" s="12"/>
      <c r="AY142" s="12"/>
      <c r="AZ142" s="12"/>
      <c r="BA142" s="12"/>
      <c r="BB142" s="12"/>
      <c r="BC142" s="12"/>
      <c r="BD142" s="12"/>
      <c r="BE142" s="12"/>
      <c r="BF142" s="12"/>
      <c r="BG142" s="12"/>
      <c r="BH142" s="12"/>
      <c r="BI142" s="12"/>
      <c r="BJ142" s="12"/>
      <c r="BK142" s="12"/>
      <c r="BL142" s="12"/>
      <c r="BM142" s="12"/>
      <c r="BN142" s="12"/>
      <c r="BO142" s="12"/>
      <c r="BP142" s="12"/>
      <c r="BQ142" s="12"/>
      <c r="BR142" s="12"/>
      <c r="BS142" s="12"/>
      <c r="BT142" s="12"/>
      <c r="BU142" s="12"/>
      <c r="BV142" s="12"/>
      <c r="BW142" s="12"/>
      <c r="BX142" s="12"/>
      <c r="BY142" s="12"/>
      <c r="BZ142" s="12"/>
      <c r="CA142" s="12"/>
      <c r="CB142" s="12"/>
      <c r="CC142" s="12"/>
      <c r="CD142" s="12"/>
      <c r="CE142" s="12"/>
      <c r="CF142" s="12"/>
      <c r="CG142" s="12"/>
      <c r="CH142" s="12"/>
      <c r="CI142" s="12"/>
      <c r="CJ142" s="12"/>
      <c r="CK142" s="12"/>
      <c r="CL142" s="12"/>
      <c r="CM142" s="12"/>
      <c r="CN142" s="12"/>
      <c r="CO142" s="12"/>
      <c r="CP142" s="12"/>
      <c r="CQ142" s="12"/>
      <c r="CR142" s="12"/>
      <c r="CS142" s="12"/>
      <c r="CT142" s="12"/>
      <c r="CU142" s="12"/>
      <c r="CV142" s="12"/>
      <c r="CW142" s="12"/>
      <c r="CX142" s="12"/>
      <c r="CY142" s="12"/>
      <c r="CZ142" s="12"/>
      <c r="DA142" s="12"/>
      <c r="DB142" s="12"/>
      <c r="DC142" s="12"/>
      <c r="DD142" s="12"/>
      <c r="DE142" s="12"/>
      <c r="DF142" s="12"/>
      <c r="DG142" s="12"/>
      <c r="DH142" s="12"/>
      <c r="DI142" s="12"/>
      <c r="DJ142" s="12"/>
      <c r="DK142" s="12"/>
      <c r="DL142" s="12"/>
      <c r="DM142" s="12"/>
      <c r="DN142" s="12"/>
      <c r="DO142" s="12"/>
      <c r="DP142" s="12"/>
      <c r="DQ142" s="12"/>
      <c r="DR142" s="12"/>
      <c r="DS142" s="12"/>
      <c r="DT142" s="12"/>
      <c r="DU142" s="12"/>
      <c r="DV142" s="12"/>
      <c r="DW142" s="12"/>
      <c r="DX142" s="12"/>
      <c r="DY142" s="12"/>
      <c r="DZ142" s="12"/>
      <c r="EA142" s="12"/>
      <c r="EB142" s="12"/>
      <c r="EC142" s="12"/>
      <c r="ED142" s="12"/>
      <c r="EE142" s="12"/>
      <c r="EF142" s="12"/>
      <c r="EG142" s="12"/>
      <c r="EH142" s="12"/>
      <c r="EI142" s="12"/>
      <c r="EJ142" s="12"/>
      <c r="EK142" s="12"/>
      <c r="EL142" s="12"/>
      <c r="EM142" s="12"/>
      <c r="EN142" s="12"/>
      <c r="EO142" s="12"/>
      <c r="EP142" s="12"/>
      <c r="EQ142" s="12"/>
      <c r="ER142" s="12"/>
      <c r="ES142" s="12"/>
      <c r="ET142" s="12"/>
      <c r="EU142" s="12"/>
      <c r="EV142" s="12"/>
      <c r="EW142" s="12"/>
      <c r="EX142" s="12"/>
      <c r="EY142" s="12"/>
      <c r="EZ142" s="12"/>
      <c r="FA142" s="12"/>
      <c r="FB142" s="12"/>
      <c r="FC142" s="12"/>
      <c r="FD142" s="12"/>
      <c r="FE142" s="12"/>
      <c r="FF142" s="12"/>
      <c r="FG142" s="12"/>
      <c r="FH142" s="12"/>
      <c r="FI142" s="12"/>
      <c r="FJ142" s="12"/>
      <c r="FK142" s="12"/>
      <c r="FL142" s="12"/>
      <c r="FM142" s="12"/>
      <c r="FN142" s="12"/>
      <c r="FO142" s="12"/>
      <c r="FP142" s="12"/>
      <c r="FQ142" s="12"/>
      <c r="FR142" s="12"/>
      <c r="FS142" s="12"/>
      <c r="FT142" s="12"/>
      <c r="FU142" s="12"/>
      <c r="FV142" s="12"/>
      <c r="FW142" s="12"/>
      <c r="FX142" s="12"/>
      <c r="FY142" s="12"/>
      <c r="FZ142" s="12"/>
      <c r="GA142" s="12"/>
      <c r="GB142" s="12"/>
      <c r="GC142" s="12"/>
      <c r="GD142" s="12"/>
      <c r="GE142" s="12"/>
    </row>
    <row r="143" spans="1:187" ht="21.75" customHeight="1">
      <c r="A143" s="45"/>
      <c r="B143" s="9" t="s">
        <v>2</v>
      </c>
      <c r="C143" s="10" t="s">
        <v>68</v>
      </c>
      <c r="D143" s="10" t="s">
        <v>178</v>
      </c>
      <c r="E143" s="35">
        <v>1003.718</v>
      </c>
      <c r="F143" s="35">
        <f>1662.824-E143</f>
        <v>659.10600000000011</v>
      </c>
      <c r="G143" s="35">
        <v>323.637</v>
      </c>
      <c r="H143" s="35">
        <f>1308.899-G143</f>
        <v>985.26199999999994</v>
      </c>
      <c r="I143" s="35">
        <f t="shared" si="19"/>
        <v>2971.723</v>
      </c>
      <c r="J143" s="56">
        <f>'2021'!J144</f>
        <v>2960.7460000000001</v>
      </c>
      <c r="K143" s="49">
        <v>13860.683200000001</v>
      </c>
      <c r="L143" s="49">
        <v>14415.110528000001</v>
      </c>
      <c r="M143" s="49">
        <v>1307.7896000000001</v>
      </c>
      <c r="N143" s="49">
        <v>1360.1011840000001</v>
      </c>
      <c r="O143" s="56">
        <f t="shared" si="20"/>
        <v>12552.893600000001</v>
      </c>
      <c r="P143" s="1">
        <f t="shared" si="14"/>
        <v>12599565.258404801</v>
      </c>
      <c r="Q143" s="1">
        <f t="shared" si="15"/>
        <v>8273687.4891216019</v>
      </c>
      <c r="R143" s="1">
        <f t="shared" si="16"/>
        <v>4225084.0590641284</v>
      </c>
      <c r="S143" s="1">
        <f t="shared" si="17"/>
        <v>12862604.616288129</v>
      </c>
      <c r="T143" s="1">
        <f t="shared" si="18"/>
        <v>37960941.42287866</v>
      </c>
      <c r="U143" s="11"/>
      <c r="V143" s="11"/>
      <c r="W143" s="11"/>
      <c r="X143" s="12"/>
      <c r="Y143" s="12"/>
      <c r="Z143" s="12"/>
      <c r="AA143" s="12"/>
      <c r="AB143" s="12"/>
      <c r="AC143" s="12"/>
      <c r="AD143" s="12"/>
      <c r="AE143" s="12"/>
      <c r="AF143" s="12"/>
      <c r="AG143" s="12"/>
      <c r="AH143" s="12"/>
      <c r="AI143" s="12"/>
      <c r="AJ143" s="12"/>
      <c r="AK143" s="12"/>
      <c r="AL143" s="12"/>
      <c r="AM143" s="12"/>
      <c r="AN143" s="12"/>
      <c r="AO143" s="12"/>
      <c r="AP143" s="12"/>
      <c r="AQ143" s="12"/>
      <c r="AR143" s="12"/>
      <c r="AS143" s="12"/>
      <c r="AT143" s="12"/>
      <c r="AU143" s="12"/>
      <c r="AV143" s="12"/>
      <c r="AW143" s="12"/>
      <c r="AX143" s="12"/>
      <c r="AY143" s="12"/>
      <c r="AZ143" s="12"/>
      <c r="BA143" s="12"/>
      <c r="BB143" s="12"/>
      <c r="BC143" s="12"/>
      <c r="BD143" s="12"/>
      <c r="BE143" s="12"/>
      <c r="BF143" s="12"/>
      <c r="BG143" s="12"/>
      <c r="BH143" s="12"/>
      <c r="BI143" s="12"/>
      <c r="BJ143" s="12"/>
      <c r="BK143" s="12"/>
      <c r="BL143" s="12"/>
      <c r="BM143" s="12"/>
      <c r="BN143" s="12"/>
      <c r="BO143" s="12"/>
      <c r="BP143" s="12"/>
      <c r="BQ143" s="12"/>
      <c r="BR143" s="12"/>
      <c r="BS143" s="12"/>
      <c r="BT143" s="12"/>
      <c r="BU143" s="12"/>
      <c r="BV143" s="12"/>
      <c r="BW143" s="12"/>
      <c r="BX143" s="12"/>
      <c r="BY143" s="12"/>
      <c r="BZ143" s="12"/>
      <c r="CA143" s="12"/>
      <c r="CB143" s="12"/>
      <c r="CC143" s="12"/>
      <c r="CD143" s="12"/>
      <c r="CE143" s="12"/>
      <c r="CF143" s="12"/>
      <c r="CG143" s="12"/>
      <c r="CH143" s="12"/>
      <c r="CI143" s="12"/>
      <c r="CJ143" s="12"/>
      <c r="CK143" s="12"/>
      <c r="CL143" s="12"/>
      <c r="CM143" s="12"/>
      <c r="CN143" s="12"/>
      <c r="CO143" s="12"/>
      <c r="CP143" s="12"/>
      <c r="CQ143" s="12"/>
      <c r="CR143" s="12"/>
      <c r="CS143" s="12"/>
      <c r="CT143" s="12"/>
      <c r="CU143" s="12"/>
      <c r="CV143" s="12"/>
      <c r="CW143" s="12"/>
      <c r="CX143" s="12"/>
      <c r="CY143" s="12"/>
      <c r="CZ143" s="12"/>
      <c r="DA143" s="12"/>
      <c r="DB143" s="12"/>
      <c r="DC143" s="12"/>
      <c r="DD143" s="12"/>
      <c r="DE143" s="12"/>
      <c r="DF143" s="12"/>
      <c r="DG143" s="12"/>
      <c r="DH143" s="12"/>
      <c r="DI143" s="12"/>
      <c r="DJ143" s="12"/>
      <c r="DK143" s="12"/>
      <c r="DL143" s="12"/>
      <c r="DM143" s="12"/>
      <c r="DN143" s="12"/>
      <c r="DO143" s="12"/>
      <c r="DP143" s="12"/>
      <c r="DQ143" s="12"/>
      <c r="DR143" s="12"/>
      <c r="DS143" s="12"/>
      <c r="DT143" s="12"/>
      <c r="DU143" s="12"/>
      <c r="DV143" s="12"/>
      <c r="DW143" s="12"/>
      <c r="DX143" s="12"/>
      <c r="DY143" s="12"/>
      <c r="DZ143" s="12"/>
      <c r="EA143" s="12"/>
      <c r="EB143" s="12"/>
      <c r="EC143" s="12"/>
      <c r="ED143" s="12"/>
      <c r="EE143" s="12"/>
      <c r="EF143" s="12"/>
      <c r="EG143" s="12"/>
      <c r="EH143" s="12"/>
      <c r="EI143" s="12"/>
      <c r="EJ143" s="12"/>
      <c r="EK143" s="12"/>
      <c r="EL143" s="12"/>
      <c r="EM143" s="12"/>
      <c r="EN143" s="12"/>
      <c r="EO143" s="12"/>
      <c r="EP143" s="12"/>
      <c r="EQ143" s="12"/>
      <c r="ER143" s="12"/>
      <c r="ES143" s="12"/>
      <c r="ET143" s="12"/>
      <c r="EU143" s="12"/>
      <c r="EV143" s="12"/>
      <c r="EW143" s="12"/>
      <c r="EX143" s="12"/>
      <c r="EY143" s="12"/>
      <c r="EZ143" s="12"/>
      <c r="FA143" s="12"/>
      <c r="FB143" s="12"/>
      <c r="FC143" s="12"/>
      <c r="FD143" s="12"/>
      <c r="FE143" s="12"/>
      <c r="FF143" s="12"/>
      <c r="FG143" s="12"/>
      <c r="FH143" s="12"/>
      <c r="FI143" s="12"/>
      <c r="FJ143" s="12"/>
      <c r="FK143" s="12"/>
      <c r="FL143" s="12"/>
      <c r="FM143" s="12"/>
      <c r="FN143" s="12"/>
      <c r="FO143" s="12"/>
      <c r="FP143" s="12"/>
      <c r="FQ143" s="12"/>
      <c r="FR143" s="12"/>
      <c r="FS143" s="12"/>
      <c r="FT143" s="12"/>
      <c r="FU143" s="12"/>
      <c r="FV143" s="12"/>
      <c r="FW143" s="12"/>
      <c r="FX143" s="12"/>
      <c r="FY143" s="12"/>
      <c r="FZ143" s="12"/>
      <c r="GA143" s="12"/>
      <c r="GB143" s="12"/>
      <c r="GC143" s="12"/>
      <c r="GD143" s="12"/>
      <c r="GE143" s="12"/>
    </row>
    <row r="144" spans="1:187" ht="21.75" customHeight="1">
      <c r="A144" s="45"/>
      <c r="B144" s="9" t="s">
        <v>1</v>
      </c>
      <c r="C144" s="10" t="s">
        <v>177</v>
      </c>
      <c r="D144" s="10" t="s">
        <v>171</v>
      </c>
      <c r="E144" s="35">
        <v>9231.1939999999995</v>
      </c>
      <c r="F144" s="35">
        <f>14623.143-E144</f>
        <v>5391.9490000000005</v>
      </c>
      <c r="G144" s="35">
        <v>1897.14</v>
      </c>
      <c r="H144" s="35">
        <f>9971.595-G144</f>
        <v>8074.454999999999</v>
      </c>
      <c r="I144" s="35">
        <f t="shared" si="19"/>
        <v>24594.737999999998</v>
      </c>
      <c r="J144" s="56">
        <f>'2021'!J145</f>
        <v>25700.7</v>
      </c>
      <c r="K144" s="49">
        <v>4487.9536000000007</v>
      </c>
      <c r="L144" s="49">
        <v>4667.4717440000013</v>
      </c>
      <c r="M144" s="49">
        <v>1925.8200000000002</v>
      </c>
      <c r="N144" s="49">
        <v>2002.8528000000003</v>
      </c>
      <c r="O144" s="56">
        <f t="shared" si="20"/>
        <v>2562.1336000000006</v>
      </c>
      <c r="P144" s="1">
        <f t="shared" si="14"/>
        <v>23651552.315518405</v>
      </c>
      <c r="Q144" s="1">
        <f t="shared" si="15"/>
        <v>13814893.702386405</v>
      </c>
      <c r="R144" s="1">
        <f t="shared" si="16"/>
        <v>5055155.1834201617</v>
      </c>
      <c r="S144" s="1">
        <f t="shared" si="17"/>
        <v>21515345.755475525</v>
      </c>
      <c r="T144" s="1">
        <f t="shared" si="18"/>
        <v>64036946.956800491</v>
      </c>
      <c r="U144" s="17"/>
      <c r="V144" s="11"/>
      <c r="W144" s="11"/>
      <c r="X144" s="12"/>
      <c r="Y144" s="12"/>
      <c r="Z144" s="12"/>
      <c r="AA144" s="12"/>
      <c r="AB144" s="12"/>
      <c r="AC144" s="12"/>
      <c r="AD144" s="12"/>
      <c r="AE144" s="12"/>
      <c r="AF144" s="12"/>
      <c r="AG144" s="12"/>
      <c r="AH144" s="12"/>
      <c r="AI144" s="12"/>
      <c r="AJ144" s="12"/>
      <c r="AK144" s="12"/>
      <c r="AL144" s="12"/>
      <c r="AM144" s="12"/>
      <c r="AN144" s="12"/>
      <c r="AO144" s="12"/>
      <c r="AP144" s="12"/>
      <c r="AQ144" s="12"/>
      <c r="AR144" s="12"/>
      <c r="AS144" s="12"/>
      <c r="AT144" s="12"/>
      <c r="AU144" s="12"/>
      <c r="AV144" s="12"/>
      <c r="AW144" s="12"/>
      <c r="AX144" s="12"/>
      <c r="AY144" s="12"/>
      <c r="AZ144" s="12"/>
      <c r="BA144" s="12"/>
      <c r="BB144" s="12"/>
      <c r="BC144" s="12"/>
      <c r="BD144" s="12"/>
      <c r="BE144" s="12"/>
      <c r="BF144" s="12"/>
      <c r="BG144" s="12"/>
      <c r="BH144" s="12"/>
      <c r="BI144" s="12"/>
      <c r="BJ144" s="12"/>
      <c r="BK144" s="12"/>
      <c r="BL144" s="12"/>
      <c r="BM144" s="12"/>
      <c r="BN144" s="12"/>
      <c r="BO144" s="12"/>
      <c r="BP144" s="12"/>
      <c r="BQ144" s="12"/>
      <c r="BR144" s="12"/>
      <c r="BS144" s="12"/>
      <c r="BT144" s="12"/>
      <c r="BU144" s="12"/>
      <c r="BV144" s="12"/>
      <c r="BW144" s="12"/>
      <c r="BX144" s="12"/>
      <c r="BY144" s="12"/>
      <c r="BZ144" s="12"/>
      <c r="CA144" s="12"/>
      <c r="CB144" s="12"/>
      <c r="CC144" s="12"/>
      <c r="CD144" s="12"/>
      <c r="CE144" s="12"/>
      <c r="CF144" s="12"/>
      <c r="CG144" s="12"/>
      <c r="CH144" s="12"/>
      <c r="CI144" s="12"/>
      <c r="CJ144" s="12"/>
      <c r="CK144" s="12"/>
      <c r="CL144" s="12"/>
      <c r="CM144" s="12"/>
      <c r="CN144" s="12"/>
      <c r="CO144" s="12"/>
      <c r="CP144" s="12"/>
      <c r="CQ144" s="12"/>
      <c r="CR144" s="12"/>
      <c r="CS144" s="12"/>
      <c r="CT144" s="12"/>
      <c r="CU144" s="12"/>
      <c r="CV144" s="12"/>
      <c r="CW144" s="12"/>
      <c r="CX144" s="12"/>
      <c r="CY144" s="12"/>
      <c r="CZ144" s="12"/>
      <c r="DA144" s="12"/>
      <c r="DB144" s="12"/>
      <c r="DC144" s="12"/>
      <c r="DD144" s="12"/>
      <c r="DE144" s="12"/>
      <c r="DF144" s="12"/>
      <c r="DG144" s="12"/>
      <c r="DH144" s="12"/>
      <c r="DI144" s="12"/>
      <c r="DJ144" s="12"/>
      <c r="DK144" s="12"/>
      <c r="DL144" s="12"/>
      <c r="DM144" s="12"/>
      <c r="DN144" s="12"/>
      <c r="DO144" s="12"/>
      <c r="DP144" s="12"/>
      <c r="DQ144" s="12"/>
      <c r="DR144" s="12"/>
      <c r="DS144" s="12"/>
      <c r="DT144" s="12"/>
      <c r="DU144" s="12"/>
      <c r="DV144" s="12"/>
      <c r="DW144" s="12"/>
      <c r="DX144" s="12"/>
      <c r="DY144" s="12"/>
      <c r="DZ144" s="12"/>
      <c r="EA144" s="12"/>
      <c r="EB144" s="12"/>
      <c r="EC144" s="12"/>
      <c r="ED144" s="12"/>
      <c r="EE144" s="12"/>
      <c r="EF144" s="12"/>
      <c r="EG144" s="12"/>
      <c r="EH144" s="12"/>
      <c r="EI144" s="12"/>
      <c r="EJ144" s="12"/>
      <c r="EK144" s="12"/>
      <c r="EL144" s="12"/>
      <c r="EM144" s="12"/>
      <c r="EN144" s="12"/>
      <c r="EO144" s="12"/>
      <c r="EP144" s="12"/>
      <c r="EQ144" s="12"/>
      <c r="ER144" s="12"/>
      <c r="ES144" s="12"/>
      <c r="ET144" s="12"/>
      <c r="EU144" s="12"/>
      <c r="EV144" s="12"/>
      <c r="EW144" s="12"/>
      <c r="EX144" s="12"/>
      <c r="EY144" s="12"/>
      <c r="EZ144" s="12"/>
      <c r="FA144" s="12"/>
      <c r="FB144" s="12"/>
      <c r="FC144" s="12"/>
      <c r="FD144" s="12"/>
      <c r="FE144" s="12"/>
      <c r="FF144" s="12"/>
      <c r="FG144" s="12"/>
      <c r="FH144" s="12"/>
      <c r="FI144" s="12"/>
      <c r="FJ144" s="12"/>
      <c r="FK144" s="12"/>
      <c r="FL144" s="12"/>
      <c r="FM144" s="12"/>
      <c r="FN144" s="12"/>
      <c r="FO144" s="12"/>
      <c r="FP144" s="12"/>
      <c r="FQ144" s="12"/>
      <c r="FR144" s="12"/>
      <c r="FS144" s="12"/>
      <c r="FT144" s="12"/>
      <c r="FU144" s="12"/>
      <c r="FV144" s="12"/>
      <c r="FW144" s="12"/>
      <c r="FX144" s="12"/>
      <c r="FY144" s="12"/>
      <c r="FZ144" s="12"/>
      <c r="GA144" s="12"/>
      <c r="GB144" s="12"/>
      <c r="GC144" s="12"/>
      <c r="GD144" s="12"/>
      <c r="GE144" s="12"/>
    </row>
    <row r="145" spans="1:187" ht="21.75" customHeight="1">
      <c r="A145" s="45"/>
      <c r="B145" s="9" t="s">
        <v>1</v>
      </c>
      <c r="C145" s="10" t="s">
        <v>177</v>
      </c>
      <c r="D145" s="10" t="s">
        <v>166</v>
      </c>
      <c r="E145" s="35">
        <v>2067.942</v>
      </c>
      <c r="F145" s="35">
        <f>2893.78-E145</f>
        <v>825.83800000000019</v>
      </c>
      <c r="G145" s="35">
        <v>217.488</v>
      </c>
      <c r="H145" s="35">
        <f>1716.406-G145</f>
        <v>1498.9179999999999</v>
      </c>
      <c r="I145" s="35">
        <f t="shared" si="19"/>
        <v>4610.1859999999997</v>
      </c>
      <c r="J145" s="56">
        <f>'2021'!J146</f>
        <v>4917.88</v>
      </c>
      <c r="K145" s="49">
        <v>5385.1824000000006</v>
      </c>
      <c r="L145" s="49">
        <v>5600.5896960000009</v>
      </c>
      <c r="M145" s="49">
        <v>1925.8200000000002</v>
      </c>
      <c r="N145" s="49">
        <v>2002.8528000000003</v>
      </c>
      <c r="O145" s="56">
        <f t="shared" si="20"/>
        <v>3459.3624000000004</v>
      </c>
      <c r="P145" s="1">
        <f t="shared" si="14"/>
        <v>7153760.8001808012</v>
      </c>
      <c r="Q145" s="1">
        <f t="shared" si="15"/>
        <v>2856872.9256912009</v>
      </c>
      <c r="R145" s="1">
        <f t="shared" si="16"/>
        <v>782464.60203724809</v>
      </c>
      <c r="S145" s="1">
        <f t="shared" si="17"/>
        <v>5392712.5926785283</v>
      </c>
      <c r="T145" s="1">
        <f t="shared" si="18"/>
        <v>16185810.920587778</v>
      </c>
      <c r="U145" s="11"/>
      <c r="V145" s="11"/>
      <c r="W145" s="11"/>
      <c r="X145" s="12"/>
      <c r="Y145" s="12"/>
      <c r="Z145" s="12"/>
      <c r="AA145" s="12"/>
      <c r="AB145" s="12"/>
      <c r="AC145" s="12"/>
      <c r="AD145" s="12"/>
      <c r="AE145" s="12"/>
      <c r="AF145" s="12"/>
      <c r="AG145" s="12"/>
      <c r="AH145" s="12"/>
      <c r="AI145" s="12"/>
      <c r="AJ145" s="12"/>
      <c r="AK145" s="12"/>
      <c r="AL145" s="12"/>
      <c r="AM145" s="12"/>
      <c r="AN145" s="12"/>
      <c r="AO145" s="12"/>
      <c r="AP145" s="12"/>
      <c r="AQ145" s="12"/>
      <c r="AR145" s="12"/>
      <c r="AS145" s="12"/>
      <c r="AT145" s="12"/>
      <c r="AU145" s="12"/>
      <c r="AV145" s="12"/>
      <c r="AW145" s="12"/>
      <c r="AX145" s="12"/>
      <c r="AY145" s="12"/>
      <c r="AZ145" s="12"/>
      <c r="BA145" s="12"/>
      <c r="BB145" s="12"/>
      <c r="BC145" s="12"/>
      <c r="BD145" s="12"/>
      <c r="BE145" s="12"/>
      <c r="BF145" s="12"/>
      <c r="BG145" s="12"/>
      <c r="BH145" s="12"/>
      <c r="BI145" s="12"/>
      <c r="BJ145" s="12"/>
      <c r="BK145" s="12"/>
      <c r="BL145" s="12"/>
      <c r="BM145" s="12"/>
      <c r="BN145" s="12"/>
      <c r="BO145" s="12"/>
      <c r="BP145" s="12"/>
      <c r="BQ145" s="12"/>
      <c r="BR145" s="12"/>
      <c r="BS145" s="12"/>
      <c r="BT145" s="12"/>
      <c r="BU145" s="12"/>
      <c r="BV145" s="12"/>
      <c r="BW145" s="12"/>
      <c r="BX145" s="12"/>
      <c r="BY145" s="12"/>
      <c r="BZ145" s="12"/>
      <c r="CA145" s="12"/>
      <c r="CB145" s="12"/>
      <c r="CC145" s="12"/>
      <c r="CD145" s="12"/>
      <c r="CE145" s="12"/>
      <c r="CF145" s="12"/>
      <c r="CG145" s="12"/>
      <c r="CH145" s="12"/>
      <c r="CI145" s="12"/>
      <c r="CJ145" s="12"/>
      <c r="CK145" s="12"/>
      <c r="CL145" s="12"/>
      <c r="CM145" s="12"/>
      <c r="CN145" s="12"/>
      <c r="CO145" s="12"/>
      <c r="CP145" s="12"/>
      <c r="CQ145" s="12"/>
      <c r="CR145" s="12"/>
      <c r="CS145" s="12"/>
      <c r="CT145" s="12"/>
      <c r="CU145" s="12"/>
      <c r="CV145" s="12"/>
      <c r="CW145" s="12"/>
      <c r="CX145" s="12"/>
      <c r="CY145" s="12"/>
      <c r="CZ145" s="12"/>
      <c r="DA145" s="12"/>
      <c r="DB145" s="12"/>
      <c r="DC145" s="12"/>
      <c r="DD145" s="12"/>
      <c r="DE145" s="12"/>
      <c r="DF145" s="12"/>
      <c r="DG145" s="12"/>
      <c r="DH145" s="12"/>
      <c r="DI145" s="12"/>
      <c r="DJ145" s="12"/>
      <c r="DK145" s="12"/>
      <c r="DL145" s="12"/>
      <c r="DM145" s="12"/>
      <c r="DN145" s="12"/>
      <c r="DO145" s="12"/>
      <c r="DP145" s="12"/>
      <c r="DQ145" s="12"/>
      <c r="DR145" s="12"/>
      <c r="DS145" s="12"/>
      <c r="DT145" s="12"/>
      <c r="DU145" s="12"/>
      <c r="DV145" s="12"/>
      <c r="DW145" s="12"/>
      <c r="DX145" s="12"/>
      <c r="DY145" s="12"/>
      <c r="DZ145" s="12"/>
      <c r="EA145" s="12"/>
      <c r="EB145" s="12"/>
      <c r="EC145" s="12"/>
      <c r="ED145" s="12"/>
      <c r="EE145" s="12"/>
      <c r="EF145" s="12"/>
      <c r="EG145" s="12"/>
      <c r="EH145" s="12"/>
      <c r="EI145" s="12"/>
      <c r="EJ145" s="12"/>
      <c r="EK145" s="12"/>
      <c r="EL145" s="12"/>
      <c r="EM145" s="12"/>
      <c r="EN145" s="12"/>
      <c r="EO145" s="12"/>
      <c r="EP145" s="12"/>
      <c r="EQ145" s="12"/>
      <c r="ER145" s="12"/>
      <c r="ES145" s="12"/>
      <c r="ET145" s="12"/>
      <c r="EU145" s="12"/>
      <c r="EV145" s="12"/>
      <c r="EW145" s="12"/>
      <c r="EX145" s="12"/>
      <c r="EY145" s="12"/>
      <c r="EZ145" s="12"/>
      <c r="FA145" s="12"/>
      <c r="FB145" s="12"/>
      <c r="FC145" s="12"/>
      <c r="FD145" s="12"/>
      <c r="FE145" s="12"/>
      <c r="FF145" s="12"/>
      <c r="FG145" s="12"/>
      <c r="FH145" s="12"/>
      <c r="FI145" s="12"/>
      <c r="FJ145" s="12"/>
      <c r="FK145" s="12"/>
      <c r="FL145" s="12"/>
      <c r="FM145" s="12"/>
      <c r="FN145" s="12"/>
      <c r="FO145" s="12"/>
      <c r="FP145" s="12"/>
      <c r="FQ145" s="12"/>
      <c r="FR145" s="12"/>
      <c r="FS145" s="12"/>
      <c r="FT145" s="12"/>
      <c r="FU145" s="12"/>
      <c r="FV145" s="12"/>
      <c r="FW145" s="12"/>
      <c r="FX145" s="12"/>
      <c r="FY145" s="12"/>
      <c r="FZ145" s="12"/>
      <c r="GA145" s="12"/>
      <c r="GB145" s="12"/>
      <c r="GC145" s="12"/>
      <c r="GD145" s="12"/>
      <c r="GE145" s="12"/>
    </row>
    <row r="146" spans="1:187" ht="21.75" customHeight="1">
      <c r="A146" s="45"/>
      <c r="B146" s="9" t="s">
        <v>1</v>
      </c>
      <c r="C146" s="10" t="s">
        <v>177</v>
      </c>
      <c r="D146" s="10" t="s">
        <v>169</v>
      </c>
      <c r="E146" s="35">
        <v>1392.646</v>
      </c>
      <c r="F146" s="35">
        <f>2159.573-E146</f>
        <v>766.92699999999991</v>
      </c>
      <c r="G146" s="35">
        <v>312.33999999999997</v>
      </c>
      <c r="H146" s="35">
        <f>1673.02-G146</f>
        <v>1360.68</v>
      </c>
      <c r="I146" s="35">
        <f t="shared" si="19"/>
        <v>3832.5929999999998</v>
      </c>
      <c r="J146" s="56">
        <f>'2021'!J147</f>
        <v>4105.8100000000004</v>
      </c>
      <c r="K146" s="49">
        <v>5385.1824000000006</v>
      </c>
      <c r="L146" s="49">
        <v>5600.5896960000009</v>
      </c>
      <c r="M146" s="49">
        <v>1925.8200000000002</v>
      </c>
      <c r="N146" s="49">
        <v>2002.8528000000003</v>
      </c>
      <c r="O146" s="56">
        <f t="shared" si="20"/>
        <v>3459.3624000000004</v>
      </c>
      <c r="P146" s="1">
        <f t="shared" si="14"/>
        <v>4817667.2089104</v>
      </c>
      <c r="Q146" s="1">
        <f t="shared" si="15"/>
        <v>2653078.4273448</v>
      </c>
      <c r="R146" s="1">
        <f t="shared" si="16"/>
        <v>1123717.1420966401</v>
      </c>
      <c r="S146" s="1">
        <f t="shared" si="17"/>
        <v>4895368.6396492803</v>
      </c>
      <c r="T146" s="1">
        <f t="shared" si="18"/>
        <v>13489831.418001119</v>
      </c>
      <c r="U146" s="11"/>
      <c r="V146" s="11"/>
      <c r="W146" s="11"/>
      <c r="X146" s="12"/>
      <c r="Y146" s="12"/>
      <c r="Z146" s="12"/>
      <c r="AA146" s="12"/>
      <c r="AB146" s="12"/>
      <c r="AC146" s="12"/>
      <c r="AD146" s="12"/>
      <c r="AE146" s="12"/>
      <c r="AF146" s="12"/>
      <c r="AG146" s="12"/>
      <c r="AH146" s="12"/>
      <c r="AI146" s="12"/>
      <c r="AJ146" s="12"/>
      <c r="AK146" s="12"/>
      <c r="AL146" s="12"/>
      <c r="AM146" s="12"/>
      <c r="AN146" s="12"/>
      <c r="AO146" s="12"/>
      <c r="AP146" s="12"/>
      <c r="AQ146" s="12"/>
      <c r="AR146" s="12"/>
      <c r="AS146" s="12"/>
      <c r="AT146" s="12"/>
      <c r="AU146" s="12"/>
      <c r="AV146" s="12"/>
      <c r="AW146" s="12"/>
      <c r="AX146" s="12"/>
      <c r="AY146" s="12"/>
      <c r="AZ146" s="12"/>
      <c r="BA146" s="12"/>
      <c r="BB146" s="12"/>
      <c r="BC146" s="12"/>
      <c r="BD146" s="12"/>
      <c r="BE146" s="12"/>
      <c r="BF146" s="12"/>
      <c r="BG146" s="12"/>
      <c r="BH146" s="12"/>
      <c r="BI146" s="12"/>
      <c r="BJ146" s="12"/>
      <c r="BK146" s="12"/>
      <c r="BL146" s="12"/>
      <c r="BM146" s="12"/>
      <c r="BN146" s="12"/>
      <c r="BO146" s="12"/>
      <c r="BP146" s="12"/>
      <c r="BQ146" s="12"/>
      <c r="BR146" s="12"/>
      <c r="BS146" s="12"/>
      <c r="BT146" s="12"/>
      <c r="BU146" s="12"/>
      <c r="BV146" s="12"/>
      <c r="BW146" s="12"/>
      <c r="BX146" s="12"/>
      <c r="BY146" s="12"/>
      <c r="BZ146" s="12"/>
      <c r="CA146" s="12"/>
      <c r="CB146" s="12"/>
      <c r="CC146" s="12"/>
      <c r="CD146" s="12"/>
      <c r="CE146" s="12"/>
      <c r="CF146" s="12"/>
      <c r="CG146" s="12"/>
      <c r="CH146" s="12"/>
      <c r="CI146" s="12"/>
      <c r="CJ146" s="12"/>
      <c r="CK146" s="12"/>
      <c r="CL146" s="12"/>
      <c r="CM146" s="12"/>
      <c r="CN146" s="12"/>
      <c r="CO146" s="12"/>
      <c r="CP146" s="12"/>
      <c r="CQ146" s="12"/>
      <c r="CR146" s="12"/>
      <c r="CS146" s="12"/>
      <c r="CT146" s="12"/>
      <c r="CU146" s="12"/>
      <c r="CV146" s="12"/>
      <c r="CW146" s="12"/>
      <c r="CX146" s="12"/>
      <c r="CY146" s="12"/>
      <c r="CZ146" s="12"/>
      <c r="DA146" s="12"/>
      <c r="DB146" s="12"/>
      <c r="DC146" s="12"/>
      <c r="DD146" s="12"/>
      <c r="DE146" s="12"/>
      <c r="DF146" s="12"/>
      <c r="DG146" s="12"/>
      <c r="DH146" s="12"/>
      <c r="DI146" s="12"/>
      <c r="DJ146" s="12"/>
      <c r="DK146" s="12"/>
      <c r="DL146" s="12"/>
      <c r="DM146" s="12"/>
      <c r="DN146" s="12"/>
      <c r="DO146" s="12"/>
      <c r="DP146" s="12"/>
      <c r="DQ146" s="12"/>
      <c r="DR146" s="12"/>
      <c r="DS146" s="12"/>
      <c r="DT146" s="12"/>
      <c r="DU146" s="12"/>
      <c r="DV146" s="12"/>
      <c r="DW146" s="12"/>
      <c r="DX146" s="12"/>
      <c r="DY146" s="12"/>
      <c r="DZ146" s="12"/>
      <c r="EA146" s="12"/>
      <c r="EB146" s="12"/>
      <c r="EC146" s="12"/>
      <c r="ED146" s="12"/>
      <c r="EE146" s="12"/>
      <c r="EF146" s="12"/>
      <c r="EG146" s="12"/>
      <c r="EH146" s="12"/>
      <c r="EI146" s="12"/>
      <c r="EJ146" s="12"/>
      <c r="EK146" s="12"/>
      <c r="EL146" s="12"/>
      <c r="EM146" s="12"/>
      <c r="EN146" s="12"/>
      <c r="EO146" s="12"/>
      <c r="EP146" s="12"/>
      <c r="EQ146" s="12"/>
      <c r="ER146" s="12"/>
      <c r="ES146" s="12"/>
      <c r="ET146" s="12"/>
      <c r="EU146" s="12"/>
      <c r="EV146" s="12"/>
      <c r="EW146" s="12"/>
      <c r="EX146" s="12"/>
      <c r="EY146" s="12"/>
      <c r="EZ146" s="12"/>
      <c r="FA146" s="12"/>
      <c r="FB146" s="12"/>
      <c r="FC146" s="12"/>
      <c r="FD146" s="12"/>
      <c r="FE146" s="12"/>
      <c r="FF146" s="12"/>
      <c r="FG146" s="12"/>
      <c r="FH146" s="12"/>
      <c r="FI146" s="12"/>
      <c r="FJ146" s="12"/>
      <c r="FK146" s="12"/>
      <c r="FL146" s="12"/>
      <c r="FM146" s="12"/>
      <c r="FN146" s="12"/>
      <c r="FO146" s="12"/>
      <c r="FP146" s="12"/>
      <c r="FQ146" s="12"/>
      <c r="FR146" s="12"/>
      <c r="FS146" s="12"/>
      <c r="FT146" s="12"/>
      <c r="FU146" s="12"/>
      <c r="FV146" s="12"/>
      <c r="FW146" s="12"/>
      <c r="FX146" s="12"/>
      <c r="FY146" s="12"/>
      <c r="FZ146" s="12"/>
      <c r="GA146" s="12"/>
      <c r="GB146" s="12"/>
      <c r="GC146" s="12"/>
      <c r="GD146" s="12"/>
      <c r="GE146" s="12"/>
    </row>
    <row r="147" spans="1:187" ht="21.75" customHeight="1">
      <c r="A147" s="45"/>
      <c r="B147" s="9" t="s">
        <v>1</v>
      </c>
      <c r="C147" s="10" t="s">
        <v>177</v>
      </c>
      <c r="D147" s="10" t="s">
        <v>170</v>
      </c>
      <c r="E147" s="35">
        <v>765.95899999999995</v>
      </c>
      <c r="F147" s="35">
        <f>1269.325-E147</f>
        <v>503.3660000000001</v>
      </c>
      <c r="G147" s="35">
        <v>250.209</v>
      </c>
      <c r="H147" s="35">
        <f>979.466-G147</f>
        <v>729.25700000000006</v>
      </c>
      <c r="I147" s="35">
        <f t="shared" si="19"/>
        <v>2248.7910000000002</v>
      </c>
      <c r="J147" s="56">
        <f>'2021'!J148</f>
        <v>2213.4699999999998</v>
      </c>
      <c r="K147" s="49">
        <v>5385.1824000000006</v>
      </c>
      <c r="L147" s="49">
        <v>5600.5896960000009</v>
      </c>
      <c r="M147" s="49">
        <v>1925.8200000000002</v>
      </c>
      <c r="N147" s="49">
        <v>2002.8528000000003</v>
      </c>
      <c r="O147" s="56">
        <f t="shared" si="20"/>
        <v>3459.3624000000004</v>
      </c>
      <c r="P147" s="1">
        <f t="shared" si="14"/>
        <v>2649729.7645416004</v>
      </c>
      <c r="Q147" s="1">
        <f t="shared" si="15"/>
        <v>1741325.4138384005</v>
      </c>
      <c r="R147" s="1">
        <f t="shared" si="16"/>
        <v>900186.15101126407</v>
      </c>
      <c r="S147" s="1">
        <f t="shared" si="17"/>
        <v>2623674.8155662725</v>
      </c>
      <c r="T147" s="1">
        <f t="shared" si="18"/>
        <v>7914916.1449575378</v>
      </c>
      <c r="U147" s="11"/>
      <c r="V147" s="11"/>
      <c r="W147" s="11"/>
      <c r="X147" s="12"/>
      <c r="Y147" s="12"/>
      <c r="Z147" s="12"/>
      <c r="AA147" s="12"/>
      <c r="AB147" s="12"/>
      <c r="AC147" s="12"/>
      <c r="AD147" s="12"/>
      <c r="AE147" s="12"/>
      <c r="AF147" s="12"/>
      <c r="AG147" s="12"/>
      <c r="AH147" s="12"/>
      <c r="AI147" s="12"/>
      <c r="AJ147" s="12"/>
      <c r="AK147" s="12"/>
      <c r="AL147" s="12"/>
      <c r="AM147" s="12"/>
      <c r="AN147" s="12"/>
      <c r="AO147" s="12"/>
      <c r="AP147" s="12"/>
      <c r="AQ147" s="12"/>
      <c r="AR147" s="12"/>
      <c r="AS147" s="12"/>
      <c r="AT147" s="12"/>
      <c r="AU147" s="12"/>
      <c r="AV147" s="12"/>
      <c r="AW147" s="12"/>
      <c r="AX147" s="12"/>
      <c r="AY147" s="12"/>
      <c r="AZ147" s="12"/>
      <c r="BA147" s="12"/>
      <c r="BB147" s="12"/>
      <c r="BC147" s="12"/>
      <c r="BD147" s="12"/>
      <c r="BE147" s="12"/>
      <c r="BF147" s="12"/>
      <c r="BG147" s="12"/>
      <c r="BH147" s="12"/>
      <c r="BI147" s="12"/>
      <c r="BJ147" s="12"/>
      <c r="BK147" s="12"/>
      <c r="BL147" s="12"/>
      <c r="BM147" s="12"/>
      <c r="BN147" s="12"/>
      <c r="BO147" s="12"/>
      <c r="BP147" s="12"/>
      <c r="BQ147" s="12"/>
      <c r="BR147" s="12"/>
      <c r="BS147" s="12"/>
      <c r="BT147" s="12"/>
      <c r="BU147" s="12"/>
      <c r="BV147" s="12"/>
      <c r="BW147" s="12"/>
      <c r="BX147" s="12"/>
      <c r="BY147" s="12"/>
      <c r="BZ147" s="12"/>
      <c r="CA147" s="12"/>
      <c r="CB147" s="12"/>
      <c r="CC147" s="12"/>
      <c r="CD147" s="12"/>
      <c r="CE147" s="12"/>
      <c r="CF147" s="12"/>
      <c r="CG147" s="12"/>
      <c r="CH147" s="12"/>
      <c r="CI147" s="12"/>
      <c r="CJ147" s="12"/>
      <c r="CK147" s="12"/>
      <c r="CL147" s="12"/>
      <c r="CM147" s="12"/>
      <c r="CN147" s="12"/>
      <c r="CO147" s="12"/>
      <c r="CP147" s="12"/>
      <c r="CQ147" s="12"/>
      <c r="CR147" s="12"/>
      <c r="CS147" s="12"/>
      <c r="CT147" s="12"/>
      <c r="CU147" s="12"/>
      <c r="CV147" s="12"/>
      <c r="CW147" s="12"/>
      <c r="CX147" s="12"/>
      <c r="CY147" s="12"/>
      <c r="CZ147" s="12"/>
      <c r="DA147" s="12"/>
      <c r="DB147" s="12"/>
      <c r="DC147" s="12"/>
      <c r="DD147" s="12"/>
      <c r="DE147" s="12"/>
      <c r="DF147" s="12"/>
      <c r="DG147" s="12"/>
      <c r="DH147" s="12"/>
      <c r="DI147" s="12"/>
      <c r="DJ147" s="12"/>
      <c r="DK147" s="12"/>
      <c r="DL147" s="12"/>
      <c r="DM147" s="12"/>
      <c r="DN147" s="12"/>
      <c r="DO147" s="12"/>
      <c r="DP147" s="12"/>
      <c r="DQ147" s="12"/>
      <c r="DR147" s="12"/>
      <c r="DS147" s="12"/>
      <c r="DT147" s="12"/>
      <c r="DU147" s="12"/>
      <c r="DV147" s="12"/>
      <c r="DW147" s="12"/>
      <c r="DX147" s="12"/>
      <c r="DY147" s="12"/>
      <c r="DZ147" s="12"/>
      <c r="EA147" s="12"/>
      <c r="EB147" s="12"/>
      <c r="EC147" s="12"/>
      <c r="ED147" s="12"/>
      <c r="EE147" s="12"/>
      <c r="EF147" s="12"/>
      <c r="EG147" s="12"/>
      <c r="EH147" s="12"/>
      <c r="EI147" s="12"/>
      <c r="EJ147" s="12"/>
      <c r="EK147" s="12"/>
      <c r="EL147" s="12"/>
      <c r="EM147" s="12"/>
      <c r="EN147" s="12"/>
      <c r="EO147" s="12"/>
      <c r="EP147" s="12"/>
      <c r="EQ147" s="12"/>
      <c r="ER147" s="12"/>
      <c r="ES147" s="12"/>
      <c r="ET147" s="12"/>
      <c r="EU147" s="12"/>
      <c r="EV147" s="12"/>
      <c r="EW147" s="12"/>
      <c r="EX147" s="12"/>
      <c r="EY147" s="12"/>
      <c r="EZ147" s="12"/>
      <c r="FA147" s="12"/>
      <c r="FB147" s="12"/>
      <c r="FC147" s="12"/>
      <c r="FD147" s="12"/>
      <c r="FE147" s="12"/>
      <c r="FF147" s="12"/>
      <c r="FG147" s="12"/>
      <c r="FH147" s="12"/>
      <c r="FI147" s="12"/>
      <c r="FJ147" s="12"/>
      <c r="FK147" s="12"/>
      <c r="FL147" s="12"/>
      <c r="FM147" s="12"/>
      <c r="FN147" s="12"/>
      <c r="FO147" s="12"/>
      <c r="FP147" s="12"/>
      <c r="FQ147" s="12"/>
      <c r="FR147" s="12"/>
      <c r="FS147" s="12"/>
      <c r="FT147" s="12"/>
      <c r="FU147" s="12"/>
      <c r="FV147" s="12"/>
      <c r="FW147" s="12"/>
      <c r="FX147" s="12"/>
      <c r="FY147" s="12"/>
      <c r="FZ147" s="12"/>
      <c r="GA147" s="12"/>
      <c r="GB147" s="12"/>
      <c r="GC147" s="12"/>
      <c r="GD147" s="12"/>
      <c r="GE147" s="12"/>
    </row>
    <row r="148" spans="1:187" ht="21" customHeight="1">
      <c r="A148" s="45" t="s">
        <v>337</v>
      </c>
      <c r="B148" s="9">
        <v>7729314745</v>
      </c>
      <c r="C148" s="10" t="s">
        <v>341</v>
      </c>
      <c r="D148" s="10" t="s">
        <v>344</v>
      </c>
      <c r="E148" s="35">
        <f>100.529*0.6</f>
        <v>60.317399999999992</v>
      </c>
      <c r="F148" s="35">
        <f>100.529*0.4</f>
        <v>40.211600000000004</v>
      </c>
      <c r="G148" s="35">
        <f>82.251*0.2</f>
        <v>16.450200000000002</v>
      </c>
      <c r="H148" s="35">
        <f>82.251*0.8</f>
        <v>65.80080000000001</v>
      </c>
      <c r="I148" s="35">
        <f t="shared" si="19"/>
        <v>182.78</v>
      </c>
      <c r="J148" s="56">
        <f>'2021'!J149</f>
        <v>182.8</v>
      </c>
      <c r="K148" s="49">
        <v>12381.107648000001</v>
      </c>
      <c r="L148" s="49">
        <v>12876.351953920002</v>
      </c>
      <c r="M148" s="49">
        <v>1937.2951935999999</v>
      </c>
      <c r="N148" s="49">
        <v>2014.7870013439999</v>
      </c>
      <c r="O148" s="56">
        <f t="shared" si="20"/>
        <v>10443.812454400002</v>
      </c>
      <c r="P148" s="1">
        <f t="shared" si="14"/>
        <v>629943.61333702656</v>
      </c>
      <c r="Q148" s="1">
        <f t="shared" si="15"/>
        <v>419962.40889135114</v>
      </c>
      <c r="R148" s="1">
        <f t="shared" si="16"/>
        <v>178674.91578286578</v>
      </c>
      <c r="S148" s="1">
        <f t="shared" si="17"/>
        <v>714699.66313146311</v>
      </c>
      <c r="T148" s="1">
        <f t="shared" si="18"/>
        <v>1943280.6011427066</v>
      </c>
      <c r="U148" s="11"/>
      <c r="V148" s="11"/>
      <c r="W148" s="11"/>
      <c r="X148" s="12"/>
      <c r="Y148" s="12"/>
      <c r="Z148" s="12"/>
      <c r="AA148" s="12"/>
      <c r="AB148" s="12"/>
      <c r="AC148" s="12"/>
      <c r="AD148" s="12"/>
      <c r="AE148" s="12"/>
      <c r="AF148" s="12"/>
      <c r="AG148" s="12"/>
      <c r="AH148" s="12"/>
      <c r="AI148" s="12"/>
      <c r="AJ148" s="12"/>
      <c r="AK148" s="12"/>
      <c r="AL148" s="12"/>
      <c r="AM148" s="12"/>
      <c r="AN148" s="12"/>
      <c r="AO148" s="12"/>
      <c r="AP148" s="12"/>
      <c r="AQ148" s="12"/>
      <c r="AR148" s="12"/>
      <c r="AS148" s="12"/>
      <c r="AT148" s="12"/>
      <c r="AU148" s="12"/>
      <c r="AV148" s="12"/>
      <c r="AW148" s="12"/>
      <c r="AX148" s="12"/>
      <c r="AY148" s="12"/>
      <c r="AZ148" s="12"/>
      <c r="BA148" s="12"/>
      <c r="BB148" s="12"/>
      <c r="BC148" s="12"/>
      <c r="BD148" s="12"/>
      <c r="BE148" s="12"/>
      <c r="BF148" s="12"/>
      <c r="BG148" s="12"/>
      <c r="BH148" s="12"/>
      <c r="BI148" s="12"/>
      <c r="BJ148" s="12"/>
      <c r="BK148" s="12"/>
      <c r="BL148" s="12"/>
      <c r="BM148" s="12"/>
      <c r="BN148" s="12"/>
      <c r="BO148" s="12"/>
      <c r="BP148" s="12"/>
      <c r="BQ148" s="12"/>
      <c r="BR148" s="12"/>
      <c r="BS148" s="12"/>
      <c r="BT148" s="12"/>
      <c r="BU148" s="12"/>
      <c r="BV148" s="12"/>
      <c r="BW148" s="12"/>
      <c r="BX148" s="12"/>
      <c r="BY148" s="12"/>
      <c r="BZ148" s="12"/>
      <c r="CA148" s="12"/>
      <c r="CB148" s="12"/>
      <c r="CC148" s="12"/>
      <c r="CD148" s="12"/>
      <c r="CE148" s="12"/>
      <c r="CF148" s="12"/>
      <c r="CG148" s="12"/>
      <c r="CH148" s="12"/>
      <c r="CI148" s="12"/>
      <c r="CJ148" s="12"/>
      <c r="CK148" s="12"/>
      <c r="CL148" s="12"/>
      <c r="CM148" s="12"/>
      <c r="CN148" s="12"/>
      <c r="CO148" s="12"/>
      <c r="CP148" s="12"/>
      <c r="CQ148" s="12"/>
      <c r="CR148" s="12"/>
      <c r="CS148" s="12"/>
      <c r="CT148" s="12"/>
      <c r="CU148" s="12"/>
      <c r="CV148" s="12"/>
      <c r="CW148" s="12"/>
      <c r="CX148" s="12"/>
      <c r="CY148" s="12"/>
      <c r="CZ148" s="12"/>
      <c r="DA148" s="12"/>
      <c r="DB148" s="12"/>
      <c r="DC148" s="12"/>
      <c r="DD148" s="12"/>
      <c r="DE148" s="12"/>
      <c r="DF148" s="12"/>
      <c r="DG148" s="12"/>
      <c r="DH148" s="12"/>
      <c r="DI148" s="12"/>
      <c r="DJ148" s="12"/>
      <c r="DK148" s="12"/>
      <c r="DL148" s="12"/>
      <c r="DM148" s="12"/>
      <c r="DN148" s="12"/>
      <c r="DO148" s="12"/>
      <c r="DP148" s="12"/>
      <c r="DQ148" s="12"/>
      <c r="DR148" s="12"/>
      <c r="DS148" s="12"/>
      <c r="DT148" s="12"/>
      <c r="DU148" s="12"/>
      <c r="DV148" s="12"/>
      <c r="DW148" s="12"/>
      <c r="DX148" s="12"/>
      <c r="DY148" s="12"/>
      <c r="DZ148" s="12"/>
      <c r="EA148" s="12"/>
      <c r="EB148" s="12"/>
      <c r="EC148" s="12"/>
      <c r="ED148" s="12"/>
      <c r="EE148" s="12"/>
      <c r="EF148" s="12"/>
      <c r="EG148" s="12"/>
      <c r="EH148" s="12"/>
      <c r="EI148" s="12"/>
      <c r="EJ148" s="12"/>
      <c r="EK148" s="12"/>
      <c r="EL148" s="12"/>
      <c r="EM148" s="12"/>
      <c r="EN148" s="12"/>
      <c r="EO148" s="12"/>
      <c r="EP148" s="12"/>
      <c r="EQ148" s="12"/>
      <c r="ER148" s="12"/>
      <c r="ES148" s="12"/>
      <c r="ET148" s="12"/>
      <c r="EU148" s="12"/>
      <c r="EV148" s="12"/>
      <c r="EW148" s="12"/>
      <c r="EX148" s="12"/>
      <c r="EY148" s="12"/>
      <c r="EZ148" s="12"/>
      <c r="FA148" s="12"/>
      <c r="FB148" s="12"/>
      <c r="FC148" s="12"/>
      <c r="FD148" s="12"/>
      <c r="FE148" s="12"/>
      <c r="FF148" s="12"/>
      <c r="FG148" s="12"/>
      <c r="FH148" s="12"/>
      <c r="FI148" s="12"/>
      <c r="FJ148" s="12"/>
      <c r="FK148" s="12"/>
      <c r="FL148" s="12"/>
      <c r="FM148" s="12"/>
      <c r="FN148" s="12"/>
      <c r="FO148" s="12"/>
      <c r="FP148" s="12"/>
      <c r="FQ148" s="12"/>
      <c r="FR148" s="12"/>
      <c r="FS148" s="12"/>
      <c r="FT148" s="12"/>
      <c r="FU148" s="12"/>
      <c r="FV148" s="12"/>
      <c r="FW148" s="12"/>
      <c r="FX148" s="12"/>
      <c r="FY148" s="12"/>
      <c r="FZ148" s="12"/>
      <c r="GA148" s="12"/>
      <c r="GB148" s="12"/>
      <c r="GC148" s="12"/>
      <c r="GD148" s="12"/>
      <c r="GE148" s="12"/>
    </row>
    <row r="149" spans="1:187" ht="21" customHeight="1">
      <c r="A149" s="45" t="s">
        <v>337</v>
      </c>
      <c r="B149" s="9">
        <v>7729314745</v>
      </c>
      <c r="C149" s="10" t="s">
        <v>341</v>
      </c>
      <c r="D149" s="10" t="s">
        <v>345</v>
      </c>
      <c r="E149" s="35">
        <f>165.2805*0.6</f>
        <v>99.168299999999988</v>
      </c>
      <c r="F149" s="35">
        <f>165.2805*0.4</f>
        <v>66.112200000000001</v>
      </c>
      <c r="G149" s="35">
        <f>135.2295*0.2</f>
        <v>27.045900000000003</v>
      </c>
      <c r="H149" s="35">
        <f>135.2295*0.8</f>
        <v>108.18360000000001</v>
      </c>
      <c r="I149" s="35">
        <f t="shared" si="19"/>
        <v>300.51</v>
      </c>
      <c r="J149" s="56">
        <f>'2021'!J150</f>
        <v>300.5</v>
      </c>
      <c r="K149" s="49">
        <v>5944.5170511999986</v>
      </c>
      <c r="L149" s="49">
        <v>6182.2977332479986</v>
      </c>
      <c r="M149" s="49">
        <v>1937.2951935999999</v>
      </c>
      <c r="N149" s="49">
        <v>2014.7870013439999</v>
      </c>
      <c r="O149" s="56">
        <f t="shared" si="20"/>
        <v>4007.2218575999987</v>
      </c>
      <c r="P149" s="1">
        <f t="shared" si="14"/>
        <v>397389.37934103387</v>
      </c>
      <c r="Q149" s="1">
        <f t="shared" si="15"/>
        <v>264926.25289402262</v>
      </c>
      <c r="R149" s="1">
        <f t="shared" si="16"/>
        <v>112714.07850400238</v>
      </c>
      <c r="S149" s="1">
        <f t="shared" si="17"/>
        <v>450856.31401600951</v>
      </c>
      <c r="T149" s="1">
        <f t="shared" si="18"/>
        <v>1225886.0247550684</v>
      </c>
      <c r="U149" s="11"/>
      <c r="V149" s="11"/>
      <c r="W149" s="11"/>
      <c r="X149" s="12"/>
      <c r="Y149" s="12"/>
      <c r="Z149" s="12"/>
      <c r="AA149" s="12"/>
      <c r="AB149" s="12"/>
      <c r="AC149" s="12"/>
      <c r="AD149" s="12"/>
      <c r="AE149" s="12"/>
      <c r="AF149" s="12"/>
      <c r="AG149" s="12"/>
      <c r="AH149" s="12"/>
      <c r="AI149" s="12"/>
      <c r="AJ149" s="12"/>
      <c r="AK149" s="12"/>
      <c r="AL149" s="12"/>
      <c r="AM149" s="12"/>
      <c r="AN149" s="12"/>
      <c r="AO149" s="12"/>
      <c r="AP149" s="12"/>
      <c r="AQ149" s="12"/>
      <c r="AR149" s="12"/>
      <c r="AS149" s="12"/>
      <c r="AT149" s="12"/>
      <c r="AU149" s="12"/>
      <c r="AV149" s="12"/>
      <c r="AW149" s="12"/>
      <c r="AX149" s="12"/>
      <c r="AY149" s="12"/>
      <c r="AZ149" s="12"/>
      <c r="BA149" s="12"/>
      <c r="BB149" s="12"/>
      <c r="BC149" s="12"/>
      <c r="BD149" s="12"/>
      <c r="BE149" s="12"/>
      <c r="BF149" s="12"/>
      <c r="BG149" s="12"/>
      <c r="BH149" s="12"/>
      <c r="BI149" s="12"/>
      <c r="BJ149" s="12"/>
      <c r="BK149" s="12"/>
      <c r="BL149" s="12"/>
      <c r="BM149" s="12"/>
      <c r="BN149" s="12"/>
      <c r="BO149" s="12"/>
      <c r="BP149" s="12"/>
      <c r="BQ149" s="12"/>
      <c r="BR149" s="12"/>
      <c r="BS149" s="12"/>
      <c r="BT149" s="12"/>
      <c r="BU149" s="12"/>
      <c r="BV149" s="12"/>
      <c r="BW149" s="12"/>
      <c r="BX149" s="12"/>
      <c r="BY149" s="12"/>
      <c r="BZ149" s="12"/>
      <c r="CA149" s="12"/>
      <c r="CB149" s="12"/>
      <c r="CC149" s="12"/>
      <c r="CD149" s="12"/>
      <c r="CE149" s="12"/>
      <c r="CF149" s="12"/>
      <c r="CG149" s="12"/>
      <c r="CH149" s="12"/>
      <c r="CI149" s="12"/>
      <c r="CJ149" s="12"/>
      <c r="CK149" s="12"/>
      <c r="CL149" s="12"/>
      <c r="CM149" s="12"/>
      <c r="CN149" s="12"/>
      <c r="CO149" s="12"/>
      <c r="CP149" s="12"/>
      <c r="CQ149" s="12"/>
      <c r="CR149" s="12"/>
      <c r="CS149" s="12"/>
      <c r="CT149" s="12"/>
      <c r="CU149" s="12"/>
      <c r="CV149" s="12"/>
      <c r="CW149" s="12"/>
      <c r="CX149" s="12"/>
      <c r="CY149" s="12"/>
      <c r="CZ149" s="12"/>
      <c r="DA149" s="12"/>
      <c r="DB149" s="12"/>
      <c r="DC149" s="12"/>
      <c r="DD149" s="12"/>
      <c r="DE149" s="12"/>
      <c r="DF149" s="12"/>
      <c r="DG149" s="12"/>
      <c r="DH149" s="12"/>
      <c r="DI149" s="12"/>
      <c r="DJ149" s="12"/>
      <c r="DK149" s="12"/>
      <c r="DL149" s="12"/>
      <c r="DM149" s="12"/>
      <c r="DN149" s="12"/>
      <c r="DO149" s="12"/>
      <c r="DP149" s="12"/>
      <c r="DQ149" s="12"/>
      <c r="DR149" s="12"/>
      <c r="DS149" s="12"/>
      <c r="DT149" s="12"/>
      <c r="DU149" s="12"/>
      <c r="DV149" s="12"/>
      <c r="DW149" s="12"/>
      <c r="DX149" s="12"/>
      <c r="DY149" s="12"/>
      <c r="DZ149" s="12"/>
      <c r="EA149" s="12"/>
      <c r="EB149" s="12"/>
      <c r="EC149" s="12"/>
      <c r="ED149" s="12"/>
      <c r="EE149" s="12"/>
      <c r="EF149" s="12"/>
      <c r="EG149" s="12"/>
      <c r="EH149" s="12"/>
      <c r="EI149" s="12"/>
      <c r="EJ149" s="12"/>
      <c r="EK149" s="12"/>
      <c r="EL149" s="12"/>
      <c r="EM149" s="12"/>
      <c r="EN149" s="12"/>
      <c r="EO149" s="12"/>
      <c r="EP149" s="12"/>
      <c r="EQ149" s="12"/>
      <c r="ER149" s="12"/>
      <c r="ES149" s="12"/>
      <c r="ET149" s="12"/>
      <c r="EU149" s="12"/>
      <c r="EV149" s="12"/>
      <c r="EW149" s="12"/>
      <c r="EX149" s="12"/>
      <c r="EY149" s="12"/>
      <c r="EZ149" s="12"/>
      <c r="FA149" s="12"/>
      <c r="FB149" s="12"/>
      <c r="FC149" s="12"/>
      <c r="FD149" s="12"/>
      <c r="FE149" s="12"/>
      <c r="FF149" s="12"/>
      <c r="FG149" s="12"/>
      <c r="FH149" s="12"/>
      <c r="FI149" s="12"/>
      <c r="FJ149" s="12"/>
      <c r="FK149" s="12"/>
      <c r="FL149" s="12"/>
      <c r="FM149" s="12"/>
      <c r="FN149" s="12"/>
      <c r="FO149" s="12"/>
      <c r="FP149" s="12"/>
      <c r="FQ149" s="12"/>
      <c r="FR149" s="12"/>
      <c r="FS149" s="12"/>
      <c r="FT149" s="12"/>
      <c r="FU149" s="12"/>
      <c r="FV149" s="12"/>
      <c r="FW149" s="12"/>
      <c r="FX149" s="12"/>
      <c r="FY149" s="12"/>
      <c r="FZ149" s="12"/>
      <c r="GA149" s="12"/>
      <c r="GB149" s="12"/>
      <c r="GC149" s="12"/>
      <c r="GD149" s="12"/>
      <c r="GE149" s="12"/>
    </row>
    <row r="150" spans="1:187" ht="21" customHeight="1">
      <c r="A150" s="45" t="s">
        <v>337</v>
      </c>
      <c r="B150" s="9">
        <v>7729314745</v>
      </c>
      <c r="C150" s="10" t="s">
        <v>341</v>
      </c>
      <c r="D150" s="10" t="s">
        <v>166</v>
      </c>
      <c r="E150" s="35">
        <f>778.25*0.6</f>
        <v>466.95</v>
      </c>
      <c r="F150" s="35">
        <f>778.25*0.4</f>
        <v>311.3</v>
      </c>
      <c r="G150" s="35">
        <f>636.75*0.2</f>
        <v>127.35000000000001</v>
      </c>
      <c r="H150" s="35">
        <f>636.75*0.8</f>
        <v>509.40000000000003</v>
      </c>
      <c r="I150" s="35">
        <f t="shared" si="19"/>
        <v>1415</v>
      </c>
      <c r="J150" s="56">
        <f>'2021'!J151</f>
        <v>1415.31</v>
      </c>
      <c r="K150" s="49">
        <v>3893.6255591999998</v>
      </c>
      <c r="L150" s="49">
        <v>4049.370581568</v>
      </c>
      <c r="M150" s="49">
        <v>1790.7836855999999</v>
      </c>
      <c r="N150" s="49">
        <v>1862.415033024</v>
      </c>
      <c r="O150" s="56">
        <f t="shared" si="20"/>
        <v>2102.8418735999999</v>
      </c>
      <c r="P150" s="1">
        <f t="shared" si="14"/>
        <v>981922.01287751994</v>
      </c>
      <c r="Q150" s="1">
        <f t="shared" si="15"/>
        <v>654614.67525167996</v>
      </c>
      <c r="R150" s="1">
        <f t="shared" si="16"/>
        <v>278508.78910707845</v>
      </c>
      <c r="S150" s="1">
        <f t="shared" si="17"/>
        <v>1114035.1564283138</v>
      </c>
      <c r="T150" s="1">
        <f t="shared" si="18"/>
        <v>3029080.6336645922</v>
      </c>
      <c r="U150" s="11"/>
      <c r="V150" s="11"/>
      <c r="W150" s="11"/>
      <c r="X150" s="12"/>
      <c r="Y150" s="12"/>
      <c r="Z150" s="12"/>
      <c r="AA150" s="12"/>
      <c r="AB150" s="12"/>
      <c r="AC150" s="12"/>
      <c r="AD150" s="12"/>
      <c r="AE150" s="12"/>
      <c r="AF150" s="12"/>
      <c r="AG150" s="12"/>
      <c r="AH150" s="12"/>
      <c r="AI150" s="12"/>
      <c r="AJ150" s="12"/>
      <c r="AK150" s="12"/>
      <c r="AL150" s="12"/>
      <c r="AM150" s="12"/>
      <c r="AN150" s="12"/>
      <c r="AO150" s="12"/>
      <c r="AP150" s="12"/>
      <c r="AQ150" s="12"/>
      <c r="AR150" s="12"/>
      <c r="AS150" s="12"/>
      <c r="AT150" s="12"/>
      <c r="AU150" s="12"/>
      <c r="AV150" s="12"/>
      <c r="AW150" s="12"/>
      <c r="AX150" s="12"/>
      <c r="AY150" s="12"/>
      <c r="AZ150" s="12"/>
      <c r="BA150" s="12"/>
      <c r="BB150" s="12"/>
      <c r="BC150" s="12"/>
      <c r="BD150" s="12"/>
      <c r="BE150" s="12"/>
      <c r="BF150" s="12"/>
      <c r="BG150" s="12"/>
      <c r="BH150" s="12"/>
      <c r="BI150" s="12"/>
      <c r="BJ150" s="12"/>
      <c r="BK150" s="12"/>
      <c r="BL150" s="12"/>
      <c r="BM150" s="12"/>
      <c r="BN150" s="12"/>
      <c r="BO150" s="12"/>
      <c r="BP150" s="12"/>
      <c r="BQ150" s="12"/>
      <c r="BR150" s="12"/>
      <c r="BS150" s="12"/>
      <c r="BT150" s="12"/>
      <c r="BU150" s="12"/>
      <c r="BV150" s="12"/>
      <c r="BW150" s="12"/>
      <c r="BX150" s="12"/>
      <c r="BY150" s="12"/>
      <c r="BZ150" s="12"/>
      <c r="CA150" s="12"/>
      <c r="CB150" s="12"/>
      <c r="CC150" s="12"/>
      <c r="CD150" s="12"/>
      <c r="CE150" s="12"/>
      <c r="CF150" s="12"/>
      <c r="CG150" s="12"/>
      <c r="CH150" s="12"/>
      <c r="CI150" s="12"/>
      <c r="CJ150" s="12"/>
      <c r="CK150" s="12"/>
      <c r="CL150" s="12"/>
      <c r="CM150" s="12"/>
      <c r="CN150" s="12"/>
      <c r="CO150" s="12"/>
      <c r="CP150" s="12"/>
      <c r="CQ150" s="12"/>
      <c r="CR150" s="12"/>
      <c r="CS150" s="12"/>
      <c r="CT150" s="12"/>
      <c r="CU150" s="12"/>
      <c r="CV150" s="12"/>
      <c r="CW150" s="12"/>
      <c r="CX150" s="12"/>
      <c r="CY150" s="12"/>
      <c r="CZ150" s="12"/>
      <c r="DA150" s="12"/>
      <c r="DB150" s="12"/>
      <c r="DC150" s="12"/>
      <c r="DD150" s="12"/>
      <c r="DE150" s="12"/>
      <c r="DF150" s="12"/>
      <c r="DG150" s="12"/>
      <c r="DH150" s="12"/>
      <c r="DI150" s="12"/>
      <c r="DJ150" s="12"/>
      <c r="DK150" s="12"/>
      <c r="DL150" s="12"/>
      <c r="DM150" s="12"/>
      <c r="DN150" s="12"/>
      <c r="DO150" s="12"/>
      <c r="DP150" s="12"/>
      <c r="DQ150" s="12"/>
      <c r="DR150" s="12"/>
      <c r="DS150" s="12"/>
      <c r="DT150" s="12"/>
      <c r="DU150" s="12"/>
      <c r="DV150" s="12"/>
      <c r="DW150" s="12"/>
      <c r="DX150" s="12"/>
      <c r="DY150" s="12"/>
      <c r="DZ150" s="12"/>
      <c r="EA150" s="12"/>
      <c r="EB150" s="12"/>
      <c r="EC150" s="12"/>
      <c r="ED150" s="12"/>
      <c r="EE150" s="12"/>
      <c r="EF150" s="12"/>
      <c r="EG150" s="12"/>
      <c r="EH150" s="12"/>
      <c r="EI150" s="12"/>
      <c r="EJ150" s="12"/>
      <c r="EK150" s="12"/>
      <c r="EL150" s="12"/>
      <c r="EM150" s="12"/>
      <c r="EN150" s="12"/>
      <c r="EO150" s="12"/>
      <c r="EP150" s="12"/>
      <c r="EQ150" s="12"/>
      <c r="ER150" s="12"/>
      <c r="ES150" s="12"/>
      <c r="ET150" s="12"/>
      <c r="EU150" s="12"/>
      <c r="EV150" s="12"/>
      <c r="EW150" s="12"/>
      <c r="EX150" s="12"/>
      <c r="EY150" s="12"/>
      <c r="EZ150" s="12"/>
      <c r="FA150" s="12"/>
      <c r="FB150" s="12"/>
      <c r="FC150" s="12"/>
      <c r="FD150" s="12"/>
      <c r="FE150" s="12"/>
      <c r="FF150" s="12"/>
      <c r="FG150" s="12"/>
      <c r="FH150" s="12"/>
      <c r="FI150" s="12"/>
      <c r="FJ150" s="12"/>
      <c r="FK150" s="12"/>
      <c r="FL150" s="12"/>
      <c r="FM150" s="12"/>
      <c r="FN150" s="12"/>
      <c r="FO150" s="12"/>
      <c r="FP150" s="12"/>
      <c r="FQ150" s="12"/>
      <c r="FR150" s="12"/>
      <c r="FS150" s="12"/>
      <c r="FT150" s="12"/>
      <c r="FU150" s="12"/>
      <c r="FV150" s="12"/>
      <c r="FW150" s="12"/>
      <c r="FX150" s="12"/>
      <c r="FY150" s="12"/>
      <c r="FZ150" s="12"/>
      <c r="GA150" s="12"/>
      <c r="GB150" s="12"/>
      <c r="GC150" s="12"/>
      <c r="GD150" s="12"/>
      <c r="GE150" s="12"/>
    </row>
    <row r="151" spans="1:187" ht="30" customHeight="1">
      <c r="A151" s="45"/>
      <c r="B151" s="9" t="s">
        <v>276</v>
      </c>
      <c r="C151" s="10" t="s">
        <v>425</v>
      </c>
      <c r="D151" s="10" t="s">
        <v>426</v>
      </c>
      <c r="E151" s="61">
        <f>358.44*0.6</f>
        <v>215.06399999999999</v>
      </c>
      <c r="F151" s="61">
        <f>358.44*0.4</f>
        <v>143.376</v>
      </c>
      <c r="G151" s="61">
        <f>238.96*0.2</f>
        <v>47.792000000000002</v>
      </c>
      <c r="H151" s="61">
        <f>238.96*0.8</f>
        <v>191.16800000000001</v>
      </c>
      <c r="I151" s="35">
        <f t="shared" si="19"/>
        <v>597.4</v>
      </c>
      <c r="J151" s="56">
        <f>'2021'!J152</f>
        <v>597.4</v>
      </c>
      <c r="K151" s="49">
        <v>6404.1640000000007</v>
      </c>
      <c r="L151" s="49">
        <v>6660.3305600000012</v>
      </c>
      <c r="M151" s="49">
        <v>2229.5832</v>
      </c>
      <c r="N151" s="49">
        <v>2318.7665280000001</v>
      </c>
      <c r="O151" s="56"/>
      <c r="P151" s="1">
        <f t="shared" si="14"/>
        <v>897802.04517120006</v>
      </c>
      <c r="Q151" s="1">
        <f t="shared" si="15"/>
        <v>598534.69678080012</v>
      </c>
      <c r="R151" s="1">
        <f t="shared" si="16"/>
        <v>207492.02821734405</v>
      </c>
      <c r="S151" s="1">
        <f t="shared" si="17"/>
        <v>829968.1128693762</v>
      </c>
      <c r="T151" s="1">
        <f t="shared" si="18"/>
        <v>2533796.8830387206</v>
      </c>
      <c r="U151" s="11"/>
      <c r="V151" s="11"/>
      <c r="W151" s="11"/>
      <c r="X151" s="12"/>
      <c r="Y151" s="12"/>
      <c r="Z151" s="12"/>
      <c r="AA151" s="12"/>
      <c r="AB151" s="12"/>
      <c r="AC151" s="12"/>
      <c r="AD151" s="12"/>
      <c r="AE151" s="12"/>
      <c r="AF151" s="12"/>
      <c r="AG151" s="12"/>
      <c r="AH151" s="12"/>
      <c r="AI151" s="12"/>
      <c r="AJ151" s="12"/>
      <c r="AK151" s="12"/>
      <c r="AL151" s="12"/>
      <c r="AM151" s="12"/>
      <c r="AN151" s="12"/>
      <c r="AO151" s="12"/>
      <c r="AP151" s="12"/>
      <c r="AQ151" s="12"/>
      <c r="AR151" s="12"/>
      <c r="AS151" s="12"/>
      <c r="AT151" s="12"/>
      <c r="AU151" s="12"/>
      <c r="AV151" s="12"/>
      <c r="AW151" s="12"/>
      <c r="AX151" s="12"/>
      <c r="AY151" s="12"/>
      <c r="AZ151" s="12"/>
      <c r="BA151" s="12"/>
      <c r="BB151" s="12"/>
      <c r="BC151" s="12"/>
      <c r="BD151" s="12"/>
      <c r="BE151" s="12"/>
      <c r="BF151" s="12"/>
      <c r="BG151" s="12"/>
      <c r="BH151" s="12"/>
      <c r="BI151" s="12"/>
      <c r="BJ151" s="12"/>
      <c r="BK151" s="12"/>
      <c r="BL151" s="12"/>
      <c r="BM151" s="12"/>
      <c r="BN151" s="12"/>
      <c r="BO151" s="12"/>
      <c r="BP151" s="12"/>
      <c r="BQ151" s="12"/>
      <c r="BR151" s="12"/>
      <c r="BS151" s="12"/>
      <c r="BT151" s="12"/>
      <c r="BU151" s="12"/>
      <c r="BV151" s="12"/>
      <c r="BW151" s="12"/>
      <c r="BX151" s="12"/>
      <c r="BY151" s="12"/>
      <c r="BZ151" s="12"/>
      <c r="CA151" s="12"/>
      <c r="CB151" s="12"/>
      <c r="CC151" s="12"/>
      <c r="CD151" s="12"/>
      <c r="CE151" s="12"/>
      <c r="CF151" s="12"/>
      <c r="CG151" s="12"/>
      <c r="CH151" s="12"/>
      <c r="CI151" s="12"/>
      <c r="CJ151" s="12"/>
      <c r="CK151" s="12"/>
      <c r="CL151" s="12"/>
      <c r="CM151" s="12"/>
      <c r="CN151" s="12"/>
      <c r="CO151" s="12"/>
      <c r="CP151" s="12"/>
      <c r="CQ151" s="12"/>
      <c r="CR151" s="12"/>
      <c r="CS151" s="12"/>
      <c r="CT151" s="12"/>
      <c r="CU151" s="12"/>
      <c r="CV151" s="12"/>
      <c r="CW151" s="12"/>
      <c r="CX151" s="12"/>
      <c r="CY151" s="12"/>
      <c r="CZ151" s="12"/>
      <c r="DA151" s="12"/>
      <c r="DB151" s="12"/>
      <c r="DC151" s="12"/>
      <c r="DD151" s="12"/>
      <c r="DE151" s="12"/>
      <c r="DF151" s="12"/>
      <c r="DG151" s="12"/>
      <c r="DH151" s="12"/>
      <c r="DI151" s="12"/>
      <c r="DJ151" s="12"/>
      <c r="DK151" s="12"/>
      <c r="DL151" s="12"/>
      <c r="DM151" s="12"/>
      <c r="DN151" s="12"/>
      <c r="DO151" s="12"/>
      <c r="DP151" s="12"/>
      <c r="DQ151" s="12"/>
      <c r="DR151" s="12"/>
      <c r="DS151" s="12"/>
      <c r="DT151" s="12"/>
      <c r="DU151" s="12"/>
      <c r="DV151" s="12"/>
      <c r="DW151" s="12"/>
      <c r="DX151" s="12"/>
      <c r="DY151" s="12"/>
      <c r="DZ151" s="12"/>
      <c r="EA151" s="12"/>
      <c r="EB151" s="12"/>
      <c r="EC151" s="12"/>
      <c r="ED151" s="12"/>
      <c r="EE151" s="12"/>
      <c r="EF151" s="12"/>
      <c r="EG151" s="12"/>
      <c r="EH151" s="12"/>
      <c r="EI151" s="12"/>
      <c r="EJ151" s="12"/>
      <c r="EK151" s="12"/>
      <c r="EL151" s="12"/>
      <c r="EM151" s="12"/>
      <c r="EN151" s="12"/>
      <c r="EO151" s="12"/>
      <c r="EP151" s="12"/>
      <c r="EQ151" s="12"/>
      <c r="ER151" s="12"/>
      <c r="ES151" s="12"/>
      <c r="ET151" s="12"/>
      <c r="EU151" s="12"/>
      <c r="EV151" s="12"/>
      <c r="EW151" s="12"/>
      <c r="EX151" s="12"/>
      <c r="EY151" s="12"/>
      <c r="EZ151" s="12"/>
      <c r="FA151" s="12"/>
      <c r="FB151" s="12"/>
      <c r="FC151" s="12"/>
      <c r="FD151" s="12"/>
      <c r="FE151" s="12"/>
      <c r="FF151" s="12"/>
      <c r="FG151" s="12"/>
      <c r="FH151" s="12"/>
      <c r="FI151" s="12"/>
      <c r="FJ151" s="12"/>
      <c r="FK151" s="12"/>
      <c r="FL151" s="12"/>
      <c r="FM151" s="12"/>
      <c r="FN151" s="12"/>
      <c r="FO151" s="12"/>
      <c r="FP151" s="12"/>
      <c r="FQ151" s="12"/>
      <c r="FR151" s="12"/>
      <c r="FS151" s="12"/>
      <c r="FT151" s="12"/>
      <c r="FU151" s="12"/>
      <c r="FV151" s="12"/>
      <c r="FW151" s="12"/>
      <c r="FX151" s="12"/>
      <c r="FY151" s="12"/>
      <c r="FZ151" s="12"/>
      <c r="GA151" s="12"/>
      <c r="GB151" s="12"/>
      <c r="GC151" s="12"/>
      <c r="GD151" s="12"/>
      <c r="GE151" s="12"/>
    </row>
    <row r="152" spans="1:187" ht="27.75" customHeight="1">
      <c r="A152" s="45"/>
      <c r="B152" s="9" t="s">
        <v>391</v>
      </c>
      <c r="C152" s="10" t="s">
        <v>392</v>
      </c>
      <c r="D152" s="10" t="s">
        <v>171</v>
      </c>
      <c r="E152" s="35">
        <v>694.85</v>
      </c>
      <c r="F152" s="35">
        <f>1097.65-E152</f>
        <v>402.80000000000007</v>
      </c>
      <c r="G152" s="35">
        <v>88.335999999999999</v>
      </c>
      <c r="H152" s="35">
        <v>729.09699999999998</v>
      </c>
      <c r="I152" s="35">
        <f t="shared" si="19"/>
        <v>1915.0830000000001</v>
      </c>
      <c r="J152" s="56">
        <f>'2021'!J153</f>
        <v>1946.2</v>
      </c>
      <c r="K152" s="49">
        <v>6859.73</v>
      </c>
      <c r="L152" s="49">
        <v>7134.12</v>
      </c>
      <c r="M152" s="49">
        <v>2272.4416000000001</v>
      </c>
      <c r="N152" s="49">
        <v>2363.3392640000002</v>
      </c>
      <c r="O152" s="56">
        <f t="shared" si="20"/>
        <v>4587.2883999999995</v>
      </c>
      <c r="P152" s="1">
        <f t="shared" si="14"/>
        <v>3187477.3447399996</v>
      </c>
      <c r="Q152" s="1">
        <f t="shared" si="15"/>
        <v>1847759.76752</v>
      </c>
      <c r="R152" s="1">
        <f t="shared" si="16"/>
        <v>421431.68709529599</v>
      </c>
      <c r="S152" s="1">
        <f t="shared" si="17"/>
        <v>3478361.9222753919</v>
      </c>
      <c r="T152" s="1">
        <f t="shared" si="18"/>
        <v>8935030.7216306869</v>
      </c>
      <c r="U152" s="11"/>
      <c r="V152" s="11"/>
      <c r="W152" s="11"/>
      <c r="X152" s="12"/>
      <c r="Y152" s="12"/>
      <c r="Z152" s="12"/>
      <c r="AA152" s="12"/>
      <c r="AB152" s="12"/>
      <c r="AC152" s="12"/>
      <c r="AD152" s="12"/>
      <c r="AE152" s="12"/>
      <c r="AF152" s="12"/>
      <c r="AG152" s="12"/>
      <c r="AH152" s="12"/>
      <c r="AI152" s="12"/>
      <c r="AJ152" s="12"/>
      <c r="AK152" s="12"/>
      <c r="AL152" s="12"/>
      <c r="AM152" s="12"/>
      <c r="AN152" s="12"/>
      <c r="AO152" s="12"/>
      <c r="AP152" s="12"/>
      <c r="AQ152" s="12"/>
      <c r="AR152" s="12"/>
      <c r="AS152" s="12"/>
      <c r="AT152" s="12"/>
      <c r="AU152" s="12"/>
      <c r="AV152" s="12"/>
      <c r="AW152" s="12"/>
      <c r="AX152" s="12"/>
      <c r="AY152" s="12"/>
      <c r="AZ152" s="12"/>
      <c r="BA152" s="12"/>
      <c r="BB152" s="12"/>
      <c r="BC152" s="12"/>
      <c r="BD152" s="12"/>
      <c r="BE152" s="12"/>
      <c r="BF152" s="12"/>
      <c r="BG152" s="12"/>
      <c r="BH152" s="12"/>
      <c r="BI152" s="12"/>
      <c r="BJ152" s="12"/>
      <c r="BK152" s="12"/>
      <c r="BL152" s="12"/>
      <c r="BM152" s="12"/>
      <c r="BN152" s="12"/>
      <c r="BO152" s="12"/>
      <c r="BP152" s="12"/>
      <c r="BQ152" s="12"/>
      <c r="BR152" s="12"/>
      <c r="BS152" s="12"/>
      <c r="BT152" s="12"/>
      <c r="BU152" s="12"/>
      <c r="BV152" s="12"/>
      <c r="BW152" s="12"/>
      <c r="BX152" s="12"/>
      <c r="BY152" s="12"/>
      <c r="BZ152" s="12"/>
      <c r="CA152" s="12"/>
      <c r="CB152" s="12"/>
      <c r="CC152" s="12"/>
      <c r="CD152" s="12"/>
      <c r="CE152" s="12"/>
      <c r="CF152" s="12"/>
      <c r="CG152" s="12"/>
      <c r="CH152" s="12"/>
      <c r="CI152" s="12"/>
      <c r="CJ152" s="12"/>
      <c r="CK152" s="12"/>
      <c r="CL152" s="12"/>
      <c r="CM152" s="12"/>
      <c r="CN152" s="12"/>
      <c r="CO152" s="12"/>
      <c r="CP152" s="12"/>
      <c r="CQ152" s="12"/>
      <c r="CR152" s="12"/>
      <c r="CS152" s="12"/>
      <c r="CT152" s="12"/>
      <c r="CU152" s="12"/>
      <c r="CV152" s="12"/>
      <c r="CW152" s="12"/>
      <c r="CX152" s="12"/>
      <c r="CY152" s="12"/>
      <c r="CZ152" s="12"/>
      <c r="DA152" s="12"/>
      <c r="DB152" s="12"/>
      <c r="DC152" s="12"/>
      <c r="DD152" s="12"/>
      <c r="DE152" s="12"/>
      <c r="DF152" s="12"/>
      <c r="DG152" s="12"/>
      <c r="DH152" s="12"/>
      <c r="DI152" s="12"/>
      <c r="DJ152" s="12"/>
      <c r="DK152" s="12"/>
      <c r="DL152" s="12"/>
      <c r="DM152" s="12"/>
      <c r="DN152" s="12"/>
      <c r="DO152" s="12"/>
      <c r="DP152" s="12"/>
      <c r="DQ152" s="12"/>
      <c r="DR152" s="12"/>
      <c r="DS152" s="12"/>
      <c r="DT152" s="12"/>
      <c r="DU152" s="12"/>
      <c r="DV152" s="12"/>
      <c r="DW152" s="12"/>
      <c r="DX152" s="12"/>
      <c r="DY152" s="12"/>
      <c r="DZ152" s="12"/>
      <c r="EA152" s="12"/>
      <c r="EB152" s="12"/>
      <c r="EC152" s="12"/>
      <c r="ED152" s="12"/>
      <c r="EE152" s="12"/>
      <c r="EF152" s="12"/>
      <c r="EG152" s="12"/>
      <c r="EH152" s="12"/>
      <c r="EI152" s="12"/>
      <c r="EJ152" s="12"/>
      <c r="EK152" s="12"/>
      <c r="EL152" s="12"/>
      <c r="EM152" s="12"/>
      <c r="EN152" s="12"/>
      <c r="EO152" s="12"/>
      <c r="EP152" s="12"/>
      <c r="EQ152" s="12"/>
      <c r="ER152" s="12"/>
      <c r="ES152" s="12"/>
      <c r="ET152" s="12"/>
      <c r="EU152" s="12"/>
      <c r="EV152" s="12"/>
      <c r="EW152" s="12"/>
      <c r="EX152" s="12"/>
      <c r="EY152" s="12"/>
      <c r="EZ152" s="12"/>
      <c r="FA152" s="12"/>
      <c r="FB152" s="12"/>
      <c r="FC152" s="12"/>
      <c r="FD152" s="12"/>
      <c r="FE152" s="12"/>
      <c r="FF152" s="12"/>
      <c r="FG152" s="12"/>
      <c r="FH152" s="12"/>
      <c r="FI152" s="12"/>
      <c r="FJ152" s="12"/>
      <c r="FK152" s="12"/>
      <c r="FL152" s="12"/>
      <c r="FM152" s="12"/>
      <c r="FN152" s="12"/>
      <c r="FO152" s="12"/>
      <c r="FP152" s="12"/>
      <c r="FQ152" s="12"/>
      <c r="FR152" s="12"/>
      <c r="FS152" s="12"/>
      <c r="FT152" s="12"/>
      <c r="FU152" s="12"/>
      <c r="FV152" s="12"/>
      <c r="FW152" s="12"/>
      <c r="FX152" s="12"/>
      <c r="FY152" s="12"/>
      <c r="FZ152" s="12"/>
      <c r="GA152" s="12"/>
      <c r="GB152" s="12"/>
      <c r="GC152" s="12"/>
      <c r="GD152" s="12"/>
      <c r="GE152" s="12"/>
    </row>
    <row r="153" spans="1:187" s="76" customFormat="1" ht="21" customHeight="1">
      <c r="A153" s="75"/>
      <c r="B153" s="63">
        <v>7606053324</v>
      </c>
      <c r="C153" s="18" t="s">
        <v>411</v>
      </c>
      <c r="D153" s="11"/>
      <c r="E153" s="62">
        <v>3908</v>
      </c>
      <c r="F153" s="62">
        <v>2344</v>
      </c>
      <c r="G153" s="35">
        <v>1059</v>
      </c>
      <c r="H153" s="35">
        <v>3717</v>
      </c>
      <c r="I153" s="35">
        <f t="shared" si="19"/>
        <v>11028</v>
      </c>
      <c r="J153" s="56">
        <f>'2021'!J154</f>
        <v>11028</v>
      </c>
      <c r="K153" s="49">
        <v>1699.412</v>
      </c>
      <c r="L153" s="49">
        <v>1767.3884800000001</v>
      </c>
      <c r="M153" s="49">
        <v>1591.9443279999998</v>
      </c>
      <c r="N153" s="49">
        <v>1655.6221011199998</v>
      </c>
      <c r="O153" s="56"/>
      <c r="P153" s="1">
        <f t="shared" si="14"/>
        <v>419983.66217600089</v>
      </c>
      <c r="Q153" s="1">
        <f t="shared" si="15"/>
        <v>251904.22316800052</v>
      </c>
      <c r="R153" s="1">
        <f t="shared" si="16"/>
        <v>118360.59523392029</v>
      </c>
      <c r="S153" s="1">
        <f t="shared" si="17"/>
        <v>415435.630296961</v>
      </c>
      <c r="T153" s="1">
        <f t="shared" si="18"/>
        <v>1205684.1108748827</v>
      </c>
      <c r="U153" s="11"/>
      <c r="V153" s="11"/>
      <c r="W153" s="11"/>
      <c r="X153" s="12"/>
      <c r="Y153" s="12"/>
      <c r="Z153" s="12"/>
      <c r="AA153" s="12"/>
      <c r="AB153" s="12"/>
      <c r="AC153" s="12"/>
      <c r="AD153" s="12"/>
      <c r="AE153" s="12"/>
      <c r="AF153" s="12"/>
      <c r="AG153" s="12"/>
      <c r="AH153" s="12"/>
      <c r="AI153" s="12"/>
      <c r="AJ153" s="12"/>
      <c r="AK153" s="12"/>
      <c r="AL153" s="12"/>
      <c r="AM153" s="12"/>
      <c r="AN153" s="12"/>
      <c r="AO153" s="12"/>
      <c r="AP153" s="12"/>
      <c r="AQ153" s="12"/>
      <c r="AR153" s="12"/>
      <c r="AS153" s="12"/>
      <c r="AT153" s="12"/>
      <c r="AU153" s="12"/>
      <c r="AV153" s="12"/>
      <c r="AW153" s="12"/>
      <c r="AX153" s="12"/>
      <c r="AY153" s="12"/>
      <c r="AZ153" s="12"/>
      <c r="BA153" s="12"/>
      <c r="BB153" s="12"/>
      <c r="BC153" s="12"/>
      <c r="BD153" s="12"/>
      <c r="BE153" s="12"/>
      <c r="BF153" s="12"/>
      <c r="BG153" s="12"/>
      <c r="BH153" s="12"/>
      <c r="BI153" s="12"/>
      <c r="BJ153" s="12"/>
      <c r="BK153" s="12"/>
      <c r="BL153" s="12"/>
      <c r="BM153" s="12"/>
      <c r="BN153" s="12"/>
      <c r="BO153" s="12"/>
      <c r="BP153" s="12"/>
      <c r="BQ153" s="12"/>
      <c r="BR153" s="12"/>
      <c r="BS153" s="12"/>
      <c r="BT153" s="12"/>
      <c r="BU153" s="12"/>
      <c r="BV153" s="12"/>
      <c r="BW153" s="12"/>
      <c r="BX153" s="12"/>
      <c r="BY153" s="12"/>
      <c r="BZ153" s="12"/>
      <c r="CA153" s="12"/>
      <c r="CB153" s="12"/>
      <c r="CC153" s="12"/>
      <c r="CD153" s="12"/>
      <c r="CE153" s="12"/>
      <c r="CF153" s="12"/>
      <c r="CG153" s="12"/>
      <c r="CH153" s="12"/>
      <c r="CI153" s="12"/>
      <c r="CJ153" s="12"/>
      <c r="CK153" s="12"/>
      <c r="CL153" s="12"/>
      <c r="CM153" s="12"/>
      <c r="CN153" s="12"/>
      <c r="CO153" s="12"/>
      <c r="CP153" s="12"/>
      <c r="CQ153" s="12"/>
      <c r="CR153" s="12"/>
      <c r="CS153" s="12"/>
      <c r="CT153" s="12"/>
      <c r="CU153" s="12"/>
      <c r="CV153" s="12"/>
      <c r="CW153" s="12"/>
      <c r="CX153" s="12"/>
      <c r="CY153" s="12"/>
      <c r="CZ153" s="12"/>
      <c r="DA153" s="12"/>
      <c r="DB153" s="12"/>
      <c r="DC153" s="12"/>
      <c r="DD153" s="12"/>
      <c r="DE153" s="12"/>
      <c r="DF153" s="12"/>
      <c r="DG153" s="12"/>
      <c r="DH153" s="12"/>
      <c r="DI153" s="12"/>
      <c r="DJ153" s="12"/>
      <c r="DK153" s="12"/>
      <c r="DL153" s="12"/>
      <c r="DM153" s="12"/>
      <c r="DN153" s="12"/>
      <c r="DO153" s="12"/>
      <c r="DP153" s="12"/>
      <c r="DQ153" s="12"/>
      <c r="DR153" s="12"/>
      <c r="DS153" s="12"/>
      <c r="DT153" s="12"/>
      <c r="DU153" s="12"/>
      <c r="DV153" s="12"/>
      <c r="DW153" s="12"/>
      <c r="DX153" s="12"/>
      <c r="DY153" s="12"/>
      <c r="DZ153" s="12"/>
      <c r="EA153" s="12"/>
      <c r="EB153" s="12"/>
      <c r="EC153" s="12"/>
      <c r="ED153" s="12"/>
      <c r="EE153" s="12"/>
      <c r="EF153" s="12"/>
      <c r="EG153" s="12"/>
      <c r="EH153" s="12"/>
      <c r="EI153" s="12"/>
      <c r="EJ153" s="12"/>
      <c r="EK153" s="12"/>
      <c r="EL153" s="12"/>
      <c r="EM153" s="12"/>
      <c r="EN153" s="12"/>
      <c r="EO153" s="12"/>
      <c r="EP153" s="12"/>
      <c r="EQ153" s="12"/>
      <c r="ER153" s="12"/>
      <c r="ES153" s="12"/>
      <c r="ET153" s="12"/>
      <c r="EU153" s="12"/>
      <c r="EV153" s="12"/>
      <c r="EW153" s="12"/>
      <c r="EX153" s="12"/>
      <c r="EY153" s="12"/>
      <c r="EZ153" s="12"/>
      <c r="FA153" s="12"/>
      <c r="FB153" s="12"/>
      <c r="FC153" s="12"/>
      <c r="FD153" s="12"/>
      <c r="FE153" s="12"/>
      <c r="FF153" s="12"/>
      <c r="FG153" s="12"/>
      <c r="FH153" s="12"/>
      <c r="FI153" s="12"/>
      <c r="FJ153" s="12"/>
      <c r="FK153" s="12"/>
      <c r="FL153" s="12"/>
      <c r="FM153" s="12"/>
      <c r="FN153" s="12"/>
      <c r="FO153" s="12"/>
      <c r="FP153" s="12"/>
      <c r="FQ153" s="12"/>
      <c r="FR153" s="12"/>
      <c r="FS153" s="12"/>
      <c r="FT153" s="12"/>
      <c r="FU153" s="12"/>
      <c r="FV153" s="12"/>
      <c r="FW153" s="12"/>
      <c r="FX153" s="12"/>
      <c r="FY153" s="12"/>
      <c r="FZ153" s="12"/>
      <c r="GA153" s="12"/>
      <c r="GB153" s="12"/>
      <c r="GC153" s="12"/>
      <c r="GD153" s="12"/>
      <c r="GE153" s="12"/>
    </row>
    <row r="154" spans="1:187" ht="21" customHeight="1">
      <c r="A154" s="45"/>
      <c r="B154" s="101" t="s">
        <v>179</v>
      </c>
      <c r="C154" s="101"/>
      <c r="D154" s="101"/>
      <c r="E154" s="34"/>
      <c r="F154" s="34"/>
      <c r="G154" s="34"/>
      <c r="H154" s="34"/>
      <c r="I154" s="35">
        <f t="shared" si="19"/>
        <v>0</v>
      </c>
      <c r="J154" s="56"/>
      <c r="K154" s="49"/>
      <c r="L154" s="49"/>
      <c r="M154" s="49"/>
      <c r="N154" s="49"/>
      <c r="O154" s="56">
        <f t="shared" si="20"/>
        <v>0</v>
      </c>
      <c r="P154" s="1">
        <f t="shared" si="14"/>
        <v>0</v>
      </c>
      <c r="Q154" s="1">
        <f t="shared" si="15"/>
        <v>0</v>
      </c>
      <c r="R154" s="1">
        <f t="shared" si="16"/>
        <v>0</v>
      </c>
      <c r="S154" s="1">
        <f t="shared" si="17"/>
        <v>0</v>
      </c>
      <c r="T154" s="1">
        <f t="shared" si="18"/>
        <v>0</v>
      </c>
      <c r="U154" s="45"/>
      <c r="V154" s="45"/>
      <c r="W154" s="45"/>
    </row>
    <row r="155" spans="1:187" ht="21" customHeight="1">
      <c r="A155" s="45"/>
      <c r="B155" s="9" t="s">
        <v>30</v>
      </c>
      <c r="C155" s="10" t="s">
        <v>180</v>
      </c>
      <c r="D155" s="10"/>
      <c r="E155" s="35">
        <v>119.37</v>
      </c>
      <c r="F155" s="35">
        <f>198.97-E155</f>
        <v>79.599999999999994</v>
      </c>
      <c r="G155" s="35">
        <v>39.79</v>
      </c>
      <c r="H155" s="35">
        <f>159.18-G155</f>
        <v>119.39000000000001</v>
      </c>
      <c r="I155" s="35">
        <f t="shared" si="19"/>
        <v>358.15</v>
      </c>
      <c r="J155" s="56">
        <f>'2021'!J156</f>
        <v>350</v>
      </c>
      <c r="K155" s="49">
        <v>5975.8088000000007</v>
      </c>
      <c r="L155" s="49">
        <v>6214.8411520000009</v>
      </c>
      <c r="M155" s="49">
        <v>1208.1576</v>
      </c>
      <c r="N155" s="49">
        <v>1256.4839039999999</v>
      </c>
      <c r="O155" s="56">
        <f t="shared" si="20"/>
        <v>4767.6512000000002</v>
      </c>
      <c r="P155" s="1">
        <f t="shared" si="14"/>
        <v>569114.52374400001</v>
      </c>
      <c r="Q155" s="1">
        <f t="shared" si="15"/>
        <v>379505.03551999998</v>
      </c>
      <c r="R155" s="1">
        <f t="shared" si="16"/>
        <v>197293.03489792004</v>
      </c>
      <c r="S155" s="1">
        <f t="shared" si="17"/>
        <v>591978.27183872019</v>
      </c>
      <c r="T155" s="1">
        <f t="shared" si="18"/>
        <v>1737890.8660006402</v>
      </c>
      <c r="U155" s="11"/>
      <c r="V155" s="11"/>
      <c r="W155" s="11"/>
      <c r="X155" s="12"/>
      <c r="Y155" s="12"/>
      <c r="Z155" s="12"/>
      <c r="AA155" s="12"/>
      <c r="AB155" s="12"/>
      <c r="AC155" s="12"/>
      <c r="AD155" s="12"/>
      <c r="AE155" s="12"/>
      <c r="AF155" s="12"/>
      <c r="AG155" s="12"/>
      <c r="AH155" s="12"/>
      <c r="AI155" s="12"/>
      <c r="AJ155" s="12"/>
      <c r="AK155" s="12"/>
      <c r="AL155" s="12"/>
      <c r="AM155" s="12"/>
      <c r="AN155" s="12"/>
      <c r="AO155" s="12"/>
      <c r="AP155" s="12"/>
      <c r="AQ155" s="12"/>
      <c r="AR155" s="12"/>
      <c r="AS155" s="12"/>
      <c r="AT155" s="12"/>
      <c r="AU155" s="12"/>
      <c r="AV155" s="12"/>
      <c r="AW155" s="12"/>
      <c r="AX155" s="12"/>
      <c r="AY155" s="12"/>
      <c r="AZ155" s="12"/>
      <c r="BA155" s="12"/>
      <c r="BB155" s="12"/>
      <c r="BC155" s="12"/>
      <c r="BD155" s="12"/>
      <c r="BE155" s="12"/>
      <c r="BF155" s="12"/>
      <c r="BG155" s="12"/>
      <c r="BH155" s="12"/>
      <c r="BI155" s="12"/>
      <c r="BJ155" s="12"/>
      <c r="BK155" s="12"/>
      <c r="BL155" s="12"/>
      <c r="BM155" s="12"/>
      <c r="BN155" s="12"/>
      <c r="BO155" s="12"/>
      <c r="BP155" s="12"/>
      <c r="BQ155" s="12"/>
      <c r="BR155" s="12"/>
      <c r="BS155" s="12"/>
      <c r="BT155" s="12"/>
      <c r="BU155" s="12"/>
      <c r="BV155" s="12"/>
      <c r="BW155" s="12"/>
      <c r="BX155" s="12"/>
      <c r="BY155" s="12"/>
      <c r="BZ155" s="12"/>
      <c r="CA155" s="12"/>
      <c r="CB155" s="12"/>
      <c r="CC155" s="12"/>
      <c r="CD155" s="12"/>
      <c r="CE155" s="12"/>
      <c r="CF155" s="12"/>
      <c r="CG155" s="12"/>
      <c r="CH155" s="12"/>
      <c r="CI155" s="12"/>
      <c r="CJ155" s="12"/>
      <c r="CK155" s="12"/>
      <c r="CL155" s="12"/>
      <c r="CM155" s="12"/>
      <c r="CN155" s="12"/>
      <c r="CO155" s="12"/>
      <c r="CP155" s="12"/>
      <c r="CQ155" s="12"/>
      <c r="CR155" s="12"/>
      <c r="CS155" s="12"/>
      <c r="CT155" s="12"/>
      <c r="CU155" s="12"/>
      <c r="CV155" s="12"/>
      <c r="CW155" s="12"/>
      <c r="CX155" s="12"/>
      <c r="CY155" s="12"/>
      <c r="CZ155" s="12"/>
      <c r="DA155" s="12"/>
      <c r="DB155" s="12"/>
      <c r="DC155" s="12"/>
      <c r="DD155" s="12"/>
      <c r="DE155" s="12"/>
      <c r="DF155" s="12"/>
      <c r="DG155" s="12"/>
      <c r="DH155" s="12"/>
      <c r="DI155" s="12"/>
      <c r="DJ155" s="12"/>
      <c r="DK155" s="12"/>
      <c r="DL155" s="12"/>
      <c r="DM155" s="12"/>
      <c r="DN155" s="12"/>
      <c r="DO155" s="12"/>
      <c r="DP155" s="12"/>
      <c r="DQ155" s="12"/>
      <c r="DR155" s="12"/>
      <c r="DS155" s="12"/>
      <c r="DT155" s="12"/>
      <c r="DU155" s="12"/>
      <c r="DV155" s="12"/>
      <c r="DW155" s="12"/>
      <c r="DX155" s="12"/>
      <c r="DY155" s="12"/>
      <c r="DZ155" s="12"/>
      <c r="EA155" s="12"/>
      <c r="EB155" s="12"/>
      <c r="EC155" s="12"/>
      <c r="ED155" s="12"/>
      <c r="EE155" s="12"/>
      <c r="EF155" s="12"/>
      <c r="EG155" s="12"/>
      <c r="EH155" s="12"/>
      <c r="EI155" s="12"/>
      <c r="EJ155" s="12"/>
      <c r="EK155" s="12"/>
      <c r="EL155" s="12"/>
      <c r="EM155" s="12"/>
      <c r="EN155" s="12"/>
      <c r="EO155" s="12"/>
      <c r="EP155" s="12"/>
      <c r="EQ155" s="12"/>
      <c r="ER155" s="12"/>
      <c r="ES155" s="12"/>
      <c r="ET155" s="12"/>
      <c r="EU155" s="12"/>
      <c r="EV155" s="12"/>
      <c r="EW155" s="12"/>
      <c r="EX155" s="12"/>
      <c r="EY155" s="12"/>
      <c r="EZ155" s="12"/>
      <c r="FA155" s="12"/>
      <c r="FB155" s="12"/>
      <c r="FC155" s="12"/>
      <c r="FD155" s="12"/>
      <c r="FE155" s="12"/>
      <c r="FF155" s="12"/>
      <c r="FG155" s="12"/>
      <c r="FH155" s="12"/>
      <c r="FI155" s="12"/>
      <c r="FJ155" s="12"/>
      <c r="FK155" s="12"/>
      <c r="FL155" s="12"/>
      <c r="FM155" s="12"/>
      <c r="FN155" s="12"/>
      <c r="FO155" s="12"/>
      <c r="FP155" s="12"/>
      <c r="FQ155" s="12"/>
      <c r="FR155" s="12"/>
      <c r="FS155" s="12"/>
      <c r="FT155" s="12"/>
      <c r="FU155" s="12"/>
      <c r="FV155" s="12"/>
      <c r="FW155" s="12"/>
      <c r="FX155" s="12"/>
      <c r="FY155" s="12"/>
      <c r="FZ155" s="12"/>
      <c r="GA155" s="12"/>
      <c r="GB155" s="12"/>
      <c r="GC155" s="12"/>
      <c r="GD155" s="12"/>
      <c r="GE155" s="12"/>
    </row>
    <row r="156" spans="1:187" ht="21" customHeight="1">
      <c r="A156" s="45" t="s">
        <v>337</v>
      </c>
      <c r="B156" s="9">
        <v>7729314745</v>
      </c>
      <c r="C156" s="10" t="s">
        <v>341</v>
      </c>
      <c r="D156" s="10"/>
      <c r="E156" s="35">
        <f>2610.465*0.6</f>
        <v>1566.279</v>
      </c>
      <c r="F156" s="35">
        <f>2610.465*0.4</f>
        <v>1044.1860000000001</v>
      </c>
      <c r="G156" s="35">
        <f>2135.835*0.2</f>
        <v>427.16700000000003</v>
      </c>
      <c r="H156" s="35">
        <f>2135.835*0.8</f>
        <v>1708.6680000000001</v>
      </c>
      <c r="I156" s="35">
        <f t="shared" si="19"/>
        <v>4746.3</v>
      </c>
      <c r="J156" s="56">
        <f>'2021'!J157</f>
        <v>4746.3</v>
      </c>
      <c r="K156" s="49">
        <v>7797.0380800000003</v>
      </c>
      <c r="L156" s="49">
        <v>8108.9196032000009</v>
      </c>
      <c r="M156" s="49">
        <v>1314.6347656</v>
      </c>
      <c r="N156" s="49">
        <v>1367.220156224</v>
      </c>
      <c r="O156" s="56">
        <f t="shared" si="20"/>
        <v>6482.4033144000005</v>
      </c>
      <c r="P156" s="1">
        <f t="shared" si="14"/>
        <v>10153252.180875119</v>
      </c>
      <c r="Q156" s="1">
        <f t="shared" si="15"/>
        <v>6768834.7872500801</v>
      </c>
      <c r="R156" s="1">
        <f t="shared" si="16"/>
        <v>2879831.5276663979</v>
      </c>
      <c r="S156" s="1">
        <f t="shared" si="17"/>
        <v>11519326.110665591</v>
      </c>
      <c r="T156" s="1">
        <f t="shared" si="18"/>
        <v>31321244.606457189</v>
      </c>
      <c r="U156" s="11"/>
      <c r="V156" s="11"/>
      <c r="W156" s="11"/>
      <c r="X156" s="12"/>
      <c r="Y156" s="12"/>
      <c r="Z156" s="12"/>
      <c r="AA156" s="12"/>
      <c r="AB156" s="12"/>
      <c r="AC156" s="12"/>
      <c r="AD156" s="12"/>
      <c r="AE156" s="12"/>
      <c r="AF156" s="12"/>
      <c r="AG156" s="12"/>
      <c r="AH156" s="12"/>
      <c r="AI156" s="12"/>
      <c r="AJ156" s="12"/>
      <c r="AK156" s="12"/>
      <c r="AL156" s="12"/>
      <c r="AM156" s="12"/>
      <c r="AN156" s="12"/>
      <c r="AO156" s="12"/>
      <c r="AP156" s="12"/>
      <c r="AQ156" s="12"/>
      <c r="AR156" s="12"/>
      <c r="AS156" s="12"/>
      <c r="AT156" s="12"/>
      <c r="AU156" s="12"/>
      <c r="AV156" s="12"/>
      <c r="AW156" s="12"/>
      <c r="AX156" s="12"/>
      <c r="AY156" s="12"/>
      <c r="AZ156" s="12"/>
      <c r="BA156" s="12"/>
      <c r="BB156" s="12"/>
      <c r="BC156" s="12"/>
      <c r="BD156" s="12"/>
      <c r="BE156" s="12"/>
      <c r="BF156" s="12"/>
      <c r="BG156" s="12"/>
      <c r="BH156" s="12"/>
      <c r="BI156" s="12"/>
      <c r="BJ156" s="12"/>
      <c r="BK156" s="12"/>
      <c r="BL156" s="12"/>
      <c r="BM156" s="12"/>
      <c r="BN156" s="12"/>
      <c r="BO156" s="12"/>
      <c r="BP156" s="12"/>
      <c r="BQ156" s="12"/>
      <c r="BR156" s="12"/>
      <c r="BS156" s="12"/>
      <c r="BT156" s="12"/>
      <c r="BU156" s="12"/>
      <c r="BV156" s="12"/>
      <c r="BW156" s="12"/>
      <c r="BX156" s="12"/>
      <c r="BY156" s="12"/>
      <c r="BZ156" s="12"/>
      <c r="CA156" s="12"/>
      <c r="CB156" s="12"/>
      <c r="CC156" s="12"/>
      <c r="CD156" s="12"/>
      <c r="CE156" s="12"/>
      <c r="CF156" s="12"/>
      <c r="CG156" s="12"/>
      <c r="CH156" s="12"/>
      <c r="CI156" s="12"/>
      <c r="CJ156" s="12"/>
      <c r="CK156" s="12"/>
      <c r="CL156" s="12"/>
      <c r="CM156" s="12"/>
      <c r="CN156" s="12"/>
      <c r="CO156" s="12"/>
      <c r="CP156" s="12"/>
      <c r="CQ156" s="12"/>
      <c r="CR156" s="12"/>
      <c r="CS156" s="12"/>
      <c r="CT156" s="12"/>
      <c r="CU156" s="12"/>
      <c r="CV156" s="12"/>
      <c r="CW156" s="12"/>
      <c r="CX156" s="12"/>
      <c r="CY156" s="12"/>
      <c r="CZ156" s="12"/>
      <c r="DA156" s="12"/>
      <c r="DB156" s="12"/>
      <c r="DC156" s="12"/>
      <c r="DD156" s="12"/>
      <c r="DE156" s="12"/>
      <c r="DF156" s="12"/>
      <c r="DG156" s="12"/>
      <c r="DH156" s="12"/>
      <c r="DI156" s="12"/>
      <c r="DJ156" s="12"/>
      <c r="DK156" s="12"/>
      <c r="DL156" s="12"/>
      <c r="DM156" s="12"/>
      <c r="DN156" s="12"/>
      <c r="DO156" s="12"/>
      <c r="DP156" s="12"/>
      <c r="DQ156" s="12"/>
      <c r="DR156" s="12"/>
      <c r="DS156" s="12"/>
      <c r="DT156" s="12"/>
      <c r="DU156" s="12"/>
      <c r="DV156" s="12"/>
      <c r="DW156" s="12"/>
      <c r="DX156" s="12"/>
      <c r="DY156" s="12"/>
      <c r="DZ156" s="12"/>
      <c r="EA156" s="12"/>
      <c r="EB156" s="12"/>
      <c r="EC156" s="12"/>
      <c r="ED156" s="12"/>
      <c r="EE156" s="12"/>
      <c r="EF156" s="12"/>
      <c r="EG156" s="12"/>
      <c r="EH156" s="12"/>
      <c r="EI156" s="12"/>
      <c r="EJ156" s="12"/>
      <c r="EK156" s="12"/>
      <c r="EL156" s="12"/>
      <c r="EM156" s="12"/>
      <c r="EN156" s="12"/>
      <c r="EO156" s="12"/>
      <c r="EP156" s="12"/>
      <c r="EQ156" s="12"/>
      <c r="ER156" s="12"/>
      <c r="ES156" s="12"/>
      <c r="ET156" s="12"/>
      <c r="EU156" s="12"/>
      <c r="EV156" s="12"/>
      <c r="EW156" s="12"/>
      <c r="EX156" s="12"/>
      <c r="EY156" s="12"/>
      <c r="EZ156" s="12"/>
      <c r="FA156" s="12"/>
      <c r="FB156" s="12"/>
      <c r="FC156" s="12"/>
      <c r="FD156" s="12"/>
      <c r="FE156" s="12"/>
      <c r="FF156" s="12"/>
      <c r="FG156" s="12"/>
      <c r="FH156" s="12"/>
      <c r="FI156" s="12"/>
      <c r="FJ156" s="12"/>
      <c r="FK156" s="12"/>
      <c r="FL156" s="12"/>
      <c r="FM156" s="12"/>
      <c r="FN156" s="12"/>
      <c r="FO156" s="12"/>
      <c r="FP156" s="12"/>
      <c r="FQ156" s="12"/>
      <c r="FR156" s="12"/>
      <c r="FS156" s="12"/>
      <c r="FT156" s="12"/>
      <c r="FU156" s="12"/>
      <c r="FV156" s="12"/>
      <c r="FW156" s="12"/>
      <c r="FX156" s="12"/>
      <c r="FY156" s="12"/>
      <c r="FZ156" s="12"/>
      <c r="GA156" s="12"/>
      <c r="GB156" s="12"/>
      <c r="GC156" s="12"/>
      <c r="GD156" s="12"/>
      <c r="GE156" s="12"/>
    </row>
    <row r="157" spans="1:187" ht="21" customHeight="1">
      <c r="A157" s="45"/>
      <c r="B157" s="9" t="s">
        <v>379</v>
      </c>
      <c r="C157" s="10" t="s">
        <v>378</v>
      </c>
      <c r="D157" s="10" t="s">
        <v>46</v>
      </c>
      <c r="E157" s="35">
        <v>155.042</v>
      </c>
      <c r="F157" s="35">
        <f>258.404-E157</f>
        <v>103.36199999999999</v>
      </c>
      <c r="G157" s="35">
        <v>52.86</v>
      </c>
      <c r="H157" s="35">
        <f>115.693+287.98</f>
        <v>403.673</v>
      </c>
      <c r="I157" s="35">
        <f t="shared" si="19"/>
        <v>714.93700000000001</v>
      </c>
      <c r="J157" s="56">
        <f>'2021'!J158</f>
        <v>465.1</v>
      </c>
      <c r="K157" s="49">
        <v>8956.5632000000005</v>
      </c>
      <c r="L157" s="49">
        <v>9314.8257280000016</v>
      </c>
      <c r="M157" s="49">
        <v>1023.3496</v>
      </c>
      <c r="N157" s="49">
        <v>1064.283584</v>
      </c>
      <c r="O157" s="56">
        <f t="shared" si="20"/>
        <v>7933.213600000001</v>
      </c>
      <c r="P157" s="1">
        <f t="shared" si="14"/>
        <v>1229981.3029712001</v>
      </c>
      <c r="Q157" s="1">
        <f t="shared" si="15"/>
        <v>819992.82412320003</v>
      </c>
      <c r="R157" s="1">
        <f t="shared" si="16"/>
        <v>436123.65773184004</v>
      </c>
      <c r="S157" s="1">
        <f t="shared" si="17"/>
        <v>3330521.0988949123</v>
      </c>
      <c r="T157" s="1">
        <f t="shared" si="18"/>
        <v>5816618.8837211523</v>
      </c>
      <c r="U157" s="11"/>
      <c r="V157" s="11"/>
      <c r="W157" s="11"/>
      <c r="X157" s="12"/>
      <c r="Y157" s="12"/>
      <c r="Z157" s="12"/>
      <c r="AA157" s="12"/>
      <c r="AB157" s="12"/>
      <c r="AC157" s="12"/>
      <c r="AD157" s="12"/>
      <c r="AE157" s="12"/>
      <c r="AF157" s="12"/>
      <c r="AG157" s="12"/>
      <c r="AH157" s="12"/>
      <c r="AI157" s="12"/>
      <c r="AJ157" s="12"/>
      <c r="AK157" s="12"/>
      <c r="AL157" s="12"/>
      <c r="AM157" s="12"/>
      <c r="AN157" s="12"/>
      <c r="AO157" s="12"/>
      <c r="AP157" s="12"/>
      <c r="AQ157" s="12"/>
      <c r="AR157" s="12"/>
      <c r="AS157" s="12"/>
      <c r="AT157" s="12"/>
      <c r="AU157" s="12"/>
      <c r="AV157" s="12"/>
      <c r="AW157" s="12"/>
      <c r="AX157" s="12"/>
      <c r="AY157" s="12"/>
      <c r="AZ157" s="12"/>
      <c r="BA157" s="12"/>
      <c r="BB157" s="12"/>
      <c r="BC157" s="12"/>
      <c r="BD157" s="12"/>
      <c r="BE157" s="12"/>
      <c r="BF157" s="12"/>
      <c r="BG157" s="12"/>
      <c r="BH157" s="12"/>
      <c r="BI157" s="12"/>
      <c r="BJ157" s="12"/>
      <c r="BK157" s="12"/>
      <c r="BL157" s="12"/>
      <c r="BM157" s="12"/>
      <c r="BN157" s="12"/>
      <c r="BO157" s="12"/>
      <c r="BP157" s="12"/>
      <c r="BQ157" s="12"/>
      <c r="BR157" s="12"/>
      <c r="BS157" s="12"/>
      <c r="BT157" s="12"/>
      <c r="BU157" s="12"/>
      <c r="BV157" s="12"/>
      <c r="BW157" s="12"/>
      <c r="BX157" s="12"/>
      <c r="BY157" s="12"/>
      <c r="BZ157" s="12"/>
      <c r="CA157" s="12"/>
      <c r="CB157" s="12"/>
      <c r="CC157" s="12"/>
      <c r="CD157" s="12"/>
      <c r="CE157" s="12"/>
      <c r="CF157" s="12"/>
      <c r="CG157" s="12"/>
      <c r="CH157" s="12"/>
      <c r="CI157" s="12"/>
      <c r="CJ157" s="12"/>
      <c r="CK157" s="12"/>
      <c r="CL157" s="12"/>
      <c r="CM157" s="12"/>
      <c r="CN157" s="12"/>
      <c r="CO157" s="12"/>
      <c r="CP157" s="12"/>
      <c r="CQ157" s="12"/>
      <c r="CR157" s="12"/>
      <c r="CS157" s="12"/>
      <c r="CT157" s="12"/>
      <c r="CU157" s="12"/>
      <c r="CV157" s="12"/>
      <c r="CW157" s="12"/>
      <c r="CX157" s="12"/>
      <c r="CY157" s="12"/>
      <c r="CZ157" s="12"/>
      <c r="DA157" s="12"/>
      <c r="DB157" s="12"/>
      <c r="DC157" s="12"/>
      <c r="DD157" s="12"/>
      <c r="DE157" s="12"/>
      <c r="DF157" s="12"/>
      <c r="DG157" s="12"/>
      <c r="DH157" s="12"/>
      <c r="DI157" s="12"/>
      <c r="DJ157" s="12"/>
      <c r="DK157" s="12"/>
      <c r="DL157" s="12"/>
      <c r="DM157" s="12"/>
      <c r="DN157" s="12"/>
      <c r="DO157" s="12"/>
      <c r="DP157" s="12"/>
      <c r="DQ157" s="12"/>
      <c r="DR157" s="12"/>
      <c r="DS157" s="12"/>
      <c r="DT157" s="12"/>
      <c r="DU157" s="12"/>
      <c r="DV157" s="12"/>
      <c r="DW157" s="12"/>
      <c r="DX157" s="12"/>
      <c r="DY157" s="12"/>
      <c r="DZ157" s="12"/>
      <c r="EA157" s="12"/>
      <c r="EB157" s="12"/>
      <c r="EC157" s="12"/>
      <c r="ED157" s="12"/>
      <c r="EE157" s="12"/>
      <c r="EF157" s="12"/>
      <c r="EG157" s="12"/>
      <c r="EH157" s="12"/>
      <c r="EI157" s="12"/>
      <c r="EJ157" s="12"/>
      <c r="EK157" s="12"/>
      <c r="EL157" s="12"/>
      <c r="EM157" s="12"/>
      <c r="EN157" s="12"/>
      <c r="EO157" s="12"/>
      <c r="EP157" s="12"/>
      <c r="EQ157" s="12"/>
      <c r="ER157" s="12"/>
      <c r="ES157" s="12"/>
      <c r="ET157" s="12"/>
      <c r="EU157" s="12"/>
      <c r="EV157" s="12"/>
      <c r="EW157" s="12"/>
      <c r="EX157" s="12"/>
      <c r="EY157" s="12"/>
      <c r="EZ157" s="12"/>
      <c r="FA157" s="12"/>
      <c r="FB157" s="12"/>
      <c r="FC157" s="12"/>
      <c r="FD157" s="12"/>
      <c r="FE157" s="12"/>
      <c r="FF157" s="12"/>
      <c r="FG157" s="12"/>
      <c r="FH157" s="12"/>
      <c r="FI157" s="12"/>
      <c r="FJ157" s="12"/>
      <c r="FK157" s="12"/>
      <c r="FL157" s="12"/>
      <c r="FM157" s="12"/>
      <c r="FN157" s="12"/>
      <c r="FO157" s="12"/>
      <c r="FP157" s="12"/>
      <c r="FQ157" s="12"/>
      <c r="FR157" s="12"/>
      <c r="FS157" s="12"/>
      <c r="FT157" s="12"/>
      <c r="FU157" s="12"/>
      <c r="FV157" s="12"/>
      <c r="FW157" s="12"/>
      <c r="FX157" s="12"/>
      <c r="FY157" s="12"/>
      <c r="FZ157" s="12"/>
      <c r="GA157" s="12"/>
      <c r="GB157" s="12"/>
      <c r="GC157" s="12"/>
      <c r="GD157" s="12"/>
      <c r="GE157" s="12"/>
    </row>
    <row r="158" spans="1:187" ht="21" customHeight="1">
      <c r="A158" s="45"/>
      <c r="B158" s="9" t="s">
        <v>379</v>
      </c>
      <c r="C158" s="10" t="s">
        <v>378</v>
      </c>
      <c r="D158" s="10" t="s">
        <v>181</v>
      </c>
      <c r="E158" s="35">
        <v>183.56200000000001</v>
      </c>
      <c r="F158" s="35">
        <f>305.936-E158</f>
        <v>122.37399999999997</v>
      </c>
      <c r="G158" s="35">
        <v>68.257000000000005</v>
      </c>
      <c r="H158" s="35">
        <f>91.379+305.89</f>
        <v>397.26900000000001</v>
      </c>
      <c r="I158" s="35">
        <f t="shared" si="19"/>
        <v>771.46199999999999</v>
      </c>
      <c r="J158" s="56">
        <f>'2021'!J159</f>
        <v>550.70000000000005</v>
      </c>
      <c r="K158" s="49">
        <v>6428.8536000000004</v>
      </c>
      <c r="L158" s="49">
        <v>6686.0077440000005</v>
      </c>
      <c r="M158" s="49">
        <v>1023.3496</v>
      </c>
      <c r="N158" s="49">
        <v>1064.283584</v>
      </c>
      <c r="O158" s="56">
        <f t="shared" si="20"/>
        <v>5405.5040000000008</v>
      </c>
      <c r="P158" s="1">
        <f t="shared" si="14"/>
        <v>992245.12524800026</v>
      </c>
      <c r="Q158" s="1">
        <f t="shared" si="15"/>
        <v>661493.14649599988</v>
      </c>
      <c r="R158" s="1">
        <f t="shared" si="16"/>
        <v>383722.02598912007</v>
      </c>
      <c r="S158" s="1">
        <f t="shared" si="17"/>
        <v>2233336.7353190403</v>
      </c>
      <c r="T158" s="1">
        <f t="shared" si="18"/>
        <v>4270797.0330521604</v>
      </c>
      <c r="U158" s="11"/>
      <c r="V158" s="11"/>
      <c r="W158" s="11"/>
      <c r="X158" s="12"/>
      <c r="Y158" s="12"/>
      <c r="Z158" s="12"/>
      <c r="AA158" s="12"/>
      <c r="AB158" s="12"/>
      <c r="AC158" s="12"/>
      <c r="AD158" s="12"/>
      <c r="AE158" s="12"/>
      <c r="AF158" s="12"/>
      <c r="AG158" s="12"/>
      <c r="AH158" s="12"/>
      <c r="AI158" s="12"/>
      <c r="AJ158" s="12"/>
      <c r="AK158" s="12"/>
      <c r="AL158" s="12"/>
      <c r="AM158" s="12"/>
      <c r="AN158" s="12"/>
      <c r="AO158" s="12"/>
      <c r="AP158" s="12"/>
      <c r="AQ158" s="12"/>
      <c r="AR158" s="12"/>
      <c r="AS158" s="12"/>
      <c r="AT158" s="12"/>
      <c r="AU158" s="12"/>
      <c r="AV158" s="12"/>
      <c r="AW158" s="12"/>
      <c r="AX158" s="12"/>
      <c r="AY158" s="12"/>
      <c r="AZ158" s="12"/>
      <c r="BA158" s="12"/>
      <c r="BB158" s="12"/>
      <c r="BC158" s="12"/>
      <c r="BD158" s="12"/>
      <c r="BE158" s="12"/>
      <c r="BF158" s="12"/>
      <c r="BG158" s="12"/>
      <c r="BH158" s="12"/>
      <c r="BI158" s="12"/>
      <c r="BJ158" s="12"/>
      <c r="BK158" s="12"/>
      <c r="BL158" s="12"/>
      <c r="BM158" s="12"/>
      <c r="BN158" s="12"/>
      <c r="BO158" s="12"/>
      <c r="BP158" s="12"/>
      <c r="BQ158" s="12"/>
      <c r="BR158" s="12"/>
      <c r="BS158" s="12"/>
      <c r="BT158" s="12"/>
      <c r="BU158" s="12"/>
      <c r="BV158" s="12"/>
      <c r="BW158" s="12"/>
      <c r="BX158" s="12"/>
      <c r="BY158" s="12"/>
      <c r="BZ158" s="12"/>
      <c r="CA158" s="12"/>
      <c r="CB158" s="12"/>
      <c r="CC158" s="12"/>
      <c r="CD158" s="12"/>
      <c r="CE158" s="12"/>
      <c r="CF158" s="12"/>
      <c r="CG158" s="12"/>
      <c r="CH158" s="12"/>
      <c r="CI158" s="12"/>
      <c r="CJ158" s="12"/>
      <c r="CK158" s="12"/>
      <c r="CL158" s="12"/>
      <c r="CM158" s="12"/>
      <c r="CN158" s="12"/>
      <c r="CO158" s="12"/>
      <c r="CP158" s="12"/>
      <c r="CQ158" s="12"/>
      <c r="CR158" s="12"/>
      <c r="CS158" s="12"/>
      <c r="CT158" s="12"/>
      <c r="CU158" s="12"/>
      <c r="CV158" s="12"/>
      <c r="CW158" s="12"/>
      <c r="CX158" s="12"/>
      <c r="CY158" s="12"/>
      <c r="CZ158" s="12"/>
      <c r="DA158" s="12"/>
      <c r="DB158" s="12"/>
      <c r="DC158" s="12"/>
      <c r="DD158" s="12"/>
      <c r="DE158" s="12"/>
      <c r="DF158" s="12"/>
      <c r="DG158" s="12"/>
      <c r="DH158" s="12"/>
      <c r="DI158" s="12"/>
      <c r="DJ158" s="12"/>
      <c r="DK158" s="12"/>
      <c r="DL158" s="12"/>
      <c r="DM158" s="12"/>
      <c r="DN158" s="12"/>
      <c r="DO158" s="12"/>
      <c r="DP158" s="12"/>
      <c r="DQ158" s="12"/>
      <c r="DR158" s="12"/>
      <c r="DS158" s="12"/>
      <c r="DT158" s="12"/>
      <c r="DU158" s="12"/>
      <c r="DV158" s="12"/>
      <c r="DW158" s="12"/>
      <c r="DX158" s="12"/>
      <c r="DY158" s="12"/>
      <c r="DZ158" s="12"/>
      <c r="EA158" s="12"/>
      <c r="EB158" s="12"/>
      <c r="EC158" s="12"/>
      <c r="ED158" s="12"/>
      <c r="EE158" s="12"/>
      <c r="EF158" s="12"/>
      <c r="EG158" s="12"/>
      <c r="EH158" s="12"/>
      <c r="EI158" s="12"/>
      <c r="EJ158" s="12"/>
      <c r="EK158" s="12"/>
      <c r="EL158" s="12"/>
      <c r="EM158" s="12"/>
      <c r="EN158" s="12"/>
      <c r="EO158" s="12"/>
      <c r="EP158" s="12"/>
      <c r="EQ158" s="12"/>
      <c r="ER158" s="12"/>
      <c r="ES158" s="12"/>
      <c r="ET158" s="12"/>
      <c r="EU158" s="12"/>
      <c r="EV158" s="12"/>
      <c r="EW158" s="12"/>
      <c r="EX158" s="12"/>
      <c r="EY158" s="12"/>
      <c r="EZ158" s="12"/>
      <c r="FA158" s="12"/>
      <c r="FB158" s="12"/>
      <c r="FC158" s="12"/>
      <c r="FD158" s="12"/>
      <c r="FE158" s="12"/>
      <c r="FF158" s="12"/>
      <c r="FG158" s="12"/>
      <c r="FH158" s="12"/>
      <c r="FI158" s="12"/>
      <c r="FJ158" s="12"/>
      <c r="FK158" s="12"/>
      <c r="FL158" s="12"/>
      <c r="FM158" s="12"/>
      <c r="FN158" s="12"/>
      <c r="FO158" s="12"/>
      <c r="FP158" s="12"/>
      <c r="FQ158" s="12"/>
      <c r="FR158" s="12"/>
      <c r="FS158" s="12"/>
      <c r="FT158" s="12"/>
      <c r="FU158" s="12"/>
      <c r="FV158" s="12"/>
      <c r="FW158" s="12"/>
      <c r="FX158" s="12"/>
      <c r="FY158" s="12"/>
      <c r="FZ158" s="12"/>
      <c r="GA158" s="12"/>
      <c r="GB158" s="12"/>
      <c r="GC158" s="12"/>
      <c r="GD158" s="12"/>
      <c r="GE158" s="12"/>
    </row>
    <row r="159" spans="1:187" ht="21" customHeight="1">
      <c r="A159" s="45"/>
      <c r="B159" s="9">
        <v>7606053324</v>
      </c>
      <c r="C159" s="10" t="s">
        <v>411</v>
      </c>
      <c r="D159" s="10"/>
      <c r="E159" s="35">
        <v>445000</v>
      </c>
      <c r="F159" s="35">
        <v>213940</v>
      </c>
      <c r="G159" s="35">
        <v>85060</v>
      </c>
      <c r="H159" s="35">
        <v>372000</v>
      </c>
      <c r="I159" s="35">
        <f t="shared" si="19"/>
        <v>1116000</v>
      </c>
      <c r="J159" s="56">
        <v>1116000</v>
      </c>
      <c r="K159" s="49">
        <v>1362.6288000000002</v>
      </c>
      <c r="L159" s="49">
        <v>1417.1339520000001</v>
      </c>
      <c r="M159" s="49">
        <v>1187.1584296000001</v>
      </c>
      <c r="N159" s="49">
        <v>1234.6447667840002</v>
      </c>
      <c r="O159" s="56"/>
      <c r="P159" s="1">
        <f t="shared" si="14"/>
        <v>78084314.828000039</v>
      </c>
      <c r="Q159" s="1">
        <f t="shared" si="15"/>
        <v>37540131.043376021</v>
      </c>
      <c r="R159" s="1">
        <f t="shared" si="16"/>
        <v>15522530.09447295</v>
      </c>
      <c r="S159" s="1">
        <f t="shared" si="17"/>
        <v>67885976.900351956</v>
      </c>
      <c r="T159" s="1">
        <f t="shared" si="18"/>
        <v>199032952.86620098</v>
      </c>
      <c r="U159" s="11"/>
      <c r="V159" s="11"/>
      <c r="W159" s="11"/>
      <c r="X159" s="12"/>
      <c r="Y159" s="12"/>
      <c r="Z159" s="12"/>
      <c r="AA159" s="12"/>
      <c r="AB159" s="12"/>
      <c r="AC159" s="12"/>
      <c r="AD159" s="12"/>
      <c r="AE159" s="12"/>
      <c r="AF159" s="12"/>
      <c r="AG159" s="12"/>
      <c r="AH159" s="12"/>
      <c r="AI159" s="12"/>
      <c r="AJ159" s="12"/>
      <c r="AK159" s="12"/>
      <c r="AL159" s="12"/>
      <c r="AM159" s="12"/>
      <c r="AN159" s="12"/>
      <c r="AO159" s="12"/>
      <c r="AP159" s="12"/>
      <c r="AQ159" s="12"/>
      <c r="AR159" s="12"/>
      <c r="AS159" s="12"/>
      <c r="AT159" s="12"/>
      <c r="AU159" s="12"/>
      <c r="AV159" s="12"/>
      <c r="AW159" s="12"/>
      <c r="AX159" s="12"/>
      <c r="AY159" s="12"/>
      <c r="AZ159" s="12"/>
      <c r="BA159" s="12"/>
      <c r="BB159" s="12"/>
      <c r="BC159" s="12"/>
      <c r="BD159" s="12"/>
      <c r="BE159" s="12"/>
      <c r="BF159" s="12"/>
      <c r="BG159" s="12"/>
      <c r="BH159" s="12"/>
      <c r="BI159" s="12"/>
      <c r="BJ159" s="12"/>
      <c r="BK159" s="12"/>
      <c r="BL159" s="12"/>
      <c r="BM159" s="12"/>
      <c r="BN159" s="12"/>
      <c r="BO159" s="12"/>
      <c r="BP159" s="12"/>
      <c r="BQ159" s="12"/>
      <c r="BR159" s="12"/>
      <c r="BS159" s="12"/>
      <c r="BT159" s="12"/>
      <c r="BU159" s="12"/>
      <c r="BV159" s="12"/>
      <c r="BW159" s="12"/>
      <c r="BX159" s="12"/>
      <c r="BY159" s="12"/>
      <c r="BZ159" s="12"/>
      <c r="CA159" s="12"/>
      <c r="CB159" s="12"/>
      <c r="CC159" s="12"/>
      <c r="CD159" s="12"/>
      <c r="CE159" s="12"/>
      <c r="CF159" s="12"/>
      <c r="CG159" s="12"/>
      <c r="CH159" s="12"/>
      <c r="CI159" s="12"/>
      <c r="CJ159" s="12"/>
      <c r="CK159" s="12"/>
      <c r="CL159" s="12"/>
      <c r="CM159" s="12"/>
      <c r="CN159" s="12"/>
      <c r="CO159" s="12"/>
      <c r="CP159" s="12"/>
      <c r="CQ159" s="12"/>
      <c r="CR159" s="12"/>
      <c r="CS159" s="12"/>
      <c r="CT159" s="12"/>
      <c r="CU159" s="12"/>
      <c r="CV159" s="12"/>
      <c r="CW159" s="12"/>
      <c r="CX159" s="12"/>
      <c r="CY159" s="12"/>
      <c r="CZ159" s="12"/>
      <c r="DA159" s="12"/>
      <c r="DB159" s="12"/>
      <c r="DC159" s="12"/>
      <c r="DD159" s="12"/>
      <c r="DE159" s="12"/>
      <c r="DF159" s="12"/>
      <c r="DG159" s="12"/>
      <c r="DH159" s="12"/>
      <c r="DI159" s="12"/>
      <c r="DJ159" s="12"/>
      <c r="DK159" s="12"/>
      <c r="DL159" s="12"/>
      <c r="DM159" s="12"/>
      <c r="DN159" s="12"/>
      <c r="DO159" s="12"/>
      <c r="DP159" s="12"/>
      <c r="DQ159" s="12"/>
      <c r="DR159" s="12"/>
      <c r="DS159" s="12"/>
      <c r="DT159" s="12"/>
      <c r="DU159" s="12"/>
      <c r="DV159" s="12"/>
      <c r="DW159" s="12"/>
      <c r="DX159" s="12"/>
      <c r="DY159" s="12"/>
      <c r="DZ159" s="12"/>
      <c r="EA159" s="12"/>
      <c r="EB159" s="12"/>
      <c r="EC159" s="12"/>
      <c r="ED159" s="12"/>
      <c r="EE159" s="12"/>
      <c r="EF159" s="12"/>
      <c r="EG159" s="12"/>
      <c r="EH159" s="12"/>
      <c r="EI159" s="12"/>
      <c r="EJ159" s="12"/>
      <c r="EK159" s="12"/>
      <c r="EL159" s="12"/>
      <c r="EM159" s="12"/>
      <c r="EN159" s="12"/>
      <c r="EO159" s="12"/>
      <c r="EP159" s="12"/>
      <c r="EQ159" s="12"/>
      <c r="ER159" s="12"/>
      <c r="ES159" s="12"/>
      <c r="ET159" s="12"/>
      <c r="EU159" s="12"/>
      <c r="EV159" s="12"/>
      <c r="EW159" s="12"/>
      <c r="EX159" s="12"/>
      <c r="EY159" s="12"/>
      <c r="EZ159" s="12"/>
      <c r="FA159" s="12"/>
      <c r="FB159" s="12"/>
      <c r="FC159" s="12"/>
      <c r="FD159" s="12"/>
      <c r="FE159" s="12"/>
      <c r="FF159" s="12"/>
      <c r="FG159" s="12"/>
      <c r="FH159" s="12"/>
      <c r="FI159" s="12"/>
      <c r="FJ159" s="12"/>
      <c r="FK159" s="12"/>
      <c r="FL159" s="12"/>
      <c r="FM159" s="12"/>
      <c r="FN159" s="12"/>
      <c r="FO159" s="12"/>
      <c r="FP159" s="12"/>
      <c r="FQ159" s="12"/>
      <c r="FR159" s="12"/>
      <c r="FS159" s="12"/>
      <c r="FT159" s="12"/>
      <c r="FU159" s="12"/>
      <c r="FV159" s="12"/>
      <c r="FW159" s="12"/>
      <c r="FX159" s="12"/>
      <c r="FY159" s="12"/>
      <c r="FZ159" s="12"/>
      <c r="GA159" s="12"/>
      <c r="GB159" s="12"/>
      <c r="GC159" s="12"/>
      <c r="GD159" s="12"/>
      <c r="GE159" s="12"/>
    </row>
    <row r="160" spans="1:187" ht="21" customHeight="1">
      <c r="A160" s="45"/>
      <c r="B160" s="101" t="s">
        <v>182</v>
      </c>
      <c r="C160" s="101"/>
      <c r="D160" s="101"/>
      <c r="E160" s="34"/>
      <c r="F160" s="34"/>
      <c r="G160" s="34"/>
      <c r="H160" s="34"/>
      <c r="I160" s="35">
        <f t="shared" si="19"/>
        <v>0</v>
      </c>
      <c r="J160" s="56"/>
      <c r="K160" s="49"/>
      <c r="L160" s="49"/>
      <c r="M160" s="49"/>
      <c r="N160" s="49"/>
      <c r="O160" s="56">
        <f t="shared" si="20"/>
        <v>0</v>
      </c>
      <c r="P160" s="1">
        <f t="shared" si="14"/>
        <v>0</v>
      </c>
      <c r="Q160" s="1">
        <f t="shared" si="15"/>
        <v>0</v>
      </c>
      <c r="R160" s="1">
        <f t="shared" si="16"/>
        <v>0</v>
      </c>
      <c r="S160" s="1">
        <f t="shared" si="17"/>
        <v>0</v>
      </c>
      <c r="T160" s="1">
        <f t="shared" si="18"/>
        <v>0</v>
      </c>
      <c r="U160" s="45"/>
      <c r="V160" s="45"/>
      <c r="W160" s="45"/>
    </row>
    <row r="161" spans="1:187" ht="22.5" customHeight="1">
      <c r="A161" s="45"/>
      <c r="B161" s="9" t="s">
        <v>406</v>
      </c>
      <c r="C161" s="10" t="s">
        <v>405</v>
      </c>
      <c r="D161" s="10" t="s">
        <v>183</v>
      </c>
      <c r="E161" s="42">
        <v>17384.465</v>
      </c>
      <c r="F161" s="35">
        <f>25600.941-E161</f>
        <v>8216.4759999999987</v>
      </c>
      <c r="G161" s="35">
        <v>2570.6990000000001</v>
      </c>
      <c r="H161" s="35">
        <f>17197.021-G161</f>
        <v>14626.322</v>
      </c>
      <c r="I161" s="35">
        <f t="shared" si="19"/>
        <v>42797.962</v>
      </c>
      <c r="J161" s="56">
        <f>'2021'!J162</f>
        <v>43848</v>
      </c>
      <c r="K161" s="49">
        <v>4230.3431040000005</v>
      </c>
      <c r="L161" s="49">
        <v>4399.5568281600008</v>
      </c>
      <c r="M161" s="49">
        <v>1602.1143944</v>
      </c>
      <c r="N161" s="49">
        <v>1666.1989701760001</v>
      </c>
      <c r="O161" s="56">
        <f t="shared" si="20"/>
        <v>2628.2287096000005</v>
      </c>
      <c r="P161" s="1">
        <f t="shared" si="14"/>
        <v>45690350.014036372</v>
      </c>
      <c r="Q161" s="1">
        <f t="shared" si="15"/>
        <v>21594778.114939369</v>
      </c>
      <c r="R161" s="1">
        <f t="shared" si="16"/>
        <v>7026640.3121616123</v>
      </c>
      <c r="S161" s="1">
        <f t="shared" si="17"/>
        <v>39978972.172104262</v>
      </c>
      <c r="T161" s="1">
        <f t="shared" si="18"/>
        <v>114290740.61324161</v>
      </c>
      <c r="U161" s="11"/>
      <c r="V161" s="11"/>
      <c r="W161" s="11"/>
      <c r="X161" s="12"/>
      <c r="Y161" s="12"/>
      <c r="Z161" s="12"/>
      <c r="AA161" s="12"/>
      <c r="AB161" s="12"/>
      <c r="AC161" s="12"/>
      <c r="AD161" s="12"/>
      <c r="AE161" s="12"/>
      <c r="AF161" s="12"/>
      <c r="AG161" s="12"/>
      <c r="AH161" s="12"/>
      <c r="AI161" s="12"/>
      <c r="AJ161" s="12"/>
      <c r="AK161" s="12"/>
      <c r="AL161" s="12"/>
      <c r="AM161" s="12"/>
      <c r="AN161" s="12"/>
      <c r="AO161" s="12"/>
      <c r="AP161" s="12"/>
      <c r="AQ161" s="12"/>
      <c r="AR161" s="12"/>
      <c r="AS161" s="12"/>
      <c r="AT161" s="12"/>
      <c r="AU161" s="12"/>
      <c r="AV161" s="12"/>
      <c r="AW161" s="12"/>
      <c r="AX161" s="12"/>
      <c r="AY161" s="12"/>
      <c r="AZ161" s="12"/>
      <c r="BA161" s="12"/>
      <c r="BB161" s="12"/>
      <c r="BC161" s="12"/>
      <c r="BD161" s="12"/>
      <c r="BE161" s="12"/>
      <c r="BF161" s="12"/>
      <c r="BG161" s="12"/>
      <c r="BH161" s="12"/>
      <c r="BI161" s="12"/>
      <c r="BJ161" s="12"/>
      <c r="BK161" s="12"/>
      <c r="BL161" s="12"/>
      <c r="BM161" s="12"/>
      <c r="BN161" s="12"/>
      <c r="BO161" s="12"/>
      <c r="BP161" s="12"/>
      <c r="BQ161" s="12"/>
      <c r="BR161" s="12"/>
      <c r="BS161" s="12"/>
      <c r="BT161" s="12"/>
      <c r="BU161" s="12"/>
      <c r="BV161" s="12"/>
      <c r="BW161" s="12"/>
      <c r="BX161" s="12"/>
      <c r="BY161" s="12"/>
      <c r="BZ161" s="12"/>
      <c r="CA161" s="12"/>
      <c r="CB161" s="12"/>
      <c r="CC161" s="12"/>
      <c r="CD161" s="12"/>
      <c r="CE161" s="12"/>
      <c r="CF161" s="12"/>
      <c r="CG161" s="12"/>
      <c r="CH161" s="12"/>
      <c r="CI161" s="12"/>
      <c r="CJ161" s="12"/>
      <c r="CK161" s="12"/>
      <c r="CL161" s="12"/>
      <c r="CM161" s="12"/>
      <c r="CN161" s="12"/>
      <c r="CO161" s="12"/>
      <c r="CP161" s="12"/>
      <c r="CQ161" s="12"/>
      <c r="CR161" s="12"/>
      <c r="CS161" s="12"/>
      <c r="CT161" s="12"/>
      <c r="CU161" s="12"/>
      <c r="CV161" s="12"/>
      <c r="CW161" s="12"/>
      <c r="CX161" s="12"/>
      <c r="CY161" s="12"/>
      <c r="CZ161" s="12"/>
      <c r="DA161" s="12"/>
      <c r="DB161" s="12"/>
      <c r="DC161" s="12"/>
      <c r="DD161" s="12"/>
      <c r="DE161" s="12"/>
      <c r="DF161" s="12"/>
      <c r="DG161" s="12"/>
      <c r="DH161" s="12"/>
      <c r="DI161" s="12"/>
      <c r="DJ161" s="12"/>
      <c r="DK161" s="12"/>
      <c r="DL161" s="12"/>
      <c r="DM161" s="12"/>
      <c r="DN161" s="12"/>
      <c r="DO161" s="12"/>
      <c r="DP161" s="12"/>
      <c r="DQ161" s="12"/>
      <c r="DR161" s="12"/>
      <c r="DS161" s="12"/>
      <c r="DT161" s="12"/>
      <c r="DU161" s="12"/>
      <c r="DV161" s="12"/>
      <c r="DW161" s="12"/>
      <c r="DX161" s="12"/>
      <c r="DY161" s="12"/>
      <c r="DZ161" s="12"/>
      <c r="EA161" s="12"/>
      <c r="EB161" s="12"/>
      <c r="EC161" s="12"/>
      <c r="ED161" s="12"/>
      <c r="EE161" s="12"/>
      <c r="EF161" s="12"/>
      <c r="EG161" s="12"/>
      <c r="EH161" s="12"/>
      <c r="EI161" s="12"/>
      <c r="EJ161" s="12"/>
      <c r="EK161" s="12"/>
      <c r="EL161" s="12"/>
      <c r="EM161" s="12"/>
      <c r="EN161" s="12"/>
      <c r="EO161" s="12"/>
      <c r="EP161" s="12"/>
      <c r="EQ161" s="12"/>
      <c r="ER161" s="12"/>
      <c r="ES161" s="12"/>
      <c r="ET161" s="12"/>
      <c r="EU161" s="12"/>
      <c r="EV161" s="12"/>
      <c r="EW161" s="12"/>
      <c r="EX161" s="12"/>
      <c r="EY161" s="12"/>
      <c r="EZ161" s="12"/>
      <c r="FA161" s="12"/>
      <c r="FB161" s="12"/>
      <c r="FC161" s="12"/>
      <c r="FD161" s="12"/>
      <c r="FE161" s="12"/>
      <c r="FF161" s="12"/>
      <c r="FG161" s="12"/>
      <c r="FH161" s="12"/>
      <c r="FI161" s="12"/>
      <c r="FJ161" s="12"/>
      <c r="FK161" s="12"/>
      <c r="FL161" s="12"/>
      <c r="FM161" s="12"/>
      <c r="FN161" s="12"/>
      <c r="FO161" s="12"/>
      <c r="FP161" s="12"/>
      <c r="FQ161" s="12"/>
      <c r="FR161" s="12"/>
      <c r="FS161" s="12"/>
      <c r="FT161" s="12"/>
      <c r="FU161" s="12"/>
      <c r="FV161" s="12"/>
      <c r="FW161" s="12"/>
      <c r="FX161" s="12"/>
      <c r="FY161" s="12"/>
      <c r="FZ161" s="12"/>
      <c r="GA161" s="12"/>
      <c r="GB161" s="12"/>
      <c r="GC161" s="12"/>
      <c r="GD161" s="12"/>
      <c r="GE161" s="12"/>
    </row>
    <row r="162" spans="1:187" ht="22.5" customHeight="1">
      <c r="A162" s="45"/>
      <c r="B162" s="9" t="s">
        <v>406</v>
      </c>
      <c r="C162" s="10" t="s">
        <v>405</v>
      </c>
      <c r="D162" s="10" t="s">
        <v>192</v>
      </c>
      <c r="E162" s="35">
        <v>6.282</v>
      </c>
      <c r="F162" s="35">
        <f>10.47-E162</f>
        <v>4.1880000000000006</v>
      </c>
      <c r="G162" s="35">
        <v>0.97699999999999998</v>
      </c>
      <c r="H162" s="35">
        <f>(5.435+1.824)-G162</f>
        <v>6.2819999999999991</v>
      </c>
      <c r="I162" s="35">
        <f t="shared" si="19"/>
        <v>17.728999999999999</v>
      </c>
      <c r="J162" s="56">
        <f>'2021'!J163</f>
        <v>16.75</v>
      </c>
      <c r="K162" s="49">
        <v>3981.2506239999998</v>
      </c>
      <c r="L162" s="49">
        <v>4140.50064896</v>
      </c>
      <c r="M162" s="49">
        <v>1231.08492</v>
      </c>
      <c r="N162" s="49">
        <v>1280.3283168</v>
      </c>
      <c r="O162" s="56">
        <f t="shared" si="20"/>
        <v>2750.165704</v>
      </c>
      <c r="P162" s="1">
        <f t="shared" si="14"/>
        <v>17276.540952528001</v>
      </c>
      <c r="Q162" s="1">
        <f t="shared" si="15"/>
        <v>11517.693968352001</v>
      </c>
      <c r="R162" s="1">
        <f t="shared" si="16"/>
        <v>2794.38836852032</v>
      </c>
      <c r="S162" s="1">
        <f t="shared" si="17"/>
        <v>17967.602590629118</v>
      </c>
      <c r="T162" s="1">
        <f t="shared" si="18"/>
        <v>49556.225880029437</v>
      </c>
      <c r="U162" s="11"/>
      <c r="V162" s="11"/>
      <c r="W162" s="11"/>
      <c r="X162" s="12"/>
      <c r="Y162" s="12"/>
      <c r="Z162" s="12"/>
      <c r="AA162" s="12"/>
      <c r="AB162" s="12"/>
      <c r="AC162" s="12"/>
      <c r="AD162" s="12"/>
      <c r="AE162" s="12"/>
      <c r="AF162" s="12"/>
      <c r="AG162" s="12"/>
      <c r="AH162" s="12"/>
      <c r="AI162" s="12"/>
      <c r="AJ162" s="12"/>
      <c r="AK162" s="12"/>
      <c r="AL162" s="12"/>
      <c r="AM162" s="12"/>
      <c r="AN162" s="12"/>
      <c r="AO162" s="12"/>
      <c r="AP162" s="12"/>
      <c r="AQ162" s="12"/>
      <c r="AR162" s="12"/>
      <c r="AS162" s="12"/>
      <c r="AT162" s="12"/>
      <c r="AU162" s="12"/>
      <c r="AV162" s="12"/>
      <c r="AW162" s="12"/>
      <c r="AX162" s="12"/>
      <c r="AY162" s="12"/>
      <c r="AZ162" s="12"/>
      <c r="BA162" s="12"/>
      <c r="BB162" s="12"/>
      <c r="BC162" s="12"/>
      <c r="BD162" s="12"/>
      <c r="BE162" s="12"/>
      <c r="BF162" s="12"/>
      <c r="BG162" s="12"/>
      <c r="BH162" s="12"/>
      <c r="BI162" s="12"/>
      <c r="BJ162" s="12"/>
      <c r="BK162" s="12"/>
      <c r="BL162" s="12"/>
      <c r="BM162" s="12"/>
      <c r="BN162" s="12"/>
      <c r="BO162" s="12"/>
      <c r="BP162" s="12"/>
      <c r="BQ162" s="12"/>
      <c r="BR162" s="12"/>
      <c r="BS162" s="12"/>
      <c r="BT162" s="12"/>
      <c r="BU162" s="12"/>
      <c r="BV162" s="12"/>
      <c r="BW162" s="12"/>
      <c r="BX162" s="12"/>
      <c r="BY162" s="12"/>
      <c r="BZ162" s="12"/>
      <c r="CA162" s="12"/>
      <c r="CB162" s="12"/>
      <c r="CC162" s="12"/>
      <c r="CD162" s="12"/>
      <c r="CE162" s="12"/>
      <c r="CF162" s="12"/>
      <c r="CG162" s="12"/>
      <c r="CH162" s="12"/>
      <c r="CI162" s="12"/>
      <c r="CJ162" s="12"/>
      <c r="CK162" s="12"/>
      <c r="CL162" s="12"/>
      <c r="CM162" s="12"/>
      <c r="CN162" s="12"/>
      <c r="CO162" s="12"/>
      <c r="CP162" s="12"/>
      <c r="CQ162" s="12"/>
      <c r="CR162" s="12"/>
      <c r="CS162" s="12"/>
      <c r="CT162" s="12"/>
      <c r="CU162" s="12"/>
      <c r="CV162" s="12"/>
      <c r="CW162" s="12"/>
      <c r="CX162" s="12"/>
      <c r="CY162" s="12"/>
      <c r="CZ162" s="12"/>
      <c r="DA162" s="12"/>
      <c r="DB162" s="12"/>
      <c r="DC162" s="12"/>
      <c r="DD162" s="12"/>
      <c r="DE162" s="12"/>
      <c r="DF162" s="12"/>
      <c r="DG162" s="12"/>
      <c r="DH162" s="12"/>
      <c r="DI162" s="12"/>
      <c r="DJ162" s="12"/>
      <c r="DK162" s="12"/>
      <c r="DL162" s="12"/>
      <c r="DM162" s="12"/>
      <c r="DN162" s="12"/>
      <c r="DO162" s="12"/>
      <c r="DP162" s="12"/>
      <c r="DQ162" s="12"/>
      <c r="DR162" s="12"/>
      <c r="DS162" s="12"/>
      <c r="DT162" s="12"/>
      <c r="DU162" s="12"/>
      <c r="DV162" s="12"/>
      <c r="DW162" s="12"/>
      <c r="DX162" s="12"/>
      <c r="DY162" s="12"/>
      <c r="DZ162" s="12"/>
      <c r="EA162" s="12"/>
      <c r="EB162" s="12"/>
      <c r="EC162" s="12"/>
      <c r="ED162" s="12"/>
      <c r="EE162" s="12"/>
      <c r="EF162" s="12"/>
      <c r="EG162" s="12"/>
      <c r="EH162" s="12"/>
      <c r="EI162" s="12"/>
      <c r="EJ162" s="12"/>
      <c r="EK162" s="12"/>
      <c r="EL162" s="12"/>
      <c r="EM162" s="12"/>
      <c r="EN162" s="12"/>
      <c r="EO162" s="12"/>
      <c r="EP162" s="12"/>
      <c r="EQ162" s="12"/>
      <c r="ER162" s="12"/>
      <c r="ES162" s="12"/>
      <c r="ET162" s="12"/>
      <c r="EU162" s="12"/>
      <c r="EV162" s="12"/>
      <c r="EW162" s="12"/>
      <c r="EX162" s="12"/>
      <c r="EY162" s="12"/>
      <c r="EZ162" s="12"/>
      <c r="FA162" s="12"/>
      <c r="FB162" s="12"/>
      <c r="FC162" s="12"/>
      <c r="FD162" s="12"/>
      <c r="FE162" s="12"/>
      <c r="FF162" s="12"/>
      <c r="FG162" s="12"/>
      <c r="FH162" s="12"/>
      <c r="FI162" s="12"/>
      <c r="FJ162" s="12"/>
      <c r="FK162" s="12"/>
      <c r="FL162" s="12"/>
      <c r="FM162" s="12"/>
      <c r="FN162" s="12"/>
      <c r="FO162" s="12"/>
      <c r="FP162" s="12"/>
      <c r="FQ162" s="12"/>
      <c r="FR162" s="12"/>
      <c r="FS162" s="12"/>
      <c r="FT162" s="12"/>
      <c r="FU162" s="12"/>
      <c r="FV162" s="12"/>
      <c r="FW162" s="12"/>
      <c r="FX162" s="12"/>
      <c r="FY162" s="12"/>
      <c r="FZ162" s="12"/>
      <c r="GA162" s="12"/>
      <c r="GB162" s="12"/>
      <c r="GC162" s="12"/>
      <c r="GD162" s="12"/>
      <c r="GE162" s="12"/>
    </row>
    <row r="163" spans="1:187" ht="22.5" customHeight="1">
      <c r="A163" s="45"/>
      <c r="B163" s="9" t="s">
        <v>273</v>
      </c>
      <c r="C163" s="10" t="s">
        <v>197</v>
      </c>
      <c r="D163" s="10" t="s">
        <v>198</v>
      </c>
      <c r="E163" s="35">
        <v>2361.692</v>
      </c>
      <c r="F163" s="35">
        <f>3552.06116-E163</f>
        <v>1190.3691600000002</v>
      </c>
      <c r="G163" s="35">
        <v>369.16800000000001</v>
      </c>
      <c r="H163" s="35">
        <f>2742.237-G163</f>
        <v>2373.069</v>
      </c>
      <c r="I163" s="35">
        <f t="shared" si="19"/>
        <v>6294.2981600000003</v>
      </c>
      <c r="J163" s="56">
        <f>'2021'!J164</f>
        <v>6347.62</v>
      </c>
      <c r="K163" s="49">
        <v>3477.1671999999999</v>
      </c>
      <c r="L163" s="49">
        <v>3616.2538880000002</v>
      </c>
      <c r="M163" s="49">
        <v>1562.8792920000001</v>
      </c>
      <c r="N163" s="49">
        <v>1625.3944636800002</v>
      </c>
      <c r="O163" s="56">
        <f t="shared" si="20"/>
        <v>1914.2879079999998</v>
      </c>
      <c r="P163" s="1">
        <f t="shared" si="14"/>
        <v>4520958.4380203355</v>
      </c>
      <c r="Q163" s="1">
        <f t="shared" si="15"/>
        <v>2278709.2890441176</v>
      </c>
      <c r="R163" s="1">
        <f t="shared" si="16"/>
        <v>734961.59195736574</v>
      </c>
      <c r="S163" s="1">
        <f t="shared" si="17"/>
        <v>4724446.7832116382</v>
      </c>
      <c r="T163" s="1">
        <f t="shared" si="18"/>
        <v>12259076.102233458</v>
      </c>
      <c r="U163" s="11"/>
      <c r="V163" s="11"/>
      <c r="W163" s="11"/>
      <c r="X163" s="12"/>
      <c r="Y163" s="12"/>
      <c r="Z163" s="12"/>
      <c r="AA163" s="12"/>
      <c r="AB163" s="12"/>
      <c r="AC163" s="12"/>
      <c r="AD163" s="12"/>
      <c r="AE163" s="12"/>
      <c r="AF163" s="12"/>
      <c r="AG163" s="12"/>
      <c r="AH163" s="12"/>
      <c r="AI163" s="12"/>
      <c r="AJ163" s="12"/>
      <c r="AK163" s="12"/>
      <c r="AL163" s="12"/>
      <c r="AM163" s="12"/>
      <c r="AN163" s="12"/>
      <c r="AO163" s="12"/>
      <c r="AP163" s="12"/>
      <c r="AQ163" s="12"/>
      <c r="AR163" s="12"/>
      <c r="AS163" s="12"/>
      <c r="AT163" s="12"/>
      <c r="AU163" s="12"/>
      <c r="AV163" s="12"/>
      <c r="AW163" s="12"/>
      <c r="AX163" s="12"/>
      <c r="AY163" s="12"/>
      <c r="AZ163" s="12"/>
      <c r="BA163" s="12"/>
      <c r="BB163" s="12"/>
      <c r="BC163" s="12"/>
      <c r="BD163" s="12"/>
      <c r="BE163" s="12"/>
      <c r="BF163" s="12"/>
      <c r="BG163" s="12"/>
      <c r="BH163" s="12"/>
      <c r="BI163" s="12"/>
      <c r="BJ163" s="12"/>
      <c r="BK163" s="12"/>
      <c r="BL163" s="12"/>
      <c r="BM163" s="12"/>
      <c r="BN163" s="12"/>
      <c r="BO163" s="12"/>
      <c r="BP163" s="12"/>
      <c r="BQ163" s="12"/>
      <c r="BR163" s="12"/>
      <c r="BS163" s="12"/>
      <c r="BT163" s="12"/>
      <c r="BU163" s="12"/>
      <c r="BV163" s="12"/>
      <c r="BW163" s="12"/>
      <c r="BX163" s="12"/>
      <c r="BY163" s="12"/>
      <c r="BZ163" s="12"/>
      <c r="CA163" s="12"/>
      <c r="CB163" s="12"/>
      <c r="CC163" s="12"/>
      <c r="CD163" s="12"/>
      <c r="CE163" s="12"/>
      <c r="CF163" s="12"/>
      <c r="CG163" s="12"/>
      <c r="CH163" s="12"/>
      <c r="CI163" s="12"/>
      <c r="CJ163" s="12"/>
      <c r="CK163" s="12"/>
      <c r="CL163" s="12"/>
      <c r="CM163" s="12"/>
      <c r="CN163" s="12"/>
      <c r="CO163" s="12"/>
      <c r="CP163" s="12"/>
      <c r="CQ163" s="12"/>
      <c r="CR163" s="12"/>
      <c r="CS163" s="12"/>
      <c r="CT163" s="12"/>
      <c r="CU163" s="12"/>
      <c r="CV163" s="12"/>
      <c r="CW163" s="12"/>
      <c r="CX163" s="12"/>
      <c r="CY163" s="12"/>
      <c r="CZ163" s="12"/>
      <c r="DA163" s="12"/>
      <c r="DB163" s="12"/>
      <c r="DC163" s="12"/>
      <c r="DD163" s="12"/>
      <c r="DE163" s="12"/>
      <c r="DF163" s="12"/>
      <c r="DG163" s="12"/>
      <c r="DH163" s="12"/>
      <c r="DI163" s="12"/>
      <c r="DJ163" s="12"/>
      <c r="DK163" s="12"/>
      <c r="DL163" s="12"/>
      <c r="DM163" s="12"/>
      <c r="DN163" s="12"/>
      <c r="DO163" s="12"/>
      <c r="DP163" s="12"/>
      <c r="DQ163" s="12"/>
      <c r="DR163" s="12"/>
      <c r="DS163" s="12"/>
      <c r="DT163" s="12"/>
      <c r="DU163" s="12"/>
      <c r="DV163" s="12"/>
      <c r="DW163" s="12"/>
      <c r="DX163" s="12"/>
      <c r="DY163" s="12"/>
      <c r="DZ163" s="12"/>
      <c r="EA163" s="12"/>
      <c r="EB163" s="12"/>
      <c r="EC163" s="12"/>
      <c r="ED163" s="12"/>
      <c r="EE163" s="12"/>
      <c r="EF163" s="12"/>
      <c r="EG163" s="12"/>
      <c r="EH163" s="12"/>
      <c r="EI163" s="12"/>
      <c r="EJ163" s="12"/>
      <c r="EK163" s="12"/>
      <c r="EL163" s="12"/>
      <c r="EM163" s="12"/>
      <c r="EN163" s="12"/>
      <c r="EO163" s="12"/>
      <c r="EP163" s="12"/>
      <c r="EQ163" s="12"/>
      <c r="ER163" s="12"/>
      <c r="ES163" s="12"/>
      <c r="ET163" s="12"/>
      <c r="EU163" s="12"/>
      <c r="EV163" s="12"/>
      <c r="EW163" s="12"/>
      <c r="EX163" s="12"/>
      <c r="EY163" s="12"/>
      <c r="EZ163" s="12"/>
      <c r="FA163" s="12"/>
      <c r="FB163" s="12"/>
      <c r="FC163" s="12"/>
      <c r="FD163" s="12"/>
      <c r="FE163" s="12"/>
      <c r="FF163" s="12"/>
      <c r="FG163" s="12"/>
      <c r="FH163" s="12"/>
      <c r="FI163" s="12"/>
      <c r="FJ163" s="12"/>
      <c r="FK163" s="12"/>
      <c r="FL163" s="12"/>
      <c r="FM163" s="12"/>
      <c r="FN163" s="12"/>
      <c r="FO163" s="12"/>
      <c r="FP163" s="12"/>
      <c r="FQ163" s="12"/>
      <c r="FR163" s="12"/>
      <c r="FS163" s="12"/>
      <c r="FT163" s="12"/>
      <c r="FU163" s="12"/>
      <c r="FV163" s="12"/>
      <c r="FW163" s="12"/>
      <c r="FX163" s="12"/>
      <c r="FY163" s="12"/>
      <c r="FZ163" s="12"/>
      <c r="GA163" s="12"/>
      <c r="GB163" s="12"/>
      <c r="GC163" s="12"/>
      <c r="GD163" s="12"/>
      <c r="GE163" s="12"/>
    </row>
    <row r="164" spans="1:187" ht="22.5" customHeight="1">
      <c r="A164" s="45"/>
      <c r="B164" s="9" t="s">
        <v>382</v>
      </c>
      <c r="C164" s="10" t="s">
        <v>383</v>
      </c>
      <c r="D164" s="10" t="s">
        <v>193</v>
      </c>
      <c r="E164" s="35">
        <v>7.6079999999999997</v>
      </c>
      <c r="F164" s="35">
        <f>11.126-E164</f>
        <v>3.5179999999999998</v>
      </c>
      <c r="G164" s="35">
        <v>1.6</v>
      </c>
      <c r="H164" s="35">
        <v>9.6</v>
      </c>
      <c r="I164" s="35">
        <f t="shared" si="19"/>
        <v>22.326000000000001</v>
      </c>
      <c r="J164" s="56">
        <f>'2021'!J165</f>
        <v>27.94</v>
      </c>
      <c r="K164" s="49">
        <v>6560.909888000001</v>
      </c>
      <c r="L164" s="49">
        <v>6823.3462835200016</v>
      </c>
      <c r="M164" s="49">
        <v>1452.6586359999999</v>
      </c>
      <c r="N164" s="49">
        <v>1510.7649814399999</v>
      </c>
      <c r="O164" s="56">
        <f t="shared" si="20"/>
        <v>5108.2512520000009</v>
      </c>
      <c r="P164" s="1">
        <f t="shared" si="14"/>
        <v>38863.575525216009</v>
      </c>
      <c r="Q164" s="1">
        <f t="shared" si="15"/>
        <v>17970.827904536003</v>
      </c>
      <c r="R164" s="1">
        <f t="shared" si="16"/>
        <v>8500.130083328002</v>
      </c>
      <c r="S164" s="1">
        <f t="shared" si="17"/>
        <v>51000.780499968016</v>
      </c>
      <c r="T164" s="1">
        <f t="shared" si="18"/>
        <v>116335.31401304803</v>
      </c>
      <c r="U164" s="11"/>
      <c r="V164" s="11"/>
      <c r="W164" s="11"/>
      <c r="X164" s="12"/>
      <c r="Y164" s="12"/>
      <c r="Z164" s="12"/>
      <c r="AA164" s="12"/>
      <c r="AB164" s="12"/>
      <c r="AC164" s="12"/>
      <c r="AD164" s="12"/>
      <c r="AE164" s="12"/>
      <c r="AF164" s="12"/>
      <c r="AG164" s="12"/>
      <c r="AH164" s="12"/>
      <c r="AI164" s="12"/>
      <c r="AJ164" s="12"/>
      <c r="AK164" s="12"/>
      <c r="AL164" s="12"/>
      <c r="AM164" s="12"/>
      <c r="AN164" s="12"/>
      <c r="AO164" s="12"/>
      <c r="AP164" s="12"/>
      <c r="AQ164" s="12"/>
      <c r="AR164" s="12"/>
      <c r="AS164" s="12"/>
      <c r="AT164" s="12"/>
      <c r="AU164" s="12"/>
      <c r="AV164" s="12"/>
      <c r="AW164" s="12"/>
      <c r="AX164" s="12"/>
      <c r="AY164" s="12"/>
      <c r="AZ164" s="12"/>
      <c r="BA164" s="12"/>
      <c r="BB164" s="12"/>
      <c r="BC164" s="12"/>
      <c r="BD164" s="12"/>
      <c r="BE164" s="12"/>
      <c r="BF164" s="12"/>
      <c r="BG164" s="12"/>
      <c r="BH164" s="12"/>
      <c r="BI164" s="12"/>
      <c r="BJ164" s="12"/>
      <c r="BK164" s="12"/>
      <c r="BL164" s="12"/>
      <c r="BM164" s="12"/>
      <c r="BN164" s="12"/>
      <c r="BO164" s="12"/>
      <c r="BP164" s="12"/>
      <c r="BQ164" s="12"/>
      <c r="BR164" s="12"/>
      <c r="BS164" s="12"/>
      <c r="BT164" s="12"/>
      <c r="BU164" s="12"/>
      <c r="BV164" s="12"/>
      <c r="BW164" s="12"/>
      <c r="BX164" s="12"/>
      <c r="BY164" s="12"/>
      <c r="BZ164" s="12"/>
      <c r="CA164" s="12"/>
      <c r="CB164" s="12"/>
      <c r="CC164" s="12"/>
      <c r="CD164" s="12"/>
      <c r="CE164" s="12"/>
      <c r="CF164" s="12"/>
      <c r="CG164" s="12"/>
      <c r="CH164" s="12"/>
      <c r="CI164" s="12"/>
      <c r="CJ164" s="12"/>
      <c r="CK164" s="12"/>
      <c r="CL164" s="12"/>
      <c r="CM164" s="12"/>
      <c r="CN164" s="12"/>
      <c r="CO164" s="12"/>
      <c r="CP164" s="12"/>
      <c r="CQ164" s="12"/>
      <c r="CR164" s="12"/>
      <c r="CS164" s="12"/>
      <c r="CT164" s="12"/>
      <c r="CU164" s="12"/>
      <c r="CV164" s="12"/>
      <c r="CW164" s="12"/>
      <c r="CX164" s="12"/>
      <c r="CY164" s="12"/>
      <c r="CZ164" s="12"/>
      <c r="DA164" s="12"/>
      <c r="DB164" s="12"/>
      <c r="DC164" s="12"/>
      <c r="DD164" s="12"/>
      <c r="DE164" s="12"/>
      <c r="DF164" s="12"/>
      <c r="DG164" s="12"/>
      <c r="DH164" s="12"/>
      <c r="DI164" s="12"/>
      <c r="DJ164" s="12"/>
      <c r="DK164" s="12"/>
      <c r="DL164" s="12"/>
      <c r="DM164" s="12"/>
      <c r="DN164" s="12"/>
      <c r="DO164" s="12"/>
      <c r="DP164" s="12"/>
      <c r="DQ164" s="12"/>
      <c r="DR164" s="12"/>
      <c r="DS164" s="12"/>
      <c r="DT164" s="12"/>
      <c r="DU164" s="12"/>
      <c r="DV164" s="12"/>
      <c r="DW164" s="12"/>
      <c r="DX164" s="12"/>
      <c r="DY164" s="12"/>
      <c r="DZ164" s="12"/>
      <c r="EA164" s="12"/>
      <c r="EB164" s="12"/>
      <c r="EC164" s="12"/>
      <c r="ED164" s="12"/>
      <c r="EE164" s="12"/>
      <c r="EF164" s="12"/>
      <c r="EG164" s="12"/>
      <c r="EH164" s="12"/>
      <c r="EI164" s="12"/>
      <c r="EJ164" s="12"/>
      <c r="EK164" s="12"/>
      <c r="EL164" s="12"/>
      <c r="EM164" s="12"/>
      <c r="EN164" s="12"/>
      <c r="EO164" s="12"/>
      <c r="EP164" s="12"/>
      <c r="EQ164" s="12"/>
      <c r="ER164" s="12"/>
      <c r="ES164" s="12"/>
      <c r="ET164" s="12"/>
      <c r="EU164" s="12"/>
      <c r="EV164" s="12"/>
      <c r="EW164" s="12"/>
      <c r="EX164" s="12"/>
      <c r="EY164" s="12"/>
      <c r="EZ164" s="12"/>
      <c r="FA164" s="12"/>
      <c r="FB164" s="12"/>
      <c r="FC164" s="12"/>
      <c r="FD164" s="12"/>
      <c r="FE164" s="12"/>
      <c r="FF164" s="12"/>
      <c r="FG164" s="12"/>
      <c r="FH164" s="12"/>
      <c r="FI164" s="12"/>
      <c r="FJ164" s="12"/>
      <c r="FK164" s="12"/>
      <c r="FL164" s="12"/>
      <c r="FM164" s="12"/>
      <c r="FN164" s="12"/>
      <c r="FO164" s="12"/>
      <c r="FP164" s="12"/>
      <c r="FQ164" s="12"/>
      <c r="FR164" s="12"/>
      <c r="FS164" s="12"/>
      <c r="FT164" s="12"/>
      <c r="FU164" s="12"/>
      <c r="FV164" s="12"/>
      <c r="FW164" s="12"/>
      <c r="FX164" s="12"/>
      <c r="FY164" s="12"/>
      <c r="FZ164" s="12"/>
      <c r="GA164" s="12"/>
      <c r="GB164" s="12"/>
      <c r="GC164" s="12"/>
      <c r="GD164" s="12"/>
      <c r="GE164" s="12"/>
    </row>
    <row r="165" spans="1:187" ht="22.5" customHeight="1">
      <c r="A165" s="45"/>
      <c r="B165" s="9" t="s">
        <v>382</v>
      </c>
      <c r="C165" s="10" t="s">
        <v>383</v>
      </c>
      <c r="D165" s="10" t="s">
        <v>194</v>
      </c>
      <c r="E165" s="35">
        <v>17.231999999999999</v>
      </c>
      <c r="F165" s="35">
        <f>25.199-E165</f>
        <v>7.9670000000000023</v>
      </c>
      <c r="G165" s="35">
        <v>2.6</v>
      </c>
      <c r="H165" s="35">
        <v>15.63</v>
      </c>
      <c r="I165" s="35">
        <f t="shared" si="19"/>
        <v>43.429000000000002</v>
      </c>
      <c r="J165" s="56">
        <f>'2021'!J166</f>
        <v>45.95</v>
      </c>
      <c r="K165" s="49">
        <v>4823.0490880000007</v>
      </c>
      <c r="L165" s="49">
        <v>5015.9710515200013</v>
      </c>
      <c r="M165" s="49">
        <v>1901.2308224000001</v>
      </c>
      <c r="N165" s="49">
        <v>1977.2800552960002</v>
      </c>
      <c r="O165" s="56">
        <f t="shared" si="20"/>
        <v>2921.8182656000008</v>
      </c>
      <c r="P165" s="1">
        <f t="shared" si="14"/>
        <v>50348.772352819215</v>
      </c>
      <c r="Q165" s="1">
        <f t="shared" si="15"/>
        <v>23278.126122035213</v>
      </c>
      <c r="R165" s="1">
        <f t="shared" si="16"/>
        <v>7900.5965901824029</v>
      </c>
      <c r="S165" s="1">
        <f t="shared" si="17"/>
        <v>47494.740270981136</v>
      </c>
      <c r="T165" s="1">
        <f t="shared" si="18"/>
        <v>129022.23533601797</v>
      </c>
      <c r="U165" s="11"/>
      <c r="V165" s="11"/>
      <c r="W165" s="11"/>
      <c r="X165" s="12"/>
      <c r="Y165" s="12"/>
      <c r="Z165" s="12"/>
      <c r="AA165" s="12"/>
      <c r="AB165" s="12"/>
      <c r="AC165" s="12"/>
      <c r="AD165" s="12"/>
      <c r="AE165" s="12"/>
      <c r="AF165" s="12"/>
      <c r="AG165" s="12"/>
      <c r="AH165" s="12"/>
      <c r="AI165" s="12"/>
      <c r="AJ165" s="12"/>
      <c r="AK165" s="12"/>
      <c r="AL165" s="12"/>
      <c r="AM165" s="12"/>
      <c r="AN165" s="12"/>
      <c r="AO165" s="12"/>
      <c r="AP165" s="12"/>
      <c r="AQ165" s="12"/>
      <c r="AR165" s="12"/>
      <c r="AS165" s="12"/>
      <c r="AT165" s="12"/>
      <c r="AU165" s="12"/>
      <c r="AV165" s="12"/>
      <c r="AW165" s="12"/>
      <c r="AX165" s="12"/>
      <c r="AY165" s="12"/>
      <c r="AZ165" s="12"/>
      <c r="BA165" s="12"/>
      <c r="BB165" s="12"/>
      <c r="BC165" s="12"/>
      <c r="BD165" s="12"/>
      <c r="BE165" s="12"/>
      <c r="BF165" s="12"/>
      <c r="BG165" s="12"/>
      <c r="BH165" s="12"/>
      <c r="BI165" s="12"/>
      <c r="BJ165" s="12"/>
      <c r="BK165" s="12"/>
      <c r="BL165" s="12"/>
      <c r="BM165" s="12"/>
      <c r="BN165" s="12"/>
      <c r="BO165" s="12"/>
      <c r="BP165" s="12"/>
      <c r="BQ165" s="12"/>
      <c r="BR165" s="12"/>
      <c r="BS165" s="12"/>
      <c r="BT165" s="12"/>
      <c r="BU165" s="12"/>
      <c r="BV165" s="12"/>
      <c r="BW165" s="12"/>
      <c r="BX165" s="12"/>
      <c r="BY165" s="12"/>
      <c r="BZ165" s="12"/>
      <c r="CA165" s="12"/>
      <c r="CB165" s="12"/>
      <c r="CC165" s="12"/>
      <c r="CD165" s="12"/>
      <c r="CE165" s="12"/>
      <c r="CF165" s="12"/>
      <c r="CG165" s="12"/>
      <c r="CH165" s="12"/>
      <c r="CI165" s="12"/>
      <c r="CJ165" s="12"/>
      <c r="CK165" s="12"/>
      <c r="CL165" s="12"/>
      <c r="CM165" s="12"/>
      <c r="CN165" s="12"/>
      <c r="CO165" s="12"/>
      <c r="CP165" s="12"/>
      <c r="CQ165" s="12"/>
      <c r="CR165" s="12"/>
      <c r="CS165" s="12"/>
      <c r="CT165" s="12"/>
      <c r="CU165" s="12"/>
      <c r="CV165" s="12"/>
      <c r="CW165" s="12"/>
      <c r="CX165" s="12"/>
      <c r="CY165" s="12"/>
      <c r="CZ165" s="12"/>
      <c r="DA165" s="12"/>
      <c r="DB165" s="12"/>
      <c r="DC165" s="12"/>
      <c r="DD165" s="12"/>
      <c r="DE165" s="12"/>
      <c r="DF165" s="12"/>
      <c r="DG165" s="12"/>
      <c r="DH165" s="12"/>
      <c r="DI165" s="12"/>
      <c r="DJ165" s="12"/>
      <c r="DK165" s="12"/>
      <c r="DL165" s="12"/>
      <c r="DM165" s="12"/>
      <c r="DN165" s="12"/>
      <c r="DO165" s="12"/>
      <c r="DP165" s="12"/>
      <c r="DQ165" s="12"/>
      <c r="DR165" s="12"/>
      <c r="DS165" s="12"/>
      <c r="DT165" s="12"/>
      <c r="DU165" s="12"/>
      <c r="DV165" s="12"/>
      <c r="DW165" s="12"/>
      <c r="DX165" s="12"/>
      <c r="DY165" s="12"/>
      <c r="DZ165" s="12"/>
      <c r="EA165" s="12"/>
      <c r="EB165" s="12"/>
      <c r="EC165" s="12"/>
      <c r="ED165" s="12"/>
      <c r="EE165" s="12"/>
      <c r="EF165" s="12"/>
      <c r="EG165" s="12"/>
      <c r="EH165" s="12"/>
      <c r="EI165" s="12"/>
      <c r="EJ165" s="12"/>
      <c r="EK165" s="12"/>
      <c r="EL165" s="12"/>
      <c r="EM165" s="12"/>
      <c r="EN165" s="12"/>
      <c r="EO165" s="12"/>
      <c r="EP165" s="12"/>
      <c r="EQ165" s="12"/>
      <c r="ER165" s="12"/>
      <c r="ES165" s="12"/>
      <c r="ET165" s="12"/>
      <c r="EU165" s="12"/>
      <c r="EV165" s="12"/>
      <c r="EW165" s="12"/>
      <c r="EX165" s="12"/>
      <c r="EY165" s="12"/>
      <c r="EZ165" s="12"/>
      <c r="FA165" s="12"/>
      <c r="FB165" s="12"/>
      <c r="FC165" s="12"/>
      <c r="FD165" s="12"/>
      <c r="FE165" s="12"/>
      <c r="FF165" s="12"/>
      <c r="FG165" s="12"/>
      <c r="FH165" s="12"/>
      <c r="FI165" s="12"/>
      <c r="FJ165" s="12"/>
      <c r="FK165" s="12"/>
      <c r="FL165" s="12"/>
      <c r="FM165" s="12"/>
      <c r="FN165" s="12"/>
      <c r="FO165" s="12"/>
      <c r="FP165" s="12"/>
      <c r="FQ165" s="12"/>
      <c r="FR165" s="12"/>
      <c r="FS165" s="12"/>
      <c r="FT165" s="12"/>
      <c r="FU165" s="12"/>
      <c r="FV165" s="12"/>
      <c r="FW165" s="12"/>
      <c r="FX165" s="12"/>
      <c r="FY165" s="12"/>
      <c r="FZ165" s="12"/>
      <c r="GA165" s="12"/>
      <c r="GB165" s="12"/>
      <c r="GC165" s="12"/>
      <c r="GD165" s="12"/>
      <c r="GE165" s="12"/>
    </row>
    <row r="166" spans="1:187" ht="22.5" customHeight="1">
      <c r="A166" s="45"/>
      <c r="B166" s="9" t="s">
        <v>274</v>
      </c>
      <c r="C166" s="10" t="s">
        <v>188</v>
      </c>
      <c r="D166" s="10" t="s">
        <v>189</v>
      </c>
      <c r="E166" s="35">
        <v>1973.5519999999999</v>
      </c>
      <c r="F166" s="35">
        <f>2629.39-E166</f>
        <v>655.83799999999997</v>
      </c>
      <c r="G166" s="35">
        <v>428.214</v>
      </c>
      <c r="H166" s="35">
        <f>2177.4-G166</f>
        <v>1749.1860000000001</v>
      </c>
      <c r="I166" s="35">
        <f t="shared" si="19"/>
        <v>4806.79</v>
      </c>
      <c r="J166" s="56">
        <f>'2021'!J167</f>
        <v>5848.5758000000005</v>
      </c>
      <c r="K166" s="49">
        <v>4390.6616000000004</v>
      </c>
      <c r="L166" s="49">
        <v>4566.2880640000003</v>
      </c>
      <c r="M166" s="49">
        <v>1481.4648368000001</v>
      </c>
      <c r="N166" s="49">
        <v>1540.7234302720001</v>
      </c>
      <c r="O166" s="56">
        <f t="shared" si="20"/>
        <v>2909.1967632000005</v>
      </c>
      <c r="P166" s="1">
        <f t="shared" si="14"/>
        <v>5741451.0904068872</v>
      </c>
      <c r="Q166" s="1">
        <f t="shared" si="15"/>
        <v>1907961.7867835618</v>
      </c>
      <c r="R166" s="1">
        <f t="shared" si="16"/>
        <v>1295589.134067202</v>
      </c>
      <c r="S166" s="1">
        <f t="shared" si="17"/>
        <v>5292275.2994121462</v>
      </c>
      <c r="T166" s="1">
        <f t="shared" si="18"/>
        <v>14237277.310669798</v>
      </c>
      <c r="U166" s="11"/>
      <c r="V166" s="11"/>
      <c r="W166" s="11"/>
      <c r="X166" s="12"/>
      <c r="Y166" s="12"/>
      <c r="Z166" s="12"/>
      <c r="AA166" s="12"/>
      <c r="AB166" s="12"/>
      <c r="AC166" s="12"/>
      <c r="AD166" s="12"/>
      <c r="AE166" s="12"/>
      <c r="AF166" s="12"/>
      <c r="AG166" s="12"/>
      <c r="AH166" s="12"/>
      <c r="AI166" s="12"/>
      <c r="AJ166" s="12"/>
      <c r="AK166" s="12"/>
      <c r="AL166" s="12"/>
      <c r="AM166" s="12"/>
      <c r="AN166" s="12"/>
      <c r="AO166" s="12"/>
      <c r="AP166" s="12"/>
      <c r="AQ166" s="12"/>
      <c r="AR166" s="12"/>
      <c r="AS166" s="12"/>
      <c r="AT166" s="12"/>
      <c r="AU166" s="12"/>
      <c r="AV166" s="12"/>
      <c r="AW166" s="12"/>
      <c r="AX166" s="12"/>
      <c r="AY166" s="12"/>
      <c r="AZ166" s="12"/>
      <c r="BA166" s="12"/>
      <c r="BB166" s="12"/>
      <c r="BC166" s="12"/>
      <c r="BD166" s="12"/>
      <c r="BE166" s="12"/>
      <c r="BF166" s="12"/>
      <c r="BG166" s="12"/>
      <c r="BH166" s="12"/>
      <c r="BI166" s="12"/>
      <c r="BJ166" s="12"/>
      <c r="BK166" s="12"/>
      <c r="BL166" s="12"/>
      <c r="BM166" s="12"/>
      <c r="BN166" s="12"/>
      <c r="BO166" s="12"/>
      <c r="BP166" s="12"/>
      <c r="BQ166" s="12"/>
      <c r="BR166" s="12"/>
      <c r="BS166" s="12"/>
      <c r="BT166" s="12"/>
      <c r="BU166" s="12"/>
      <c r="BV166" s="12"/>
      <c r="BW166" s="12"/>
      <c r="BX166" s="12"/>
      <c r="BY166" s="12"/>
      <c r="BZ166" s="12"/>
      <c r="CA166" s="12"/>
      <c r="CB166" s="12"/>
      <c r="CC166" s="12"/>
      <c r="CD166" s="12"/>
      <c r="CE166" s="12"/>
      <c r="CF166" s="12"/>
      <c r="CG166" s="12"/>
      <c r="CH166" s="12"/>
      <c r="CI166" s="12"/>
      <c r="CJ166" s="12"/>
      <c r="CK166" s="12"/>
      <c r="CL166" s="12"/>
      <c r="CM166" s="12"/>
      <c r="CN166" s="12"/>
      <c r="CO166" s="12"/>
      <c r="CP166" s="12"/>
      <c r="CQ166" s="12"/>
      <c r="CR166" s="12"/>
      <c r="CS166" s="12"/>
      <c r="CT166" s="12"/>
      <c r="CU166" s="12"/>
      <c r="CV166" s="12"/>
      <c r="CW166" s="12"/>
      <c r="CX166" s="12"/>
      <c r="CY166" s="12"/>
      <c r="CZ166" s="12"/>
      <c r="DA166" s="12"/>
      <c r="DB166" s="12"/>
      <c r="DC166" s="12"/>
      <c r="DD166" s="12"/>
      <c r="DE166" s="12"/>
      <c r="DF166" s="12"/>
      <c r="DG166" s="12"/>
      <c r="DH166" s="12"/>
      <c r="DI166" s="12"/>
      <c r="DJ166" s="12"/>
      <c r="DK166" s="12"/>
      <c r="DL166" s="12"/>
      <c r="DM166" s="12"/>
      <c r="DN166" s="12"/>
      <c r="DO166" s="12"/>
      <c r="DP166" s="12"/>
      <c r="DQ166" s="12"/>
      <c r="DR166" s="12"/>
      <c r="DS166" s="12"/>
      <c r="DT166" s="12"/>
      <c r="DU166" s="12"/>
      <c r="DV166" s="12"/>
      <c r="DW166" s="12"/>
      <c r="DX166" s="12"/>
      <c r="DY166" s="12"/>
      <c r="DZ166" s="12"/>
      <c r="EA166" s="12"/>
      <c r="EB166" s="12"/>
      <c r="EC166" s="12"/>
      <c r="ED166" s="12"/>
      <c r="EE166" s="12"/>
      <c r="EF166" s="12"/>
      <c r="EG166" s="12"/>
      <c r="EH166" s="12"/>
      <c r="EI166" s="12"/>
      <c r="EJ166" s="12"/>
      <c r="EK166" s="12"/>
      <c r="EL166" s="12"/>
      <c r="EM166" s="12"/>
      <c r="EN166" s="12"/>
      <c r="EO166" s="12"/>
      <c r="EP166" s="12"/>
      <c r="EQ166" s="12"/>
      <c r="ER166" s="12"/>
      <c r="ES166" s="12"/>
      <c r="ET166" s="12"/>
      <c r="EU166" s="12"/>
      <c r="EV166" s="12"/>
      <c r="EW166" s="12"/>
      <c r="EX166" s="12"/>
      <c r="EY166" s="12"/>
      <c r="EZ166" s="12"/>
      <c r="FA166" s="12"/>
      <c r="FB166" s="12"/>
      <c r="FC166" s="12"/>
      <c r="FD166" s="12"/>
      <c r="FE166" s="12"/>
      <c r="FF166" s="12"/>
      <c r="FG166" s="12"/>
      <c r="FH166" s="12"/>
      <c r="FI166" s="12"/>
      <c r="FJ166" s="12"/>
      <c r="FK166" s="12"/>
      <c r="FL166" s="12"/>
      <c r="FM166" s="12"/>
      <c r="FN166" s="12"/>
      <c r="FO166" s="12"/>
      <c r="FP166" s="12"/>
      <c r="FQ166" s="12"/>
      <c r="FR166" s="12"/>
      <c r="FS166" s="12"/>
      <c r="FT166" s="12"/>
      <c r="FU166" s="12"/>
      <c r="FV166" s="12"/>
      <c r="FW166" s="12"/>
      <c r="FX166" s="12"/>
      <c r="FY166" s="12"/>
      <c r="FZ166" s="12"/>
      <c r="GA166" s="12"/>
      <c r="GB166" s="12"/>
      <c r="GC166" s="12"/>
      <c r="GD166" s="12"/>
      <c r="GE166" s="12"/>
    </row>
    <row r="167" spans="1:187" ht="22.5" customHeight="1">
      <c r="A167" s="45"/>
      <c r="B167" s="9" t="s">
        <v>9</v>
      </c>
      <c r="C167" s="10" t="s">
        <v>184</v>
      </c>
      <c r="D167" s="10" t="s">
        <v>185</v>
      </c>
      <c r="E167" s="35">
        <v>258.87299999999999</v>
      </c>
      <c r="F167" s="35">
        <f>362.344-E167</f>
        <v>103.471</v>
      </c>
      <c r="G167" s="35">
        <v>20.263000000000002</v>
      </c>
      <c r="H167" s="35">
        <f>239.636-G167</f>
        <v>219.37299999999999</v>
      </c>
      <c r="I167" s="35">
        <f t="shared" si="19"/>
        <v>601.98</v>
      </c>
      <c r="J167" s="56">
        <f>'2021'!J168</f>
        <v>653.57000000000005</v>
      </c>
      <c r="K167" s="49">
        <v>3030.9460480000007</v>
      </c>
      <c r="L167" s="49">
        <v>3152.1838899200006</v>
      </c>
      <c r="M167" s="49">
        <v>1771.67302</v>
      </c>
      <c r="N167" s="49">
        <v>1842.5399408000001</v>
      </c>
      <c r="O167" s="56">
        <f t="shared" si="20"/>
        <v>1259.2730280000007</v>
      </c>
      <c r="P167" s="1">
        <f t="shared" si="14"/>
        <v>325991.78657744417</v>
      </c>
      <c r="Q167" s="1">
        <f t="shared" si="15"/>
        <v>130298.23948018809</v>
      </c>
      <c r="R167" s="1">
        <f t="shared" si="16"/>
        <v>26537.315341018573</v>
      </c>
      <c r="S167" s="1">
        <f t="shared" si="17"/>
        <v>287300.52205030189</v>
      </c>
      <c r="T167" s="1">
        <f t="shared" si="18"/>
        <v>770127.86344895279</v>
      </c>
      <c r="U167" s="11"/>
      <c r="V167" s="11"/>
      <c r="W167" s="11"/>
      <c r="X167" s="12"/>
      <c r="Y167" s="12"/>
      <c r="Z167" s="12"/>
      <c r="AA167" s="12"/>
      <c r="AB167" s="12"/>
      <c r="AC167" s="12"/>
      <c r="AD167" s="12"/>
      <c r="AE167" s="12"/>
      <c r="AF167" s="12"/>
      <c r="AG167" s="12"/>
      <c r="AH167" s="12"/>
      <c r="AI167" s="12"/>
      <c r="AJ167" s="12"/>
      <c r="AK167" s="12"/>
      <c r="AL167" s="12"/>
      <c r="AM167" s="12"/>
      <c r="AN167" s="12"/>
      <c r="AO167" s="12"/>
      <c r="AP167" s="12"/>
      <c r="AQ167" s="12"/>
      <c r="AR167" s="12"/>
      <c r="AS167" s="12"/>
      <c r="AT167" s="12"/>
      <c r="AU167" s="12"/>
      <c r="AV167" s="12"/>
      <c r="AW167" s="12"/>
      <c r="AX167" s="12"/>
      <c r="AY167" s="12"/>
      <c r="AZ167" s="12"/>
      <c r="BA167" s="12"/>
      <c r="BB167" s="12"/>
      <c r="BC167" s="12"/>
      <c r="BD167" s="12"/>
      <c r="BE167" s="12"/>
      <c r="BF167" s="12"/>
      <c r="BG167" s="12"/>
      <c r="BH167" s="12"/>
      <c r="BI167" s="12"/>
      <c r="BJ167" s="12"/>
      <c r="BK167" s="12"/>
      <c r="BL167" s="12"/>
      <c r="BM167" s="12"/>
      <c r="BN167" s="12"/>
      <c r="BO167" s="12"/>
      <c r="BP167" s="12"/>
      <c r="BQ167" s="12"/>
      <c r="BR167" s="12"/>
      <c r="BS167" s="12"/>
      <c r="BT167" s="12"/>
      <c r="BU167" s="12"/>
      <c r="BV167" s="12"/>
      <c r="BW167" s="12"/>
      <c r="BX167" s="12"/>
      <c r="BY167" s="12"/>
      <c r="BZ167" s="12"/>
      <c r="CA167" s="12"/>
      <c r="CB167" s="12"/>
      <c r="CC167" s="12"/>
      <c r="CD167" s="12"/>
      <c r="CE167" s="12"/>
      <c r="CF167" s="12"/>
      <c r="CG167" s="12"/>
      <c r="CH167" s="12"/>
      <c r="CI167" s="12"/>
      <c r="CJ167" s="12"/>
      <c r="CK167" s="12"/>
      <c r="CL167" s="12"/>
      <c r="CM167" s="12"/>
      <c r="CN167" s="12"/>
      <c r="CO167" s="12"/>
      <c r="CP167" s="12"/>
      <c r="CQ167" s="12"/>
      <c r="CR167" s="12"/>
      <c r="CS167" s="12"/>
      <c r="CT167" s="12"/>
      <c r="CU167" s="12"/>
      <c r="CV167" s="12"/>
      <c r="CW167" s="12"/>
      <c r="CX167" s="12"/>
      <c r="CY167" s="12"/>
      <c r="CZ167" s="12"/>
      <c r="DA167" s="12"/>
      <c r="DB167" s="12"/>
      <c r="DC167" s="12"/>
      <c r="DD167" s="12"/>
      <c r="DE167" s="12"/>
      <c r="DF167" s="12"/>
      <c r="DG167" s="12"/>
      <c r="DH167" s="12"/>
      <c r="DI167" s="12"/>
      <c r="DJ167" s="12"/>
      <c r="DK167" s="12"/>
      <c r="DL167" s="12"/>
      <c r="DM167" s="12"/>
      <c r="DN167" s="12"/>
      <c r="DO167" s="12"/>
      <c r="DP167" s="12"/>
      <c r="DQ167" s="12"/>
      <c r="DR167" s="12"/>
      <c r="DS167" s="12"/>
      <c r="DT167" s="12"/>
      <c r="DU167" s="12"/>
      <c r="DV167" s="12"/>
      <c r="DW167" s="12"/>
      <c r="DX167" s="12"/>
      <c r="DY167" s="12"/>
      <c r="DZ167" s="12"/>
      <c r="EA167" s="12"/>
      <c r="EB167" s="12"/>
      <c r="EC167" s="12"/>
      <c r="ED167" s="12"/>
      <c r="EE167" s="12"/>
      <c r="EF167" s="12"/>
      <c r="EG167" s="12"/>
      <c r="EH167" s="12"/>
      <c r="EI167" s="12"/>
      <c r="EJ167" s="12"/>
      <c r="EK167" s="12"/>
      <c r="EL167" s="12"/>
      <c r="EM167" s="12"/>
      <c r="EN167" s="12"/>
      <c r="EO167" s="12"/>
      <c r="EP167" s="12"/>
      <c r="EQ167" s="12"/>
      <c r="ER167" s="12"/>
      <c r="ES167" s="12"/>
      <c r="ET167" s="12"/>
      <c r="EU167" s="12"/>
      <c r="EV167" s="12"/>
      <c r="EW167" s="12"/>
      <c r="EX167" s="12"/>
      <c r="EY167" s="12"/>
      <c r="EZ167" s="12"/>
      <c r="FA167" s="12"/>
      <c r="FB167" s="12"/>
      <c r="FC167" s="12"/>
      <c r="FD167" s="12"/>
      <c r="FE167" s="12"/>
      <c r="FF167" s="12"/>
      <c r="FG167" s="12"/>
      <c r="FH167" s="12"/>
      <c r="FI167" s="12"/>
      <c r="FJ167" s="12"/>
      <c r="FK167" s="12"/>
      <c r="FL167" s="12"/>
      <c r="FM167" s="12"/>
      <c r="FN167" s="12"/>
      <c r="FO167" s="12"/>
      <c r="FP167" s="12"/>
      <c r="FQ167" s="12"/>
      <c r="FR167" s="12"/>
      <c r="FS167" s="12"/>
      <c r="FT167" s="12"/>
      <c r="FU167" s="12"/>
      <c r="FV167" s="12"/>
      <c r="FW167" s="12"/>
      <c r="FX167" s="12"/>
      <c r="FY167" s="12"/>
      <c r="FZ167" s="12"/>
      <c r="GA167" s="12"/>
      <c r="GB167" s="12"/>
      <c r="GC167" s="12"/>
      <c r="GD167" s="12"/>
      <c r="GE167" s="12"/>
    </row>
    <row r="168" spans="1:187" ht="22.5" customHeight="1">
      <c r="A168" s="45"/>
      <c r="B168" s="9" t="s">
        <v>31</v>
      </c>
      <c r="C168" s="10" t="s">
        <v>190</v>
      </c>
      <c r="D168" s="10" t="s">
        <v>191</v>
      </c>
      <c r="E168" s="35">
        <v>59.082000000000001</v>
      </c>
      <c r="F168" s="35">
        <f>86.399-E168</f>
        <v>27.317</v>
      </c>
      <c r="G168" s="35">
        <v>8.5500000000000007</v>
      </c>
      <c r="H168" s="35">
        <f>63.513-G168</f>
        <v>54.962999999999994</v>
      </c>
      <c r="I168" s="35">
        <f t="shared" si="19"/>
        <v>149.91199999999998</v>
      </c>
      <c r="J168" s="56">
        <f>'2021'!J169</f>
        <v>189.702</v>
      </c>
      <c r="K168" s="49">
        <v>5577.6705920000004</v>
      </c>
      <c r="L168" s="49">
        <v>5800.7774156800006</v>
      </c>
      <c r="M168" s="49">
        <v>2014.6114248000001</v>
      </c>
      <c r="N168" s="49">
        <v>2095.1958817920004</v>
      </c>
      <c r="O168" s="56">
        <f t="shared" si="20"/>
        <v>3563.0591672</v>
      </c>
      <c r="P168" s="1">
        <f t="shared" si="14"/>
        <v>210512.6617165104</v>
      </c>
      <c r="Q168" s="1">
        <f t="shared" si="15"/>
        <v>97332.087270402408</v>
      </c>
      <c r="R168" s="1">
        <f t="shared" si="16"/>
        <v>31682.722114742402</v>
      </c>
      <c r="S168" s="1">
        <f t="shared" si="17"/>
        <v>203669.87784708614</v>
      </c>
      <c r="T168" s="1">
        <f t="shared" si="18"/>
        <v>543197.34894874133</v>
      </c>
      <c r="U168" s="11"/>
      <c r="V168" s="11"/>
      <c r="W168" s="11"/>
      <c r="X168" s="12"/>
      <c r="Y168" s="12"/>
      <c r="Z168" s="12"/>
      <c r="AA168" s="12"/>
      <c r="AB168" s="12"/>
      <c r="AC168" s="12"/>
      <c r="AD168" s="12"/>
      <c r="AE168" s="12"/>
      <c r="AF168" s="12"/>
      <c r="AG168" s="12"/>
      <c r="AH168" s="12"/>
      <c r="AI168" s="12"/>
      <c r="AJ168" s="12"/>
      <c r="AK168" s="12"/>
      <c r="AL168" s="12"/>
      <c r="AM168" s="12"/>
      <c r="AN168" s="12"/>
      <c r="AO168" s="12"/>
      <c r="AP168" s="12"/>
      <c r="AQ168" s="12"/>
      <c r="AR168" s="12"/>
      <c r="AS168" s="12"/>
      <c r="AT168" s="12"/>
      <c r="AU168" s="12"/>
      <c r="AV168" s="12"/>
      <c r="AW168" s="12"/>
      <c r="AX168" s="12"/>
      <c r="AY168" s="12"/>
      <c r="AZ168" s="12"/>
      <c r="BA168" s="12"/>
      <c r="BB168" s="12"/>
      <c r="BC168" s="12"/>
      <c r="BD168" s="12"/>
      <c r="BE168" s="12"/>
      <c r="BF168" s="12"/>
      <c r="BG168" s="12"/>
      <c r="BH168" s="12"/>
      <c r="BI168" s="12"/>
      <c r="BJ168" s="12"/>
      <c r="BK168" s="12"/>
      <c r="BL168" s="12"/>
      <c r="BM168" s="12"/>
      <c r="BN168" s="12"/>
      <c r="BO168" s="12"/>
      <c r="BP168" s="12"/>
      <c r="BQ168" s="12"/>
      <c r="BR168" s="12"/>
      <c r="BS168" s="12"/>
      <c r="BT168" s="12"/>
      <c r="BU168" s="12"/>
      <c r="BV168" s="12"/>
      <c r="BW168" s="12"/>
      <c r="BX168" s="12"/>
      <c r="BY168" s="12"/>
      <c r="BZ168" s="12"/>
      <c r="CA168" s="12"/>
      <c r="CB168" s="12"/>
      <c r="CC168" s="12"/>
      <c r="CD168" s="12"/>
      <c r="CE168" s="12"/>
      <c r="CF168" s="12"/>
      <c r="CG168" s="12"/>
      <c r="CH168" s="12"/>
      <c r="CI168" s="12"/>
      <c r="CJ168" s="12"/>
      <c r="CK168" s="12"/>
      <c r="CL168" s="12"/>
      <c r="CM168" s="12"/>
      <c r="CN168" s="12"/>
      <c r="CO168" s="12"/>
      <c r="CP168" s="12"/>
      <c r="CQ168" s="12"/>
      <c r="CR168" s="12"/>
      <c r="CS168" s="12"/>
      <c r="CT168" s="12"/>
      <c r="CU168" s="12"/>
      <c r="CV168" s="12"/>
      <c r="CW168" s="12"/>
      <c r="CX168" s="12"/>
      <c r="CY168" s="12"/>
      <c r="CZ168" s="12"/>
      <c r="DA168" s="12"/>
      <c r="DB168" s="12"/>
      <c r="DC168" s="12"/>
      <c r="DD168" s="12"/>
      <c r="DE168" s="12"/>
      <c r="DF168" s="12"/>
      <c r="DG168" s="12"/>
      <c r="DH168" s="12"/>
      <c r="DI168" s="12"/>
      <c r="DJ168" s="12"/>
      <c r="DK168" s="12"/>
      <c r="DL168" s="12"/>
      <c r="DM168" s="12"/>
      <c r="DN168" s="12"/>
      <c r="DO168" s="12"/>
      <c r="DP168" s="12"/>
      <c r="DQ168" s="12"/>
      <c r="DR168" s="12"/>
      <c r="DS168" s="12"/>
      <c r="DT168" s="12"/>
      <c r="DU168" s="12"/>
      <c r="DV168" s="12"/>
      <c r="DW168" s="12"/>
      <c r="DX168" s="12"/>
      <c r="DY168" s="12"/>
      <c r="DZ168" s="12"/>
      <c r="EA168" s="12"/>
      <c r="EB168" s="12"/>
      <c r="EC168" s="12"/>
      <c r="ED168" s="12"/>
      <c r="EE168" s="12"/>
      <c r="EF168" s="12"/>
      <c r="EG168" s="12"/>
      <c r="EH168" s="12"/>
      <c r="EI168" s="12"/>
      <c r="EJ168" s="12"/>
      <c r="EK168" s="12"/>
      <c r="EL168" s="12"/>
      <c r="EM168" s="12"/>
      <c r="EN168" s="12"/>
      <c r="EO168" s="12"/>
      <c r="EP168" s="12"/>
      <c r="EQ168" s="12"/>
      <c r="ER168" s="12"/>
      <c r="ES168" s="12"/>
      <c r="ET168" s="12"/>
      <c r="EU168" s="12"/>
      <c r="EV168" s="12"/>
      <c r="EW168" s="12"/>
      <c r="EX168" s="12"/>
      <c r="EY168" s="12"/>
      <c r="EZ168" s="12"/>
      <c r="FA168" s="12"/>
      <c r="FB168" s="12"/>
      <c r="FC168" s="12"/>
      <c r="FD168" s="12"/>
      <c r="FE168" s="12"/>
      <c r="FF168" s="12"/>
      <c r="FG168" s="12"/>
      <c r="FH168" s="12"/>
      <c r="FI168" s="12"/>
      <c r="FJ168" s="12"/>
      <c r="FK168" s="12"/>
      <c r="FL168" s="12"/>
      <c r="FM168" s="12"/>
      <c r="FN168" s="12"/>
      <c r="FO168" s="12"/>
      <c r="FP168" s="12"/>
      <c r="FQ168" s="12"/>
      <c r="FR168" s="12"/>
      <c r="FS168" s="12"/>
      <c r="FT168" s="12"/>
      <c r="FU168" s="12"/>
      <c r="FV168" s="12"/>
      <c r="FW168" s="12"/>
      <c r="FX168" s="12"/>
      <c r="FY168" s="12"/>
      <c r="FZ168" s="12"/>
      <c r="GA168" s="12"/>
      <c r="GB168" s="12"/>
      <c r="GC168" s="12"/>
      <c r="GD168" s="12"/>
      <c r="GE168" s="12"/>
    </row>
    <row r="169" spans="1:187" ht="22.5" customHeight="1">
      <c r="A169" s="45"/>
      <c r="B169" s="9" t="s">
        <v>34</v>
      </c>
      <c r="C169" s="10" t="s">
        <v>195</v>
      </c>
      <c r="D169" s="10" t="s">
        <v>196</v>
      </c>
      <c r="E169" s="35">
        <v>16.134</v>
      </c>
      <c r="F169" s="35">
        <f>23.594-E169</f>
        <v>7.4600000000000009</v>
      </c>
      <c r="G169" s="35">
        <v>2.5099999999999998</v>
      </c>
      <c r="H169" s="35">
        <f>18.644-G169</f>
        <v>16.134</v>
      </c>
      <c r="I169" s="35">
        <f t="shared" si="19"/>
        <v>42.238</v>
      </c>
      <c r="J169" s="56">
        <f>'2021'!J170</f>
        <v>76.082976000000002</v>
      </c>
      <c r="K169" s="49">
        <v>3696.789824</v>
      </c>
      <c r="L169" s="49">
        <v>3844.6614169600002</v>
      </c>
      <c r="M169" s="49">
        <v>1485.8866047999998</v>
      </c>
      <c r="N169" s="49">
        <v>1545.3220689919999</v>
      </c>
      <c r="O169" s="56">
        <f t="shared" si="20"/>
        <v>2210.9032192000004</v>
      </c>
      <c r="P169" s="1">
        <f t="shared" si="14"/>
        <v>35670.712538572807</v>
      </c>
      <c r="Q169" s="1">
        <f t="shared" si="15"/>
        <v>16493.338015232006</v>
      </c>
      <c r="R169" s="1">
        <f t="shared" si="16"/>
        <v>5771.3417633996805</v>
      </c>
      <c r="S169" s="1">
        <f t="shared" si="17"/>
        <v>37097.541040115721</v>
      </c>
      <c r="T169" s="1">
        <f t="shared" si="18"/>
        <v>95032.933357320217</v>
      </c>
      <c r="U169" s="11"/>
      <c r="V169" s="11"/>
      <c r="W169" s="11"/>
      <c r="X169" s="12"/>
      <c r="Y169" s="12"/>
      <c r="Z169" s="12"/>
      <c r="AA169" s="12"/>
      <c r="AB169" s="12"/>
      <c r="AC169" s="12"/>
      <c r="AD169" s="12"/>
      <c r="AE169" s="12"/>
      <c r="AF169" s="12"/>
      <c r="AG169" s="12"/>
      <c r="AH169" s="12"/>
      <c r="AI169" s="12"/>
      <c r="AJ169" s="12"/>
      <c r="AK169" s="12"/>
      <c r="AL169" s="12"/>
      <c r="AM169" s="12"/>
      <c r="AN169" s="12"/>
      <c r="AO169" s="12"/>
      <c r="AP169" s="12"/>
      <c r="AQ169" s="12"/>
      <c r="AR169" s="12"/>
      <c r="AS169" s="12"/>
      <c r="AT169" s="12"/>
      <c r="AU169" s="12"/>
      <c r="AV169" s="12"/>
      <c r="AW169" s="12"/>
      <c r="AX169" s="12"/>
      <c r="AY169" s="12"/>
      <c r="AZ169" s="12"/>
      <c r="BA169" s="12"/>
      <c r="BB169" s="12"/>
      <c r="BC169" s="12"/>
      <c r="BD169" s="12"/>
      <c r="BE169" s="12"/>
      <c r="BF169" s="12"/>
      <c r="BG169" s="12"/>
      <c r="BH169" s="12"/>
      <c r="BI169" s="12"/>
      <c r="BJ169" s="12"/>
      <c r="BK169" s="12"/>
      <c r="BL169" s="12"/>
      <c r="BM169" s="12"/>
      <c r="BN169" s="12"/>
      <c r="BO169" s="12"/>
      <c r="BP169" s="12"/>
      <c r="BQ169" s="12"/>
      <c r="BR169" s="12"/>
      <c r="BS169" s="12"/>
      <c r="BT169" s="12"/>
      <c r="BU169" s="12"/>
      <c r="BV169" s="12"/>
      <c r="BW169" s="12"/>
      <c r="BX169" s="12"/>
      <c r="BY169" s="12"/>
      <c r="BZ169" s="12"/>
      <c r="CA169" s="12"/>
      <c r="CB169" s="12"/>
      <c r="CC169" s="12"/>
      <c r="CD169" s="12"/>
      <c r="CE169" s="12"/>
      <c r="CF169" s="12"/>
      <c r="CG169" s="12"/>
      <c r="CH169" s="12"/>
      <c r="CI169" s="12"/>
      <c r="CJ169" s="12"/>
      <c r="CK169" s="12"/>
      <c r="CL169" s="12"/>
      <c r="CM169" s="12"/>
      <c r="CN169" s="12"/>
      <c r="CO169" s="12"/>
      <c r="CP169" s="12"/>
      <c r="CQ169" s="12"/>
      <c r="CR169" s="12"/>
      <c r="CS169" s="12"/>
      <c r="CT169" s="12"/>
      <c r="CU169" s="12"/>
      <c r="CV169" s="12"/>
      <c r="CW169" s="12"/>
      <c r="CX169" s="12"/>
      <c r="CY169" s="12"/>
      <c r="CZ169" s="12"/>
      <c r="DA169" s="12"/>
      <c r="DB169" s="12"/>
      <c r="DC169" s="12"/>
      <c r="DD169" s="12"/>
      <c r="DE169" s="12"/>
      <c r="DF169" s="12"/>
      <c r="DG169" s="12"/>
      <c r="DH169" s="12"/>
      <c r="DI169" s="12"/>
      <c r="DJ169" s="12"/>
      <c r="DK169" s="12"/>
      <c r="DL169" s="12"/>
      <c r="DM169" s="12"/>
      <c r="DN169" s="12"/>
      <c r="DO169" s="12"/>
      <c r="DP169" s="12"/>
      <c r="DQ169" s="12"/>
      <c r="DR169" s="12"/>
      <c r="DS169" s="12"/>
      <c r="DT169" s="12"/>
      <c r="DU169" s="12"/>
      <c r="DV169" s="12"/>
      <c r="DW169" s="12"/>
      <c r="DX169" s="12"/>
      <c r="DY169" s="12"/>
      <c r="DZ169" s="12"/>
      <c r="EA169" s="12"/>
      <c r="EB169" s="12"/>
      <c r="EC169" s="12"/>
      <c r="ED169" s="12"/>
      <c r="EE169" s="12"/>
      <c r="EF169" s="12"/>
      <c r="EG169" s="12"/>
      <c r="EH169" s="12"/>
      <c r="EI169" s="12"/>
      <c r="EJ169" s="12"/>
      <c r="EK169" s="12"/>
      <c r="EL169" s="12"/>
      <c r="EM169" s="12"/>
      <c r="EN169" s="12"/>
      <c r="EO169" s="12"/>
      <c r="EP169" s="12"/>
      <c r="EQ169" s="12"/>
      <c r="ER169" s="12"/>
      <c r="ES169" s="12"/>
      <c r="ET169" s="12"/>
      <c r="EU169" s="12"/>
      <c r="EV169" s="12"/>
      <c r="EW169" s="12"/>
      <c r="EX169" s="12"/>
      <c r="EY169" s="12"/>
      <c r="EZ169" s="12"/>
      <c r="FA169" s="12"/>
      <c r="FB169" s="12"/>
      <c r="FC169" s="12"/>
      <c r="FD169" s="12"/>
      <c r="FE169" s="12"/>
      <c r="FF169" s="12"/>
      <c r="FG169" s="12"/>
      <c r="FH169" s="12"/>
      <c r="FI169" s="12"/>
      <c r="FJ169" s="12"/>
      <c r="FK169" s="12"/>
      <c r="FL169" s="12"/>
      <c r="FM169" s="12"/>
      <c r="FN169" s="12"/>
      <c r="FO169" s="12"/>
      <c r="FP169" s="12"/>
      <c r="FQ169" s="12"/>
      <c r="FR169" s="12"/>
      <c r="FS169" s="12"/>
      <c r="FT169" s="12"/>
      <c r="FU169" s="12"/>
      <c r="FV169" s="12"/>
      <c r="FW169" s="12"/>
      <c r="FX169" s="12"/>
      <c r="FY169" s="12"/>
      <c r="FZ169" s="12"/>
      <c r="GA169" s="12"/>
      <c r="GB169" s="12"/>
      <c r="GC169" s="12"/>
      <c r="GD169" s="12"/>
      <c r="GE169" s="12"/>
    </row>
    <row r="170" spans="1:187" ht="22.5" customHeight="1">
      <c r="A170" s="45"/>
      <c r="B170" s="9" t="s">
        <v>275</v>
      </c>
      <c r="C170" s="10" t="s">
        <v>186</v>
      </c>
      <c r="D170" s="10" t="s">
        <v>187</v>
      </c>
      <c r="E170" s="35">
        <v>566.79999999999995</v>
      </c>
      <c r="F170" s="35">
        <f>834.139-E170</f>
        <v>267.33900000000006</v>
      </c>
      <c r="G170" s="35">
        <v>72.099999999999994</v>
      </c>
      <c r="H170" s="35">
        <f>624.346-G170</f>
        <v>552.24599999999998</v>
      </c>
      <c r="I170" s="35">
        <f t="shared" si="19"/>
        <v>1458.4850000000001</v>
      </c>
      <c r="J170" s="56">
        <f>'2021'!J171</f>
        <v>1926.16326</v>
      </c>
      <c r="K170" s="49">
        <v>2530.0030080000001</v>
      </c>
      <c r="L170" s="49">
        <v>2631.2031283200004</v>
      </c>
      <c r="M170" s="49">
        <v>1675.202984</v>
      </c>
      <c r="N170" s="49">
        <v>1742.2111033600002</v>
      </c>
      <c r="O170" s="56">
        <f t="shared" si="20"/>
        <v>854.80002400000012</v>
      </c>
      <c r="P170" s="1">
        <f t="shared" si="14"/>
        <v>484500.65360320004</v>
      </c>
      <c r="Q170" s="1">
        <f t="shared" si="15"/>
        <v>228521.38361613607</v>
      </c>
      <c r="R170" s="1">
        <f t="shared" si="16"/>
        <v>64096.324999616008</v>
      </c>
      <c r="S170" s="1">
        <f t="shared" si="17"/>
        <v>490942.28981606028</v>
      </c>
      <c r="T170" s="1">
        <f t="shared" si="18"/>
        <v>1268060.6520350124</v>
      </c>
      <c r="U170" s="11"/>
      <c r="V170" s="11"/>
      <c r="W170" s="11"/>
      <c r="X170" s="12"/>
      <c r="Y170" s="12"/>
      <c r="Z170" s="12"/>
      <c r="AA170" s="12"/>
      <c r="AB170" s="12"/>
      <c r="AC170" s="12"/>
      <c r="AD170" s="12"/>
      <c r="AE170" s="12"/>
      <c r="AF170" s="12"/>
      <c r="AG170" s="12"/>
      <c r="AH170" s="12"/>
      <c r="AI170" s="12"/>
      <c r="AJ170" s="12"/>
      <c r="AK170" s="12"/>
      <c r="AL170" s="12"/>
      <c r="AM170" s="12"/>
      <c r="AN170" s="12"/>
      <c r="AO170" s="12"/>
      <c r="AP170" s="12"/>
      <c r="AQ170" s="12"/>
      <c r="AR170" s="12"/>
      <c r="AS170" s="12"/>
      <c r="AT170" s="12"/>
      <c r="AU170" s="12"/>
      <c r="AV170" s="12"/>
      <c r="AW170" s="12"/>
      <c r="AX170" s="12"/>
      <c r="AY170" s="12"/>
      <c r="AZ170" s="12"/>
      <c r="BA170" s="12"/>
      <c r="BB170" s="12"/>
      <c r="BC170" s="12"/>
      <c r="BD170" s="12"/>
      <c r="BE170" s="12"/>
      <c r="BF170" s="12"/>
      <c r="BG170" s="12"/>
      <c r="BH170" s="12"/>
      <c r="BI170" s="12"/>
      <c r="BJ170" s="12"/>
      <c r="BK170" s="12"/>
      <c r="BL170" s="12"/>
      <c r="BM170" s="12"/>
      <c r="BN170" s="12"/>
      <c r="BO170" s="12"/>
      <c r="BP170" s="12"/>
      <c r="BQ170" s="12"/>
      <c r="BR170" s="12"/>
      <c r="BS170" s="12"/>
      <c r="BT170" s="12"/>
      <c r="BU170" s="12"/>
      <c r="BV170" s="12"/>
      <c r="BW170" s="12"/>
      <c r="BX170" s="12"/>
      <c r="BY170" s="12"/>
      <c r="BZ170" s="12"/>
      <c r="CA170" s="12"/>
      <c r="CB170" s="12"/>
      <c r="CC170" s="12"/>
      <c r="CD170" s="12"/>
      <c r="CE170" s="12"/>
      <c r="CF170" s="12"/>
      <c r="CG170" s="12"/>
      <c r="CH170" s="12"/>
      <c r="CI170" s="12"/>
      <c r="CJ170" s="12"/>
      <c r="CK170" s="12"/>
      <c r="CL170" s="12"/>
      <c r="CM170" s="12"/>
      <c r="CN170" s="12"/>
      <c r="CO170" s="12"/>
      <c r="CP170" s="12"/>
      <c r="CQ170" s="12"/>
      <c r="CR170" s="12"/>
      <c r="CS170" s="12"/>
      <c r="CT170" s="12"/>
      <c r="CU170" s="12"/>
      <c r="CV170" s="12"/>
      <c r="CW170" s="12"/>
      <c r="CX170" s="12"/>
      <c r="CY170" s="12"/>
      <c r="CZ170" s="12"/>
      <c r="DA170" s="12"/>
      <c r="DB170" s="12"/>
      <c r="DC170" s="12"/>
      <c r="DD170" s="12"/>
      <c r="DE170" s="12"/>
      <c r="DF170" s="12"/>
      <c r="DG170" s="12"/>
      <c r="DH170" s="12"/>
      <c r="DI170" s="12"/>
      <c r="DJ170" s="12"/>
      <c r="DK170" s="12"/>
      <c r="DL170" s="12"/>
      <c r="DM170" s="12"/>
      <c r="DN170" s="12"/>
      <c r="DO170" s="12"/>
      <c r="DP170" s="12"/>
      <c r="DQ170" s="12"/>
      <c r="DR170" s="12"/>
      <c r="DS170" s="12"/>
      <c r="DT170" s="12"/>
      <c r="DU170" s="12"/>
      <c r="DV170" s="12"/>
      <c r="DW170" s="12"/>
      <c r="DX170" s="12"/>
      <c r="DY170" s="12"/>
      <c r="DZ170" s="12"/>
      <c r="EA170" s="12"/>
      <c r="EB170" s="12"/>
      <c r="EC170" s="12"/>
      <c r="ED170" s="12"/>
      <c r="EE170" s="12"/>
      <c r="EF170" s="12"/>
      <c r="EG170" s="12"/>
      <c r="EH170" s="12"/>
      <c r="EI170" s="12"/>
      <c r="EJ170" s="12"/>
      <c r="EK170" s="12"/>
      <c r="EL170" s="12"/>
      <c r="EM170" s="12"/>
      <c r="EN170" s="12"/>
      <c r="EO170" s="12"/>
      <c r="EP170" s="12"/>
      <c r="EQ170" s="12"/>
      <c r="ER170" s="12"/>
      <c r="ES170" s="12"/>
      <c r="ET170" s="12"/>
      <c r="EU170" s="12"/>
      <c r="EV170" s="12"/>
      <c r="EW170" s="12"/>
      <c r="EX170" s="12"/>
      <c r="EY170" s="12"/>
      <c r="EZ170" s="12"/>
      <c r="FA170" s="12"/>
      <c r="FB170" s="12"/>
      <c r="FC170" s="12"/>
      <c r="FD170" s="12"/>
      <c r="FE170" s="12"/>
      <c r="FF170" s="12"/>
      <c r="FG170" s="12"/>
      <c r="FH170" s="12"/>
      <c r="FI170" s="12"/>
      <c r="FJ170" s="12"/>
      <c r="FK170" s="12"/>
      <c r="FL170" s="12"/>
      <c r="FM170" s="12"/>
      <c r="FN170" s="12"/>
      <c r="FO170" s="12"/>
      <c r="FP170" s="12"/>
      <c r="FQ170" s="12"/>
      <c r="FR170" s="12"/>
      <c r="FS170" s="12"/>
      <c r="FT170" s="12"/>
      <c r="FU170" s="12"/>
      <c r="FV170" s="12"/>
      <c r="FW170" s="12"/>
      <c r="FX170" s="12"/>
      <c r="FY170" s="12"/>
      <c r="FZ170" s="12"/>
      <c r="GA170" s="12"/>
      <c r="GB170" s="12"/>
      <c r="GC170" s="12"/>
      <c r="GD170" s="12"/>
      <c r="GE170" s="12"/>
    </row>
    <row r="171" spans="1:187" ht="21" customHeight="1">
      <c r="A171" s="45"/>
      <c r="B171" s="9" t="s">
        <v>272</v>
      </c>
      <c r="C171" s="10" t="s">
        <v>199</v>
      </c>
      <c r="D171" s="10" t="s">
        <v>200</v>
      </c>
      <c r="E171" s="35">
        <v>47.841000000000001</v>
      </c>
      <c r="F171" s="35">
        <f>64.535-E171</f>
        <v>16.693999999999996</v>
      </c>
      <c r="G171" s="35">
        <v>8.5</v>
      </c>
      <c r="H171" s="35">
        <v>51</v>
      </c>
      <c r="I171" s="35">
        <f t="shared" si="19"/>
        <v>124.035</v>
      </c>
      <c r="J171" s="56">
        <f>'2021'!J172</f>
        <v>135.97333333333333</v>
      </c>
      <c r="K171" s="49">
        <v>4555.8181759999998</v>
      </c>
      <c r="L171" s="49">
        <v>4738.0509030399999</v>
      </c>
      <c r="M171" s="49">
        <v>2001.3029816000001</v>
      </c>
      <c r="N171" s="49">
        <v>2081.3551008640002</v>
      </c>
      <c r="O171" s="56">
        <f t="shared" si="20"/>
        <v>2554.5151943999999</v>
      </c>
      <c r="P171" s="1">
        <f t="shared" si="14"/>
        <v>122210.5614152904</v>
      </c>
      <c r="Q171" s="1">
        <f t="shared" si="15"/>
        <v>42645.076655313591</v>
      </c>
      <c r="R171" s="1">
        <f t="shared" si="16"/>
        <v>22581.914318495998</v>
      </c>
      <c r="S171" s="1">
        <f t="shared" si="17"/>
        <v>135491.48591097599</v>
      </c>
      <c r="T171" s="1">
        <f t="shared" si="18"/>
        <v>322929.03830007603</v>
      </c>
      <c r="U171" s="11"/>
      <c r="V171" s="11"/>
      <c r="W171" s="11"/>
      <c r="X171" s="12"/>
      <c r="Y171" s="12"/>
      <c r="Z171" s="12"/>
      <c r="AA171" s="12"/>
      <c r="AB171" s="12"/>
      <c r="AC171" s="12"/>
      <c r="AD171" s="12"/>
      <c r="AE171" s="12"/>
      <c r="AF171" s="12"/>
      <c r="AG171" s="12"/>
      <c r="AH171" s="12"/>
      <c r="AI171" s="12"/>
      <c r="AJ171" s="12"/>
      <c r="AK171" s="12"/>
      <c r="AL171" s="12"/>
      <c r="AM171" s="12"/>
      <c r="AN171" s="12"/>
      <c r="AO171" s="12"/>
      <c r="AP171" s="12"/>
      <c r="AQ171" s="12"/>
      <c r="AR171" s="12"/>
      <c r="AS171" s="12"/>
      <c r="AT171" s="12"/>
      <c r="AU171" s="12"/>
      <c r="AV171" s="12"/>
      <c r="AW171" s="12"/>
      <c r="AX171" s="12"/>
      <c r="AY171" s="12"/>
      <c r="AZ171" s="12"/>
      <c r="BA171" s="12"/>
      <c r="BB171" s="12"/>
      <c r="BC171" s="12"/>
      <c r="BD171" s="12"/>
      <c r="BE171" s="12"/>
      <c r="BF171" s="12"/>
      <c r="BG171" s="12"/>
      <c r="BH171" s="12"/>
      <c r="BI171" s="12"/>
      <c r="BJ171" s="12"/>
      <c r="BK171" s="12"/>
      <c r="BL171" s="12"/>
      <c r="BM171" s="12"/>
      <c r="BN171" s="12"/>
      <c r="BO171" s="12"/>
      <c r="BP171" s="12"/>
      <c r="BQ171" s="12"/>
      <c r="BR171" s="12"/>
      <c r="BS171" s="12"/>
      <c r="BT171" s="12"/>
      <c r="BU171" s="12"/>
      <c r="BV171" s="12"/>
      <c r="BW171" s="12"/>
      <c r="BX171" s="12"/>
      <c r="BY171" s="12"/>
      <c r="BZ171" s="12"/>
      <c r="CA171" s="12"/>
      <c r="CB171" s="12"/>
      <c r="CC171" s="12"/>
      <c r="CD171" s="12"/>
      <c r="CE171" s="12"/>
      <c r="CF171" s="12"/>
      <c r="CG171" s="12"/>
      <c r="CH171" s="12"/>
      <c r="CI171" s="12"/>
      <c r="CJ171" s="12"/>
      <c r="CK171" s="12"/>
      <c r="CL171" s="12"/>
      <c r="CM171" s="12"/>
      <c r="CN171" s="12"/>
      <c r="CO171" s="12"/>
      <c r="CP171" s="12"/>
      <c r="CQ171" s="12"/>
      <c r="CR171" s="12"/>
      <c r="CS171" s="12"/>
      <c r="CT171" s="12"/>
      <c r="CU171" s="12"/>
      <c r="CV171" s="12"/>
      <c r="CW171" s="12"/>
      <c r="CX171" s="12"/>
      <c r="CY171" s="12"/>
      <c r="CZ171" s="12"/>
      <c r="DA171" s="12"/>
      <c r="DB171" s="12"/>
      <c r="DC171" s="12"/>
      <c r="DD171" s="12"/>
      <c r="DE171" s="12"/>
      <c r="DF171" s="12"/>
      <c r="DG171" s="12"/>
      <c r="DH171" s="12"/>
      <c r="DI171" s="12"/>
      <c r="DJ171" s="12"/>
      <c r="DK171" s="12"/>
      <c r="DL171" s="12"/>
      <c r="DM171" s="12"/>
      <c r="DN171" s="12"/>
      <c r="DO171" s="12"/>
      <c r="DP171" s="12"/>
      <c r="DQ171" s="12"/>
      <c r="DR171" s="12"/>
      <c r="DS171" s="12"/>
      <c r="DT171" s="12"/>
      <c r="DU171" s="12"/>
      <c r="DV171" s="12"/>
      <c r="DW171" s="12"/>
      <c r="DX171" s="12"/>
      <c r="DY171" s="12"/>
      <c r="DZ171" s="12"/>
      <c r="EA171" s="12"/>
      <c r="EB171" s="12"/>
      <c r="EC171" s="12"/>
      <c r="ED171" s="12"/>
      <c r="EE171" s="12"/>
      <c r="EF171" s="12"/>
      <c r="EG171" s="12"/>
      <c r="EH171" s="12"/>
      <c r="EI171" s="12"/>
      <c r="EJ171" s="12"/>
      <c r="EK171" s="12"/>
      <c r="EL171" s="12"/>
      <c r="EM171" s="12"/>
      <c r="EN171" s="12"/>
      <c r="EO171" s="12"/>
      <c r="EP171" s="12"/>
      <c r="EQ171" s="12"/>
      <c r="ER171" s="12"/>
      <c r="ES171" s="12"/>
      <c r="ET171" s="12"/>
      <c r="EU171" s="12"/>
      <c r="EV171" s="12"/>
      <c r="EW171" s="12"/>
      <c r="EX171" s="12"/>
      <c r="EY171" s="12"/>
      <c r="EZ171" s="12"/>
      <c r="FA171" s="12"/>
      <c r="FB171" s="12"/>
      <c r="FC171" s="12"/>
      <c r="FD171" s="12"/>
      <c r="FE171" s="12"/>
      <c r="FF171" s="12"/>
      <c r="FG171" s="12"/>
      <c r="FH171" s="12"/>
      <c r="FI171" s="12"/>
      <c r="FJ171" s="12"/>
      <c r="FK171" s="12"/>
      <c r="FL171" s="12"/>
      <c r="FM171" s="12"/>
      <c r="FN171" s="12"/>
      <c r="FO171" s="12"/>
      <c r="FP171" s="12"/>
      <c r="FQ171" s="12"/>
      <c r="FR171" s="12"/>
      <c r="FS171" s="12"/>
      <c r="FT171" s="12"/>
      <c r="FU171" s="12"/>
      <c r="FV171" s="12"/>
      <c r="FW171" s="12"/>
      <c r="FX171" s="12"/>
      <c r="FY171" s="12"/>
      <c r="FZ171" s="12"/>
      <c r="GA171" s="12"/>
      <c r="GB171" s="12"/>
      <c r="GC171" s="12"/>
      <c r="GD171" s="12"/>
      <c r="GE171" s="12"/>
    </row>
    <row r="172" spans="1:187" ht="21" customHeight="1">
      <c r="A172" s="45"/>
      <c r="B172" s="9" t="s">
        <v>382</v>
      </c>
      <c r="C172" s="10" t="s">
        <v>383</v>
      </c>
      <c r="D172" s="10" t="s">
        <v>201</v>
      </c>
      <c r="E172" s="35">
        <v>7.6079999999999997</v>
      </c>
      <c r="F172" s="35">
        <f>11.38-E172</f>
        <v>3.7720000000000011</v>
      </c>
      <c r="G172" s="35">
        <v>1.18</v>
      </c>
      <c r="H172" s="35">
        <v>7.05</v>
      </c>
      <c r="I172" s="35">
        <f t="shared" si="19"/>
        <v>19.61</v>
      </c>
      <c r="J172" s="56">
        <f>'2021'!J173</f>
        <v>20.75</v>
      </c>
      <c r="K172" s="49">
        <v>4642.0088000000005</v>
      </c>
      <c r="L172" s="49">
        <v>4827.6891520000008</v>
      </c>
      <c r="M172" s="49">
        <v>2001.1196399999999</v>
      </c>
      <c r="N172" s="49">
        <v>2081.1644256</v>
      </c>
      <c r="O172" s="56">
        <f t="shared" si="20"/>
        <v>2640.8891600000006</v>
      </c>
      <c r="P172" s="1">
        <f t="shared" si="14"/>
        <v>20091.884729280006</v>
      </c>
      <c r="Q172" s="1">
        <f t="shared" si="15"/>
        <v>9961.4339115200055</v>
      </c>
      <c r="R172" s="1">
        <f t="shared" si="16"/>
        <v>3240.8991771520009</v>
      </c>
      <c r="S172" s="1">
        <f t="shared" si="17"/>
        <v>19362.999321120005</v>
      </c>
      <c r="T172" s="1">
        <f t="shared" si="18"/>
        <v>52657.217139072018</v>
      </c>
      <c r="U172" s="11"/>
      <c r="V172" s="11"/>
      <c r="W172" s="11"/>
      <c r="X172" s="12"/>
      <c r="Y172" s="12"/>
      <c r="Z172" s="12"/>
      <c r="AA172" s="12"/>
      <c r="AB172" s="12"/>
      <c r="AC172" s="12"/>
      <c r="AD172" s="12"/>
      <c r="AE172" s="12"/>
      <c r="AF172" s="12"/>
      <c r="AG172" s="12"/>
      <c r="AH172" s="12"/>
      <c r="AI172" s="12"/>
      <c r="AJ172" s="12"/>
      <c r="AK172" s="12"/>
      <c r="AL172" s="12"/>
      <c r="AM172" s="12"/>
      <c r="AN172" s="12"/>
      <c r="AO172" s="12"/>
      <c r="AP172" s="12"/>
      <c r="AQ172" s="12"/>
      <c r="AR172" s="12"/>
      <c r="AS172" s="12"/>
      <c r="AT172" s="12"/>
      <c r="AU172" s="12"/>
      <c r="AV172" s="12"/>
      <c r="AW172" s="12"/>
      <c r="AX172" s="12"/>
      <c r="AY172" s="12"/>
      <c r="AZ172" s="12"/>
      <c r="BA172" s="12"/>
      <c r="BB172" s="12"/>
      <c r="BC172" s="12"/>
      <c r="BD172" s="12"/>
      <c r="BE172" s="12"/>
      <c r="BF172" s="12"/>
      <c r="BG172" s="12"/>
      <c r="BH172" s="12"/>
      <c r="BI172" s="12"/>
      <c r="BJ172" s="12"/>
      <c r="BK172" s="12"/>
      <c r="BL172" s="12"/>
      <c r="BM172" s="12"/>
      <c r="BN172" s="12"/>
      <c r="BO172" s="12"/>
      <c r="BP172" s="12"/>
      <c r="BQ172" s="12"/>
      <c r="BR172" s="12"/>
      <c r="BS172" s="12"/>
      <c r="BT172" s="12"/>
      <c r="BU172" s="12"/>
      <c r="BV172" s="12"/>
      <c r="BW172" s="12"/>
      <c r="BX172" s="12"/>
      <c r="BY172" s="12"/>
      <c r="BZ172" s="12"/>
      <c r="CA172" s="12"/>
      <c r="CB172" s="12"/>
      <c r="CC172" s="12"/>
      <c r="CD172" s="12"/>
      <c r="CE172" s="12"/>
      <c r="CF172" s="12"/>
      <c r="CG172" s="12"/>
      <c r="CH172" s="12"/>
      <c r="CI172" s="12"/>
      <c r="CJ172" s="12"/>
      <c r="CK172" s="12"/>
      <c r="CL172" s="12"/>
      <c r="CM172" s="12"/>
      <c r="CN172" s="12"/>
      <c r="CO172" s="12"/>
      <c r="CP172" s="12"/>
      <c r="CQ172" s="12"/>
      <c r="CR172" s="12"/>
      <c r="CS172" s="12"/>
      <c r="CT172" s="12"/>
      <c r="CU172" s="12"/>
      <c r="CV172" s="12"/>
      <c r="CW172" s="12"/>
      <c r="CX172" s="12"/>
      <c r="CY172" s="12"/>
      <c r="CZ172" s="12"/>
      <c r="DA172" s="12"/>
      <c r="DB172" s="12"/>
      <c r="DC172" s="12"/>
      <c r="DD172" s="12"/>
      <c r="DE172" s="12"/>
      <c r="DF172" s="12"/>
      <c r="DG172" s="12"/>
      <c r="DH172" s="12"/>
      <c r="DI172" s="12"/>
      <c r="DJ172" s="12"/>
      <c r="DK172" s="12"/>
      <c r="DL172" s="12"/>
      <c r="DM172" s="12"/>
      <c r="DN172" s="12"/>
      <c r="DO172" s="12"/>
      <c r="DP172" s="12"/>
      <c r="DQ172" s="12"/>
      <c r="DR172" s="12"/>
      <c r="DS172" s="12"/>
      <c r="DT172" s="12"/>
      <c r="DU172" s="12"/>
      <c r="DV172" s="12"/>
      <c r="DW172" s="12"/>
      <c r="DX172" s="12"/>
      <c r="DY172" s="12"/>
      <c r="DZ172" s="12"/>
      <c r="EA172" s="12"/>
      <c r="EB172" s="12"/>
      <c r="EC172" s="12"/>
      <c r="ED172" s="12"/>
      <c r="EE172" s="12"/>
      <c r="EF172" s="12"/>
      <c r="EG172" s="12"/>
      <c r="EH172" s="12"/>
      <c r="EI172" s="12"/>
      <c r="EJ172" s="12"/>
      <c r="EK172" s="12"/>
      <c r="EL172" s="12"/>
      <c r="EM172" s="12"/>
      <c r="EN172" s="12"/>
      <c r="EO172" s="12"/>
      <c r="EP172" s="12"/>
      <c r="EQ172" s="12"/>
      <c r="ER172" s="12"/>
      <c r="ES172" s="12"/>
      <c r="ET172" s="12"/>
      <c r="EU172" s="12"/>
      <c r="EV172" s="12"/>
      <c r="EW172" s="12"/>
      <c r="EX172" s="12"/>
      <c r="EY172" s="12"/>
      <c r="EZ172" s="12"/>
      <c r="FA172" s="12"/>
      <c r="FB172" s="12"/>
      <c r="FC172" s="12"/>
      <c r="FD172" s="12"/>
      <c r="FE172" s="12"/>
      <c r="FF172" s="12"/>
      <c r="FG172" s="12"/>
      <c r="FH172" s="12"/>
      <c r="FI172" s="12"/>
      <c r="FJ172" s="12"/>
      <c r="FK172" s="12"/>
      <c r="FL172" s="12"/>
      <c r="FM172" s="12"/>
      <c r="FN172" s="12"/>
      <c r="FO172" s="12"/>
      <c r="FP172" s="12"/>
      <c r="FQ172" s="12"/>
      <c r="FR172" s="12"/>
      <c r="FS172" s="12"/>
      <c r="FT172" s="12"/>
      <c r="FU172" s="12"/>
      <c r="FV172" s="12"/>
      <c r="FW172" s="12"/>
      <c r="FX172" s="12"/>
      <c r="FY172" s="12"/>
      <c r="FZ172" s="12"/>
      <c r="GA172" s="12"/>
      <c r="GB172" s="12"/>
      <c r="GC172" s="12"/>
      <c r="GD172" s="12"/>
      <c r="GE172" s="12"/>
    </row>
    <row r="173" spans="1:187" ht="21" customHeight="1">
      <c r="A173" s="45"/>
      <c r="B173" s="9" t="s">
        <v>382</v>
      </c>
      <c r="C173" s="10" t="s">
        <v>383</v>
      </c>
      <c r="D173" s="10" t="s">
        <v>302</v>
      </c>
      <c r="E173" s="35">
        <v>59.927999999999997</v>
      </c>
      <c r="F173" s="35">
        <f>84.997-E173</f>
        <v>25.069000000000003</v>
      </c>
      <c r="G173" s="35">
        <v>9.3699999999999992</v>
      </c>
      <c r="H173" s="35">
        <v>56.22</v>
      </c>
      <c r="I173" s="35">
        <f t="shared" si="19"/>
        <v>150.58699999999999</v>
      </c>
      <c r="J173" s="56">
        <f>'2021'!J174</f>
        <v>149.06</v>
      </c>
      <c r="K173" s="49">
        <v>6566.7180800000006</v>
      </c>
      <c r="L173" s="49">
        <v>6829.3868032000009</v>
      </c>
      <c r="M173" s="49">
        <v>1773.3662335999998</v>
      </c>
      <c r="N173" s="49">
        <v>1844.3008829439998</v>
      </c>
      <c r="O173" s="56">
        <f t="shared" si="20"/>
        <v>4793.3518464000008</v>
      </c>
      <c r="P173" s="1">
        <f t="shared" si="14"/>
        <v>287255.98945105926</v>
      </c>
      <c r="Q173" s="1">
        <f t="shared" si="15"/>
        <v>120164.53743740164</v>
      </c>
      <c r="R173" s="1">
        <f t="shared" si="16"/>
        <v>46710.255072798725</v>
      </c>
      <c r="S173" s="1">
        <f t="shared" si="17"/>
        <v>280261.53043679241</v>
      </c>
      <c r="T173" s="1">
        <f t="shared" si="18"/>
        <v>734392.31239805208</v>
      </c>
      <c r="U173" s="11"/>
      <c r="V173" s="11"/>
      <c r="W173" s="11"/>
      <c r="X173" s="12"/>
      <c r="Y173" s="12"/>
      <c r="Z173" s="12"/>
      <c r="AA173" s="12"/>
      <c r="AB173" s="12"/>
      <c r="AC173" s="12"/>
      <c r="AD173" s="12"/>
      <c r="AE173" s="12"/>
      <c r="AF173" s="12"/>
      <c r="AG173" s="12"/>
      <c r="AH173" s="12"/>
      <c r="AI173" s="12"/>
      <c r="AJ173" s="12"/>
      <c r="AK173" s="12"/>
      <c r="AL173" s="12"/>
      <c r="AM173" s="12"/>
      <c r="AN173" s="12"/>
      <c r="AO173" s="12"/>
      <c r="AP173" s="12"/>
      <c r="AQ173" s="12"/>
      <c r="AR173" s="12"/>
      <c r="AS173" s="12"/>
      <c r="AT173" s="12"/>
      <c r="AU173" s="12"/>
      <c r="AV173" s="12"/>
      <c r="AW173" s="12"/>
      <c r="AX173" s="12"/>
      <c r="AY173" s="12"/>
      <c r="AZ173" s="12"/>
      <c r="BA173" s="12"/>
      <c r="BB173" s="12"/>
      <c r="BC173" s="12"/>
      <c r="BD173" s="12"/>
      <c r="BE173" s="12"/>
      <c r="BF173" s="12"/>
      <c r="BG173" s="12"/>
      <c r="BH173" s="12"/>
      <c r="BI173" s="12"/>
      <c r="BJ173" s="12"/>
      <c r="BK173" s="12"/>
      <c r="BL173" s="12"/>
      <c r="BM173" s="12"/>
      <c r="BN173" s="12"/>
      <c r="BO173" s="12"/>
      <c r="BP173" s="12"/>
      <c r="BQ173" s="12"/>
      <c r="BR173" s="12"/>
      <c r="BS173" s="12"/>
      <c r="BT173" s="12"/>
      <c r="BU173" s="12"/>
      <c r="BV173" s="12"/>
      <c r="BW173" s="12"/>
      <c r="BX173" s="12"/>
      <c r="BY173" s="12"/>
      <c r="BZ173" s="12"/>
      <c r="CA173" s="12"/>
      <c r="CB173" s="12"/>
      <c r="CC173" s="12"/>
      <c r="CD173" s="12"/>
      <c r="CE173" s="12"/>
      <c r="CF173" s="12"/>
      <c r="CG173" s="12"/>
      <c r="CH173" s="12"/>
      <c r="CI173" s="12"/>
      <c r="CJ173" s="12"/>
      <c r="CK173" s="12"/>
      <c r="CL173" s="12"/>
      <c r="CM173" s="12"/>
      <c r="CN173" s="12"/>
      <c r="CO173" s="12"/>
      <c r="CP173" s="12"/>
      <c r="CQ173" s="12"/>
      <c r="CR173" s="12"/>
      <c r="CS173" s="12"/>
      <c r="CT173" s="12"/>
      <c r="CU173" s="12"/>
      <c r="CV173" s="12"/>
      <c r="CW173" s="12"/>
      <c r="CX173" s="12"/>
      <c r="CY173" s="12"/>
      <c r="CZ173" s="12"/>
      <c r="DA173" s="12"/>
      <c r="DB173" s="12"/>
      <c r="DC173" s="12"/>
      <c r="DD173" s="12"/>
      <c r="DE173" s="12"/>
      <c r="DF173" s="12"/>
      <c r="DG173" s="12"/>
      <c r="DH173" s="12"/>
      <c r="DI173" s="12"/>
      <c r="DJ173" s="12"/>
      <c r="DK173" s="12"/>
      <c r="DL173" s="12"/>
      <c r="DM173" s="12"/>
      <c r="DN173" s="12"/>
      <c r="DO173" s="12"/>
      <c r="DP173" s="12"/>
      <c r="DQ173" s="12"/>
      <c r="DR173" s="12"/>
      <c r="DS173" s="12"/>
      <c r="DT173" s="12"/>
      <c r="DU173" s="12"/>
      <c r="DV173" s="12"/>
      <c r="DW173" s="12"/>
      <c r="DX173" s="12"/>
      <c r="DY173" s="12"/>
      <c r="DZ173" s="12"/>
      <c r="EA173" s="12"/>
      <c r="EB173" s="12"/>
      <c r="EC173" s="12"/>
      <c r="ED173" s="12"/>
      <c r="EE173" s="12"/>
      <c r="EF173" s="12"/>
      <c r="EG173" s="12"/>
      <c r="EH173" s="12"/>
      <c r="EI173" s="12"/>
      <c r="EJ173" s="12"/>
      <c r="EK173" s="12"/>
      <c r="EL173" s="12"/>
      <c r="EM173" s="12"/>
      <c r="EN173" s="12"/>
      <c r="EO173" s="12"/>
      <c r="EP173" s="12"/>
      <c r="EQ173" s="12"/>
      <c r="ER173" s="12"/>
      <c r="ES173" s="12"/>
      <c r="ET173" s="12"/>
      <c r="EU173" s="12"/>
      <c r="EV173" s="12"/>
      <c r="EW173" s="12"/>
      <c r="EX173" s="12"/>
      <c r="EY173" s="12"/>
      <c r="EZ173" s="12"/>
      <c r="FA173" s="12"/>
      <c r="FB173" s="12"/>
      <c r="FC173" s="12"/>
      <c r="FD173" s="12"/>
      <c r="FE173" s="12"/>
      <c r="FF173" s="12"/>
      <c r="FG173" s="12"/>
      <c r="FH173" s="12"/>
      <c r="FI173" s="12"/>
      <c r="FJ173" s="12"/>
      <c r="FK173" s="12"/>
      <c r="FL173" s="12"/>
      <c r="FM173" s="12"/>
      <c r="FN173" s="12"/>
      <c r="FO173" s="12"/>
      <c r="FP173" s="12"/>
      <c r="FQ173" s="12"/>
      <c r="FR173" s="12"/>
      <c r="FS173" s="12"/>
      <c r="FT173" s="12"/>
      <c r="FU173" s="12"/>
      <c r="FV173" s="12"/>
      <c r="FW173" s="12"/>
      <c r="FX173" s="12"/>
      <c r="FY173" s="12"/>
      <c r="FZ173" s="12"/>
      <c r="GA173" s="12"/>
      <c r="GB173" s="12"/>
      <c r="GC173" s="12"/>
      <c r="GD173" s="12"/>
      <c r="GE173" s="12"/>
    </row>
    <row r="174" spans="1:187" ht="21" customHeight="1">
      <c r="A174" s="45"/>
      <c r="B174" s="101" t="s">
        <v>202</v>
      </c>
      <c r="C174" s="101"/>
      <c r="D174" s="101"/>
      <c r="E174" s="34"/>
      <c r="F174" s="34"/>
      <c r="G174" s="34"/>
      <c r="H174" s="34"/>
      <c r="I174" s="35">
        <f t="shared" si="19"/>
        <v>0</v>
      </c>
      <c r="J174" s="56"/>
      <c r="K174" s="49"/>
      <c r="L174" s="49"/>
      <c r="M174" s="49"/>
      <c r="N174" s="49"/>
      <c r="O174" s="56">
        <f t="shared" si="20"/>
        <v>0</v>
      </c>
      <c r="P174" s="1">
        <f t="shared" si="14"/>
        <v>0</v>
      </c>
      <c r="Q174" s="1">
        <f t="shared" si="15"/>
        <v>0</v>
      </c>
      <c r="R174" s="1">
        <f t="shared" si="16"/>
        <v>0</v>
      </c>
      <c r="S174" s="1">
        <f t="shared" si="17"/>
        <v>0</v>
      </c>
      <c r="T174" s="1">
        <f t="shared" si="18"/>
        <v>0</v>
      </c>
      <c r="U174" s="45"/>
      <c r="V174" s="45"/>
      <c r="W174" s="45"/>
    </row>
    <row r="175" spans="1:187" ht="29.25" customHeight="1">
      <c r="A175" s="45"/>
      <c r="B175" s="9" t="s">
        <v>267</v>
      </c>
      <c r="C175" s="10" t="s">
        <v>215</v>
      </c>
      <c r="D175" s="10" t="s">
        <v>325</v>
      </c>
      <c r="E175" s="35">
        <v>1021.745</v>
      </c>
      <c r="F175" s="35">
        <f>1572.266-E175</f>
        <v>550.52100000000007</v>
      </c>
      <c r="G175" s="35">
        <v>204.524</v>
      </c>
      <c r="H175" s="35">
        <f>1069.424-G175</f>
        <v>864.9</v>
      </c>
      <c r="I175" s="35">
        <f t="shared" si="19"/>
        <v>2641.69</v>
      </c>
      <c r="J175" s="56">
        <f>'2021'!J176</f>
        <v>2981.02</v>
      </c>
      <c r="K175" s="49">
        <v>4271.1759999999995</v>
      </c>
      <c r="L175" s="49">
        <v>4442.02304</v>
      </c>
      <c r="M175" s="49">
        <v>1557.1608000000001</v>
      </c>
      <c r="N175" s="49">
        <v>1619.4472320000002</v>
      </c>
      <c r="O175" s="56">
        <f t="shared" si="20"/>
        <v>2714.0151999999994</v>
      </c>
      <c r="P175" s="1">
        <f t="shared" si="14"/>
        <v>2773031.4605239993</v>
      </c>
      <c r="Q175" s="1">
        <f t="shared" si="15"/>
        <v>1494122.3619191998</v>
      </c>
      <c r="R175" s="1">
        <f t="shared" si="16"/>
        <v>577284.49455539195</v>
      </c>
      <c r="S175" s="1">
        <f t="shared" si="17"/>
        <v>2441245.8163391994</v>
      </c>
      <c r="T175" s="1">
        <f t="shared" si="18"/>
        <v>7285684.1333377911</v>
      </c>
      <c r="U175" s="11"/>
      <c r="V175" s="11"/>
      <c r="W175" s="11"/>
      <c r="X175" s="12"/>
      <c r="Y175" s="12"/>
      <c r="Z175" s="12"/>
      <c r="AA175" s="12"/>
      <c r="AB175" s="12"/>
      <c r="AC175" s="12"/>
      <c r="AD175" s="12"/>
      <c r="AE175" s="12"/>
      <c r="AF175" s="12"/>
      <c r="AG175" s="12"/>
      <c r="AH175" s="12"/>
      <c r="AI175" s="12"/>
      <c r="AJ175" s="12"/>
      <c r="AK175" s="12"/>
      <c r="AL175" s="12"/>
      <c r="AM175" s="12"/>
      <c r="AN175" s="12"/>
      <c r="AO175" s="12"/>
      <c r="AP175" s="12"/>
      <c r="AQ175" s="12"/>
      <c r="AR175" s="12"/>
      <c r="AS175" s="12"/>
      <c r="AT175" s="12"/>
      <c r="AU175" s="12"/>
      <c r="AV175" s="12"/>
      <c r="AW175" s="12"/>
      <c r="AX175" s="12"/>
      <c r="AY175" s="12"/>
      <c r="AZ175" s="12"/>
      <c r="BA175" s="12"/>
      <c r="BB175" s="12"/>
      <c r="BC175" s="12"/>
      <c r="BD175" s="12"/>
      <c r="BE175" s="12"/>
      <c r="BF175" s="12"/>
      <c r="BG175" s="12"/>
      <c r="BH175" s="12"/>
      <c r="BI175" s="12"/>
      <c r="BJ175" s="12"/>
      <c r="BK175" s="12"/>
      <c r="BL175" s="12"/>
      <c r="BM175" s="12"/>
      <c r="BN175" s="12"/>
      <c r="BO175" s="12"/>
      <c r="BP175" s="12"/>
      <c r="BQ175" s="12"/>
      <c r="BR175" s="12"/>
      <c r="BS175" s="12"/>
      <c r="BT175" s="12"/>
      <c r="BU175" s="12"/>
      <c r="BV175" s="12"/>
      <c r="BW175" s="12"/>
      <c r="BX175" s="12"/>
      <c r="BY175" s="12"/>
      <c r="BZ175" s="12"/>
      <c r="CA175" s="12"/>
      <c r="CB175" s="12"/>
      <c r="CC175" s="12"/>
      <c r="CD175" s="12"/>
      <c r="CE175" s="12"/>
      <c r="CF175" s="12"/>
      <c r="CG175" s="12"/>
      <c r="CH175" s="12"/>
      <c r="CI175" s="12"/>
      <c r="CJ175" s="12"/>
      <c r="CK175" s="12"/>
      <c r="CL175" s="12"/>
      <c r="CM175" s="12"/>
      <c r="CN175" s="12"/>
      <c r="CO175" s="12"/>
      <c r="CP175" s="12"/>
      <c r="CQ175" s="12"/>
      <c r="CR175" s="12"/>
      <c r="CS175" s="12"/>
      <c r="CT175" s="12"/>
      <c r="CU175" s="12"/>
      <c r="CV175" s="12"/>
      <c r="CW175" s="12"/>
      <c r="CX175" s="12"/>
      <c r="CY175" s="12"/>
      <c r="CZ175" s="12"/>
      <c r="DA175" s="12"/>
      <c r="DB175" s="12"/>
      <c r="DC175" s="12"/>
      <c r="DD175" s="12"/>
      <c r="DE175" s="12"/>
      <c r="DF175" s="12"/>
      <c r="DG175" s="12"/>
      <c r="DH175" s="12"/>
      <c r="DI175" s="12"/>
      <c r="DJ175" s="12"/>
      <c r="DK175" s="12"/>
      <c r="DL175" s="12"/>
      <c r="DM175" s="12"/>
      <c r="DN175" s="12"/>
      <c r="DO175" s="12"/>
      <c r="DP175" s="12"/>
      <c r="DQ175" s="12"/>
      <c r="DR175" s="12"/>
      <c r="DS175" s="12"/>
      <c r="DT175" s="12"/>
      <c r="DU175" s="12"/>
      <c r="DV175" s="12"/>
      <c r="DW175" s="12"/>
      <c r="DX175" s="12"/>
      <c r="DY175" s="12"/>
      <c r="DZ175" s="12"/>
      <c r="EA175" s="12"/>
      <c r="EB175" s="12"/>
      <c r="EC175" s="12"/>
      <c r="ED175" s="12"/>
      <c r="EE175" s="12"/>
      <c r="EF175" s="12"/>
      <c r="EG175" s="12"/>
      <c r="EH175" s="12"/>
      <c r="EI175" s="12"/>
      <c r="EJ175" s="12"/>
      <c r="EK175" s="12"/>
      <c r="EL175" s="12"/>
      <c r="EM175" s="12"/>
      <c r="EN175" s="12"/>
      <c r="EO175" s="12"/>
      <c r="EP175" s="12"/>
      <c r="EQ175" s="12"/>
      <c r="ER175" s="12"/>
      <c r="ES175" s="12"/>
      <c r="ET175" s="12"/>
      <c r="EU175" s="12"/>
      <c r="EV175" s="12"/>
      <c r="EW175" s="12"/>
      <c r="EX175" s="12"/>
      <c r="EY175" s="12"/>
      <c r="EZ175" s="12"/>
      <c r="FA175" s="12"/>
      <c r="FB175" s="12"/>
      <c r="FC175" s="12"/>
      <c r="FD175" s="12"/>
      <c r="FE175" s="12"/>
      <c r="FF175" s="12"/>
      <c r="FG175" s="12"/>
      <c r="FH175" s="12"/>
      <c r="FI175" s="12"/>
      <c r="FJ175" s="12"/>
      <c r="FK175" s="12"/>
      <c r="FL175" s="12"/>
      <c r="FM175" s="12"/>
      <c r="FN175" s="12"/>
      <c r="FO175" s="12"/>
      <c r="FP175" s="12"/>
      <c r="FQ175" s="12"/>
      <c r="FR175" s="12"/>
      <c r="FS175" s="12"/>
      <c r="FT175" s="12"/>
      <c r="FU175" s="12"/>
      <c r="FV175" s="12"/>
      <c r="FW175" s="12"/>
      <c r="FX175" s="12"/>
      <c r="FY175" s="12"/>
      <c r="FZ175" s="12"/>
      <c r="GA175" s="12"/>
      <c r="GB175" s="12"/>
      <c r="GC175" s="12"/>
      <c r="GD175" s="12"/>
      <c r="GE175" s="12"/>
    </row>
    <row r="176" spans="1:187" ht="21" customHeight="1">
      <c r="A176" s="45"/>
      <c r="B176" s="9" t="s">
        <v>400</v>
      </c>
      <c r="C176" s="10" t="s">
        <v>401</v>
      </c>
      <c r="D176" s="10" t="s">
        <v>300</v>
      </c>
      <c r="E176" s="35">
        <v>755.96799999999996</v>
      </c>
      <c r="F176" s="35">
        <f>1182.214-E176</f>
        <v>426.24599999999998</v>
      </c>
      <c r="G176" s="35">
        <v>193.43</v>
      </c>
      <c r="H176" s="35">
        <v>800</v>
      </c>
      <c r="I176" s="35">
        <f t="shared" si="19"/>
        <v>2175.6440000000002</v>
      </c>
      <c r="J176" s="56">
        <f>'2021'!J177</f>
        <v>2271.4299999999998</v>
      </c>
      <c r="K176" s="49">
        <v>4700.9143999999997</v>
      </c>
      <c r="L176" s="49">
        <v>4888.9509760000001</v>
      </c>
      <c r="M176" s="49">
        <v>1545.2736</v>
      </c>
      <c r="N176" s="49">
        <v>1607.0845440000001</v>
      </c>
      <c r="O176" s="56">
        <f t="shared" si="20"/>
        <v>3155.6407999999997</v>
      </c>
      <c r="P176" s="1">
        <f t="shared" si="14"/>
        <v>2385563.4642943996</v>
      </c>
      <c r="Q176" s="1">
        <f t="shared" si="15"/>
        <v>1345079.2684367998</v>
      </c>
      <c r="R176" s="1">
        <f t="shared" si="16"/>
        <v>634811.42394175997</v>
      </c>
      <c r="S176" s="1">
        <f t="shared" si="17"/>
        <v>2625493.1455999999</v>
      </c>
      <c r="T176" s="1">
        <f t="shared" si="18"/>
        <v>6990947.3022729587</v>
      </c>
      <c r="U176" s="11"/>
      <c r="V176" s="11"/>
      <c r="W176" s="11"/>
      <c r="X176" s="12"/>
      <c r="Y176" s="12"/>
      <c r="Z176" s="12"/>
      <c r="AA176" s="12"/>
      <c r="AB176" s="12"/>
      <c r="AC176" s="12"/>
      <c r="AD176" s="12"/>
      <c r="AE176" s="12"/>
      <c r="AF176" s="12"/>
      <c r="AG176" s="12"/>
      <c r="AH176" s="12"/>
      <c r="AI176" s="12"/>
      <c r="AJ176" s="12"/>
      <c r="AK176" s="12"/>
      <c r="AL176" s="12"/>
      <c r="AM176" s="12"/>
      <c r="AN176" s="12"/>
      <c r="AO176" s="12"/>
      <c r="AP176" s="12"/>
      <c r="AQ176" s="12"/>
      <c r="AR176" s="12"/>
      <c r="AS176" s="12"/>
      <c r="AT176" s="12"/>
      <c r="AU176" s="12"/>
      <c r="AV176" s="12"/>
      <c r="AW176" s="12"/>
      <c r="AX176" s="12"/>
      <c r="AY176" s="12"/>
      <c r="AZ176" s="12"/>
      <c r="BA176" s="12"/>
      <c r="BB176" s="12"/>
      <c r="BC176" s="12"/>
      <c r="BD176" s="12"/>
      <c r="BE176" s="12"/>
      <c r="BF176" s="12"/>
      <c r="BG176" s="12"/>
      <c r="BH176" s="12"/>
      <c r="BI176" s="12"/>
      <c r="BJ176" s="12"/>
      <c r="BK176" s="12"/>
      <c r="BL176" s="12"/>
      <c r="BM176" s="12"/>
      <c r="BN176" s="12"/>
      <c r="BO176" s="12"/>
      <c r="BP176" s="12"/>
      <c r="BQ176" s="12"/>
      <c r="BR176" s="12"/>
      <c r="BS176" s="12"/>
      <c r="BT176" s="12"/>
      <c r="BU176" s="12"/>
      <c r="BV176" s="12"/>
      <c r="BW176" s="12"/>
      <c r="BX176" s="12"/>
      <c r="BY176" s="12"/>
      <c r="BZ176" s="12"/>
      <c r="CA176" s="12"/>
      <c r="CB176" s="12"/>
      <c r="CC176" s="12"/>
      <c r="CD176" s="12"/>
      <c r="CE176" s="12"/>
      <c r="CF176" s="12"/>
      <c r="CG176" s="12"/>
      <c r="CH176" s="12"/>
      <c r="CI176" s="12"/>
      <c r="CJ176" s="12"/>
      <c r="CK176" s="12"/>
      <c r="CL176" s="12"/>
      <c r="CM176" s="12"/>
      <c r="CN176" s="12"/>
      <c r="CO176" s="12"/>
      <c r="CP176" s="12"/>
      <c r="CQ176" s="12"/>
      <c r="CR176" s="12"/>
      <c r="CS176" s="12"/>
      <c r="CT176" s="12"/>
      <c r="CU176" s="12"/>
      <c r="CV176" s="12"/>
      <c r="CW176" s="12"/>
      <c r="CX176" s="12"/>
      <c r="CY176" s="12"/>
      <c r="CZ176" s="12"/>
      <c r="DA176" s="12"/>
      <c r="DB176" s="12"/>
      <c r="DC176" s="12"/>
      <c r="DD176" s="12"/>
      <c r="DE176" s="12"/>
      <c r="DF176" s="12"/>
      <c r="DG176" s="12"/>
      <c r="DH176" s="12"/>
      <c r="DI176" s="12"/>
      <c r="DJ176" s="12"/>
      <c r="DK176" s="12"/>
      <c r="DL176" s="12"/>
      <c r="DM176" s="12"/>
      <c r="DN176" s="12"/>
      <c r="DO176" s="12"/>
      <c r="DP176" s="12"/>
      <c r="DQ176" s="12"/>
      <c r="DR176" s="12"/>
      <c r="DS176" s="12"/>
      <c r="DT176" s="12"/>
      <c r="DU176" s="12"/>
      <c r="DV176" s="12"/>
      <c r="DW176" s="12"/>
      <c r="DX176" s="12"/>
      <c r="DY176" s="12"/>
      <c r="DZ176" s="12"/>
      <c r="EA176" s="12"/>
      <c r="EB176" s="12"/>
      <c r="EC176" s="12"/>
      <c r="ED176" s="12"/>
      <c r="EE176" s="12"/>
      <c r="EF176" s="12"/>
      <c r="EG176" s="12"/>
      <c r="EH176" s="12"/>
      <c r="EI176" s="12"/>
      <c r="EJ176" s="12"/>
      <c r="EK176" s="12"/>
      <c r="EL176" s="12"/>
      <c r="EM176" s="12"/>
      <c r="EN176" s="12"/>
      <c r="EO176" s="12"/>
      <c r="EP176" s="12"/>
      <c r="EQ176" s="12"/>
      <c r="ER176" s="12"/>
      <c r="ES176" s="12"/>
      <c r="ET176" s="12"/>
      <c r="EU176" s="12"/>
      <c r="EV176" s="12"/>
      <c r="EW176" s="12"/>
      <c r="EX176" s="12"/>
      <c r="EY176" s="12"/>
      <c r="EZ176" s="12"/>
      <c r="FA176" s="12"/>
      <c r="FB176" s="12"/>
      <c r="FC176" s="12"/>
      <c r="FD176" s="12"/>
      <c r="FE176" s="12"/>
      <c r="FF176" s="12"/>
      <c r="FG176" s="12"/>
      <c r="FH176" s="12"/>
      <c r="FI176" s="12"/>
      <c r="FJ176" s="12"/>
      <c r="FK176" s="12"/>
      <c r="FL176" s="12"/>
      <c r="FM176" s="12"/>
      <c r="FN176" s="12"/>
      <c r="FO176" s="12"/>
      <c r="FP176" s="12"/>
      <c r="FQ176" s="12"/>
      <c r="FR176" s="12"/>
      <c r="FS176" s="12"/>
      <c r="FT176" s="12"/>
      <c r="FU176" s="12"/>
      <c r="FV176" s="12"/>
      <c r="FW176" s="12"/>
      <c r="FX176" s="12"/>
      <c r="FY176" s="12"/>
      <c r="FZ176" s="12"/>
      <c r="GA176" s="12"/>
      <c r="GB176" s="12"/>
      <c r="GC176" s="12"/>
      <c r="GD176" s="12"/>
      <c r="GE176" s="12"/>
    </row>
    <row r="177" spans="1:187" ht="21" customHeight="1">
      <c r="A177" s="45"/>
      <c r="B177" s="9" t="s">
        <v>29</v>
      </c>
      <c r="C177" s="10" t="s">
        <v>214</v>
      </c>
      <c r="D177" s="10" t="s">
        <v>208</v>
      </c>
      <c r="E177" s="35">
        <v>3259.2689999999998</v>
      </c>
      <c r="F177" s="35">
        <f>4912.938-E177</f>
        <v>1653.6690000000003</v>
      </c>
      <c r="G177" s="35">
        <v>592.16099999999994</v>
      </c>
      <c r="H177" s="35">
        <f>3230.329-G177</f>
        <v>2638.1680000000001</v>
      </c>
      <c r="I177" s="35">
        <f t="shared" si="19"/>
        <v>8143.2669999999998</v>
      </c>
      <c r="J177" s="56">
        <f>'2021'!J178</f>
        <v>9146</v>
      </c>
      <c r="K177" s="49">
        <v>4270.1984000000002</v>
      </c>
      <c r="L177" s="49">
        <v>4441.0063360000004</v>
      </c>
      <c r="M177" s="49">
        <v>1545.2736</v>
      </c>
      <c r="N177" s="49">
        <v>1607.0845440000001</v>
      </c>
      <c r="O177" s="56">
        <f t="shared" si="20"/>
        <v>2724.9248000000002</v>
      </c>
      <c r="P177" s="1">
        <f t="shared" si="14"/>
        <v>8881262.927971201</v>
      </c>
      <c r="Q177" s="1">
        <f t="shared" si="15"/>
        <v>4506123.6690912014</v>
      </c>
      <c r="R177" s="1">
        <f t="shared" si="16"/>
        <v>1678137.9622725118</v>
      </c>
      <c r="S177" s="1">
        <f t="shared" si="17"/>
        <v>7476361.7861570567</v>
      </c>
      <c r="T177" s="1">
        <f t="shared" si="18"/>
        <v>22541886.345491968</v>
      </c>
      <c r="U177" s="11"/>
      <c r="V177" s="11"/>
      <c r="W177" s="11"/>
      <c r="X177" s="12"/>
      <c r="Y177" s="12"/>
      <c r="Z177" s="12"/>
      <c r="AA177" s="12"/>
      <c r="AB177" s="12"/>
      <c r="AC177" s="12"/>
      <c r="AD177" s="12"/>
      <c r="AE177" s="12"/>
      <c r="AF177" s="12"/>
      <c r="AG177" s="12"/>
      <c r="AH177" s="12"/>
      <c r="AI177" s="12"/>
      <c r="AJ177" s="12"/>
      <c r="AK177" s="12"/>
      <c r="AL177" s="12"/>
      <c r="AM177" s="12"/>
      <c r="AN177" s="12"/>
      <c r="AO177" s="12"/>
      <c r="AP177" s="12"/>
      <c r="AQ177" s="12"/>
      <c r="AR177" s="12"/>
      <c r="AS177" s="12"/>
      <c r="AT177" s="12"/>
      <c r="AU177" s="12"/>
      <c r="AV177" s="12"/>
      <c r="AW177" s="12"/>
      <c r="AX177" s="12"/>
      <c r="AY177" s="12"/>
      <c r="AZ177" s="12"/>
      <c r="BA177" s="12"/>
      <c r="BB177" s="12"/>
      <c r="BC177" s="12"/>
      <c r="BD177" s="12"/>
      <c r="BE177" s="12"/>
      <c r="BF177" s="12"/>
      <c r="BG177" s="12"/>
      <c r="BH177" s="12"/>
      <c r="BI177" s="12"/>
      <c r="BJ177" s="12"/>
      <c r="BK177" s="12"/>
      <c r="BL177" s="12"/>
      <c r="BM177" s="12"/>
      <c r="BN177" s="12"/>
      <c r="BO177" s="12"/>
      <c r="BP177" s="12"/>
      <c r="BQ177" s="12"/>
      <c r="BR177" s="12"/>
      <c r="BS177" s="12"/>
      <c r="BT177" s="12"/>
      <c r="BU177" s="12"/>
      <c r="BV177" s="12"/>
      <c r="BW177" s="12"/>
      <c r="BX177" s="12"/>
      <c r="BY177" s="12"/>
      <c r="BZ177" s="12"/>
      <c r="CA177" s="12"/>
      <c r="CB177" s="12"/>
      <c r="CC177" s="12"/>
      <c r="CD177" s="12"/>
      <c r="CE177" s="12"/>
      <c r="CF177" s="12"/>
      <c r="CG177" s="12"/>
      <c r="CH177" s="12"/>
      <c r="CI177" s="12"/>
      <c r="CJ177" s="12"/>
      <c r="CK177" s="12"/>
      <c r="CL177" s="12"/>
      <c r="CM177" s="12"/>
      <c r="CN177" s="12"/>
      <c r="CO177" s="12"/>
      <c r="CP177" s="12"/>
      <c r="CQ177" s="12"/>
      <c r="CR177" s="12"/>
      <c r="CS177" s="12"/>
      <c r="CT177" s="12"/>
      <c r="CU177" s="12"/>
      <c r="CV177" s="12"/>
      <c r="CW177" s="12"/>
      <c r="CX177" s="12"/>
      <c r="CY177" s="12"/>
      <c r="CZ177" s="12"/>
      <c r="DA177" s="12"/>
      <c r="DB177" s="12"/>
      <c r="DC177" s="12"/>
      <c r="DD177" s="12"/>
      <c r="DE177" s="12"/>
      <c r="DF177" s="12"/>
      <c r="DG177" s="12"/>
      <c r="DH177" s="12"/>
      <c r="DI177" s="12"/>
      <c r="DJ177" s="12"/>
      <c r="DK177" s="12"/>
      <c r="DL177" s="12"/>
      <c r="DM177" s="12"/>
      <c r="DN177" s="12"/>
      <c r="DO177" s="12"/>
      <c r="DP177" s="12"/>
      <c r="DQ177" s="12"/>
      <c r="DR177" s="12"/>
      <c r="DS177" s="12"/>
      <c r="DT177" s="12"/>
      <c r="DU177" s="12"/>
      <c r="DV177" s="12"/>
      <c r="DW177" s="12"/>
      <c r="DX177" s="12"/>
      <c r="DY177" s="12"/>
      <c r="DZ177" s="12"/>
      <c r="EA177" s="12"/>
      <c r="EB177" s="12"/>
      <c r="EC177" s="12"/>
      <c r="ED177" s="12"/>
      <c r="EE177" s="12"/>
      <c r="EF177" s="12"/>
      <c r="EG177" s="12"/>
      <c r="EH177" s="12"/>
      <c r="EI177" s="12"/>
      <c r="EJ177" s="12"/>
      <c r="EK177" s="12"/>
      <c r="EL177" s="12"/>
      <c r="EM177" s="12"/>
      <c r="EN177" s="12"/>
      <c r="EO177" s="12"/>
      <c r="EP177" s="12"/>
      <c r="EQ177" s="12"/>
      <c r="ER177" s="12"/>
      <c r="ES177" s="12"/>
      <c r="ET177" s="12"/>
      <c r="EU177" s="12"/>
      <c r="EV177" s="12"/>
      <c r="EW177" s="12"/>
      <c r="EX177" s="12"/>
      <c r="EY177" s="12"/>
      <c r="EZ177" s="12"/>
      <c r="FA177" s="12"/>
      <c r="FB177" s="12"/>
      <c r="FC177" s="12"/>
      <c r="FD177" s="12"/>
      <c r="FE177" s="12"/>
      <c r="FF177" s="12"/>
      <c r="FG177" s="12"/>
      <c r="FH177" s="12"/>
      <c r="FI177" s="12"/>
      <c r="FJ177" s="12"/>
      <c r="FK177" s="12"/>
      <c r="FL177" s="12"/>
      <c r="FM177" s="12"/>
      <c r="FN177" s="12"/>
      <c r="FO177" s="12"/>
      <c r="FP177" s="12"/>
      <c r="FQ177" s="12"/>
      <c r="FR177" s="12"/>
      <c r="FS177" s="12"/>
      <c r="FT177" s="12"/>
      <c r="FU177" s="12"/>
      <c r="FV177" s="12"/>
      <c r="FW177" s="12"/>
      <c r="FX177" s="12"/>
      <c r="FY177" s="12"/>
      <c r="FZ177" s="12"/>
      <c r="GA177" s="12"/>
      <c r="GB177" s="12"/>
      <c r="GC177" s="12"/>
      <c r="GD177" s="12"/>
      <c r="GE177" s="12"/>
    </row>
    <row r="178" spans="1:187" ht="21" customHeight="1">
      <c r="A178" s="45"/>
      <c r="B178" s="9" t="s">
        <v>270</v>
      </c>
      <c r="C178" s="10" t="s">
        <v>205</v>
      </c>
      <c r="D178" s="10" t="s">
        <v>206</v>
      </c>
      <c r="E178" s="35">
        <v>3671.558</v>
      </c>
      <c r="F178" s="35">
        <f>5816.564-E178</f>
        <v>2145.0060000000003</v>
      </c>
      <c r="G178" s="35">
        <v>529.36500000000001</v>
      </c>
      <c r="H178" s="35">
        <f>3837.38-G178</f>
        <v>3308.0150000000003</v>
      </c>
      <c r="I178" s="35">
        <f t="shared" si="19"/>
        <v>9653.9439999999995</v>
      </c>
      <c r="J178" s="56">
        <f>'2021'!J179</f>
        <v>8579.1099999999988</v>
      </c>
      <c r="K178" s="49">
        <v>5512.4472000000005</v>
      </c>
      <c r="L178" s="49">
        <v>5732.9450880000004</v>
      </c>
      <c r="M178" s="49">
        <v>1511.0888</v>
      </c>
      <c r="N178" s="49">
        <v>1571.5323519999999</v>
      </c>
      <c r="O178" s="56">
        <f t="shared" si="20"/>
        <v>4001.3584000000005</v>
      </c>
      <c r="P178" s="1">
        <f t="shared" si="14"/>
        <v>14691219.444387201</v>
      </c>
      <c r="Q178" s="1">
        <f t="shared" si="15"/>
        <v>8582937.7761504017</v>
      </c>
      <c r="R178" s="1">
        <f t="shared" si="16"/>
        <v>2202906.2529926402</v>
      </c>
      <c r="S178" s="1">
        <f t="shared" si="17"/>
        <v>13766015.751879042</v>
      </c>
      <c r="T178" s="1">
        <f t="shared" si="18"/>
        <v>39243079.225409284</v>
      </c>
      <c r="U178" s="11"/>
      <c r="V178" s="11"/>
      <c r="W178" s="11"/>
      <c r="X178" s="12"/>
      <c r="Y178" s="12"/>
      <c r="Z178" s="12"/>
      <c r="AA178" s="12"/>
      <c r="AB178" s="12"/>
      <c r="AC178" s="12"/>
      <c r="AD178" s="12"/>
      <c r="AE178" s="12"/>
      <c r="AF178" s="12"/>
      <c r="AG178" s="12"/>
      <c r="AH178" s="12"/>
      <c r="AI178" s="12"/>
      <c r="AJ178" s="12"/>
      <c r="AK178" s="12"/>
      <c r="AL178" s="12"/>
      <c r="AM178" s="12"/>
      <c r="AN178" s="12"/>
      <c r="AO178" s="12"/>
      <c r="AP178" s="12"/>
      <c r="AQ178" s="12"/>
      <c r="AR178" s="12"/>
      <c r="AS178" s="12"/>
      <c r="AT178" s="12"/>
      <c r="AU178" s="12"/>
      <c r="AV178" s="12"/>
      <c r="AW178" s="12"/>
      <c r="AX178" s="12"/>
      <c r="AY178" s="12"/>
      <c r="AZ178" s="12"/>
      <c r="BA178" s="12"/>
      <c r="BB178" s="12"/>
      <c r="BC178" s="12"/>
      <c r="BD178" s="12"/>
      <c r="BE178" s="12"/>
      <c r="BF178" s="12"/>
      <c r="BG178" s="12"/>
      <c r="BH178" s="12"/>
      <c r="BI178" s="12"/>
      <c r="BJ178" s="12"/>
      <c r="BK178" s="12"/>
      <c r="BL178" s="12"/>
      <c r="BM178" s="12"/>
      <c r="BN178" s="12"/>
      <c r="BO178" s="12"/>
      <c r="BP178" s="12"/>
      <c r="BQ178" s="12"/>
      <c r="BR178" s="12"/>
      <c r="BS178" s="12"/>
      <c r="BT178" s="12"/>
      <c r="BU178" s="12"/>
      <c r="BV178" s="12"/>
      <c r="BW178" s="12"/>
      <c r="BX178" s="12"/>
      <c r="BY178" s="12"/>
      <c r="BZ178" s="12"/>
      <c r="CA178" s="12"/>
      <c r="CB178" s="12"/>
      <c r="CC178" s="12"/>
      <c r="CD178" s="12"/>
      <c r="CE178" s="12"/>
      <c r="CF178" s="12"/>
      <c r="CG178" s="12"/>
      <c r="CH178" s="12"/>
      <c r="CI178" s="12"/>
      <c r="CJ178" s="12"/>
      <c r="CK178" s="12"/>
      <c r="CL178" s="12"/>
      <c r="CM178" s="12"/>
      <c r="CN178" s="12"/>
      <c r="CO178" s="12"/>
      <c r="CP178" s="12"/>
      <c r="CQ178" s="12"/>
      <c r="CR178" s="12"/>
      <c r="CS178" s="12"/>
      <c r="CT178" s="12"/>
      <c r="CU178" s="12"/>
      <c r="CV178" s="12"/>
      <c r="CW178" s="12"/>
      <c r="CX178" s="12"/>
      <c r="CY178" s="12"/>
      <c r="CZ178" s="12"/>
      <c r="DA178" s="12"/>
      <c r="DB178" s="12"/>
      <c r="DC178" s="12"/>
      <c r="DD178" s="12"/>
      <c r="DE178" s="12"/>
      <c r="DF178" s="12"/>
      <c r="DG178" s="12"/>
      <c r="DH178" s="12"/>
      <c r="DI178" s="12"/>
      <c r="DJ178" s="12"/>
      <c r="DK178" s="12"/>
      <c r="DL178" s="12"/>
      <c r="DM178" s="12"/>
      <c r="DN178" s="12"/>
      <c r="DO178" s="12"/>
      <c r="DP178" s="12"/>
      <c r="DQ178" s="12"/>
      <c r="DR178" s="12"/>
      <c r="DS178" s="12"/>
      <c r="DT178" s="12"/>
      <c r="DU178" s="12"/>
      <c r="DV178" s="12"/>
      <c r="DW178" s="12"/>
      <c r="DX178" s="12"/>
      <c r="DY178" s="12"/>
      <c r="DZ178" s="12"/>
      <c r="EA178" s="12"/>
      <c r="EB178" s="12"/>
      <c r="EC178" s="12"/>
      <c r="ED178" s="12"/>
      <c r="EE178" s="12"/>
      <c r="EF178" s="12"/>
      <c r="EG178" s="12"/>
      <c r="EH178" s="12"/>
      <c r="EI178" s="12"/>
      <c r="EJ178" s="12"/>
      <c r="EK178" s="12"/>
      <c r="EL178" s="12"/>
      <c r="EM178" s="12"/>
      <c r="EN178" s="12"/>
      <c r="EO178" s="12"/>
      <c r="EP178" s="12"/>
      <c r="EQ178" s="12"/>
      <c r="ER178" s="12"/>
      <c r="ES178" s="12"/>
      <c r="ET178" s="12"/>
      <c r="EU178" s="12"/>
      <c r="EV178" s="12"/>
      <c r="EW178" s="12"/>
      <c r="EX178" s="12"/>
      <c r="EY178" s="12"/>
      <c r="EZ178" s="12"/>
      <c r="FA178" s="12"/>
      <c r="FB178" s="12"/>
      <c r="FC178" s="12"/>
      <c r="FD178" s="12"/>
      <c r="FE178" s="12"/>
      <c r="FF178" s="12"/>
      <c r="FG178" s="12"/>
      <c r="FH178" s="12"/>
      <c r="FI178" s="12"/>
      <c r="FJ178" s="12"/>
      <c r="FK178" s="12"/>
      <c r="FL178" s="12"/>
      <c r="FM178" s="12"/>
      <c r="FN178" s="12"/>
      <c r="FO178" s="12"/>
      <c r="FP178" s="12"/>
      <c r="FQ178" s="12"/>
      <c r="FR178" s="12"/>
      <c r="FS178" s="12"/>
      <c r="FT178" s="12"/>
      <c r="FU178" s="12"/>
      <c r="FV178" s="12"/>
      <c r="FW178" s="12"/>
      <c r="FX178" s="12"/>
      <c r="FY178" s="12"/>
      <c r="FZ178" s="12"/>
      <c r="GA178" s="12"/>
      <c r="GB178" s="12"/>
      <c r="GC178" s="12"/>
      <c r="GD178" s="12"/>
      <c r="GE178" s="12"/>
    </row>
    <row r="179" spans="1:187" ht="21" customHeight="1">
      <c r="A179" s="45"/>
      <c r="B179" s="9" t="s">
        <v>7</v>
      </c>
      <c r="C179" s="10" t="s">
        <v>399</v>
      </c>
      <c r="D179" s="10" t="s">
        <v>311</v>
      </c>
      <c r="E179" s="35">
        <v>190.41</v>
      </c>
      <c r="F179" s="35">
        <f>319.936-E179</f>
        <v>129.52599999999998</v>
      </c>
      <c r="G179" s="35">
        <v>63.47</v>
      </c>
      <c r="H179" s="35">
        <f>253.88-G179</f>
        <v>190.41</v>
      </c>
      <c r="I179" s="35">
        <f t="shared" si="19"/>
        <v>573.81599999999992</v>
      </c>
      <c r="J179" s="56">
        <f>'2021'!J180</f>
        <v>569.16</v>
      </c>
      <c r="K179" s="49">
        <v>5124.8184000000001</v>
      </c>
      <c r="L179" s="49">
        <v>5329.8111360000003</v>
      </c>
      <c r="M179" s="49">
        <v>1574.9864000000002</v>
      </c>
      <c r="N179" s="49">
        <v>1637.9858560000002</v>
      </c>
      <c r="O179" s="56">
        <f t="shared" si="20"/>
        <v>3549.8319999999999</v>
      </c>
      <c r="P179" s="1">
        <f t="shared" si="14"/>
        <v>675923.51111999992</v>
      </c>
      <c r="Q179" s="1">
        <f t="shared" si="15"/>
        <v>459795.53963199991</v>
      </c>
      <c r="R179" s="1">
        <f t="shared" si="16"/>
        <v>234320.15052160001</v>
      </c>
      <c r="S179" s="1">
        <f t="shared" si="17"/>
        <v>702960.45156479999</v>
      </c>
      <c r="T179" s="1">
        <f t="shared" si="18"/>
        <v>2072999.6528383999</v>
      </c>
      <c r="U179" s="11"/>
      <c r="V179" s="11"/>
      <c r="W179" s="11"/>
      <c r="X179" s="12"/>
      <c r="Y179" s="12"/>
      <c r="Z179" s="12"/>
      <c r="AA179" s="12"/>
      <c r="AB179" s="12"/>
      <c r="AC179" s="12"/>
      <c r="AD179" s="12"/>
      <c r="AE179" s="12"/>
      <c r="AF179" s="12"/>
      <c r="AG179" s="12"/>
      <c r="AH179" s="12"/>
      <c r="AI179" s="12"/>
      <c r="AJ179" s="12"/>
      <c r="AK179" s="12"/>
      <c r="AL179" s="12"/>
      <c r="AM179" s="12"/>
      <c r="AN179" s="12"/>
      <c r="AO179" s="12"/>
      <c r="AP179" s="12"/>
      <c r="AQ179" s="12"/>
      <c r="AR179" s="12"/>
      <c r="AS179" s="12"/>
      <c r="AT179" s="12"/>
      <c r="AU179" s="12"/>
      <c r="AV179" s="12"/>
      <c r="AW179" s="12"/>
      <c r="AX179" s="12"/>
      <c r="AY179" s="12"/>
      <c r="AZ179" s="12"/>
      <c r="BA179" s="12"/>
      <c r="BB179" s="12"/>
      <c r="BC179" s="12"/>
      <c r="BD179" s="12"/>
      <c r="BE179" s="12"/>
      <c r="BF179" s="12"/>
      <c r="BG179" s="12"/>
      <c r="BH179" s="12"/>
      <c r="BI179" s="12"/>
      <c r="BJ179" s="12"/>
      <c r="BK179" s="12"/>
      <c r="BL179" s="12"/>
      <c r="BM179" s="12"/>
      <c r="BN179" s="12"/>
      <c r="BO179" s="12"/>
      <c r="BP179" s="12"/>
      <c r="BQ179" s="12"/>
      <c r="BR179" s="12"/>
      <c r="BS179" s="12"/>
      <c r="BT179" s="12"/>
      <c r="BU179" s="12"/>
      <c r="BV179" s="12"/>
      <c r="BW179" s="12"/>
      <c r="BX179" s="12"/>
      <c r="BY179" s="12"/>
      <c r="BZ179" s="12"/>
      <c r="CA179" s="12"/>
      <c r="CB179" s="12"/>
      <c r="CC179" s="12"/>
      <c r="CD179" s="12"/>
      <c r="CE179" s="12"/>
      <c r="CF179" s="12"/>
      <c r="CG179" s="12"/>
      <c r="CH179" s="12"/>
      <c r="CI179" s="12"/>
      <c r="CJ179" s="12"/>
      <c r="CK179" s="12"/>
      <c r="CL179" s="12"/>
      <c r="CM179" s="12"/>
      <c r="CN179" s="12"/>
      <c r="CO179" s="12"/>
      <c r="CP179" s="12"/>
      <c r="CQ179" s="12"/>
      <c r="CR179" s="12"/>
      <c r="CS179" s="12"/>
      <c r="CT179" s="12"/>
      <c r="CU179" s="12"/>
      <c r="CV179" s="12"/>
      <c r="CW179" s="12"/>
      <c r="CX179" s="12"/>
      <c r="CY179" s="12"/>
      <c r="CZ179" s="12"/>
      <c r="DA179" s="12"/>
      <c r="DB179" s="12"/>
      <c r="DC179" s="12"/>
      <c r="DD179" s="12"/>
      <c r="DE179" s="12"/>
      <c r="DF179" s="12"/>
      <c r="DG179" s="12"/>
      <c r="DH179" s="12"/>
      <c r="DI179" s="12"/>
      <c r="DJ179" s="12"/>
      <c r="DK179" s="12"/>
      <c r="DL179" s="12"/>
      <c r="DM179" s="12"/>
      <c r="DN179" s="12"/>
      <c r="DO179" s="12"/>
      <c r="DP179" s="12"/>
      <c r="DQ179" s="12"/>
      <c r="DR179" s="12"/>
      <c r="DS179" s="12"/>
      <c r="DT179" s="12"/>
      <c r="DU179" s="12"/>
      <c r="DV179" s="12"/>
      <c r="DW179" s="12"/>
      <c r="DX179" s="12"/>
      <c r="DY179" s="12"/>
      <c r="DZ179" s="12"/>
      <c r="EA179" s="12"/>
      <c r="EB179" s="12"/>
      <c r="EC179" s="12"/>
      <c r="ED179" s="12"/>
      <c r="EE179" s="12"/>
      <c r="EF179" s="12"/>
      <c r="EG179" s="12"/>
      <c r="EH179" s="12"/>
      <c r="EI179" s="12"/>
      <c r="EJ179" s="12"/>
      <c r="EK179" s="12"/>
      <c r="EL179" s="12"/>
      <c r="EM179" s="12"/>
      <c r="EN179" s="12"/>
      <c r="EO179" s="12"/>
      <c r="EP179" s="12"/>
      <c r="EQ179" s="12"/>
      <c r="ER179" s="12"/>
      <c r="ES179" s="12"/>
      <c r="ET179" s="12"/>
      <c r="EU179" s="12"/>
      <c r="EV179" s="12"/>
      <c r="EW179" s="12"/>
      <c r="EX179" s="12"/>
      <c r="EY179" s="12"/>
      <c r="EZ179" s="12"/>
      <c r="FA179" s="12"/>
      <c r="FB179" s="12"/>
      <c r="FC179" s="12"/>
      <c r="FD179" s="12"/>
      <c r="FE179" s="12"/>
      <c r="FF179" s="12"/>
      <c r="FG179" s="12"/>
      <c r="FH179" s="12"/>
      <c r="FI179" s="12"/>
      <c r="FJ179" s="12"/>
      <c r="FK179" s="12"/>
      <c r="FL179" s="12"/>
      <c r="FM179" s="12"/>
      <c r="FN179" s="12"/>
      <c r="FO179" s="12"/>
      <c r="FP179" s="12"/>
      <c r="FQ179" s="12"/>
      <c r="FR179" s="12"/>
      <c r="FS179" s="12"/>
      <c r="FT179" s="12"/>
      <c r="FU179" s="12"/>
      <c r="FV179" s="12"/>
      <c r="FW179" s="12"/>
      <c r="FX179" s="12"/>
      <c r="FY179" s="12"/>
      <c r="FZ179" s="12"/>
      <c r="GA179" s="12"/>
      <c r="GB179" s="12"/>
      <c r="GC179" s="12"/>
      <c r="GD179" s="12"/>
      <c r="GE179" s="12"/>
    </row>
    <row r="180" spans="1:187" ht="21" customHeight="1">
      <c r="A180" s="45"/>
      <c r="B180" s="9" t="s">
        <v>7</v>
      </c>
      <c r="C180" s="10" t="s">
        <v>399</v>
      </c>
      <c r="D180" s="10" t="s">
        <v>310</v>
      </c>
      <c r="E180" s="35">
        <v>67.700999999999993</v>
      </c>
      <c r="F180" s="35">
        <f>112.835-E180</f>
        <v>45.134</v>
      </c>
      <c r="G180" s="35">
        <v>22.567</v>
      </c>
      <c r="H180" s="35">
        <f>90.268-G180</f>
        <v>67.700999999999993</v>
      </c>
      <c r="I180" s="35">
        <f t="shared" si="19"/>
        <v>203.10299999999998</v>
      </c>
      <c r="J180" s="56">
        <f>'2021'!J181</f>
        <v>202.94</v>
      </c>
      <c r="K180" s="49">
        <v>5124.8184000000001</v>
      </c>
      <c r="L180" s="49">
        <v>5329.8111360000003</v>
      </c>
      <c r="M180" s="49">
        <v>1505.6288000000002</v>
      </c>
      <c r="N180" s="49">
        <v>1565.8539520000002</v>
      </c>
      <c r="O180" s="56">
        <f t="shared" si="20"/>
        <v>3619.1895999999997</v>
      </c>
      <c r="P180" s="1">
        <f t="shared" si="14"/>
        <v>245022.75510959997</v>
      </c>
      <c r="Q180" s="1">
        <f t="shared" si="15"/>
        <v>163348.50340639998</v>
      </c>
      <c r="R180" s="1">
        <f t="shared" si="16"/>
        <v>84941.221771327997</v>
      </c>
      <c r="S180" s="1">
        <f t="shared" si="17"/>
        <v>254823.66531398398</v>
      </c>
      <c r="T180" s="1">
        <f t="shared" si="18"/>
        <v>748136.14560131193</v>
      </c>
      <c r="U180" s="11"/>
      <c r="V180" s="11"/>
      <c r="W180" s="11"/>
      <c r="X180" s="12"/>
      <c r="Y180" s="12"/>
      <c r="Z180" s="12"/>
      <c r="AA180" s="12"/>
      <c r="AB180" s="12"/>
      <c r="AC180" s="12"/>
      <c r="AD180" s="12"/>
      <c r="AE180" s="12"/>
      <c r="AF180" s="12"/>
      <c r="AG180" s="12"/>
      <c r="AH180" s="12"/>
      <c r="AI180" s="12"/>
      <c r="AJ180" s="12"/>
      <c r="AK180" s="12"/>
      <c r="AL180" s="12"/>
      <c r="AM180" s="12"/>
      <c r="AN180" s="12"/>
      <c r="AO180" s="12"/>
      <c r="AP180" s="12"/>
      <c r="AQ180" s="12"/>
      <c r="AR180" s="12"/>
      <c r="AS180" s="12"/>
      <c r="AT180" s="12"/>
      <c r="AU180" s="12"/>
      <c r="AV180" s="12"/>
      <c r="AW180" s="12"/>
      <c r="AX180" s="12"/>
      <c r="AY180" s="12"/>
      <c r="AZ180" s="12"/>
      <c r="BA180" s="12"/>
      <c r="BB180" s="12"/>
      <c r="BC180" s="12"/>
      <c r="BD180" s="12"/>
      <c r="BE180" s="12"/>
      <c r="BF180" s="12"/>
      <c r="BG180" s="12"/>
      <c r="BH180" s="12"/>
      <c r="BI180" s="12"/>
      <c r="BJ180" s="12"/>
      <c r="BK180" s="12"/>
      <c r="BL180" s="12"/>
      <c r="BM180" s="12"/>
      <c r="BN180" s="12"/>
      <c r="BO180" s="12"/>
      <c r="BP180" s="12"/>
      <c r="BQ180" s="12"/>
      <c r="BR180" s="12"/>
      <c r="BS180" s="12"/>
      <c r="BT180" s="12"/>
      <c r="BU180" s="12"/>
      <c r="BV180" s="12"/>
      <c r="BW180" s="12"/>
      <c r="BX180" s="12"/>
      <c r="BY180" s="12"/>
      <c r="BZ180" s="12"/>
      <c r="CA180" s="12"/>
      <c r="CB180" s="12"/>
      <c r="CC180" s="12"/>
      <c r="CD180" s="12"/>
      <c r="CE180" s="12"/>
      <c r="CF180" s="12"/>
      <c r="CG180" s="12"/>
      <c r="CH180" s="12"/>
      <c r="CI180" s="12"/>
      <c r="CJ180" s="12"/>
      <c r="CK180" s="12"/>
      <c r="CL180" s="12"/>
      <c r="CM180" s="12"/>
      <c r="CN180" s="12"/>
      <c r="CO180" s="12"/>
      <c r="CP180" s="12"/>
      <c r="CQ180" s="12"/>
      <c r="CR180" s="12"/>
      <c r="CS180" s="12"/>
      <c r="CT180" s="12"/>
      <c r="CU180" s="12"/>
      <c r="CV180" s="12"/>
      <c r="CW180" s="12"/>
      <c r="CX180" s="12"/>
      <c r="CY180" s="12"/>
      <c r="CZ180" s="12"/>
      <c r="DA180" s="12"/>
      <c r="DB180" s="12"/>
      <c r="DC180" s="12"/>
      <c r="DD180" s="12"/>
      <c r="DE180" s="12"/>
      <c r="DF180" s="12"/>
      <c r="DG180" s="12"/>
      <c r="DH180" s="12"/>
      <c r="DI180" s="12"/>
      <c r="DJ180" s="12"/>
      <c r="DK180" s="12"/>
      <c r="DL180" s="12"/>
      <c r="DM180" s="12"/>
      <c r="DN180" s="12"/>
      <c r="DO180" s="12"/>
      <c r="DP180" s="12"/>
      <c r="DQ180" s="12"/>
      <c r="DR180" s="12"/>
      <c r="DS180" s="12"/>
      <c r="DT180" s="12"/>
      <c r="DU180" s="12"/>
      <c r="DV180" s="12"/>
      <c r="DW180" s="12"/>
      <c r="DX180" s="12"/>
      <c r="DY180" s="12"/>
      <c r="DZ180" s="12"/>
      <c r="EA180" s="12"/>
      <c r="EB180" s="12"/>
      <c r="EC180" s="12"/>
      <c r="ED180" s="12"/>
      <c r="EE180" s="12"/>
      <c r="EF180" s="12"/>
      <c r="EG180" s="12"/>
      <c r="EH180" s="12"/>
      <c r="EI180" s="12"/>
      <c r="EJ180" s="12"/>
      <c r="EK180" s="12"/>
      <c r="EL180" s="12"/>
      <c r="EM180" s="12"/>
      <c r="EN180" s="12"/>
      <c r="EO180" s="12"/>
      <c r="EP180" s="12"/>
      <c r="EQ180" s="12"/>
      <c r="ER180" s="12"/>
      <c r="ES180" s="12"/>
      <c r="ET180" s="12"/>
      <c r="EU180" s="12"/>
      <c r="EV180" s="12"/>
      <c r="EW180" s="12"/>
      <c r="EX180" s="12"/>
      <c r="EY180" s="12"/>
      <c r="EZ180" s="12"/>
      <c r="FA180" s="12"/>
      <c r="FB180" s="12"/>
      <c r="FC180" s="12"/>
      <c r="FD180" s="12"/>
      <c r="FE180" s="12"/>
      <c r="FF180" s="12"/>
      <c r="FG180" s="12"/>
      <c r="FH180" s="12"/>
      <c r="FI180" s="12"/>
      <c r="FJ180" s="12"/>
      <c r="FK180" s="12"/>
      <c r="FL180" s="12"/>
      <c r="FM180" s="12"/>
      <c r="FN180" s="12"/>
      <c r="FO180" s="12"/>
      <c r="FP180" s="12"/>
      <c r="FQ180" s="12"/>
      <c r="FR180" s="12"/>
      <c r="FS180" s="12"/>
      <c r="FT180" s="12"/>
      <c r="FU180" s="12"/>
      <c r="FV180" s="12"/>
      <c r="FW180" s="12"/>
      <c r="FX180" s="12"/>
      <c r="FY180" s="12"/>
      <c r="FZ180" s="12"/>
      <c r="GA180" s="12"/>
      <c r="GB180" s="12"/>
      <c r="GC180" s="12"/>
      <c r="GD180" s="12"/>
      <c r="GE180" s="12"/>
    </row>
    <row r="181" spans="1:187" ht="21" customHeight="1">
      <c r="A181" s="45"/>
      <c r="B181" s="9" t="s">
        <v>269</v>
      </c>
      <c r="C181" s="10" t="s">
        <v>207</v>
      </c>
      <c r="D181" s="10" t="s">
        <v>208</v>
      </c>
      <c r="E181" s="35">
        <v>4928.9179999999997</v>
      </c>
      <c r="F181" s="35">
        <f>7253.263-E181</f>
        <v>2324.3450000000003</v>
      </c>
      <c r="G181" s="35">
        <v>571.43399999999997</v>
      </c>
      <c r="H181" s="35">
        <f>4176.563-G181</f>
        <v>3605.1289999999999</v>
      </c>
      <c r="I181" s="35">
        <f t="shared" si="19"/>
        <v>11429.826000000001</v>
      </c>
      <c r="J181" s="56">
        <f>'2021'!J182</f>
        <v>10758</v>
      </c>
      <c r="K181" s="49">
        <v>4855.7808000000005</v>
      </c>
      <c r="L181" s="49">
        <v>5050.0120320000005</v>
      </c>
      <c r="M181" s="49">
        <v>1545.2736</v>
      </c>
      <c r="N181" s="49">
        <v>1607.0845440000001</v>
      </c>
      <c r="O181" s="56">
        <f t="shared" si="20"/>
        <v>3310.5072000000005</v>
      </c>
      <c r="P181" s="1">
        <f t="shared" si="14"/>
        <v>16317218.5272096</v>
      </c>
      <c r="Q181" s="1">
        <f t="shared" si="15"/>
        <v>7694760.8577840021</v>
      </c>
      <c r="R181" s="1">
        <f t="shared" si="16"/>
        <v>1967405.8261777922</v>
      </c>
      <c r="S181" s="1">
        <f t="shared" si="17"/>
        <v>12412197.731885953</v>
      </c>
      <c r="T181" s="1">
        <f t="shared" si="18"/>
        <v>38391582.943057343</v>
      </c>
      <c r="U181" s="11"/>
      <c r="V181" s="11"/>
      <c r="W181" s="11"/>
      <c r="X181" s="12"/>
      <c r="Y181" s="12"/>
      <c r="Z181" s="12"/>
      <c r="AA181" s="12"/>
      <c r="AB181" s="12"/>
      <c r="AC181" s="12"/>
      <c r="AD181" s="12"/>
      <c r="AE181" s="12"/>
      <c r="AF181" s="12"/>
      <c r="AG181" s="12"/>
      <c r="AH181" s="12"/>
      <c r="AI181" s="12"/>
      <c r="AJ181" s="12"/>
      <c r="AK181" s="12"/>
      <c r="AL181" s="12"/>
      <c r="AM181" s="12"/>
      <c r="AN181" s="12"/>
      <c r="AO181" s="12"/>
      <c r="AP181" s="12"/>
      <c r="AQ181" s="12"/>
      <c r="AR181" s="12"/>
      <c r="AS181" s="12"/>
      <c r="AT181" s="12"/>
      <c r="AU181" s="12"/>
      <c r="AV181" s="12"/>
      <c r="AW181" s="12"/>
      <c r="AX181" s="12"/>
      <c r="AY181" s="12"/>
      <c r="AZ181" s="12"/>
      <c r="BA181" s="12"/>
      <c r="BB181" s="12"/>
      <c r="BC181" s="12"/>
      <c r="BD181" s="12"/>
      <c r="BE181" s="12"/>
      <c r="BF181" s="12"/>
      <c r="BG181" s="12"/>
      <c r="BH181" s="12"/>
      <c r="BI181" s="12"/>
      <c r="BJ181" s="12"/>
      <c r="BK181" s="12"/>
      <c r="BL181" s="12"/>
      <c r="BM181" s="12"/>
      <c r="BN181" s="12"/>
      <c r="BO181" s="12"/>
      <c r="BP181" s="12"/>
      <c r="BQ181" s="12"/>
      <c r="BR181" s="12"/>
      <c r="BS181" s="12"/>
      <c r="BT181" s="12"/>
      <c r="BU181" s="12"/>
      <c r="BV181" s="12"/>
      <c r="BW181" s="12"/>
      <c r="BX181" s="12"/>
      <c r="BY181" s="12"/>
      <c r="BZ181" s="12"/>
      <c r="CA181" s="12"/>
      <c r="CB181" s="12"/>
      <c r="CC181" s="12"/>
      <c r="CD181" s="12"/>
      <c r="CE181" s="12"/>
      <c r="CF181" s="12"/>
      <c r="CG181" s="12"/>
      <c r="CH181" s="12"/>
      <c r="CI181" s="12"/>
      <c r="CJ181" s="12"/>
      <c r="CK181" s="12"/>
      <c r="CL181" s="12"/>
      <c r="CM181" s="12"/>
      <c r="CN181" s="12"/>
      <c r="CO181" s="12"/>
      <c r="CP181" s="12"/>
      <c r="CQ181" s="12"/>
      <c r="CR181" s="12"/>
      <c r="CS181" s="12"/>
      <c r="CT181" s="12"/>
      <c r="CU181" s="12"/>
      <c r="CV181" s="12"/>
      <c r="CW181" s="12"/>
      <c r="CX181" s="12"/>
      <c r="CY181" s="12"/>
      <c r="CZ181" s="12"/>
      <c r="DA181" s="12"/>
      <c r="DB181" s="12"/>
      <c r="DC181" s="12"/>
      <c r="DD181" s="12"/>
      <c r="DE181" s="12"/>
      <c r="DF181" s="12"/>
      <c r="DG181" s="12"/>
      <c r="DH181" s="12"/>
      <c r="DI181" s="12"/>
      <c r="DJ181" s="12"/>
      <c r="DK181" s="12"/>
      <c r="DL181" s="12"/>
      <c r="DM181" s="12"/>
      <c r="DN181" s="12"/>
      <c r="DO181" s="12"/>
      <c r="DP181" s="12"/>
      <c r="DQ181" s="12"/>
      <c r="DR181" s="12"/>
      <c r="DS181" s="12"/>
      <c r="DT181" s="12"/>
      <c r="DU181" s="12"/>
      <c r="DV181" s="12"/>
      <c r="DW181" s="12"/>
      <c r="DX181" s="12"/>
      <c r="DY181" s="12"/>
      <c r="DZ181" s="12"/>
      <c r="EA181" s="12"/>
      <c r="EB181" s="12"/>
      <c r="EC181" s="12"/>
      <c r="ED181" s="12"/>
      <c r="EE181" s="12"/>
      <c r="EF181" s="12"/>
      <c r="EG181" s="12"/>
      <c r="EH181" s="12"/>
      <c r="EI181" s="12"/>
      <c r="EJ181" s="12"/>
      <c r="EK181" s="12"/>
      <c r="EL181" s="12"/>
      <c r="EM181" s="12"/>
      <c r="EN181" s="12"/>
      <c r="EO181" s="12"/>
      <c r="EP181" s="12"/>
      <c r="EQ181" s="12"/>
      <c r="ER181" s="12"/>
      <c r="ES181" s="12"/>
      <c r="ET181" s="12"/>
      <c r="EU181" s="12"/>
      <c r="EV181" s="12"/>
      <c r="EW181" s="12"/>
      <c r="EX181" s="12"/>
      <c r="EY181" s="12"/>
      <c r="EZ181" s="12"/>
      <c r="FA181" s="12"/>
      <c r="FB181" s="12"/>
      <c r="FC181" s="12"/>
      <c r="FD181" s="12"/>
      <c r="FE181" s="12"/>
      <c r="FF181" s="12"/>
      <c r="FG181" s="12"/>
      <c r="FH181" s="12"/>
      <c r="FI181" s="12"/>
      <c r="FJ181" s="12"/>
      <c r="FK181" s="12"/>
      <c r="FL181" s="12"/>
      <c r="FM181" s="12"/>
      <c r="FN181" s="12"/>
      <c r="FO181" s="12"/>
      <c r="FP181" s="12"/>
      <c r="FQ181" s="12"/>
      <c r="FR181" s="12"/>
      <c r="FS181" s="12"/>
      <c r="FT181" s="12"/>
      <c r="FU181" s="12"/>
      <c r="FV181" s="12"/>
      <c r="FW181" s="12"/>
      <c r="FX181" s="12"/>
      <c r="FY181" s="12"/>
      <c r="FZ181" s="12"/>
      <c r="GA181" s="12"/>
      <c r="GB181" s="12"/>
      <c r="GC181" s="12"/>
      <c r="GD181" s="12"/>
      <c r="GE181" s="12"/>
    </row>
    <row r="182" spans="1:187" ht="21" customHeight="1">
      <c r="A182" s="45"/>
      <c r="B182" s="9" t="s">
        <v>267</v>
      </c>
      <c r="C182" s="10" t="s">
        <v>215</v>
      </c>
      <c r="D182" s="10" t="s">
        <v>319</v>
      </c>
      <c r="E182" s="35">
        <v>471.58600000000001</v>
      </c>
      <c r="F182" s="35">
        <f>703.109-E182</f>
        <v>231.52300000000002</v>
      </c>
      <c r="G182" s="35">
        <v>77.599999999999994</v>
      </c>
      <c r="H182" s="35">
        <f>308.281-G182</f>
        <v>230.68100000000001</v>
      </c>
      <c r="I182" s="35">
        <f t="shared" si="19"/>
        <v>1011.3900000000001</v>
      </c>
      <c r="J182" s="56">
        <f>'2021'!J183</f>
        <v>1177.6300000000001</v>
      </c>
      <c r="K182" s="49">
        <v>5084.9448000000002</v>
      </c>
      <c r="L182" s="49">
        <v>5288.342592</v>
      </c>
      <c r="M182" s="49">
        <v>1545.2736</v>
      </c>
      <c r="N182" s="49">
        <v>1607.0845440000001</v>
      </c>
      <c r="O182" s="56">
        <f t="shared" si="20"/>
        <v>3539.6712000000002</v>
      </c>
      <c r="P182" s="1">
        <f t="shared" si="14"/>
        <v>1669259.3825232002</v>
      </c>
      <c r="Q182" s="1">
        <f t="shared" si="15"/>
        <v>819515.2952376001</v>
      </c>
      <c r="R182" s="1">
        <f t="shared" si="16"/>
        <v>285665.62452479993</v>
      </c>
      <c r="S182" s="1">
        <f t="shared" si="17"/>
        <v>849196.28777068795</v>
      </c>
      <c r="T182" s="1">
        <f t="shared" si="18"/>
        <v>3623636.5900562885</v>
      </c>
      <c r="U182" s="11"/>
      <c r="V182" s="11"/>
      <c r="W182" s="11"/>
      <c r="X182" s="12"/>
      <c r="Y182" s="12"/>
      <c r="Z182" s="12"/>
      <c r="AA182" s="12"/>
      <c r="AB182" s="12"/>
      <c r="AC182" s="12"/>
      <c r="AD182" s="12"/>
      <c r="AE182" s="12"/>
      <c r="AF182" s="12"/>
      <c r="AG182" s="12"/>
      <c r="AH182" s="12"/>
      <c r="AI182" s="12"/>
      <c r="AJ182" s="12"/>
      <c r="AK182" s="12"/>
      <c r="AL182" s="12"/>
      <c r="AM182" s="12"/>
      <c r="AN182" s="12"/>
      <c r="AO182" s="12"/>
      <c r="AP182" s="12"/>
      <c r="AQ182" s="12"/>
      <c r="AR182" s="12"/>
      <c r="AS182" s="12"/>
      <c r="AT182" s="12"/>
      <c r="AU182" s="12"/>
      <c r="AV182" s="12"/>
      <c r="AW182" s="12"/>
      <c r="AX182" s="12"/>
      <c r="AY182" s="12"/>
      <c r="AZ182" s="12"/>
      <c r="BA182" s="12"/>
      <c r="BB182" s="12"/>
      <c r="BC182" s="12"/>
      <c r="BD182" s="12"/>
      <c r="BE182" s="12"/>
      <c r="BF182" s="12"/>
      <c r="BG182" s="12"/>
      <c r="BH182" s="12"/>
      <c r="BI182" s="12"/>
      <c r="BJ182" s="12"/>
      <c r="BK182" s="12"/>
      <c r="BL182" s="12"/>
      <c r="BM182" s="12"/>
      <c r="BN182" s="12"/>
      <c r="BO182" s="12"/>
      <c r="BP182" s="12"/>
      <c r="BQ182" s="12"/>
      <c r="BR182" s="12"/>
      <c r="BS182" s="12"/>
      <c r="BT182" s="12"/>
      <c r="BU182" s="12"/>
      <c r="BV182" s="12"/>
      <c r="BW182" s="12"/>
      <c r="BX182" s="12"/>
      <c r="BY182" s="12"/>
      <c r="BZ182" s="12"/>
      <c r="CA182" s="12"/>
      <c r="CB182" s="12"/>
      <c r="CC182" s="12"/>
      <c r="CD182" s="12"/>
      <c r="CE182" s="12"/>
      <c r="CF182" s="12"/>
      <c r="CG182" s="12"/>
      <c r="CH182" s="12"/>
      <c r="CI182" s="12"/>
      <c r="CJ182" s="12"/>
      <c r="CK182" s="12"/>
      <c r="CL182" s="12"/>
      <c r="CM182" s="12"/>
      <c r="CN182" s="12"/>
      <c r="CO182" s="12"/>
      <c r="CP182" s="12"/>
      <c r="CQ182" s="12"/>
      <c r="CR182" s="12"/>
      <c r="CS182" s="12"/>
      <c r="CT182" s="12"/>
      <c r="CU182" s="12"/>
      <c r="CV182" s="12"/>
      <c r="CW182" s="12"/>
      <c r="CX182" s="12"/>
      <c r="CY182" s="12"/>
      <c r="CZ182" s="12"/>
      <c r="DA182" s="12"/>
      <c r="DB182" s="12"/>
      <c r="DC182" s="12"/>
      <c r="DD182" s="12"/>
      <c r="DE182" s="12"/>
      <c r="DF182" s="12"/>
      <c r="DG182" s="12"/>
      <c r="DH182" s="12"/>
      <c r="DI182" s="12"/>
      <c r="DJ182" s="12"/>
      <c r="DK182" s="12"/>
      <c r="DL182" s="12"/>
      <c r="DM182" s="12"/>
      <c r="DN182" s="12"/>
      <c r="DO182" s="12"/>
      <c r="DP182" s="12"/>
      <c r="DQ182" s="12"/>
      <c r="DR182" s="12"/>
      <c r="DS182" s="12"/>
      <c r="DT182" s="12"/>
      <c r="DU182" s="12"/>
      <c r="DV182" s="12"/>
      <c r="DW182" s="12"/>
      <c r="DX182" s="12"/>
      <c r="DY182" s="12"/>
      <c r="DZ182" s="12"/>
      <c r="EA182" s="12"/>
      <c r="EB182" s="12"/>
      <c r="EC182" s="12"/>
      <c r="ED182" s="12"/>
      <c r="EE182" s="12"/>
      <c r="EF182" s="12"/>
      <c r="EG182" s="12"/>
      <c r="EH182" s="12"/>
      <c r="EI182" s="12"/>
      <c r="EJ182" s="12"/>
      <c r="EK182" s="12"/>
      <c r="EL182" s="12"/>
      <c r="EM182" s="12"/>
      <c r="EN182" s="12"/>
      <c r="EO182" s="12"/>
      <c r="EP182" s="12"/>
      <c r="EQ182" s="12"/>
      <c r="ER182" s="12"/>
      <c r="ES182" s="12"/>
      <c r="ET182" s="12"/>
      <c r="EU182" s="12"/>
      <c r="EV182" s="12"/>
      <c r="EW182" s="12"/>
      <c r="EX182" s="12"/>
      <c r="EY182" s="12"/>
      <c r="EZ182" s="12"/>
      <c r="FA182" s="12"/>
      <c r="FB182" s="12"/>
      <c r="FC182" s="12"/>
      <c r="FD182" s="12"/>
      <c r="FE182" s="12"/>
      <c r="FF182" s="12"/>
      <c r="FG182" s="12"/>
      <c r="FH182" s="12"/>
      <c r="FI182" s="12"/>
      <c r="FJ182" s="12"/>
      <c r="FK182" s="12"/>
      <c r="FL182" s="12"/>
      <c r="FM182" s="12"/>
      <c r="FN182" s="12"/>
      <c r="FO182" s="12"/>
      <c r="FP182" s="12"/>
      <c r="FQ182" s="12"/>
      <c r="FR182" s="12"/>
      <c r="FS182" s="12"/>
      <c r="FT182" s="12"/>
      <c r="FU182" s="12"/>
      <c r="FV182" s="12"/>
      <c r="FW182" s="12"/>
      <c r="FX182" s="12"/>
      <c r="FY182" s="12"/>
      <c r="FZ182" s="12"/>
      <c r="GA182" s="12"/>
      <c r="GB182" s="12"/>
      <c r="GC182" s="12"/>
      <c r="GD182" s="12"/>
      <c r="GE182" s="12"/>
    </row>
    <row r="183" spans="1:187" ht="21" customHeight="1">
      <c r="A183" s="45"/>
      <c r="B183" s="9" t="s">
        <v>267</v>
      </c>
      <c r="C183" s="10" t="s">
        <v>215</v>
      </c>
      <c r="D183" s="10" t="s">
        <v>320</v>
      </c>
      <c r="E183" s="35">
        <v>433.72800000000001</v>
      </c>
      <c r="F183" s="35">
        <f>717.512-E183</f>
        <v>283.78399999999993</v>
      </c>
      <c r="G183" s="35">
        <v>98.373999999999995</v>
      </c>
      <c r="H183" s="35">
        <f>391.762-G183</f>
        <v>293.38800000000003</v>
      </c>
      <c r="I183" s="35">
        <f t="shared" si="19"/>
        <v>1109.2739999999999</v>
      </c>
      <c r="J183" s="56">
        <f>'2021'!J184</f>
        <v>1207.6600000000001</v>
      </c>
      <c r="K183" s="49">
        <v>5084.9448000000002</v>
      </c>
      <c r="L183" s="49">
        <v>5288.342592</v>
      </c>
      <c r="M183" s="49">
        <v>1499.9712</v>
      </c>
      <c r="N183" s="49">
        <v>1559.9700479999999</v>
      </c>
      <c r="O183" s="56">
        <f t="shared" si="20"/>
        <v>3584.9736000000003</v>
      </c>
      <c r="P183" s="1">
        <f t="shared" si="14"/>
        <v>1554903.4295808002</v>
      </c>
      <c r="Q183" s="1">
        <f t="shared" si="15"/>
        <v>1017358.1481023999</v>
      </c>
      <c r="R183" s="1">
        <f t="shared" si="16"/>
        <v>366774.92064345599</v>
      </c>
      <c r="S183" s="1">
        <f t="shared" si="17"/>
        <v>1093859.7639390721</v>
      </c>
      <c r="T183" s="1">
        <f t="shared" si="18"/>
        <v>4032896.2622657279</v>
      </c>
      <c r="U183" s="11"/>
      <c r="V183" s="11"/>
      <c r="W183" s="11"/>
      <c r="X183" s="12"/>
      <c r="Y183" s="12"/>
      <c r="Z183" s="12"/>
      <c r="AA183" s="12"/>
      <c r="AB183" s="12"/>
      <c r="AC183" s="12"/>
      <c r="AD183" s="12"/>
      <c r="AE183" s="12"/>
      <c r="AF183" s="12"/>
      <c r="AG183" s="12"/>
      <c r="AH183" s="12"/>
      <c r="AI183" s="12"/>
      <c r="AJ183" s="12"/>
      <c r="AK183" s="12"/>
      <c r="AL183" s="12"/>
      <c r="AM183" s="12"/>
      <c r="AN183" s="12"/>
      <c r="AO183" s="12"/>
      <c r="AP183" s="12"/>
      <c r="AQ183" s="12"/>
      <c r="AR183" s="12"/>
      <c r="AS183" s="12"/>
      <c r="AT183" s="12"/>
      <c r="AU183" s="12"/>
      <c r="AV183" s="12"/>
      <c r="AW183" s="12"/>
      <c r="AX183" s="12"/>
      <c r="AY183" s="12"/>
      <c r="AZ183" s="12"/>
      <c r="BA183" s="12"/>
      <c r="BB183" s="12"/>
      <c r="BC183" s="12"/>
      <c r="BD183" s="12"/>
      <c r="BE183" s="12"/>
      <c r="BF183" s="12"/>
      <c r="BG183" s="12"/>
      <c r="BH183" s="12"/>
      <c r="BI183" s="12"/>
      <c r="BJ183" s="12"/>
      <c r="BK183" s="12"/>
      <c r="BL183" s="12"/>
      <c r="BM183" s="12"/>
      <c r="BN183" s="12"/>
      <c r="BO183" s="12"/>
      <c r="BP183" s="12"/>
      <c r="BQ183" s="12"/>
      <c r="BR183" s="12"/>
      <c r="BS183" s="12"/>
      <c r="BT183" s="12"/>
      <c r="BU183" s="12"/>
      <c r="BV183" s="12"/>
      <c r="BW183" s="12"/>
      <c r="BX183" s="12"/>
      <c r="BY183" s="12"/>
      <c r="BZ183" s="12"/>
      <c r="CA183" s="12"/>
      <c r="CB183" s="12"/>
      <c r="CC183" s="12"/>
      <c r="CD183" s="12"/>
      <c r="CE183" s="12"/>
      <c r="CF183" s="12"/>
      <c r="CG183" s="12"/>
      <c r="CH183" s="12"/>
      <c r="CI183" s="12"/>
      <c r="CJ183" s="12"/>
      <c r="CK183" s="12"/>
      <c r="CL183" s="12"/>
      <c r="CM183" s="12"/>
      <c r="CN183" s="12"/>
      <c r="CO183" s="12"/>
      <c r="CP183" s="12"/>
      <c r="CQ183" s="12"/>
      <c r="CR183" s="12"/>
      <c r="CS183" s="12"/>
      <c r="CT183" s="12"/>
      <c r="CU183" s="12"/>
      <c r="CV183" s="12"/>
      <c r="CW183" s="12"/>
      <c r="CX183" s="12"/>
      <c r="CY183" s="12"/>
      <c r="CZ183" s="12"/>
      <c r="DA183" s="12"/>
      <c r="DB183" s="12"/>
      <c r="DC183" s="12"/>
      <c r="DD183" s="12"/>
      <c r="DE183" s="12"/>
      <c r="DF183" s="12"/>
      <c r="DG183" s="12"/>
      <c r="DH183" s="12"/>
      <c r="DI183" s="12"/>
      <c r="DJ183" s="12"/>
      <c r="DK183" s="12"/>
      <c r="DL183" s="12"/>
      <c r="DM183" s="12"/>
      <c r="DN183" s="12"/>
      <c r="DO183" s="12"/>
      <c r="DP183" s="12"/>
      <c r="DQ183" s="12"/>
      <c r="DR183" s="12"/>
      <c r="DS183" s="12"/>
      <c r="DT183" s="12"/>
      <c r="DU183" s="12"/>
      <c r="DV183" s="12"/>
      <c r="DW183" s="12"/>
      <c r="DX183" s="12"/>
      <c r="DY183" s="12"/>
      <c r="DZ183" s="12"/>
      <c r="EA183" s="12"/>
      <c r="EB183" s="12"/>
      <c r="EC183" s="12"/>
      <c r="ED183" s="12"/>
      <c r="EE183" s="12"/>
      <c r="EF183" s="12"/>
      <c r="EG183" s="12"/>
      <c r="EH183" s="12"/>
      <c r="EI183" s="12"/>
      <c r="EJ183" s="12"/>
      <c r="EK183" s="12"/>
      <c r="EL183" s="12"/>
      <c r="EM183" s="12"/>
      <c r="EN183" s="12"/>
      <c r="EO183" s="12"/>
      <c r="EP183" s="12"/>
      <c r="EQ183" s="12"/>
      <c r="ER183" s="12"/>
      <c r="ES183" s="12"/>
      <c r="ET183" s="12"/>
      <c r="EU183" s="12"/>
      <c r="EV183" s="12"/>
      <c r="EW183" s="12"/>
      <c r="EX183" s="12"/>
      <c r="EY183" s="12"/>
      <c r="EZ183" s="12"/>
      <c r="FA183" s="12"/>
      <c r="FB183" s="12"/>
      <c r="FC183" s="12"/>
      <c r="FD183" s="12"/>
      <c r="FE183" s="12"/>
      <c r="FF183" s="12"/>
      <c r="FG183" s="12"/>
      <c r="FH183" s="12"/>
      <c r="FI183" s="12"/>
      <c r="FJ183" s="12"/>
      <c r="FK183" s="12"/>
      <c r="FL183" s="12"/>
      <c r="FM183" s="12"/>
      <c r="FN183" s="12"/>
      <c r="FO183" s="12"/>
      <c r="FP183" s="12"/>
      <c r="FQ183" s="12"/>
      <c r="FR183" s="12"/>
      <c r="FS183" s="12"/>
      <c r="FT183" s="12"/>
      <c r="FU183" s="12"/>
      <c r="FV183" s="12"/>
      <c r="FW183" s="12"/>
      <c r="FX183" s="12"/>
      <c r="FY183" s="12"/>
      <c r="FZ183" s="12"/>
      <c r="GA183" s="12"/>
      <c r="GB183" s="12"/>
      <c r="GC183" s="12"/>
      <c r="GD183" s="12"/>
      <c r="GE183" s="12"/>
    </row>
    <row r="184" spans="1:187" ht="21" customHeight="1">
      <c r="A184" s="45"/>
      <c r="B184" s="9" t="s">
        <v>271</v>
      </c>
      <c r="C184" s="10" t="s">
        <v>203</v>
      </c>
      <c r="D184" s="10" t="s">
        <v>204</v>
      </c>
      <c r="E184" s="35">
        <v>6542.7759999999998</v>
      </c>
      <c r="F184" s="35">
        <f>10062.24-E184</f>
        <v>3519.4639999999999</v>
      </c>
      <c r="G184" s="35">
        <v>1226.3050000000001</v>
      </c>
      <c r="H184" s="35">
        <f>7168.534</f>
        <v>7168.5339999999997</v>
      </c>
      <c r="I184" s="35">
        <f t="shared" si="19"/>
        <v>18457.078999999998</v>
      </c>
      <c r="J184" s="56">
        <f>'2021'!J185</f>
        <v>21529.18</v>
      </c>
      <c r="K184" s="49">
        <v>5809.5648000000001</v>
      </c>
      <c r="L184" s="49">
        <v>6041.947392</v>
      </c>
      <c r="M184" s="49">
        <v>1280.5832</v>
      </c>
      <c r="N184" s="49">
        <v>1331.8065280000001</v>
      </c>
      <c r="O184" s="56">
        <f t="shared" si="20"/>
        <v>4528.9816000000001</v>
      </c>
      <c r="P184" s="1">
        <f t="shared" si="14"/>
        <v>29632112.1169216</v>
      </c>
      <c r="Q184" s="1">
        <f t="shared" si="15"/>
        <v>15939587.6978624</v>
      </c>
      <c r="R184" s="1">
        <f t="shared" si="16"/>
        <v>5776069.2922275206</v>
      </c>
      <c r="S184" s="1">
        <f t="shared" si="17"/>
        <v>33764804.928373374</v>
      </c>
      <c r="T184" s="1">
        <f t="shared" si="18"/>
        <v>85112574.035384893</v>
      </c>
      <c r="U184" s="11"/>
      <c r="V184" s="11"/>
      <c r="W184" s="11"/>
      <c r="X184" s="12"/>
      <c r="Y184" s="12"/>
      <c r="Z184" s="12"/>
      <c r="AA184" s="12"/>
      <c r="AB184" s="12"/>
      <c r="AC184" s="12"/>
      <c r="AD184" s="12"/>
      <c r="AE184" s="12"/>
      <c r="AF184" s="12"/>
      <c r="AG184" s="12"/>
      <c r="AH184" s="12"/>
      <c r="AI184" s="12"/>
      <c r="AJ184" s="12"/>
      <c r="AK184" s="12"/>
      <c r="AL184" s="12"/>
      <c r="AM184" s="12"/>
      <c r="AN184" s="12"/>
      <c r="AO184" s="12"/>
      <c r="AP184" s="12"/>
      <c r="AQ184" s="12"/>
      <c r="AR184" s="12"/>
      <c r="AS184" s="12"/>
      <c r="AT184" s="12"/>
      <c r="AU184" s="12"/>
      <c r="AV184" s="12"/>
      <c r="AW184" s="12"/>
      <c r="AX184" s="12"/>
      <c r="AY184" s="12"/>
      <c r="AZ184" s="12"/>
      <c r="BA184" s="12"/>
      <c r="BB184" s="12"/>
      <c r="BC184" s="12"/>
      <c r="BD184" s="12"/>
      <c r="BE184" s="12"/>
      <c r="BF184" s="12"/>
      <c r="BG184" s="12"/>
      <c r="BH184" s="12"/>
      <c r="BI184" s="12"/>
      <c r="BJ184" s="12"/>
      <c r="BK184" s="12"/>
      <c r="BL184" s="12"/>
      <c r="BM184" s="12"/>
      <c r="BN184" s="12"/>
      <c r="BO184" s="12"/>
      <c r="BP184" s="12"/>
      <c r="BQ184" s="12"/>
      <c r="BR184" s="12"/>
      <c r="BS184" s="12"/>
      <c r="BT184" s="12"/>
      <c r="BU184" s="12"/>
      <c r="BV184" s="12"/>
      <c r="BW184" s="12"/>
      <c r="BX184" s="12"/>
      <c r="BY184" s="12"/>
      <c r="BZ184" s="12"/>
      <c r="CA184" s="12"/>
      <c r="CB184" s="12"/>
      <c r="CC184" s="12"/>
      <c r="CD184" s="12"/>
      <c r="CE184" s="12"/>
      <c r="CF184" s="12"/>
      <c r="CG184" s="12"/>
      <c r="CH184" s="12"/>
      <c r="CI184" s="12"/>
      <c r="CJ184" s="12"/>
      <c r="CK184" s="12"/>
      <c r="CL184" s="12"/>
      <c r="CM184" s="12"/>
      <c r="CN184" s="12"/>
      <c r="CO184" s="12"/>
      <c r="CP184" s="12"/>
      <c r="CQ184" s="12"/>
      <c r="CR184" s="12"/>
      <c r="CS184" s="12"/>
      <c r="CT184" s="12"/>
      <c r="CU184" s="12"/>
      <c r="CV184" s="12"/>
      <c r="CW184" s="12"/>
      <c r="CX184" s="12"/>
      <c r="CY184" s="12"/>
      <c r="CZ184" s="12"/>
      <c r="DA184" s="12"/>
      <c r="DB184" s="12"/>
      <c r="DC184" s="12"/>
      <c r="DD184" s="12"/>
      <c r="DE184" s="12"/>
      <c r="DF184" s="12"/>
      <c r="DG184" s="12"/>
      <c r="DH184" s="12"/>
      <c r="DI184" s="12"/>
      <c r="DJ184" s="12"/>
      <c r="DK184" s="12"/>
      <c r="DL184" s="12"/>
      <c r="DM184" s="12"/>
      <c r="DN184" s="12"/>
      <c r="DO184" s="12"/>
      <c r="DP184" s="12"/>
      <c r="DQ184" s="12"/>
      <c r="DR184" s="12"/>
      <c r="DS184" s="12"/>
      <c r="DT184" s="12"/>
      <c r="DU184" s="12"/>
      <c r="DV184" s="12"/>
      <c r="DW184" s="12"/>
      <c r="DX184" s="12"/>
      <c r="DY184" s="12"/>
      <c r="DZ184" s="12"/>
      <c r="EA184" s="12"/>
      <c r="EB184" s="12"/>
      <c r="EC184" s="12"/>
      <c r="ED184" s="12"/>
      <c r="EE184" s="12"/>
      <c r="EF184" s="12"/>
      <c r="EG184" s="12"/>
      <c r="EH184" s="12"/>
      <c r="EI184" s="12"/>
      <c r="EJ184" s="12"/>
      <c r="EK184" s="12"/>
      <c r="EL184" s="12"/>
      <c r="EM184" s="12"/>
      <c r="EN184" s="12"/>
      <c r="EO184" s="12"/>
      <c r="EP184" s="12"/>
      <c r="EQ184" s="12"/>
      <c r="ER184" s="12"/>
      <c r="ES184" s="12"/>
      <c r="ET184" s="12"/>
      <c r="EU184" s="12"/>
      <c r="EV184" s="12"/>
      <c r="EW184" s="12"/>
      <c r="EX184" s="12"/>
      <c r="EY184" s="12"/>
      <c r="EZ184" s="12"/>
      <c r="FA184" s="12"/>
      <c r="FB184" s="12"/>
      <c r="FC184" s="12"/>
      <c r="FD184" s="12"/>
      <c r="FE184" s="12"/>
      <c r="FF184" s="12"/>
      <c r="FG184" s="12"/>
      <c r="FH184" s="12"/>
      <c r="FI184" s="12"/>
      <c r="FJ184" s="12"/>
      <c r="FK184" s="12"/>
      <c r="FL184" s="12"/>
      <c r="FM184" s="12"/>
      <c r="FN184" s="12"/>
      <c r="FO184" s="12"/>
      <c r="FP184" s="12"/>
      <c r="FQ184" s="12"/>
      <c r="FR184" s="12"/>
      <c r="FS184" s="12"/>
      <c r="FT184" s="12"/>
      <c r="FU184" s="12"/>
      <c r="FV184" s="12"/>
      <c r="FW184" s="12"/>
      <c r="FX184" s="12"/>
      <c r="FY184" s="12"/>
      <c r="FZ184" s="12"/>
      <c r="GA184" s="12"/>
      <c r="GB184" s="12"/>
      <c r="GC184" s="12"/>
      <c r="GD184" s="12"/>
      <c r="GE184" s="12"/>
    </row>
    <row r="185" spans="1:187" ht="21" customHeight="1">
      <c r="A185" s="45"/>
      <c r="B185" s="9" t="s">
        <v>265</v>
      </c>
      <c r="C185" s="10" t="s">
        <v>88</v>
      </c>
      <c r="D185" s="10" t="s">
        <v>217</v>
      </c>
      <c r="E185" s="35">
        <v>2899.933</v>
      </c>
      <c r="F185" s="35">
        <f>4422.924-E185</f>
        <v>1522.991</v>
      </c>
      <c r="G185" s="35">
        <v>512.84500000000003</v>
      </c>
      <c r="H185" s="35">
        <f>2958.13-G185</f>
        <v>2445.2849999999999</v>
      </c>
      <c r="I185" s="35">
        <f t="shared" si="19"/>
        <v>7381.0540000000001</v>
      </c>
      <c r="J185" s="56">
        <f>'2021'!J186</f>
        <v>7637.76</v>
      </c>
      <c r="K185" s="49">
        <v>6280.3</v>
      </c>
      <c r="L185" s="49">
        <v>6531.5120000000006</v>
      </c>
      <c r="M185" s="49">
        <v>1477.2264103999998</v>
      </c>
      <c r="N185" s="49">
        <v>1536.3154668159998</v>
      </c>
      <c r="O185" s="56">
        <f t="shared" si="20"/>
        <v>4803.0735896000006</v>
      </c>
      <c r="P185" s="1">
        <f t="shared" si="14"/>
        <v>13928591.603909498</v>
      </c>
      <c r="Q185" s="1">
        <f t="shared" si="15"/>
        <v>7315037.8492984939</v>
      </c>
      <c r="R185" s="1">
        <f t="shared" si="16"/>
        <v>2561761.5660607493</v>
      </c>
      <c r="S185" s="1">
        <f t="shared" si="17"/>
        <v>12214679.15464684</v>
      </c>
      <c r="T185" s="1">
        <f t="shared" si="18"/>
        <v>36020070.17391558</v>
      </c>
      <c r="U185" s="11"/>
      <c r="V185" s="11"/>
      <c r="W185" s="11"/>
      <c r="X185" s="12"/>
      <c r="Y185" s="12"/>
      <c r="Z185" s="12"/>
      <c r="AA185" s="12"/>
      <c r="AB185" s="12"/>
      <c r="AC185" s="12"/>
      <c r="AD185" s="12"/>
      <c r="AE185" s="12"/>
      <c r="AF185" s="12"/>
      <c r="AG185" s="12"/>
      <c r="AH185" s="12"/>
      <c r="AI185" s="12"/>
      <c r="AJ185" s="12"/>
      <c r="AK185" s="12"/>
      <c r="AL185" s="12"/>
      <c r="AM185" s="12"/>
      <c r="AN185" s="12"/>
      <c r="AO185" s="12"/>
      <c r="AP185" s="12"/>
      <c r="AQ185" s="12"/>
      <c r="AR185" s="12"/>
      <c r="AS185" s="12"/>
      <c r="AT185" s="12"/>
      <c r="AU185" s="12"/>
      <c r="AV185" s="12"/>
      <c r="AW185" s="12"/>
      <c r="AX185" s="12"/>
      <c r="AY185" s="12"/>
      <c r="AZ185" s="12"/>
      <c r="BA185" s="12"/>
      <c r="BB185" s="12"/>
      <c r="BC185" s="12"/>
      <c r="BD185" s="12"/>
      <c r="BE185" s="12"/>
      <c r="BF185" s="12"/>
      <c r="BG185" s="12"/>
      <c r="BH185" s="12"/>
      <c r="BI185" s="12"/>
      <c r="BJ185" s="12"/>
      <c r="BK185" s="12"/>
      <c r="BL185" s="12"/>
      <c r="BM185" s="12"/>
      <c r="BN185" s="12"/>
      <c r="BO185" s="12"/>
      <c r="BP185" s="12"/>
      <c r="BQ185" s="12"/>
      <c r="BR185" s="12"/>
      <c r="BS185" s="12"/>
      <c r="BT185" s="12"/>
      <c r="BU185" s="12"/>
      <c r="BV185" s="12"/>
      <c r="BW185" s="12"/>
      <c r="BX185" s="12"/>
      <c r="BY185" s="12"/>
      <c r="BZ185" s="12"/>
      <c r="CA185" s="12"/>
      <c r="CB185" s="12"/>
      <c r="CC185" s="12"/>
      <c r="CD185" s="12"/>
      <c r="CE185" s="12"/>
      <c r="CF185" s="12"/>
      <c r="CG185" s="12"/>
      <c r="CH185" s="12"/>
      <c r="CI185" s="12"/>
      <c r="CJ185" s="12"/>
      <c r="CK185" s="12"/>
      <c r="CL185" s="12"/>
      <c r="CM185" s="12"/>
      <c r="CN185" s="12"/>
      <c r="CO185" s="12"/>
      <c r="CP185" s="12"/>
      <c r="CQ185" s="12"/>
      <c r="CR185" s="12"/>
      <c r="CS185" s="12"/>
      <c r="CT185" s="12"/>
      <c r="CU185" s="12"/>
      <c r="CV185" s="12"/>
      <c r="CW185" s="12"/>
      <c r="CX185" s="12"/>
      <c r="CY185" s="12"/>
      <c r="CZ185" s="12"/>
      <c r="DA185" s="12"/>
      <c r="DB185" s="12"/>
      <c r="DC185" s="12"/>
      <c r="DD185" s="12"/>
      <c r="DE185" s="12"/>
      <c r="DF185" s="12"/>
      <c r="DG185" s="12"/>
      <c r="DH185" s="12"/>
      <c r="DI185" s="12"/>
      <c r="DJ185" s="12"/>
      <c r="DK185" s="12"/>
      <c r="DL185" s="12"/>
      <c r="DM185" s="12"/>
      <c r="DN185" s="12"/>
      <c r="DO185" s="12"/>
      <c r="DP185" s="12"/>
      <c r="DQ185" s="12"/>
      <c r="DR185" s="12"/>
      <c r="DS185" s="12"/>
      <c r="DT185" s="12"/>
      <c r="DU185" s="12"/>
      <c r="DV185" s="12"/>
      <c r="DW185" s="12"/>
      <c r="DX185" s="12"/>
      <c r="DY185" s="12"/>
      <c r="DZ185" s="12"/>
      <c r="EA185" s="12"/>
      <c r="EB185" s="12"/>
      <c r="EC185" s="12"/>
      <c r="ED185" s="12"/>
      <c r="EE185" s="12"/>
      <c r="EF185" s="12"/>
      <c r="EG185" s="12"/>
      <c r="EH185" s="12"/>
      <c r="EI185" s="12"/>
      <c r="EJ185" s="12"/>
      <c r="EK185" s="12"/>
      <c r="EL185" s="12"/>
      <c r="EM185" s="12"/>
      <c r="EN185" s="12"/>
      <c r="EO185" s="12"/>
      <c r="EP185" s="12"/>
      <c r="EQ185" s="12"/>
      <c r="ER185" s="12"/>
      <c r="ES185" s="12"/>
      <c r="ET185" s="12"/>
      <c r="EU185" s="12"/>
      <c r="EV185" s="12"/>
      <c r="EW185" s="12"/>
      <c r="EX185" s="12"/>
      <c r="EY185" s="12"/>
      <c r="EZ185" s="12"/>
      <c r="FA185" s="12"/>
      <c r="FB185" s="12"/>
      <c r="FC185" s="12"/>
      <c r="FD185" s="12"/>
      <c r="FE185" s="12"/>
      <c r="FF185" s="12"/>
      <c r="FG185" s="12"/>
      <c r="FH185" s="12"/>
      <c r="FI185" s="12"/>
      <c r="FJ185" s="12"/>
      <c r="FK185" s="12"/>
      <c r="FL185" s="12"/>
      <c r="FM185" s="12"/>
      <c r="FN185" s="12"/>
      <c r="FO185" s="12"/>
      <c r="FP185" s="12"/>
      <c r="FQ185" s="12"/>
      <c r="FR185" s="12"/>
      <c r="FS185" s="12"/>
      <c r="FT185" s="12"/>
      <c r="FU185" s="12"/>
      <c r="FV185" s="12"/>
      <c r="FW185" s="12"/>
      <c r="FX185" s="12"/>
      <c r="FY185" s="12"/>
      <c r="FZ185" s="12"/>
      <c r="GA185" s="12"/>
      <c r="GB185" s="12"/>
      <c r="GC185" s="12"/>
      <c r="GD185" s="12"/>
      <c r="GE185" s="12"/>
    </row>
    <row r="186" spans="1:187" ht="21" customHeight="1">
      <c r="A186" s="45"/>
      <c r="B186" s="9" t="s">
        <v>8</v>
      </c>
      <c r="C186" s="10" t="s">
        <v>210</v>
      </c>
      <c r="D186" s="10" t="s">
        <v>209</v>
      </c>
      <c r="E186" s="35">
        <v>3360.806</v>
      </c>
      <c r="F186" s="35">
        <f>5131.218-E186</f>
        <v>1770.4119999999998</v>
      </c>
      <c r="G186" s="35">
        <v>491.93400000000003</v>
      </c>
      <c r="H186" s="35">
        <f>3117.096-G186</f>
        <v>2625.1619999999998</v>
      </c>
      <c r="I186" s="35">
        <f t="shared" si="19"/>
        <v>8248.3140000000003</v>
      </c>
      <c r="J186" s="56">
        <f>'2021'!J187</f>
        <v>7941.24</v>
      </c>
      <c r="K186" s="49">
        <v>5136.5079999999998</v>
      </c>
      <c r="L186" s="49">
        <v>5341.9683199999999</v>
      </c>
      <c r="M186" s="49">
        <v>1545.2736</v>
      </c>
      <c r="N186" s="49">
        <v>1607.0845440000001</v>
      </c>
      <c r="O186" s="56">
        <f t="shared" si="20"/>
        <v>3591.2343999999998</v>
      </c>
      <c r="P186" s="1">
        <f t="shared" si="14"/>
        <v>12069442.1189264</v>
      </c>
      <c r="Q186" s="1">
        <f t="shared" si="15"/>
        <v>6357964.4765727986</v>
      </c>
      <c r="R186" s="1">
        <f t="shared" si="16"/>
        <v>1837316.3154627839</v>
      </c>
      <c r="S186" s="1">
        <f t="shared" si="17"/>
        <v>9804674.9631717112</v>
      </c>
      <c r="T186" s="1">
        <f t="shared" si="18"/>
        <v>30069397.874133691</v>
      </c>
      <c r="U186" s="11"/>
      <c r="V186" s="11"/>
      <c r="W186" s="11"/>
      <c r="X186" s="12"/>
      <c r="Y186" s="12"/>
      <c r="Z186" s="12"/>
      <c r="AA186" s="12"/>
      <c r="AB186" s="12"/>
      <c r="AC186" s="12"/>
      <c r="AD186" s="12"/>
      <c r="AE186" s="12"/>
      <c r="AF186" s="12"/>
      <c r="AG186" s="12"/>
      <c r="AH186" s="12"/>
      <c r="AI186" s="12"/>
      <c r="AJ186" s="12"/>
      <c r="AK186" s="12"/>
      <c r="AL186" s="12"/>
      <c r="AM186" s="12"/>
      <c r="AN186" s="12"/>
      <c r="AO186" s="12"/>
      <c r="AP186" s="12"/>
      <c r="AQ186" s="12"/>
      <c r="AR186" s="12"/>
      <c r="AS186" s="12"/>
      <c r="AT186" s="12"/>
      <c r="AU186" s="12"/>
      <c r="AV186" s="12"/>
      <c r="AW186" s="12"/>
      <c r="AX186" s="12"/>
      <c r="AY186" s="12"/>
      <c r="AZ186" s="12"/>
      <c r="BA186" s="12"/>
      <c r="BB186" s="12"/>
      <c r="BC186" s="12"/>
      <c r="BD186" s="12"/>
      <c r="BE186" s="12"/>
      <c r="BF186" s="12"/>
      <c r="BG186" s="12"/>
      <c r="BH186" s="12"/>
      <c r="BI186" s="12"/>
      <c r="BJ186" s="12"/>
      <c r="BK186" s="12"/>
      <c r="BL186" s="12"/>
      <c r="BM186" s="12"/>
      <c r="BN186" s="12"/>
      <c r="BO186" s="12"/>
      <c r="BP186" s="12"/>
      <c r="BQ186" s="12"/>
      <c r="BR186" s="12"/>
      <c r="BS186" s="12"/>
      <c r="BT186" s="12"/>
      <c r="BU186" s="12"/>
      <c r="BV186" s="12"/>
      <c r="BW186" s="12"/>
      <c r="BX186" s="12"/>
      <c r="BY186" s="12"/>
      <c r="BZ186" s="12"/>
      <c r="CA186" s="12"/>
      <c r="CB186" s="12"/>
      <c r="CC186" s="12"/>
      <c r="CD186" s="12"/>
      <c r="CE186" s="12"/>
      <c r="CF186" s="12"/>
      <c r="CG186" s="12"/>
      <c r="CH186" s="12"/>
      <c r="CI186" s="12"/>
      <c r="CJ186" s="12"/>
      <c r="CK186" s="12"/>
      <c r="CL186" s="12"/>
      <c r="CM186" s="12"/>
      <c r="CN186" s="12"/>
      <c r="CO186" s="12"/>
      <c r="CP186" s="12"/>
      <c r="CQ186" s="12"/>
      <c r="CR186" s="12"/>
      <c r="CS186" s="12"/>
      <c r="CT186" s="12"/>
      <c r="CU186" s="12"/>
      <c r="CV186" s="12"/>
      <c r="CW186" s="12"/>
      <c r="CX186" s="12"/>
      <c r="CY186" s="12"/>
      <c r="CZ186" s="12"/>
      <c r="DA186" s="12"/>
      <c r="DB186" s="12"/>
      <c r="DC186" s="12"/>
      <c r="DD186" s="12"/>
      <c r="DE186" s="12"/>
      <c r="DF186" s="12"/>
      <c r="DG186" s="12"/>
      <c r="DH186" s="12"/>
      <c r="DI186" s="12"/>
      <c r="DJ186" s="12"/>
      <c r="DK186" s="12"/>
      <c r="DL186" s="12"/>
      <c r="DM186" s="12"/>
      <c r="DN186" s="12"/>
      <c r="DO186" s="12"/>
      <c r="DP186" s="12"/>
      <c r="DQ186" s="12"/>
      <c r="DR186" s="12"/>
      <c r="DS186" s="12"/>
      <c r="DT186" s="12"/>
      <c r="DU186" s="12"/>
      <c r="DV186" s="12"/>
      <c r="DW186" s="12"/>
      <c r="DX186" s="12"/>
      <c r="DY186" s="12"/>
      <c r="DZ186" s="12"/>
      <c r="EA186" s="12"/>
      <c r="EB186" s="12"/>
      <c r="EC186" s="12"/>
      <c r="ED186" s="12"/>
      <c r="EE186" s="12"/>
      <c r="EF186" s="12"/>
      <c r="EG186" s="12"/>
      <c r="EH186" s="12"/>
      <c r="EI186" s="12"/>
      <c r="EJ186" s="12"/>
      <c r="EK186" s="12"/>
      <c r="EL186" s="12"/>
      <c r="EM186" s="12"/>
      <c r="EN186" s="12"/>
      <c r="EO186" s="12"/>
      <c r="EP186" s="12"/>
      <c r="EQ186" s="12"/>
      <c r="ER186" s="12"/>
      <c r="ES186" s="12"/>
      <c r="ET186" s="12"/>
      <c r="EU186" s="12"/>
      <c r="EV186" s="12"/>
      <c r="EW186" s="12"/>
      <c r="EX186" s="12"/>
      <c r="EY186" s="12"/>
      <c r="EZ186" s="12"/>
      <c r="FA186" s="12"/>
      <c r="FB186" s="12"/>
      <c r="FC186" s="12"/>
      <c r="FD186" s="12"/>
      <c r="FE186" s="12"/>
      <c r="FF186" s="12"/>
      <c r="FG186" s="12"/>
      <c r="FH186" s="12"/>
      <c r="FI186" s="12"/>
      <c r="FJ186" s="12"/>
      <c r="FK186" s="12"/>
      <c r="FL186" s="12"/>
      <c r="FM186" s="12"/>
      <c r="FN186" s="12"/>
      <c r="FO186" s="12"/>
      <c r="FP186" s="12"/>
      <c r="FQ186" s="12"/>
      <c r="FR186" s="12"/>
      <c r="FS186" s="12"/>
      <c r="FT186" s="12"/>
      <c r="FU186" s="12"/>
      <c r="FV186" s="12"/>
      <c r="FW186" s="12"/>
      <c r="FX186" s="12"/>
      <c r="FY186" s="12"/>
      <c r="FZ186" s="12"/>
      <c r="GA186" s="12"/>
      <c r="GB186" s="12"/>
      <c r="GC186" s="12"/>
      <c r="GD186" s="12"/>
      <c r="GE186" s="12"/>
    </row>
    <row r="187" spans="1:187" ht="21" customHeight="1">
      <c r="A187" s="45"/>
      <c r="B187" s="9" t="s">
        <v>8</v>
      </c>
      <c r="C187" s="10" t="s">
        <v>210</v>
      </c>
      <c r="D187" s="10" t="s">
        <v>211</v>
      </c>
      <c r="E187" s="35">
        <v>1391.444</v>
      </c>
      <c r="F187" s="35">
        <f>2185.296-E187</f>
        <v>793.85199999999986</v>
      </c>
      <c r="G187" s="35">
        <v>290.553</v>
      </c>
      <c r="H187" s="35">
        <f>1500.825-G187</f>
        <v>1210.2719999999999</v>
      </c>
      <c r="I187" s="35">
        <f t="shared" si="19"/>
        <v>3686.1209999999996</v>
      </c>
      <c r="J187" s="56">
        <f>'2021'!J188</f>
        <v>3927.51</v>
      </c>
      <c r="K187" s="49">
        <v>7421.6791999999996</v>
      </c>
      <c r="L187" s="49">
        <v>7718.5463680000003</v>
      </c>
      <c r="M187" s="49">
        <v>1545.2736</v>
      </c>
      <c r="N187" s="49">
        <v>1607.0845440000001</v>
      </c>
      <c r="O187" s="56">
        <f t="shared" si="20"/>
        <v>5876.4056</v>
      </c>
      <c r="P187" s="1">
        <f t="shared" si="14"/>
        <v>8176689.3136863997</v>
      </c>
      <c r="Q187" s="1">
        <f t="shared" si="15"/>
        <v>4664996.3383711996</v>
      </c>
      <c r="R187" s="1">
        <f t="shared" si="16"/>
        <v>1775703.5673486721</v>
      </c>
      <c r="S187" s="1">
        <f t="shared" si="17"/>
        <v>7396531.1246561278</v>
      </c>
      <c r="T187" s="1">
        <f t="shared" si="18"/>
        <v>22013920.344062399</v>
      </c>
      <c r="U187" s="11"/>
      <c r="V187" s="11"/>
      <c r="W187" s="11"/>
      <c r="X187" s="12"/>
      <c r="Y187" s="12"/>
      <c r="Z187" s="12"/>
      <c r="AA187" s="12"/>
      <c r="AB187" s="12"/>
      <c r="AC187" s="12"/>
      <c r="AD187" s="12"/>
      <c r="AE187" s="12"/>
      <c r="AF187" s="12"/>
      <c r="AG187" s="12"/>
      <c r="AH187" s="12"/>
      <c r="AI187" s="12"/>
      <c r="AJ187" s="12"/>
      <c r="AK187" s="12"/>
      <c r="AL187" s="12"/>
      <c r="AM187" s="12"/>
      <c r="AN187" s="12"/>
      <c r="AO187" s="12"/>
      <c r="AP187" s="12"/>
      <c r="AQ187" s="12"/>
      <c r="AR187" s="12"/>
      <c r="AS187" s="12"/>
      <c r="AT187" s="12"/>
      <c r="AU187" s="12"/>
      <c r="AV187" s="12"/>
      <c r="AW187" s="12"/>
      <c r="AX187" s="12"/>
      <c r="AY187" s="12"/>
      <c r="AZ187" s="12"/>
      <c r="BA187" s="12"/>
      <c r="BB187" s="12"/>
      <c r="BC187" s="12"/>
      <c r="BD187" s="12"/>
      <c r="BE187" s="12"/>
      <c r="BF187" s="12"/>
      <c r="BG187" s="12"/>
      <c r="BH187" s="12"/>
      <c r="BI187" s="12"/>
      <c r="BJ187" s="12"/>
      <c r="BK187" s="12"/>
      <c r="BL187" s="12"/>
      <c r="BM187" s="12"/>
      <c r="BN187" s="12"/>
      <c r="BO187" s="12"/>
      <c r="BP187" s="12"/>
      <c r="BQ187" s="12"/>
      <c r="BR187" s="12"/>
      <c r="BS187" s="12"/>
      <c r="BT187" s="12"/>
      <c r="BU187" s="12"/>
      <c r="BV187" s="12"/>
      <c r="BW187" s="12"/>
      <c r="BX187" s="12"/>
      <c r="BY187" s="12"/>
      <c r="BZ187" s="12"/>
      <c r="CA187" s="12"/>
      <c r="CB187" s="12"/>
      <c r="CC187" s="12"/>
      <c r="CD187" s="12"/>
      <c r="CE187" s="12"/>
      <c r="CF187" s="12"/>
      <c r="CG187" s="12"/>
      <c r="CH187" s="12"/>
      <c r="CI187" s="12"/>
      <c r="CJ187" s="12"/>
      <c r="CK187" s="12"/>
      <c r="CL187" s="12"/>
      <c r="CM187" s="12"/>
      <c r="CN187" s="12"/>
      <c r="CO187" s="12"/>
      <c r="CP187" s="12"/>
      <c r="CQ187" s="12"/>
      <c r="CR187" s="12"/>
      <c r="CS187" s="12"/>
      <c r="CT187" s="12"/>
      <c r="CU187" s="12"/>
      <c r="CV187" s="12"/>
      <c r="CW187" s="12"/>
      <c r="CX187" s="12"/>
      <c r="CY187" s="12"/>
      <c r="CZ187" s="12"/>
      <c r="DA187" s="12"/>
      <c r="DB187" s="12"/>
      <c r="DC187" s="12"/>
      <c r="DD187" s="12"/>
      <c r="DE187" s="12"/>
      <c r="DF187" s="12"/>
      <c r="DG187" s="12"/>
      <c r="DH187" s="12"/>
      <c r="DI187" s="12"/>
      <c r="DJ187" s="12"/>
      <c r="DK187" s="12"/>
      <c r="DL187" s="12"/>
      <c r="DM187" s="12"/>
      <c r="DN187" s="12"/>
      <c r="DO187" s="12"/>
      <c r="DP187" s="12"/>
      <c r="DQ187" s="12"/>
      <c r="DR187" s="12"/>
      <c r="DS187" s="12"/>
      <c r="DT187" s="12"/>
      <c r="DU187" s="12"/>
      <c r="DV187" s="12"/>
      <c r="DW187" s="12"/>
      <c r="DX187" s="12"/>
      <c r="DY187" s="12"/>
      <c r="DZ187" s="12"/>
      <c r="EA187" s="12"/>
      <c r="EB187" s="12"/>
      <c r="EC187" s="12"/>
      <c r="ED187" s="12"/>
      <c r="EE187" s="12"/>
      <c r="EF187" s="12"/>
      <c r="EG187" s="12"/>
      <c r="EH187" s="12"/>
      <c r="EI187" s="12"/>
      <c r="EJ187" s="12"/>
      <c r="EK187" s="12"/>
      <c r="EL187" s="12"/>
      <c r="EM187" s="12"/>
      <c r="EN187" s="12"/>
      <c r="EO187" s="12"/>
      <c r="EP187" s="12"/>
      <c r="EQ187" s="12"/>
      <c r="ER187" s="12"/>
      <c r="ES187" s="12"/>
      <c r="ET187" s="12"/>
      <c r="EU187" s="12"/>
      <c r="EV187" s="12"/>
      <c r="EW187" s="12"/>
      <c r="EX187" s="12"/>
      <c r="EY187" s="12"/>
      <c r="EZ187" s="12"/>
      <c r="FA187" s="12"/>
      <c r="FB187" s="12"/>
      <c r="FC187" s="12"/>
      <c r="FD187" s="12"/>
      <c r="FE187" s="12"/>
      <c r="FF187" s="12"/>
      <c r="FG187" s="12"/>
      <c r="FH187" s="12"/>
      <c r="FI187" s="12"/>
      <c r="FJ187" s="12"/>
      <c r="FK187" s="12"/>
      <c r="FL187" s="12"/>
      <c r="FM187" s="12"/>
      <c r="FN187" s="12"/>
      <c r="FO187" s="12"/>
      <c r="FP187" s="12"/>
      <c r="FQ187" s="12"/>
      <c r="FR187" s="12"/>
      <c r="FS187" s="12"/>
      <c r="FT187" s="12"/>
      <c r="FU187" s="12"/>
      <c r="FV187" s="12"/>
      <c r="FW187" s="12"/>
      <c r="FX187" s="12"/>
      <c r="FY187" s="12"/>
      <c r="FZ187" s="12"/>
      <c r="GA187" s="12"/>
      <c r="GB187" s="12"/>
      <c r="GC187" s="12"/>
      <c r="GD187" s="12"/>
      <c r="GE187" s="12"/>
    </row>
    <row r="188" spans="1:187" ht="21" customHeight="1">
      <c r="A188" s="45"/>
      <c r="B188" s="9" t="s">
        <v>8</v>
      </c>
      <c r="C188" s="10" t="s">
        <v>210</v>
      </c>
      <c r="D188" s="10" t="s">
        <v>67</v>
      </c>
      <c r="E188" s="35">
        <v>605.82500000000005</v>
      </c>
      <c r="F188" s="35">
        <f>924.995-E188</f>
        <v>319.16999999999996</v>
      </c>
      <c r="G188" s="35">
        <v>90.274000000000001</v>
      </c>
      <c r="H188" s="35">
        <f>575.919</f>
        <v>575.91899999999998</v>
      </c>
      <c r="I188" s="35">
        <f t="shared" si="19"/>
        <v>1591.1880000000001</v>
      </c>
      <c r="J188" s="56">
        <f>'2021'!J189</f>
        <v>2150.4</v>
      </c>
      <c r="K188" s="49">
        <v>6629.5840000000007</v>
      </c>
      <c r="L188" s="49">
        <v>6894.7673600000007</v>
      </c>
      <c r="M188" s="49">
        <v>1545.2736</v>
      </c>
      <c r="N188" s="49">
        <v>1607.0845440000001</v>
      </c>
      <c r="O188" s="56">
        <f t="shared" si="20"/>
        <v>5084.3104000000003</v>
      </c>
      <c r="P188" s="1">
        <f t="shared" si="14"/>
        <v>3080202.3480800004</v>
      </c>
      <c r="Q188" s="1">
        <f t="shared" si="15"/>
        <v>1622759.3503679999</v>
      </c>
      <c r="R188" s="1">
        <f t="shared" si="16"/>
        <v>477340.27853158407</v>
      </c>
      <c r="S188" s="1">
        <f t="shared" si="17"/>
        <v>3045276.9997079042</v>
      </c>
      <c r="T188" s="1">
        <f t="shared" si="18"/>
        <v>8225578.9766874891</v>
      </c>
      <c r="U188" s="11"/>
      <c r="V188" s="11"/>
      <c r="W188" s="11"/>
      <c r="X188" s="12"/>
      <c r="Y188" s="12"/>
      <c r="Z188" s="12"/>
      <c r="AA188" s="12"/>
      <c r="AB188" s="12"/>
      <c r="AC188" s="12"/>
      <c r="AD188" s="12"/>
      <c r="AE188" s="12"/>
      <c r="AF188" s="12"/>
      <c r="AG188" s="12"/>
      <c r="AH188" s="12"/>
      <c r="AI188" s="12"/>
      <c r="AJ188" s="12"/>
      <c r="AK188" s="12"/>
      <c r="AL188" s="12"/>
      <c r="AM188" s="12"/>
      <c r="AN188" s="12"/>
      <c r="AO188" s="12"/>
      <c r="AP188" s="12"/>
      <c r="AQ188" s="12"/>
      <c r="AR188" s="12"/>
      <c r="AS188" s="12"/>
      <c r="AT188" s="12"/>
      <c r="AU188" s="12"/>
      <c r="AV188" s="12"/>
      <c r="AW188" s="12"/>
      <c r="AX188" s="12"/>
      <c r="AY188" s="12"/>
      <c r="AZ188" s="12"/>
      <c r="BA188" s="12"/>
      <c r="BB188" s="12"/>
      <c r="BC188" s="12"/>
      <c r="BD188" s="12"/>
      <c r="BE188" s="12"/>
      <c r="BF188" s="12"/>
      <c r="BG188" s="12"/>
      <c r="BH188" s="12"/>
      <c r="BI188" s="12"/>
      <c r="BJ188" s="12"/>
      <c r="BK188" s="12"/>
      <c r="BL188" s="12"/>
      <c r="BM188" s="12"/>
      <c r="BN188" s="12"/>
      <c r="BO188" s="12"/>
      <c r="BP188" s="12"/>
      <c r="BQ188" s="12"/>
      <c r="BR188" s="12"/>
      <c r="BS188" s="12"/>
      <c r="BT188" s="12"/>
      <c r="BU188" s="12"/>
      <c r="BV188" s="12"/>
      <c r="BW188" s="12"/>
      <c r="BX188" s="12"/>
      <c r="BY188" s="12"/>
      <c r="BZ188" s="12"/>
      <c r="CA188" s="12"/>
      <c r="CB188" s="12"/>
      <c r="CC188" s="12"/>
      <c r="CD188" s="12"/>
      <c r="CE188" s="12"/>
      <c r="CF188" s="12"/>
      <c r="CG188" s="12"/>
      <c r="CH188" s="12"/>
      <c r="CI188" s="12"/>
      <c r="CJ188" s="12"/>
      <c r="CK188" s="12"/>
      <c r="CL188" s="12"/>
      <c r="CM188" s="12"/>
      <c r="CN188" s="12"/>
      <c r="CO188" s="12"/>
      <c r="CP188" s="12"/>
      <c r="CQ188" s="12"/>
      <c r="CR188" s="12"/>
      <c r="CS188" s="12"/>
      <c r="CT188" s="12"/>
      <c r="CU188" s="12"/>
      <c r="CV188" s="12"/>
      <c r="CW188" s="12"/>
      <c r="CX188" s="12"/>
      <c r="CY188" s="12"/>
      <c r="CZ188" s="12"/>
      <c r="DA188" s="12"/>
      <c r="DB188" s="12"/>
      <c r="DC188" s="12"/>
      <c r="DD188" s="12"/>
      <c r="DE188" s="12"/>
      <c r="DF188" s="12"/>
      <c r="DG188" s="12"/>
      <c r="DH188" s="12"/>
      <c r="DI188" s="12"/>
      <c r="DJ188" s="12"/>
      <c r="DK188" s="12"/>
      <c r="DL188" s="12"/>
      <c r="DM188" s="12"/>
      <c r="DN188" s="12"/>
      <c r="DO188" s="12"/>
      <c r="DP188" s="12"/>
      <c r="DQ188" s="12"/>
      <c r="DR188" s="12"/>
      <c r="DS188" s="12"/>
      <c r="DT188" s="12"/>
      <c r="DU188" s="12"/>
      <c r="DV188" s="12"/>
      <c r="DW188" s="12"/>
      <c r="DX188" s="12"/>
      <c r="DY188" s="12"/>
      <c r="DZ188" s="12"/>
      <c r="EA188" s="12"/>
      <c r="EB188" s="12"/>
      <c r="EC188" s="12"/>
      <c r="ED188" s="12"/>
      <c r="EE188" s="12"/>
      <c r="EF188" s="12"/>
      <c r="EG188" s="12"/>
      <c r="EH188" s="12"/>
      <c r="EI188" s="12"/>
      <c r="EJ188" s="12"/>
      <c r="EK188" s="12"/>
      <c r="EL188" s="12"/>
      <c r="EM188" s="12"/>
      <c r="EN188" s="12"/>
      <c r="EO188" s="12"/>
      <c r="EP188" s="12"/>
      <c r="EQ188" s="12"/>
      <c r="ER188" s="12"/>
      <c r="ES188" s="12"/>
      <c r="ET188" s="12"/>
      <c r="EU188" s="12"/>
      <c r="EV188" s="12"/>
      <c r="EW188" s="12"/>
      <c r="EX188" s="12"/>
      <c r="EY188" s="12"/>
      <c r="EZ188" s="12"/>
      <c r="FA188" s="12"/>
      <c r="FB188" s="12"/>
      <c r="FC188" s="12"/>
      <c r="FD188" s="12"/>
      <c r="FE188" s="12"/>
      <c r="FF188" s="12"/>
      <c r="FG188" s="12"/>
      <c r="FH188" s="12"/>
      <c r="FI188" s="12"/>
      <c r="FJ188" s="12"/>
      <c r="FK188" s="12"/>
      <c r="FL188" s="12"/>
      <c r="FM188" s="12"/>
      <c r="FN188" s="12"/>
      <c r="FO188" s="12"/>
      <c r="FP188" s="12"/>
      <c r="FQ188" s="12"/>
      <c r="FR188" s="12"/>
      <c r="FS188" s="12"/>
      <c r="FT188" s="12"/>
      <c r="FU188" s="12"/>
      <c r="FV188" s="12"/>
      <c r="FW188" s="12"/>
      <c r="FX188" s="12"/>
      <c r="FY188" s="12"/>
      <c r="FZ188" s="12"/>
      <c r="GA188" s="12"/>
      <c r="GB188" s="12"/>
      <c r="GC188" s="12"/>
      <c r="GD188" s="12"/>
      <c r="GE188" s="12"/>
    </row>
    <row r="189" spans="1:187" ht="21" customHeight="1">
      <c r="A189" s="45"/>
      <c r="B189" s="9" t="s">
        <v>268</v>
      </c>
      <c r="C189" s="10" t="s">
        <v>212</v>
      </c>
      <c r="D189" s="10" t="s">
        <v>213</v>
      </c>
      <c r="E189" s="35">
        <v>2157.5250000000001</v>
      </c>
      <c r="F189" s="35">
        <f>3595.875-E189</f>
        <v>1438.35</v>
      </c>
      <c r="G189" s="35">
        <v>719.17499999999995</v>
      </c>
      <c r="H189" s="35">
        <f>2876.7-G189</f>
        <v>2157.5249999999996</v>
      </c>
      <c r="I189" s="35">
        <f t="shared" si="19"/>
        <v>6472.5749999999998</v>
      </c>
      <c r="J189" s="56">
        <f>'2021'!J190</f>
        <v>6448.61</v>
      </c>
      <c r="K189" s="49">
        <v>4811.7056000000002</v>
      </c>
      <c r="L189" s="49">
        <v>5004.1738240000004</v>
      </c>
      <c r="M189" s="49">
        <v>1477.2264000000002</v>
      </c>
      <c r="N189" s="49">
        <v>1536.3154560000003</v>
      </c>
      <c r="O189" s="56">
        <f t="shared" si="20"/>
        <v>3334.4791999999998</v>
      </c>
      <c r="P189" s="1">
        <f t="shared" si="14"/>
        <v>7194222.2359799994</v>
      </c>
      <c r="Q189" s="1">
        <f t="shared" si="15"/>
        <v>4796148.1573199993</v>
      </c>
      <c r="R189" s="1">
        <f t="shared" si="16"/>
        <v>2493997.0418063998</v>
      </c>
      <c r="S189" s="1">
        <f t="shared" si="17"/>
        <v>7481991.1254191995</v>
      </c>
      <c r="T189" s="1">
        <f t="shared" si="18"/>
        <v>21966358.560525596</v>
      </c>
      <c r="U189" s="11"/>
      <c r="V189" s="11"/>
      <c r="W189" s="11"/>
      <c r="X189" s="12"/>
      <c r="Y189" s="12"/>
      <c r="Z189" s="12"/>
      <c r="AA189" s="12"/>
      <c r="AB189" s="12"/>
      <c r="AC189" s="12"/>
      <c r="AD189" s="12"/>
      <c r="AE189" s="12"/>
      <c r="AF189" s="12"/>
      <c r="AG189" s="12"/>
      <c r="AH189" s="12"/>
      <c r="AI189" s="12"/>
      <c r="AJ189" s="12"/>
      <c r="AK189" s="12"/>
      <c r="AL189" s="12"/>
      <c r="AM189" s="12"/>
      <c r="AN189" s="12"/>
      <c r="AO189" s="12"/>
      <c r="AP189" s="12"/>
      <c r="AQ189" s="12"/>
      <c r="AR189" s="12"/>
      <c r="AS189" s="12"/>
      <c r="AT189" s="12"/>
      <c r="AU189" s="12"/>
      <c r="AV189" s="12"/>
      <c r="AW189" s="12"/>
      <c r="AX189" s="12"/>
      <c r="AY189" s="12"/>
      <c r="AZ189" s="12"/>
      <c r="BA189" s="12"/>
      <c r="BB189" s="12"/>
      <c r="BC189" s="12"/>
      <c r="BD189" s="12"/>
      <c r="BE189" s="12"/>
      <c r="BF189" s="12"/>
      <c r="BG189" s="12"/>
      <c r="BH189" s="12"/>
      <c r="BI189" s="12"/>
      <c r="BJ189" s="12"/>
      <c r="BK189" s="12"/>
      <c r="BL189" s="12"/>
      <c r="BM189" s="12"/>
      <c r="BN189" s="12"/>
      <c r="BO189" s="12"/>
      <c r="BP189" s="12"/>
      <c r="BQ189" s="12"/>
      <c r="BR189" s="12"/>
      <c r="BS189" s="12"/>
      <c r="BT189" s="12"/>
      <c r="BU189" s="12"/>
      <c r="BV189" s="12"/>
      <c r="BW189" s="12"/>
      <c r="BX189" s="12"/>
      <c r="BY189" s="12"/>
      <c r="BZ189" s="12"/>
      <c r="CA189" s="12"/>
      <c r="CB189" s="12"/>
      <c r="CC189" s="12"/>
      <c r="CD189" s="12"/>
      <c r="CE189" s="12"/>
      <c r="CF189" s="12"/>
      <c r="CG189" s="12"/>
      <c r="CH189" s="12"/>
      <c r="CI189" s="12"/>
      <c r="CJ189" s="12"/>
      <c r="CK189" s="12"/>
      <c r="CL189" s="12"/>
      <c r="CM189" s="12"/>
      <c r="CN189" s="12"/>
      <c r="CO189" s="12"/>
      <c r="CP189" s="12"/>
      <c r="CQ189" s="12"/>
      <c r="CR189" s="12"/>
      <c r="CS189" s="12"/>
      <c r="CT189" s="12"/>
      <c r="CU189" s="12"/>
      <c r="CV189" s="12"/>
      <c r="CW189" s="12"/>
      <c r="CX189" s="12"/>
      <c r="CY189" s="12"/>
      <c r="CZ189" s="12"/>
      <c r="DA189" s="12"/>
      <c r="DB189" s="12"/>
      <c r="DC189" s="12"/>
      <c r="DD189" s="12"/>
      <c r="DE189" s="12"/>
      <c r="DF189" s="12"/>
      <c r="DG189" s="12"/>
      <c r="DH189" s="12"/>
      <c r="DI189" s="12"/>
      <c r="DJ189" s="12"/>
      <c r="DK189" s="12"/>
      <c r="DL189" s="12"/>
      <c r="DM189" s="12"/>
      <c r="DN189" s="12"/>
      <c r="DO189" s="12"/>
      <c r="DP189" s="12"/>
      <c r="DQ189" s="12"/>
      <c r="DR189" s="12"/>
      <c r="DS189" s="12"/>
      <c r="DT189" s="12"/>
      <c r="DU189" s="12"/>
      <c r="DV189" s="12"/>
      <c r="DW189" s="12"/>
      <c r="DX189" s="12"/>
      <c r="DY189" s="12"/>
      <c r="DZ189" s="12"/>
      <c r="EA189" s="12"/>
      <c r="EB189" s="12"/>
      <c r="EC189" s="12"/>
      <c r="ED189" s="12"/>
      <c r="EE189" s="12"/>
      <c r="EF189" s="12"/>
      <c r="EG189" s="12"/>
      <c r="EH189" s="12"/>
      <c r="EI189" s="12"/>
      <c r="EJ189" s="12"/>
      <c r="EK189" s="12"/>
      <c r="EL189" s="12"/>
      <c r="EM189" s="12"/>
      <c r="EN189" s="12"/>
      <c r="EO189" s="12"/>
      <c r="EP189" s="12"/>
      <c r="EQ189" s="12"/>
      <c r="ER189" s="12"/>
      <c r="ES189" s="12"/>
      <c r="ET189" s="12"/>
      <c r="EU189" s="12"/>
      <c r="EV189" s="12"/>
      <c r="EW189" s="12"/>
      <c r="EX189" s="12"/>
      <c r="EY189" s="12"/>
      <c r="EZ189" s="12"/>
      <c r="FA189" s="12"/>
      <c r="FB189" s="12"/>
      <c r="FC189" s="12"/>
      <c r="FD189" s="12"/>
      <c r="FE189" s="12"/>
      <c r="FF189" s="12"/>
      <c r="FG189" s="12"/>
      <c r="FH189" s="12"/>
      <c r="FI189" s="12"/>
      <c r="FJ189" s="12"/>
      <c r="FK189" s="12"/>
      <c r="FL189" s="12"/>
      <c r="FM189" s="12"/>
      <c r="FN189" s="12"/>
      <c r="FO189" s="12"/>
      <c r="FP189" s="12"/>
      <c r="FQ189" s="12"/>
      <c r="FR189" s="12"/>
      <c r="FS189" s="12"/>
      <c r="FT189" s="12"/>
      <c r="FU189" s="12"/>
      <c r="FV189" s="12"/>
      <c r="FW189" s="12"/>
      <c r="FX189" s="12"/>
      <c r="FY189" s="12"/>
      <c r="FZ189" s="12"/>
      <c r="GA189" s="12"/>
      <c r="GB189" s="12"/>
      <c r="GC189" s="12"/>
      <c r="GD189" s="12"/>
      <c r="GE189" s="12"/>
    </row>
    <row r="190" spans="1:187" ht="21" customHeight="1">
      <c r="A190" s="45" t="s">
        <v>337</v>
      </c>
      <c r="B190" s="9">
        <v>7729314745</v>
      </c>
      <c r="C190" s="10" t="s">
        <v>341</v>
      </c>
      <c r="D190" s="10" t="s">
        <v>346</v>
      </c>
      <c r="E190" s="35">
        <f>1342.0825*0.6</f>
        <v>805.24950000000001</v>
      </c>
      <c r="F190" s="35">
        <f>1342.0825*0.4</f>
        <v>536.83299999999997</v>
      </c>
      <c r="G190" s="35">
        <f>1098.0675*0.2</f>
        <v>219.61350000000004</v>
      </c>
      <c r="H190" s="35">
        <f>1098.0675*0.8</f>
        <v>878.45400000000018</v>
      </c>
      <c r="I190" s="35">
        <f t="shared" si="19"/>
        <v>2440.15</v>
      </c>
      <c r="J190" s="56">
        <f>'2021'!J191</f>
        <v>2440.1</v>
      </c>
      <c r="K190" s="49">
        <v>3683.6778575999997</v>
      </c>
      <c r="L190" s="49">
        <v>3831.0249719039998</v>
      </c>
      <c r="M190" s="49">
        <v>1251.8887992</v>
      </c>
      <c r="N190" s="49">
        <v>1301.9643511680001</v>
      </c>
      <c r="O190" s="56">
        <f t="shared" si="20"/>
        <v>2431.7890583999997</v>
      </c>
      <c r="P190" s="1">
        <f t="shared" si="14"/>
        <v>1958196.9233820706</v>
      </c>
      <c r="Q190" s="1">
        <f t="shared" si="15"/>
        <v>1305464.6155880471</v>
      </c>
      <c r="R190" s="1">
        <f t="shared" si="16"/>
        <v>555415.85463200556</v>
      </c>
      <c r="S190" s="1">
        <f t="shared" si="17"/>
        <v>2221663.4185280222</v>
      </c>
      <c r="T190" s="1">
        <f t="shared" si="18"/>
        <v>6040740.8121301457</v>
      </c>
      <c r="U190" s="11"/>
      <c r="V190" s="11"/>
      <c r="W190" s="11"/>
      <c r="X190" s="12"/>
      <c r="Y190" s="12"/>
      <c r="Z190" s="12"/>
      <c r="AA190" s="12"/>
      <c r="AB190" s="12"/>
      <c r="AC190" s="12"/>
      <c r="AD190" s="12"/>
      <c r="AE190" s="12"/>
      <c r="AF190" s="12"/>
      <c r="AG190" s="12"/>
      <c r="AH190" s="12"/>
      <c r="AI190" s="12"/>
      <c r="AJ190" s="12"/>
      <c r="AK190" s="12"/>
      <c r="AL190" s="12"/>
      <c r="AM190" s="12"/>
      <c r="AN190" s="12"/>
      <c r="AO190" s="12"/>
      <c r="AP190" s="12"/>
      <c r="AQ190" s="12"/>
      <c r="AR190" s="12"/>
      <c r="AS190" s="12"/>
      <c r="AT190" s="12"/>
      <c r="AU190" s="12"/>
      <c r="AV190" s="12"/>
      <c r="AW190" s="12"/>
      <c r="AX190" s="12"/>
      <c r="AY190" s="12"/>
      <c r="AZ190" s="12"/>
      <c r="BA190" s="12"/>
      <c r="BB190" s="12"/>
      <c r="BC190" s="12"/>
      <c r="BD190" s="12"/>
      <c r="BE190" s="12"/>
      <c r="BF190" s="12"/>
      <c r="BG190" s="12"/>
      <c r="BH190" s="12"/>
      <c r="BI190" s="12"/>
      <c r="BJ190" s="12"/>
      <c r="BK190" s="12"/>
      <c r="BL190" s="12"/>
      <c r="BM190" s="12"/>
      <c r="BN190" s="12"/>
      <c r="BO190" s="12"/>
      <c r="BP190" s="12"/>
      <c r="BQ190" s="12"/>
      <c r="BR190" s="12"/>
      <c r="BS190" s="12"/>
      <c r="BT190" s="12"/>
      <c r="BU190" s="12"/>
      <c r="BV190" s="12"/>
      <c r="BW190" s="12"/>
      <c r="BX190" s="12"/>
      <c r="BY190" s="12"/>
      <c r="BZ190" s="12"/>
      <c r="CA190" s="12"/>
      <c r="CB190" s="12"/>
      <c r="CC190" s="12"/>
      <c r="CD190" s="12"/>
      <c r="CE190" s="12"/>
      <c r="CF190" s="12"/>
      <c r="CG190" s="12"/>
      <c r="CH190" s="12"/>
      <c r="CI190" s="12"/>
      <c r="CJ190" s="12"/>
      <c r="CK190" s="12"/>
      <c r="CL190" s="12"/>
      <c r="CM190" s="12"/>
      <c r="CN190" s="12"/>
      <c r="CO190" s="12"/>
      <c r="CP190" s="12"/>
      <c r="CQ190" s="12"/>
      <c r="CR190" s="12"/>
      <c r="CS190" s="12"/>
      <c r="CT190" s="12"/>
      <c r="CU190" s="12"/>
      <c r="CV190" s="12"/>
      <c r="CW190" s="12"/>
      <c r="CX190" s="12"/>
      <c r="CY190" s="12"/>
      <c r="CZ190" s="12"/>
      <c r="DA190" s="12"/>
      <c r="DB190" s="12"/>
      <c r="DC190" s="12"/>
      <c r="DD190" s="12"/>
      <c r="DE190" s="12"/>
      <c r="DF190" s="12"/>
      <c r="DG190" s="12"/>
      <c r="DH190" s="12"/>
      <c r="DI190" s="12"/>
      <c r="DJ190" s="12"/>
      <c r="DK190" s="12"/>
      <c r="DL190" s="12"/>
      <c r="DM190" s="12"/>
      <c r="DN190" s="12"/>
      <c r="DO190" s="12"/>
      <c r="DP190" s="12"/>
      <c r="DQ190" s="12"/>
      <c r="DR190" s="12"/>
      <c r="DS190" s="12"/>
      <c r="DT190" s="12"/>
      <c r="DU190" s="12"/>
      <c r="DV190" s="12"/>
      <c r="DW190" s="12"/>
      <c r="DX190" s="12"/>
      <c r="DY190" s="12"/>
      <c r="DZ190" s="12"/>
      <c r="EA190" s="12"/>
      <c r="EB190" s="12"/>
      <c r="EC190" s="12"/>
      <c r="ED190" s="12"/>
      <c r="EE190" s="12"/>
      <c r="EF190" s="12"/>
      <c r="EG190" s="12"/>
      <c r="EH190" s="12"/>
      <c r="EI190" s="12"/>
      <c r="EJ190" s="12"/>
      <c r="EK190" s="12"/>
      <c r="EL190" s="12"/>
      <c r="EM190" s="12"/>
      <c r="EN190" s="12"/>
      <c r="EO190" s="12"/>
      <c r="EP190" s="12"/>
      <c r="EQ190" s="12"/>
      <c r="ER190" s="12"/>
      <c r="ES190" s="12"/>
      <c r="ET190" s="12"/>
      <c r="EU190" s="12"/>
      <c r="EV190" s="12"/>
      <c r="EW190" s="12"/>
      <c r="EX190" s="12"/>
      <c r="EY190" s="12"/>
      <c r="EZ190" s="12"/>
      <c r="FA190" s="12"/>
      <c r="FB190" s="12"/>
      <c r="FC190" s="12"/>
      <c r="FD190" s="12"/>
      <c r="FE190" s="12"/>
      <c r="FF190" s="12"/>
      <c r="FG190" s="12"/>
      <c r="FH190" s="12"/>
      <c r="FI190" s="12"/>
      <c r="FJ190" s="12"/>
      <c r="FK190" s="12"/>
      <c r="FL190" s="12"/>
      <c r="FM190" s="12"/>
      <c r="FN190" s="12"/>
      <c r="FO190" s="12"/>
      <c r="FP190" s="12"/>
      <c r="FQ190" s="12"/>
      <c r="FR190" s="12"/>
      <c r="FS190" s="12"/>
      <c r="FT190" s="12"/>
      <c r="FU190" s="12"/>
      <c r="FV190" s="12"/>
      <c r="FW190" s="12"/>
      <c r="FX190" s="12"/>
      <c r="FY190" s="12"/>
      <c r="FZ190" s="12"/>
      <c r="GA190" s="12"/>
      <c r="GB190" s="12"/>
      <c r="GC190" s="12"/>
      <c r="GD190" s="12"/>
      <c r="GE190" s="12"/>
    </row>
    <row r="191" spans="1:187" ht="21" customHeight="1">
      <c r="A191" s="45"/>
      <c r="B191" s="9" t="s">
        <v>266</v>
      </c>
      <c r="C191" s="10" t="s">
        <v>216</v>
      </c>
      <c r="D191" s="10" t="s">
        <v>301</v>
      </c>
      <c r="E191" s="35">
        <v>2836.8249999999998</v>
      </c>
      <c r="F191" s="35">
        <f>4728.367-E191</f>
        <v>1891.5420000000004</v>
      </c>
      <c r="G191" s="35">
        <v>945.52499999999998</v>
      </c>
      <c r="H191" s="35">
        <f>3782.1-G191</f>
        <v>2836.5749999999998</v>
      </c>
      <c r="I191" s="35">
        <f t="shared" si="19"/>
        <v>8510.4670000000006</v>
      </c>
      <c r="J191" s="56">
        <f>'2021'!J192</f>
        <v>7556.92</v>
      </c>
      <c r="K191" s="49">
        <v>5216.5775999999996</v>
      </c>
      <c r="L191" s="49">
        <v>5425.2407039999998</v>
      </c>
      <c r="M191" s="49">
        <v>1477.2264000000002</v>
      </c>
      <c r="N191" s="49">
        <v>1536.3154560000003</v>
      </c>
      <c r="O191" s="56">
        <f t="shared" si="20"/>
        <v>3739.3511999999992</v>
      </c>
      <c r="P191" s="1">
        <f t="shared" si="14"/>
        <v>10607884.967939997</v>
      </c>
      <c r="Q191" s="1">
        <f t="shared" si="15"/>
        <v>7073139.8475503996</v>
      </c>
      <c r="R191" s="1">
        <f t="shared" si="16"/>
        <v>3677076.0451151994</v>
      </c>
      <c r="S191" s="1">
        <f t="shared" si="17"/>
        <v>11031228.135345599</v>
      </c>
      <c r="T191" s="1">
        <f t="shared" si="18"/>
        <v>32389328.995951191</v>
      </c>
      <c r="U191" s="11"/>
      <c r="V191" s="11"/>
      <c r="W191" s="11"/>
      <c r="X191" s="12"/>
      <c r="Y191" s="12"/>
      <c r="Z191" s="12"/>
      <c r="AA191" s="12"/>
      <c r="AB191" s="12"/>
      <c r="AC191" s="12"/>
      <c r="AD191" s="12"/>
      <c r="AE191" s="12"/>
      <c r="AF191" s="12"/>
      <c r="AG191" s="12"/>
      <c r="AH191" s="12"/>
      <c r="AI191" s="12"/>
      <c r="AJ191" s="12"/>
      <c r="AK191" s="12"/>
      <c r="AL191" s="12"/>
      <c r="AM191" s="12"/>
      <c r="AN191" s="12"/>
      <c r="AO191" s="12"/>
      <c r="AP191" s="12"/>
      <c r="AQ191" s="12"/>
      <c r="AR191" s="12"/>
      <c r="AS191" s="12"/>
      <c r="AT191" s="12"/>
      <c r="AU191" s="12"/>
      <c r="AV191" s="12"/>
      <c r="AW191" s="12"/>
      <c r="AX191" s="12"/>
      <c r="AY191" s="12"/>
      <c r="AZ191" s="12"/>
      <c r="BA191" s="12"/>
      <c r="BB191" s="12"/>
      <c r="BC191" s="12"/>
      <c r="BD191" s="12"/>
      <c r="BE191" s="12"/>
      <c r="BF191" s="12"/>
      <c r="BG191" s="12"/>
      <c r="BH191" s="12"/>
      <c r="BI191" s="12"/>
      <c r="BJ191" s="12"/>
      <c r="BK191" s="12"/>
      <c r="BL191" s="12"/>
      <c r="BM191" s="12"/>
      <c r="BN191" s="12"/>
      <c r="BO191" s="12"/>
      <c r="BP191" s="12"/>
      <c r="BQ191" s="12"/>
      <c r="BR191" s="12"/>
      <c r="BS191" s="12"/>
      <c r="BT191" s="12"/>
      <c r="BU191" s="12"/>
      <c r="BV191" s="12"/>
      <c r="BW191" s="12"/>
      <c r="BX191" s="12"/>
      <c r="BY191" s="12"/>
      <c r="BZ191" s="12"/>
      <c r="CA191" s="12"/>
      <c r="CB191" s="12"/>
      <c r="CC191" s="12"/>
      <c r="CD191" s="12"/>
      <c r="CE191" s="12"/>
      <c r="CF191" s="12"/>
      <c r="CG191" s="12"/>
      <c r="CH191" s="12"/>
      <c r="CI191" s="12"/>
      <c r="CJ191" s="12"/>
      <c r="CK191" s="12"/>
      <c r="CL191" s="12"/>
      <c r="CM191" s="12"/>
      <c r="CN191" s="12"/>
      <c r="CO191" s="12"/>
      <c r="CP191" s="12"/>
      <c r="CQ191" s="12"/>
      <c r="CR191" s="12"/>
      <c r="CS191" s="12"/>
      <c r="CT191" s="12"/>
      <c r="CU191" s="12"/>
      <c r="CV191" s="12"/>
      <c r="CW191" s="12"/>
      <c r="CX191" s="12"/>
      <c r="CY191" s="12"/>
      <c r="CZ191" s="12"/>
      <c r="DA191" s="12"/>
      <c r="DB191" s="12"/>
      <c r="DC191" s="12"/>
      <c r="DD191" s="12"/>
      <c r="DE191" s="12"/>
      <c r="DF191" s="12"/>
      <c r="DG191" s="12"/>
      <c r="DH191" s="12"/>
      <c r="DI191" s="12"/>
      <c r="DJ191" s="12"/>
      <c r="DK191" s="12"/>
      <c r="DL191" s="12"/>
      <c r="DM191" s="12"/>
      <c r="DN191" s="12"/>
      <c r="DO191" s="12"/>
      <c r="DP191" s="12"/>
      <c r="DQ191" s="12"/>
      <c r="DR191" s="12"/>
      <c r="DS191" s="12"/>
      <c r="DT191" s="12"/>
      <c r="DU191" s="12"/>
      <c r="DV191" s="12"/>
      <c r="DW191" s="12"/>
      <c r="DX191" s="12"/>
      <c r="DY191" s="12"/>
      <c r="DZ191" s="12"/>
      <c r="EA191" s="12"/>
      <c r="EB191" s="12"/>
      <c r="EC191" s="12"/>
      <c r="ED191" s="12"/>
      <c r="EE191" s="12"/>
      <c r="EF191" s="12"/>
      <c r="EG191" s="12"/>
      <c r="EH191" s="12"/>
      <c r="EI191" s="12"/>
      <c r="EJ191" s="12"/>
      <c r="EK191" s="12"/>
      <c r="EL191" s="12"/>
      <c r="EM191" s="12"/>
      <c r="EN191" s="12"/>
      <c r="EO191" s="12"/>
      <c r="EP191" s="12"/>
      <c r="EQ191" s="12"/>
      <c r="ER191" s="12"/>
      <c r="ES191" s="12"/>
      <c r="ET191" s="12"/>
      <c r="EU191" s="12"/>
      <c r="EV191" s="12"/>
      <c r="EW191" s="12"/>
      <c r="EX191" s="12"/>
      <c r="EY191" s="12"/>
      <c r="EZ191" s="12"/>
      <c r="FA191" s="12"/>
      <c r="FB191" s="12"/>
      <c r="FC191" s="12"/>
      <c r="FD191" s="12"/>
      <c r="FE191" s="12"/>
      <c r="FF191" s="12"/>
      <c r="FG191" s="12"/>
      <c r="FH191" s="12"/>
      <c r="FI191" s="12"/>
      <c r="FJ191" s="12"/>
      <c r="FK191" s="12"/>
      <c r="FL191" s="12"/>
      <c r="FM191" s="12"/>
      <c r="FN191" s="12"/>
      <c r="FO191" s="12"/>
      <c r="FP191" s="12"/>
      <c r="FQ191" s="12"/>
      <c r="FR191" s="12"/>
      <c r="FS191" s="12"/>
      <c r="FT191" s="12"/>
      <c r="FU191" s="12"/>
      <c r="FV191" s="12"/>
      <c r="FW191" s="12"/>
      <c r="FX191" s="12"/>
      <c r="FY191" s="12"/>
      <c r="FZ191" s="12"/>
      <c r="GA191" s="12"/>
      <c r="GB191" s="12"/>
      <c r="GC191" s="12"/>
      <c r="GD191" s="12"/>
      <c r="GE191" s="12"/>
    </row>
    <row r="192" spans="1:187" ht="21" customHeight="1">
      <c r="A192" s="45" t="s">
        <v>337</v>
      </c>
      <c r="B192" s="9" t="s">
        <v>348</v>
      </c>
      <c r="C192" s="10" t="s">
        <v>347</v>
      </c>
      <c r="D192" s="10" t="s">
        <v>217</v>
      </c>
      <c r="E192" s="35">
        <f>87.97428*0.4</f>
        <v>35.189712</v>
      </c>
      <c r="F192" s="35">
        <f>87.97428*0.6</f>
        <v>52.784567999999993</v>
      </c>
      <c r="G192" s="35">
        <f>69.68572*0.2</f>
        <v>13.937144000000002</v>
      </c>
      <c r="H192" s="35">
        <f>69.68572*0.8</f>
        <v>55.748576000000007</v>
      </c>
      <c r="I192" s="35">
        <f t="shared" si="19"/>
        <v>157.66</v>
      </c>
      <c r="J192" s="56">
        <f>'2021'!J193</f>
        <v>157.66</v>
      </c>
      <c r="K192" s="49">
        <v>2054.6553872</v>
      </c>
      <c r="L192" s="49">
        <v>2136.841602688</v>
      </c>
      <c r="M192" s="49">
        <v>1201.5453527999998</v>
      </c>
      <c r="N192" s="49">
        <v>1249.6071669119999</v>
      </c>
      <c r="O192" s="56">
        <f t="shared" si="20"/>
        <v>853.11003440000013</v>
      </c>
      <c r="P192" s="1">
        <f t="shared" si="14"/>
        <v>30020.696414846097</v>
      </c>
      <c r="Q192" s="1">
        <f t="shared" si="15"/>
        <v>45031.044622269139</v>
      </c>
      <c r="R192" s="1">
        <f t="shared" si="16"/>
        <v>12365.514093168866</v>
      </c>
      <c r="S192" s="1">
        <f t="shared" si="17"/>
        <v>49462.056372675463</v>
      </c>
      <c r="T192" s="1">
        <f t="shared" si="18"/>
        <v>136879.31150295958</v>
      </c>
      <c r="U192" s="11"/>
      <c r="V192" s="11"/>
      <c r="W192" s="11"/>
      <c r="X192" s="12"/>
      <c r="Y192" s="12"/>
      <c r="Z192" s="12"/>
      <c r="AA192" s="12"/>
      <c r="AB192" s="12"/>
      <c r="AC192" s="12"/>
      <c r="AD192" s="12"/>
      <c r="AE192" s="12"/>
      <c r="AF192" s="12"/>
      <c r="AG192" s="12"/>
      <c r="AH192" s="12"/>
      <c r="AI192" s="12"/>
      <c r="AJ192" s="12"/>
      <c r="AK192" s="12"/>
      <c r="AL192" s="12"/>
      <c r="AM192" s="12"/>
      <c r="AN192" s="12"/>
      <c r="AO192" s="12"/>
      <c r="AP192" s="12"/>
      <c r="AQ192" s="12"/>
      <c r="AR192" s="12"/>
      <c r="AS192" s="12"/>
      <c r="AT192" s="12"/>
      <c r="AU192" s="12"/>
      <c r="AV192" s="12"/>
      <c r="AW192" s="12"/>
      <c r="AX192" s="12"/>
      <c r="AY192" s="12"/>
      <c r="AZ192" s="12"/>
      <c r="BA192" s="12"/>
      <c r="BB192" s="12"/>
      <c r="BC192" s="12"/>
      <c r="BD192" s="12"/>
      <c r="BE192" s="12"/>
      <c r="BF192" s="12"/>
      <c r="BG192" s="12"/>
      <c r="BH192" s="12"/>
      <c r="BI192" s="12"/>
      <c r="BJ192" s="12"/>
      <c r="BK192" s="12"/>
      <c r="BL192" s="12"/>
      <c r="BM192" s="12"/>
      <c r="BN192" s="12"/>
      <c r="BO192" s="12"/>
      <c r="BP192" s="12"/>
      <c r="BQ192" s="12"/>
      <c r="BR192" s="12"/>
      <c r="BS192" s="12"/>
      <c r="BT192" s="12"/>
      <c r="BU192" s="12"/>
      <c r="BV192" s="12"/>
      <c r="BW192" s="12"/>
      <c r="BX192" s="12"/>
      <c r="BY192" s="12"/>
      <c r="BZ192" s="12"/>
      <c r="CA192" s="12"/>
      <c r="CB192" s="12"/>
      <c r="CC192" s="12"/>
      <c r="CD192" s="12"/>
      <c r="CE192" s="12"/>
      <c r="CF192" s="12"/>
      <c r="CG192" s="12"/>
      <c r="CH192" s="12"/>
      <c r="CI192" s="12"/>
      <c r="CJ192" s="12"/>
      <c r="CK192" s="12"/>
      <c r="CL192" s="12"/>
      <c r="CM192" s="12"/>
      <c r="CN192" s="12"/>
      <c r="CO192" s="12"/>
      <c r="CP192" s="12"/>
      <c r="CQ192" s="12"/>
      <c r="CR192" s="12"/>
      <c r="CS192" s="12"/>
      <c r="CT192" s="12"/>
      <c r="CU192" s="12"/>
      <c r="CV192" s="12"/>
      <c r="CW192" s="12"/>
      <c r="CX192" s="12"/>
      <c r="CY192" s="12"/>
      <c r="CZ192" s="12"/>
      <c r="DA192" s="12"/>
      <c r="DB192" s="12"/>
      <c r="DC192" s="12"/>
      <c r="DD192" s="12"/>
      <c r="DE192" s="12"/>
      <c r="DF192" s="12"/>
      <c r="DG192" s="12"/>
      <c r="DH192" s="12"/>
      <c r="DI192" s="12"/>
      <c r="DJ192" s="12"/>
      <c r="DK192" s="12"/>
      <c r="DL192" s="12"/>
      <c r="DM192" s="12"/>
      <c r="DN192" s="12"/>
      <c r="DO192" s="12"/>
      <c r="DP192" s="12"/>
      <c r="DQ192" s="12"/>
      <c r="DR192" s="12"/>
      <c r="DS192" s="12"/>
      <c r="DT192" s="12"/>
      <c r="DU192" s="12"/>
      <c r="DV192" s="12"/>
      <c r="DW192" s="12"/>
      <c r="DX192" s="12"/>
      <c r="DY192" s="12"/>
      <c r="DZ192" s="12"/>
      <c r="EA192" s="12"/>
      <c r="EB192" s="12"/>
      <c r="EC192" s="12"/>
      <c r="ED192" s="12"/>
      <c r="EE192" s="12"/>
      <c r="EF192" s="12"/>
      <c r="EG192" s="12"/>
      <c r="EH192" s="12"/>
      <c r="EI192" s="12"/>
      <c r="EJ192" s="12"/>
      <c r="EK192" s="12"/>
      <c r="EL192" s="12"/>
      <c r="EM192" s="12"/>
      <c r="EN192" s="12"/>
      <c r="EO192" s="12"/>
      <c r="EP192" s="12"/>
      <c r="EQ192" s="12"/>
      <c r="ER192" s="12"/>
      <c r="ES192" s="12"/>
      <c r="ET192" s="12"/>
      <c r="EU192" s="12"/>
      <c r="EV192" s="12"/>
      <c r="EW192" s="12"/>
      <c r="EX192" s="12"/>
      <c r="EY192" s="12"/>
      <c r="EZ192" s="12"/>
      <c r="FA192" s="12"/>
      <c r="FB192" s="12"/>
      <c r="FC192" s="12"/>
      <c r="FD192" s="12"/>
      <c r="FE192" s="12"/>
      <c r="FF192" s="12"/>
      <c r="FG192" s="12"/>
      <c r="FH192" s="12"/>
      <c r="FI192" s="12"/>
      <c r="FJ192" s="12"/>
      <c r="FK192" s="12"/>
      <c r="FL192" s="12"/>
      <c r="FM192" s="12"/>
      <c r="FN192" s="12"/>
      <c r="FO192" s="12"/>
      <c r="FP192" s="12"/>
      <c r="FQ192" s="12"/>
      <c r="FR192" s="12"/>
      <c r="FS192" s="12"/>
      <c r="FT192" s="12"/>
      <c r="FU192" s="12"/>
      <c r="FV192" s="12"/>
      <c r="FW192" s="12"/>
      <c r="FX192" s="12"/>
      <c r="FY192" s="12"/>
      <c r="FZ192" s="12"/>
      <c r="GA192" s="12"/>
      <c r="GB192" s="12"/>
      <c r="GC192" s="12"/>
      <c r="GD192" s="12"/>
      <c r="GE192" s="12"/>
    </row>
    <row r="193" spans="1:187" ht="21" customHeight="1">
      <c r="A193" s="45"/>
      <c r="B193" s="101" t="s">
        <v>218</v>
      </c>
      <c r="C193" s="101"/>
      <c r="D193" s="101"/>
      <c r="E193" s="34"/>
      <c r="F193" s="34"/>
      <c r="G193" s="34"/>
      <c r="H193" s="34"/>
      <c r="I193" s="35">
        <f t="shared" si="19"/>
        <v>0</v>
      </c>
      <c r="J193" s="56"/>
      <c r="K193" s="49"/>
      <c r="L193" s="49"/>
      <c r="M193" s="49"/>
      <c r="N193" s="49"/>
      <c r="O193" s="56">
        <f t="shared" si="20"/>
        <v>0</v>
      </c>
      <c r="P193" s="1">
        <f t="shared" si="14"/>
        <v>0</v>
      </c>
      <c r="Q193" s="1">
        <f t="shared" si="15"/>
        <v>0</v>
      </c>
      <c r="R193" s="1">
        <f t="shared" si="16"/>
        <v>0</v>
      </c>
      <c r="S193" s="1">
        <f t="shared" si="17"/>
        <v>0</v>
      </c>
      <c r="T193" s="1">
        <f t="shared" si="18"/>
        <v>0</v>
      </c>
      <c r="U193" s="45"/>
      <c r="V193" s="45"/>
      <c r="W193" s="45"/>
    </row>
    <row r="194" spans="1:187" ht="21" customHeight="1">
      <c r="A194" s="45"/>
      <c r="B194" s="9" t="s">
        <v>264</v>
      </c>
      <c r="C194" s="10" t="s">
        <v>219</v>
      </c>
      <c r="D194" s="10" t="s">
        <v>220</v>
      </c>
      <c r="E194" s="35">
        <v>1839.6969999999999</v>
      </c>
      <c r="F194" s="35">
        <f>2683.725-E194</f>
        <v>844.02800000000002</v>
      </c>
      <c r="G194" s="35">
        <v>253.42599999999999</v>
      </c>
      <c r="H194" s="35">
        <f>2044.498-G194</f>
        <v>1791.0720000000001</v>
      </c>
      <c r="I194" s="35">
        <f t="shared" si="19"/>
        <v>4728.223</v>
      </c>
      <c r="J194" s="56">
        <f>'2021'!J195</f>
        <v>5362.9382546374927</v>
      </c>
      <c r="K194" s="49">
        <v>4107.3968000000004</v>
      </c>
      <c r="L194" s="49">
        <v>4271.692672000001</v>
      </c>
      <c r="M194" s="49">
        <v>2097.38</v>
      </c>
      <c r="N194" s="49">
        <v>2181.2843520000001</v>
      </c>
      <c r="O194" s="56">
        <f t="shared" si="20"/>
        <v>2010.0168000000003</v>
      </c>
      <c r="P194" s="1">
        <f t="shared" si="14"/>
        <v>3697821.8769096006</v>
      </c>
      <c r="Q194" s="1">
        <f t="shared" si="15"/>
        <v>1696510.4596704002</v>
      </c>
      <c r="R194" s="1">
        <f t="shared" si="16"/>
        <v>529763.81890432024</v>
      </c>
      <c r="S194" s="1">
        <f t="shared" si="17"/>
        <v>3744071.810519042</v>
      </c>
      <c r="T194" s="1">
        <f t="shared" si="18"/>
        <v>9668167.9660033621</v>
      </c>
      <c r="U194" s="11"/>
      <c r="V194" s="11"/>
      <c r="W194" s="11"/>
      <c r="X194" s="12"/>
      <c r="Y194" s="12"/>
      <c r="Z194" s="12"/>
      <c r="AA194" s="12"/>
      <c r="AB194" s="12"/>
      <c r="AC194" s="12"/>
      <c r="AD194" s="12"/>
      <c r="AE194" s="12"/>
      <c r="AF194" s="12"/>
      <c r="AG194" s="12"/>
      <c r="AH194" s="12"/>
      <c r="AI194" s="12"/>
      <c r="AJ194" s="12"/>
      <c r="AK194" s="12"/>
      <c r="AL194" s="12"/>
      <c r="AM194" s="12"/>
      <c r="AN194" s="12"/>
      <c r="AO194" s="12"/>
      <c r="AP194" s="12"/>
      <c r="AQ194" s="12"/>
      <c r="AR194" s="12"/>
      <c r="AS194" s="12"/>
      <c r="AT194" s="12"/>
      <c r="AU194" s="12"/>
      <c r="AV194" s="12"/>
      <c r="AW194" s="12"/>
      <c r="AX194" s="12"/>
      <c r="AY194" s="12"/>
      <c r="AZ194" s="12"/>
      <c r="BA194" s="12"/>
      <c r="BB194" s="12"/>
      <c r="BC194" s="12"/>
      <c r="BD194" s="12"/>
      <c r="BE194" s="12"/>
      <c r="BF194" s="12"/>
      <c r="BG194" s="12"/>
      <c r="BH194" s="12"/>
      <c r="BI194" s="12"/>
      <c r="BJ194" s="12"/>
      <c r="BK194" s="12"/>
      <c r="BL194" s="12"/>
      <c r="BM194" s="12"/>
      <c r="BN194" s="12"/>
      <c r="BO194" s="12"/>
      <c r="BP194" s="12"/>
      <c r="BQ194" s="12"/>
      <c r="BR194" s="12"/>
      <c r="BS194" s="12"/>
      <c r="BT194" s="12"/>
      <c r="BU194" s="12"/>
      <c r="BV194" s="12"/>
      <c r="BW194" s="12"/>
      <c r="BX194" s="12"/>
      <c r="BY194" s="12"/>
      <c r="BZ194" s="12"/>
      <c r="CA194" s="12"/>
      <c r="CB194" s="12"/>
      <c r="CC194" s="12"/>
      <c r="CD194" s="12"/>
      <c r="CE194" s="12"/>
      <c r="CF194" s="12"/>
      <c r="CG194" s="12"/>
      <c r="CH194" s="12"/>
      <c r="CI194" s="12"/>
      <c r="CJ194" s="12"/>
      <c r="CK194" s="12"/>
      <c r="CL194" s="12"/>
      <c r="CM194" s="12"/>
      <c r="CN194" s="12"/>
      <c r="CO194" s="12"/>
      <c r="CP194" s="12"/>
      <c r="CQ194" s="12"/>
      <c r="CR194" s="12"/>
      <c r="CS194" s="12"/>
      <c r="CT194" s="12"/>
      <c r="CU194" s="12"/>
      <c r="CV194" s="12"/>
      <c r="CW194" s="12"/>
      <c r="CX194" s="12"/>
      <c r="CY194" s="12"/>
      <c r="CZ194" s="12"/>
      <c r="DA194" s="12"/>
      <c r="DB194" s="12"/>
      <c r="DC194" s="12"/>
      <c r="DD194" s="12"/>
      <c r="DE194" s="12"/>
      <c r="DF194" s="12"/>
      <c r="DG194" s="12"/>
      <c r="DH194" s="12"/>
      <c r="DI194" s="12"/>
      <c r="DJ194" s="12"/>
      <c r="DK194" s="12"/>
      <c r="DL194" s="12"/>
      <c r="DM194" s="12"/>
      <c r="DN194" s="12"/>
      <c r="DO194" s="12"/>
      <c r="DP194" s="12"/>
      <c r="DQ194" s="12"/>
      <c r="DR194" s="12"/>
      <c r="DS194" s="12"/>
      <c r="DT194" s="12"/>
      <c r="DU194" s="12"/>
      <c r="DV194" s="12"/>
      <c r="DW194" s="12"/>
      <c r="DX194" s="12"/>
      <c r="DY194" s="12"/>
      <c r="DZ194" s="12"/>
      <c r="EA194" s="12"/>
      <c r="EB194" s="12"/>
      <c r="EC194" s="12"/>
      <c r="ED194" s="12"/>
      <c r="EE194" s="12"/>
      <c r="EF194" s="12"/>
      <c r="EG194" s="12"/>
      <c r="EH194" s="12"/>
      <c r="EI194" s="12"/>
      <c r="EJ194" s="12"/>
      <c r="EK194" s="12"/>
      <c r="EL194" s="12"/>
      <c r="EM194" s="12"/>
      <c r="EN194" s="12"/>
      <c r="EO194" s="12"/>
      <c r="EP194" s="12"/>
      <c r="EQ194" s="12"/>
      <c r="ER194" s="12"/>
      <c r="ES194" s="12"/>
      <c r="ET194" s="12"/>
      <c r="EU194" s="12"/>
      <c r="EV194" s="12"/>
      <c r="EW194" s="12"/>
      <c r="EX194" s="12"/>
      <c r="EY194" s="12"/>
      <c r="EZ194" s="12"/>
      <c r="FA194" s="12"/>
      <c r="FB194" s="12"/>
      <c r="FC194" s="12"/>
      <c r="FD194" s="12"/>
      <c r="FE194" s="12"/>
      <c r="FF194" s="12"/>
      <c r="FG194" s="12"/>
      <c r="FH194" s="12"/>
      <c r="FI194" s="12"/>
      <c r="FJ194" s="12"/>
      <c r="FK194" s="12"/>
      <c r="FL194" s="12"/>
      <c r="FM194" s="12"/>
      <c r="FN194" s="12"/>
      <c r="FO194" s="12"/>
      <c r="FP194" s="12"/>
      <c r="FQ194" s="12"/>
      <c r="FR194" s="12"/>
      <c r="FS194" s="12"/>
      <c r="FT194" s="12"/>
      <c r="FU194" s="12"/>
      <c r="FV194" s="12"/>
      <c r="FW194" s="12"/>
      <c r="FX194" s="12"/>
      <c r="FY194" s="12"/>
      <c r="FZ194" s="12"/>
      <c r="GA194" s="12"/>
      <c r="GB194" s="12"/>
      <c r="GC194" s="12"/>
      <c r="GD194" s="12"/>
      <c r="GE194" s="12"/>
    </row>
    <row r="195" spans="1:187" ht="21" customHeight="1">
      <c r="A195" s="45"/>
      <c r="B195" s="9" t="s">
        <v>24</v>
      </c>
      <c r="C195" s="10" t="s">
        <v>221</v>
      </c>
      <c r="D195" s="10" t="s">
        <v>220</v>
      </c>
      <c r="E195" s="35">
        <v>2345.6950000000002</v>
      </c>
      <c r="F195" s="35">
        <f>3447.042-E195</f>
        <v>1101.3469999999998</v>
      </c>
      <c r="G195" s="35">
        <v>344.05799999999999</v>
      </c>
      <c r="H195" s="35">
        <f>2662.974-G195</f>
        <v>2318.9160000000002</v>
      </c>
      <c r="I195" s="35">
        <f t="shared" si="19"/>
        <v>6110.0159999999996</v>
      </c>
      <c r="J195" s="56">
        <f>'2021'!J196</f>
        <v>7846.1403333333328</v>
      </c>
      <c r="K195" s="49">
        <v>4154.4580480000004</v>
      </c>
      <c r="L195" s="49">
        <v>4320.636369920001</v>
      </c>
      <c r="M195" s="49">
        <v>2097.3847648000001</v>
      </c>
      <c r="N195" s="49">
        <v>2181.2801553920003</v>
      </c>
      <c r="O195" s="56">
        <f t="shared" si="20"/>
        <v>2057.0732832000003</v>
      </c>
      <c r="P195" s="1">
        <f t="shared" si="14"/>
        <v>4825266.5150358249</v>
      </c>
      <c r="Q195" s="1">
        <f t="shared" si="15"/>
        <v>2265551.4892324703</v>
      </c>
      <c r="R195" s="1">
        <f t="shared" si="16"/>
        <v>736062.62045807485</v>
      </c>
      <c r="S195" s="1">
        <f t="shared" si="17"/>
        <v>4960987.3555684136</v>
      </c>
      <c r="T195" s="1">
        <f t="shared" si="18"/>
        <v>12787867.980294783</v>
      </c>
      <c r="U195" s="11"/>
      <c r="V195" s="11"/>
      <c r="W195" s="11"/>
      <c r="X195" s="12"/>
      <c r="Y195" s="12"/>
      <c r="Z195" s="12"/>
      <c r="AA195" s="12"/>
      <c r="AB195" s="12"/>
      <c r="AC195" s="12"/>
      <c r="AD195" s="12"/>
      <c r="AE195" s="12"/>
      <c r="AF195" s="12"/>
      <c r="AG195" s="12"/>
      <c r="AH195" s="12"/>
      <c r="AI195" s="12"/>
      <c r="AJ195" s="12"/>
      <c r="AK195" s="12"/>
      <c r="AL195" s="12"/>
      <c r="AM195" s="12"/>
      <c r="AN195" s="12"/>
      <c r="AO195" s="12"/>
      <c r="AP195" s="12"/>
      <c r="AQ195" s="12"/>
      <c r="AR195" s="12"/>
      <c r="AS195" s="12"/>
      <c r="AT195" s="12"/>
      <c r="AU195" s="12"/>
      <c r="AV195" s="12"/>
      <c r="AW195" s="12"/>
      <c r="AX195" s="12"/>
      <c r="AY195" s="12"/>
      <c r="AZ195" s="12"/>
      <c r="BA195" s="12"/>
      <c r="BB195" s="12"/>
      <c r="BC195" s="12"/>
      <c r="BD195" s="12"/>
      <c r="BE195" s="12"/>
      <c r="BF195" s="12"/>
      <c r="BG195" s="12"/>
      <c r="BH195" s="12"/>
      <c r="BI195" s="12"/>
      <c r="BJ195" s="12"/>
      <c r="BK195" s="12"/>
      <c r="BL195" s="12"/>
      <c r="BM195" s="12"/>
      <c r="BN195" s="12"/>
      <c r="BO195" s="12"/>
      <c r="BP195" s="12"/>
      <c r="BQ195" s="12"/>
      <c r="BR195" s="12"/>
      <c r="BS195" s="12"/>
      <c r="BT195" s="12"/>
      <c r="BU195" s="12"/>
      <c r="BV195" s="12"/>
      <c r="BW195" s="12"/>
      <c r="BX195" s="12"/>
      <c r="BY195" s="12"/>
      <c r="BZ195" s="12"/>
      <c r="CA195" s="12"/>
      <c r="CB195" s="12"/>
      <c r="CC195" s="12"/>
      <c r="CD195" s="12"/>
      <c r="CE195" s="12"/>
      <c r="CF195" s="12"/>
      <c r="CG195" s="12"/>
      <c r="CH195" s="12"/>
      <c r="CI195" s="12"/>
      <c r="CJ195" s="12"/>
      <c r="CK195" s="12"/>
      <c r="CL195" s="12"/>
      <c r="CM195" s="12"/>
      <c r="CN195" s="12"/>
      <c r="CO195" s="12"/>
      <c r="CP195" s="12"/>
      <c r="CQ195" s="12"/>
      <c r="CR195" s="12"/>
      <c r="CS195" s="12"/>
      <c r="CT195" s="12"/>
      <c r="CU195" s="12"/>
      <c r="CV195" s="12"/>
      <c r="CW195" s="12"/>
      <c r="CX195" s="12"/>
      <c r="CY195" s="12"/>
      <c r="CZ195" s="12"/>
      <c r="DA195" s="12"/>
      <c r="DB195" s="12"/>
      <c r="DC195" s="12"/>
      <c r="DD195" s="12"/>
      <c r="DE195" s="12"/>
      <c r="DF195" s="12"/>
      <c r="DG195" s="12"/>
      <c r="DH195" s="12"/>
      <c r="DI195" s="12"/>
      <c r="DJ195" s="12"/>
      <c r="DK195" s="12"/>
      <c r="DL195" s="12"/>
      <c r="DM195" s="12"/>
      <c r="DN195" s="12"/>
      <c r="DO195" s="12"/>
      <c r="DP195" s="12"/>
      <c r="DQ195" s="12"/>
      <c r="DR195" s="12"/>
      <c r="DS195" s="12"/>
      <c r="DT195" s="12"/>
      <c r="DU195" s="12"/>
      <c r="DV195" s="12"/>
      <c r="DW195" s="12"/>
      <c r="DX195" s="12"/>
      <c r="DY195" s="12"/>
      <c r="DZ195" s="12"/>
      <c r="EA195" s="12"/>
      <c r="EB195" s="12"/>
      <c r="EC195" s="12"/>
      <c r="ED195" s="12"/>
      <c r="EE195" s="12"/>
      <c r="EF195" s="12"/>
      <c r="EG195" s="12"/>
      <c r="EH195" s="12"/>
      <c r="EI195" s="12"/>
      <c r="EJ195" s="12"/>
      <c r="EK195" s="12"/>
      <c r="EL195" s="12"/>
      <c r="EM195" s="12"/>
      <c r="EN195" s="12"/>
      <c r="EO195" s="12"/>
      <c r="EP195" s="12"/>
      <c r="EQ195" s="12"/>
      <c r="ER195" s="12"/>
      <c r="ES195" s="12"/>
      <c r="ET195" s="12"/>
      <c r="EU195" s="12"/>
      <c r="EV195" s="12"/>
      <c r="EW195" s="12"/>
      <c r="EX195" s="12"/>
      <c r="EY195" s="12"/>
      <c r="EZ195" s="12"/>
      <c r="FA195" s="12"/>
      <c r="FB195" s="12"/>
      <c r="FC195" s="12"/>
      <c r="FD195" s="12"/>
      <c r="FE195" s="12"/>
      <c r="FF195" s="12"/>
      <c r="FG195" s="12"/>
      <c r="FH195" s="12"/>
      <c r="FI195" s="12"/>
      <c r="FJ195" s="12"/>
      <c r="FK195" s="12"/>
      <c r="FL195" s="12"/>
      <c r="FM195" s="12"/>
      <c r="FN195" s="12"/>
      <c r="FO195" s="12"/>
      <c r="FP195" s="12"/>
      <c r="FQ195" s="12"/>
      <c r="FR195" s="12"/>
      <c r="FS195" s="12"/>
      <c r="FT195" s="12"/>
      <c r="FU195" s="12"/>
      <c r="FV195" s="12"/>
      <c r="FW195" s="12"/>
      <c r="FX195" s="12"/>
      <c r="FY195" s="12"/>
      <c r="FZ195" s="12"/>
      <c r="GA195" s="12"/>
      <c r="GB195" s="12"/>
      <c r="GC195" s="12"/>
      <c r="GD195" s="12"/>
      <c r="GE195" s="12"/>
    </row>
    <row r="196" spans="1:187" ht="21" customHeight="1">
      <c r="A196" s="45"/>
      <c r="B196" s="9" t="s">
        <v>24</v>
      </c>
      <c r="C196" s="10" t="s">
        <v>221</v>
      </c>
      <c r="D196" s="10" t="s">
        <v>222</v>
      </c>
      <c r="E196" s="35">
        <v>575.31600000000003</v>
      </c>
      <c r="F196" s="35">
        <f>841.097-E196</f>
        <v>265.78099999999995</v>
      </c>
      <c r="G196" s="35">
        <v>107.435</v>
      </c>
      <c r="H196" s="35">
        <f>682.283-G196</f>
        <v>574.84799999999996</v>
      </c>
      <c r="I196" s="35">
        <f t="shared" si="19"/>
        <v>1523.3799999999999</v>
      </c>
      <c r="J196" s="56">
        <f>'2021'!J197</f>
        <v>0</v>
      </c>
      <c r="K196" s="49">
        <v>0</v>
      </c>
      <c r="L196" s="49">
        <v>0</v>
      </c>
      <c r="M196" s="49">
        <v>0</v>
      </c>
      <c r="N196" s="49">
        <v>0</v>
      </c>
      <c r="O196" s="56">
        <f t="shared" si="20"/>
        <v>0</v>
      </c>
      <c r="P196" s="1">
        <f t="shared" si="14"/>
        <v>0</v>
      </c>
      <c r="Q196" s="1">
        <f t="shared" si="15"/>
        <v>0</v>
      </c>
      <c r="R196" s="1">
        <f t="shared" si="16"/>
        <v>0</v>
      </c>
      <c r="S196" s="1">
        <f t="shared" si="17"/>
        <v>0</v>
      </c>
      <c r="T196" s="1">
        <f t="shared" si="18"/>
        <v>0</v>
      </c>
      <c r="U196" s="11"/>
      <c r="V196" s="11"/>
      <c r="W196" s="11"/>
      <c r="X196" s="12"/>
      <c r="Y196" s="12"/>
      <c r="Z196" s="12"/>
      <c r="AA196" s="12"/>
      <c r="AB196" s="12"/>
      <c r="AC196" s="12"/>
      <c r="AD196" s="12"/>
      <c r="AE196" s="12"/>
      <c r="AF196" s="12"/>
      <c r="AG196" s="12"/>
      <c r="AH196" s="12"/>
      <c r="AI196" s="12"/>
      <c r="AJ196" s="12"/>
      <c r="AK196" s="12"/>
      <c r="AL196" s="12"/>
      <c r="AM196" s="12"/>
      <c r="AN196" s="12"/>
      <c r="AO196" s="12"/>
      <c r="AP196" s="12"/>
      <c r="AQ196" s="12"/>
      <c r="AR196" s="12"/>
      <c r="AS196" s="12"/>
      <c r="AT196" s="12"/>
      <c r="AU196" s="12"/>
      <c r="AV196" s="12"/>
      <c r="AW196" s="12"/>
      <c r="AX196" s="12"/>
      <c r="AY196" s="12"/>
      <c r="AZ196" s="12"/>
      <c r="BA196" s="12"/>
      <c r="BB196" s="12"/>
      <c r="BC196" s="12"/>
      <c r="BD196" s="12"/>
      <c r="BE196" s="12"/>
      <c r="BF196" s="12"/>
      <c r="BG196" s="12"/>
      <c r="BH196" s="12"/>
      <c r="BI196" s="12"/>
      <c r="BJ196" s="12"/>
      <c r="BK196" s="12"/>
      <c r="BL196" s="12"/>
      <c r="BM196" s="12"/>
      <c r="BN196" s="12"/>
      <c r="BO196" s="12"/>
      <c r="BP196" s="12"/>
      <c r="BQ196" s="12"/>
      <c r="BR196" s="12"/>
      <c r="BS196" s="12"/>
      <c r="BT196" s="12"/>
      <c r="BU196" s="12"/>
      <c r="BV196" s="12"/>
      <c r="BW196" s="12"/>
      <c r="BX196" s="12"/>
      <c r="BY196" s="12"/>
      <c r="BZ196" s="12"/>
      <c r="CA196" s="12"/>
      <c r="CB196" s="12"/>
      <c r="CC196" s="12"/>
      <c r="CD196" s="12"/>
      <c r="CE196" s="12"/>
      <c r="CF196" s="12"/>
      <c r="CG196" s="12"/>
      <c r="CH196" s="12"/>
      <c r="CI196" s="12"/>
      <c r="CJ196" s="12"/>
      <c r="CK196" s="12"/>
      <c r="CL196" s="12"/>
      <c r="CM196" s="12"/>
      <c r="CN196" s="12"/>
      <c r="CO196" s="12"/>
      <c r="CP196" s="12"/>
      <c r="CQ196" s="12"/>
      <c r="CR196" s="12"/>
      <c r="CS196" s="12"/>
      <c r="CT196" s="12"/>
      <c r="CU196" s="12"/>
      <c r="CV196" s="12"/>
      <c r="CW196" s="12"/>
      <c r="CX196" s="12"/>
      <c r="CY196" s="12"/>
      <c r="CZ196" s="12"/>
      <c r="DA196" s="12"/>
      <c r="DB196" s="12"/>
      <c r="DC196" s="12"/>
      <c r="DD196" s="12"/>
      <c r="DE196" s="12"/>
      <c r="DF196" s="12"/>
      <c r="DG196" s="12"/>
      <c r="DH196" s="12"/>
      <c r="DI196" s="12"/>
      <c r="DJ196" s="12"/>
      <c r="DK196" s="12"/>
      <c r="DL196" s="12"/>
      <c r="DM196" s="12"/>
      <c r="DN196" s="12"/>
      <c r="DO196" s="12"/>
      <c r="DP196" s="12"/>
      <c r="DQ196" s="12"/>
      <c r="DR196" s="12"/>
      <c r="DS196" s="12"/>
      <c r="DT196" s="12"/>
      <c r="DU196" s="12"/>
      <c r="DV196" s="12"/>
      <c r="DW196" s="12"/>
      <c r="DX196" s="12"/>
      <c r="DY196" s="12"/>
      <c r="DZ196" s="12"/>
      <c r="EA196" s="12"/>
      <c r="EB196" s="12"/>
      <c r="EC196" s="12"/>
      <c r="ED196" s="12"/>
      <c r="EE196" s="12"/>
      <c r="EF196" s="12"/>
      <c r="EG196" s="12"/>
      <c r="EH196" s="12"/>
      <c r="EI196" s="12"/>
      <c r="EJ196" s="12"/>
      <c r="EK196" s="12"/>
      <c r="EL196" s="12"/>
      <c r="EM196" s="12"/>
      <c r="EN196" s="12"/>
      <c r="EO196" s="12"/>
      <c r="EP196" s="12"/>
      <c r="EQ196" s="12"/>
      <c r="ER196" s="12"/>
      <c r="ES196" s="12"/>
      <c r="ET196" s="12"/>
      <c r="EU196" s="12"/>
      <c r="EV196" s="12"/>
      <c r="EW196" s="12"/>
      <c r="EX196" s="12"/>
      <c r="EY196" s="12"/>
      <c r="EZ196" s="12"/>
      <c r="FA196" s="12"/>
      <c r="FB196" s="12"/>
      <c r="FC196" s="12"/>
      <c r="FD196" s="12"/>
      <c r="FE196" s="12"/>
      <c r="FF196" s="12"/>
      <c r="FG196" s="12"/>
      <c r="FH196" s="12"/>
      <c r="FI196" s="12"/>
      <c r="FJ196" s="12"/>
      <c r="FK196" s="12"/>
      <c r="FL196" s="12"/>
      <c r="FM196" s="12"/>
      <c r="FN196" s="12"/>
      <c r="FO196" s="12"/>
      <c r="FP196" s="12"/>
      <c r="FQ196" s="12"/>
      <c r="FR196" s="12"/>
      <c r="FS196" s="12"/>
      <c r="FT196" s="12"/>
      <c r="FU196" s="12"/>
      <c r="FV196" s="12"/>
      <c r="FW196" s="12"/>
      <c r="FX196" s="12"/>
      <c r="FY196" s="12"/>
      <c r="FZ196" s="12"/>
      <c r="GA196" s="12"/>
      <c r="GB196" s="12"/>
      <c r="GC196" s="12"/>
      <c r="GD196" s="12"/>
      <c r="GE196" s="12"/>
    </row>
    <row r="197" spans="1:187" ht="21" customHeight="1">
      <c r="A197" s="45"/>
      <c r="B197" s="9" t="s">
        <v>27</v>
      </c>
      <c r="C197" s="10" t="s">
        <v>84</v>
      </c>
      <c r="D197" s="10" t="s">
        <v>223</v>
      </c>
      <c r="E197" s="35">
        <v>114.33</v>
      </c>
      <c r="F197" s="35">
        <f>184.403-E197</f>
        <v>70.072999999999993</v>
      </c>
      <c r="G197" s="35">
        <v>19.169</v>
      </c>
      <c r="H197" s="35">
        <f>133.499-G197</f>
        <v>114.33</v>
      </c>
      <c r="I197" s="35">
        <f t="shared" si="19"/>
        <v>317.90199999999999</v>
      </c>
      <c r="J197" s="56">
        <f>'2021'!J198</f>
        <v>282.02999999999997</v>
      </c>
      <c r="K197" s="49">
        <v>4438.2903135999995</v>
      </c>
      <c r="L197" s="49">
        <v>4615.8219261439999</v>
      </c>
      <c r="M197" s="49">
        <v>1734.0987768</v>
      </c>
      <c r="N197" s="49">
        <v>1803.462727872</v>
      </c>
      <c r="O197" s="56">
        <f t="shared" si="20"/>
        <v>2704.1915367999995</v>
      </c>
      <c r="P197" s="1">
        <f t="shared" si="14"/>
        <v>309170.21840234392</v>
      </c>
      <c r="Q197" s="1">
        <f t="shared" si="15"/>
        <v>189490.81355818635</v>
      </c>
      <c r="R197" s="1">
        <f t="shared" si="16"/>
        <v>53910.11347167597</v>
      </c>
      <c r="S197" s="1">
        <f t="shared" si="17"/>
        <v>321537.02713843773</v>
      </c>
      <c r="T197" s="1">
        <f t="shared" si="18"/>
        <v>874108.17257064395</v>
      </c>
      <c r="U197" s="11"/>
      <c r="V197" s="11"/>
      <c r="W197" s="11"/>
      <c r="X197" s="12"/>
      <c r="Y197" s="12"/>
      <c r="Z197" s="12"/>
      <c r="AA197" s="12"/>
      <c r="AB197" s="12"/>
      <c r="AC197" s="12"/>
      <c r="AD197" s="12"/>
      <c r="AE197" s="12"/>
      <c r="AF197" s="12"/>
      <c r="AG197" s="12"/>
      <c r="AH197" s="12"/>
      <c r="AI197" s="12"/>
      <c r="AJ197" s="12"/>
      <c r="AK197" s="12"/>
      <c r="AL197" s="12"/>
      <c r="AM197" s="12"/>
      <c r="AN197" s="12"/>
      <c r="AO197" s="12"/>
      <c r="AP197" s="12"/>
      <c r="AQ197" s="12"/>
      <c r="AR197" s="12"/>
      <c r="AS197" s="12"/>
      <c r="AT197" s="12"/>
      <c r="AU197" s="12"/>
      <c r="AV197" s="12"/>
      <c r="AW197" s="12"/>
      <c r="AX197" s="12"/>
      <c r="AY197" s="12"/>
      <c r="AZ197" s="12"/>
      <c r="BA197" s="12"/>
      <c r="BB197" s="12"/>
      <c r="BC197" s="12"/>
      <c r="BD197" s="12"/>
      <c r="BE197" s="12"/>
      <c r="BF197" s="12"/>
      <c r="BG197" s="12"/>
      <c r="BH197" s="12"/>
      <c r="BI197" s="12"/>
      <c r="BJ197" s="12"/>
      <c r="BK197" s="12"/>
      <c r="BL197" s="12"/>
      <c r="BM197" s="12"/>
      <c r="BN197" s="12"/>
      <c r="BO197" s="12"/>
      <c r="BP197" s="12"/>
      <c r="BQ197" s="12"/>
      <c r="BR197" s="12"/>
      <c r="BS197" s="12"/>
      <c r="BT197" s="12"/>
      <c r="BU197" s="12"/>
      <c r="BV197" s="12"/>
      <c r="BW197" s="12"/>
      <c r="BX197" s="12"/>
      <c r="BY197" s="12"/>
      <c r="BZ197" s="12"/>
      <c r="CA197" s="12"/>
      <c r="CB197" s="12"/>
      <c r="CC197" s="12"/>
      <c r="CD197" s="12"/>
      <c r="CE197" s="12"/>
      <c r="CF197" s="12"/>
      <c r="CG197" s="12"/>
      <c r="CH197" s="12"/>
      <c r="CI197" s="12"/>
      <c r="CJ197" s="12"/>
      <c r="CK197" s="12"/>
      <c r="CL197" s="12"/>
      <c r="CM197" s="12"/>
      <c r="CN197" s="12"/>
      <c r="CO197" s="12"/>
      <c r="CP197" s="12"/>
      <c r="CQ197" s="12"/>
      <c r="CR197" s="12"/>
      <c r="CS197" s="12"/>
      <c r="CT197" s="12"/>
      <c r="CU197" s="12"/>
      <c r="CV197" s="12"/>
      <c r="CW197" s="12"/>
      <c r="CX197" s="12"/>
      <c r="CY197" s="12"/>
      <c r="CZ197" s="12"/>
      <c r="DA197" s="12"/>
      <c r="DB197" s="12"/>
      <c r="DC197" s="12"/>
      <c r="DD197" s="12"/>
      <c r="DE197" s="12"/>
      <c r="DF197" s="12"/>
      <c r="DG197" s="12"/>
      <c r="DH197" s="12"/>
      <c r="DI197" s="12"/>
      <c r="DJ197" s="12"/>
      <c r="DK197" s="12"/>
      <c r="DL197" s="12"/>
      <c r="DM197" s="12"/>
      <c r="DN197" s="12"/>
      <c r="DO197" s="12"/>
      <c r="DP197" s="12"/>
      <c r="DQ197" s="12"/>
      <c r="DR197" s="12"/>
      <c r="DS197" s="12"/>
      <c r="DT197" s="12"/>
      <c r="DU197" s="12"/>
      <c r="DV197" s="12"/>
      <c r="DW197" s="12"/>
      <c r="DX197" s="12"/>
      <c r="DY197" s="12"/>
      <c r="DZ197" s="12"/>
      <c r="EA197" s="12"/>
      <c r="EB197" s="12"/>
      <c r="EC197" s="12"/>
      <c r="ED197" s="12"/>
      <c r="EE197" s="12"/>
      <c r="EF197" s="12"/>
      <c r="EG197" s="12"/>
      <c r="EH197" s="12"/>
      <c r="EI197" s="12"/>
      <c r="EJ197" s="12"/>
      <c r="EK197" s="12"/>
      <c r="EL197" s="12"/>
      <c r="EM197" s="12"/>
      <c r="EN197" s="12"/>
      <c r="EO197" s="12"/>
      <c r="EP197" s="12"/>
      <c r="EQ197" s="12"/>
      <c r="ER197" s="12"/>
      <c r="ES197" s="12"/>
      <c r="ET197" s="12"/>
      <c r="EU197" s="12"/>
      <c r="EV197" s="12"/>
      <c r="EW197" s="12"/>
      <c r="EX197" s="12"/>
      <c r="EY197" s="12"/>
      <c r="EZ197" s="12"/>
      <c r="FA197" s="12"/>
      <c r="FB197" s="12"/>
      <c r="FC197" s="12"/>
      <c r="FD197" s="12"/>
      <c r="FE197" s="12"/>
      <c r="FF197" s="12"/>
      <c r="FG197" s="12"/>
      <c r="FH197" s="12"/>
      <c r="FI197" s="12"/>
      <c r="FJ197" s="12"/>
      <c r="FK197" s="12"/>
      <c r="FL197" s="12"/>
      <c r="FM197" s="12"/>
      <c r="FN197" s="12"/>
      <c r="FO197" s="12"/>
      <c r="FP197" s="12"/>
      <c r="FQ197" s="12"/>
      <c r="FR197" s="12"/>
      <c r="FS197" s="12"/>
      <c r="FT197" s="12"/>
      <c r="FU197" s="12"/>
      <c r="FV197" s="12"/>
      <c r="FW197" s="12"/>
      <c r="FX197" s="12"/>
      <c r="FY197" s="12"/>
      <c r="FZ197" s="12"/>
      <c r="GA197" s="12"/>
      <c r="GB197" s="12"/>
      <c r="GC197" s="12"/>
      <c r="GD197" s="12"/>
      <c r="GE197" s="12"/>
    </row>
    <row r="198" spans="1:187" ht="32.25" customHeight="1">
      <c r="A198" s="45"/>
      <c r="B198" s="9" t="s">
        <v>27</v>
      </c>
      <c r="C198" s="10" t="s">
        <v>84</v>
      </c>
      <c r="D198" s="10" t="s">
        <v>312</v>
      </c>
      <c r="E198" s="35">
        <v>67.397999999999996</v>
      </c>
      <c r="F198" s="35">
        <f>112.33-E198</f>
        <v>44.932000000000002</v>
      </c>
      <c r="G198" s="35">
        <v>12.731</v>
      </c>
      <c r="H198" s="35">
        <f>80.129-G198</f>
        <v>67.39800000000001</v>
      </c>
      <c r="I198" s="35">
        <f t="shared" si="19"/>
        <v>192.459</v>
      </c>
      <c r="J198" s="56">
        <f>'2021'!J199</f>
        <v>186.25166666666667</v>
      </c>
      <c r="K198" s="49">
        <v>6200.3909759999997</v>
      </c>
      <c r="L198" s="49">
        <v>6448.4066150399995</v>
      </c>
      <c r="M198" s="49">
        <v>1734.0987768</v>
      </c>
      <c r="N198" s="49">
        <v>1803.462727872</v>
      </c>
      <c r="O198" s="56">
        <f t="shared" si="20"/>
        <v>4466.2921991999992</v>
      </c>
      <c r="P198" s="1">
        <f t="shared" si="14"/>
        <v>301019.16164168151</v>
      </c>
      <c r="Q198" s="1">
        <f t="shared" si="15"/>
        <v>200679.44109445438</v>
      </c>
      <c r="R198" s="1">
        <f t="shared" si="16"/>
        <v>59134.780627535802</v>
      </c>
      <c r="S198" s="1">
        <f t="shared" si="17"/>
        <v>313059.92810734885</v>
      </c>
      <c r="T198" s="1">
        <f t="shared" si="18"/>
        <v>873893.31147102057</v>
      </c>
      <c r="U198" s="11"/>
      <c r="V198" s="11"/>
      <c r="W198" s="11"/>
      <c r="X198" s="12"/>
      <c r="Y198" s="12"/>
      <c r="Z198" s="12"/>
      <c r="AA198" s="12"/>
      <c r="AB198" s="12"/>
      <c r="AC198" s="12"/>
      <c r="AD198" s="12"/>
      <c r="AE198" s="12"/>
      <c r="AF198" s="12"/>
      <c r="AG198" s="12"/>
      <c r="AH198" s="12"/>
      <c r="AI198" s="12"/>
      <c r="AJ198" s="12"/>
      <c r="AK198" s="12"/>
      <c r="AL198" s="12"/>
      <c r="AM198" s="12"/>
      <c r="AN198" s="12"/>
      <c r="AO198" s="12"/>
      <c r="AP198" s="12"/>
      <c r="AQ198" s="12"/>
      <c r="AR198" s="12"/>
      <c r="AS198" s="12"/>
      <c r="AT198" s="12"/>
      <c r="AU198" s="12"/>
      <c r="AV198" s="12"/>
      <c r="AW198" s="12"/>
      <c r="AX198" s="12"/>
      <c r="AY198" s="12"/>
      <c r="AZ198" s="12"/>
      <c r="BA198" s="12"/>
      <c r="BB198" s="12"/>
      <c r="BC198" s="12"/>
      <c r="BD198" s="12"/>
      <c r="BE198" s="12"/>
      <c r="BF198" s="12"/>
      <c r="BG198" s="12"/>
      <c r="BH198" s="12"/>
      <c r="BI198" s="12"/>
      <c r="BJ198" s="12"/>
      <c r="BK198" s="12"/>
      <c r="BL198" s="12"/>
      <c r="BM198" s="12"/>
      <c r="BN198" s="12"/>
      <c r="BO198" s="12"/>
      <c r="BP198" s="12"/>
      <c r="BQ198" s="12"/>
      <c r="BR198" s="12"/>
      <c r="BS198" s="12"/>
      <c r="BT198" s="12"/>
      <c r="BU198" s="12"/>
      <c r="BV198" s="12"/>
      <c r="BW198" s="12"/>
      <c r="BX198" s="12"/>
      <c r="BY198" s="12"/>
      <c r="BZ198" s="12"/>
      <c r="CA198" s="12"/>
      <c r="CB198" s="12"/>
      <c r="CC198" s="12"/>
      <c r="CD198" s="12"/>
      <c r="CE198" s="12"/>
      <c r="CF198" s="12"/>
      <c r="CG198" s="12"/>
      <c r="CH198" s="12"/>
      <c r="CI198" s="12"/>
      <c r="CJ198" s="12"/>
      <c r="CK198" s="12"/>
      <c r="CL198" s="12"/>
      <c r="CM198" s="12"/>
      <c r="CN198" s="12"/>
      <c r="CO198" s="12"/>
      <c r="CP198" s="12"/>
      <c r="CQ198" s="12"/>
      <c r="CR198" s="12"/>
      <c r="CS198" s="12"/>
      <c r="CT198" s="12"/>
      <c r="CU198" s="12"/>
      <c r="CV198" s="12"/>
      <c r="CW198" s="12"/>
      <c r="CX198" s="12"/>
      <c r="CY198" s="12"/>
      <c r="CZ198" s="12"/>
      <c r="DA198" s="12"/>
      <c r="DB198" s="12"/>
      <c r="DC198" s="12"/>
      <c r="DD198" s="12"/>
      <c r="DE198" s="12"/>
      <c r="DF198" s="12"/>
      <c r="DG198" s="12"/>
      <c r="DH198" s="12"/>
      <c r="DI198" s="12"/>
      <c r="DJ198" s="12"/>
      <c r="DK198" s="12"/>
      <c r="DL198" s="12"/>
      <c r="DM198" s="12"/>
      <c r="DN198" s="12"/>
      <c r="DO198" s="12"/>
      <c r="DP198" s="12"/>
      <c r="DQ198" s="12"/>
      <c r="DR198" s="12"/>
      <c r="DS198" s="12"/>
      <c r="DT198" s="12"/>
      <c r="DU198" s="12"/>
      <c r="DV198" s="12"/>
      <c r="DW198" s="12"/>
      <c r="DX198" s="12"/>
      <c r="DY198" s="12"/>
      <c r="DZ198" s="12"/>
      <c r="EA198" s="12"/>
      <c r="EB198" s="12"/>
      <c r="EC198" s="12"/>
      <c r="ED198" s="12"/>
      <c r="EE198" s="12"/>
      <c r="EF198" s="12"/>
      <c r="EG198" s="12"/>
      <c r="EH198" s="12"/>
      <c r="EI198" s="12"/>
      <c r="EJ198" s="12"/>
      <c r="EK198" s="12"/>
      <c r="EL198" s="12"/>
      <c r="EM198" s="12"/>
      <c r="EN198" s="12"/>
      <c r="EO198" s="12"/>
      <c r="EP198" s="12"/>
      <c r="EQ198" s="12"/>
      <c r="ER198" s="12"/>
      <c r="ES198" s="12"/>
      <c r="ET198" s="12"/>
      <c r="EU198" s="12"/>
      <c r="EV198" s="12"/>
      <c r="EW198" s="12"/>
      <c r="EX198" s="12"/>
      <c r="EY198" s="12"/>
      <c r="EZ198" s="12"/>
      <c r="FA198" s="12"/>
      <c r="FB198" s="12"/>
      <c r="FC198" s="12"/>
      <c r="FD198" s="12"/>
      <c r="FE198" s="12"/>
      <c r="FF198" s="12"/>
      <c r="FG198" s="12"/>
      <c r="FH198" s="12"/>
      <c r="FI198" s="12"/>
      <c r="FJ198" s="12"/>
      <c r="FK198" s="12"/>
      <c r="FL198" s="12"/>
      <c r="FM198" s="12"/>
      <c r="FN198" s="12"/>
      <c r="FO198" s="12"/>
      <c r="FP198" s="12"/>
      <c r="FQ198" s="12"/>
      <c r="FR198" s="12"/>
      <c r="FS198" s="12"/>
      <c r="FT198" s="12"/>
      <c r="FU198" s="12"/>
      <c r="FV198" s="12"/>
      <c r="FW198" s="12"/>
      <c r="FX198" s="12"/>
      <c r="FY198" s="12"/>
      <c r="FZ198" s="12"/>
      <c r="GA198" s="12"/>
      <c r="GB198" s="12"/>
      <c r="GC198" s="12"/>
      <c r="GD198" s="12"/>
      <c r="GE198" s="12"/>
    </row>
    <row r="199" spans="1:187" ht="32.25" customHeight="1">
      <c r="A199" s="45"/>
      <c r="B199" s="9" t="s">
        <v>27</v>
      </c>
      <c r="C199" s="10" t="s">
        <v>84</v>
      </c>
      <c r="D199" s="10" t="s">
        <v>313</v>
      </c>
      <c r="E199" s="35">
        <v>193.13399999999999</v>
      </c>
      <c r="F199" s="35">
        <f>266.47-E199</f>
        <v>73.336000000000041</v>
      </c>
      <c r="G199" s="35">
        <v>36.481000000000002</v>
      </c>
      <c r="H199" s="35">
        <f>229.614-G199</f>
        <v>193.13300000000001</v>
      </c>
      <c r="I199" s="35">
        <f t="shared" si="19"/>
        <v>496.08400000000006</v>
      </c>
      <c r="J199" s="56">
        <f>'2021'!J200</f>
        <v>532.91700000000003</v>
      </c>
      <c r="K199" s="49">
        <v>5513.8824000000004</v>
      </c>
      <c r="L199" s="49">
        <v>5734.4376960000009</v>
      </c>
      <c r="M199" s="49">
        <v>1734.0987768</v>
      </c>
      <c r="N199" s="49">
        <v>1803.462727872</v>
      </c>
      <c r="O199" s="56">
        <f t="shared" si="20"/>
        <v>3779.7836232000004</v>
      </c>
      <c r="P199" s="1">
        <f t="shared" si="14"/>
        <v>730004.73028310877</v>
      </c>
      <c r="Q199" s="1">
        <f t="shared" si="15"/>
        <v>277194.21179099538</v>
      </c>
      <c r="R199" s="1">
        <f t="shared" si="16"/>
        <v>143405.8978122776</v>
      </c>
      <c r="S199" s="1">
        <f t="shared" si="17"/>
        <v>759200.9885194652</v>
      </c>
      <c r="T199" s="1">
        <f t="shared" si="18"/>
        <v>1909805.8284058468</v>
      </c>
      <c r="U199" s="11"/>
      <c r="V199" s="11"/>
      <c r="W199" s="11"/>
      <c r="X199" s="12"/>
      <c r="Y199" s="12"/>
      <c r="Z199" s="12"/>
      <c r="AA199" s="12"/>
      <c r="AB199" s="12"/>
      <c r="AC199" s="12"/>
      <c r="AD199" s="12"/>
      <c r="AE199" s="12"/>
      <c r="AF199" s="12"/>
      <c r="AG199" s="12"/>
      <c r="AH199" s="12"/>
      <c r="AI199" s="12"/>
      <c r="AJ199" s="12"/>
      <c r="AK199" s="12"/>
      <c r="AL199" s="12"/>
      <c r="AM199" s="12"/>
      <c r="AN199" s="12"/>
      <c r="AO199" s="12"/>
      <c r="AP199" s="12"/>
      <c r="AQ199" s="12"/>
      <c r="AR199" s="12"/>
      <c r="AS199" s="12"/>
      <c r="AT199" s="12"/>
      <c r="AU199" s="12"/>
      <c r="AV199" s="12"/>
      <c r="AW199" s="12"/>
      <c r="AX199" s="12"/>
      <c r="AY199" s="12"/>
      <c r="AZ199" s="12"/>
      <c r="BA199" s="12"/>
      <c r="BB199" s="12"/>
      <c r="BC199" s="12"/>
      <c r="BD199" s="12"/>
      <c r="BE199" s="12"/>
      <c r="BF199" s="12"/>
      <c r="BG199" s="12"/>
      <c r="BH199" s="12"/>
      <c r="BI199" s="12"/>
      <c r="BJ199" s="12"/>
      <c r="BK199" s="12"/>
      <c r="BL199" s="12"/>
      <c r="BM199" s="12"/>
      <c r="BN199" s="12"/>
      <c r="BO199" s="12"/>
      <c r="BP199" s="12"/>
      <c r="BQ199" s="12"/>
      <c r="BR199" s="12"/>
      <c r="BS199" s="12"/>
      <c r="BT199" s="12"/>
      <c r="BU199" s="12"/>
      <c r="BV199" s="12"/>
      <c r="BW199" s="12"/>
      <c r="BX199" s="12"/>
      <c r="BY199" s="12"/>
      <c r="BZ199" s="12"/>
      <c r="CA199" s="12"/>
      <c r="CB199" s="12"/>
      <c r="CC199" s="12"/>
      <c r="CD199" s="12"/>
      <c r="CE199" s="12"/>
      <c r="CF199" s="12"/>
      <c r="CG199" s="12"/>
      <c r="CH199" s="12"/>
      <c r="CI199" s="12"/>
      <c r="CJ199" s="12"/>
      <c r="CK199" s="12"/>
      <c r="CL199" s="12"/>
      <c r="CM199" s="12"/>
      <c r="CN199" s="12"/>
      <c r="CO199" s="12"/>
      <c r="CP199" s="12"/>
      <c r="CQ199" s="12"/>
      <c r="CR199" s="12"/>
      <c r="CS199" s="12"/>
      <c r="CT199" s="12"/>
      <c r="CU199" s="12"/>
      <c r="CV199" s="12"/>
      <c r="CW199" s="12"/>
      <c r="CX199" s="12"/>
      <c r="CY199" s="12"/>
      <c r="CZ199" s="12"/>
      <c r="DA199" s="12"/>
      <c r="DB199" s="12"/>
      <c r="DC199" s="12"/>
      <c r="DD199" s="12"/>
      <c r="DE199" s="12"/>
      <c r="DF199" s="12"/>
      <c r="DG199" s="12"/>
      <c r="DH199" s="12"/>
      <c r="DI199" s="12"/>
      <c r="DJ199" s="12"/>
      <c r="DK199" s="12"/>
      <c r="DL199" s="12"/>
      <c r="DM199" s="12"/>
      <c r="DN199" s="12"/>
      <c r="DO199" s="12"/>
      <c r="DP199" s="12"/>
      <c r="DQ199" s="12"/>
      <c r="DR199" s="12"/>
      <c r="DS199" s="12"/>
      <c r="DT199" s="12"/>
      <c r="DU199" s="12"/>
      <c r="DV199" s="12"/>
      <c r="DW199" s="12"/>
      <c r="DX199" s="12"/>
      <c r="DY199" s="12"/>
      <c r="DZ199" s="12"/>
      <c r="EA199" s="12"/>
      <c r="EB199" s="12"/>
      <c r="EC199" s="12"/>
      <c r="ED199" s="12"/>
      <c r="EE199" s="12"/>
      <c r="EF199" s="12"/>
      <c r="EG199" s="12"/>
      <c r="EH199" s="12"/>
      <c r="EI199" s="12"/>
      <c r="EJ199" s="12"/>
      <c r="EK199" s="12"/>
      <c r="EL199" s="12"/>
      <c r="EM199" s="12"/>
      <c r="EN199" s="12"/>
      <c r="EO199" s="12"/>
      <c r="EP199" s="12"/>
      <c r="EQ199" s="12"/>
      <c r="ER199" s="12"/>
      <c r="ES199" s="12"/>
      <c r="ET199" s="12"/>
      <c r="EU199" s="12"/>
      <c r="EV199" s="12"/>
      <c r="EW199" s="12"/>
      <c r="EX199" s="12"/>
      <c r="EY199" s="12"/>
      <c r="EZ199" s="12"/>
      <c r="FA199" s="12"/>
      <c r="FB199" s="12"/>
      <c r="FC199" s="12"/>
      <c r="FD199" s="12"/>
      <c r="FE199" s="12"/>
      <c r="FF199" s="12"/>
      <c r="FG199" s="12"/>
      <c r="FH199" s="12"/>
      <c r="FI199" s="12"/>
      <c r="FJ199" s="12"/>
      <c r="FK199" s="12"/>
      <c r="FL199" s="12"/>
      <c r="FM199" s="12"/>
      <c r="FN199" s="12"/>
      <c r="FO199" s="12"/>
      <c r="FP199" s="12"/>
      <c r="FQ199" s="12"/>
      <c r="FR199" s="12"/>
      <c r="FS199" s="12"/>
      <c r="FT199" s="12"/>
      <c r="FU199" s="12"/>
      <c r="FV199" s="12"/>
      <c r="FW199" s="12"/>
      <c r="FX199" s="12"/>
      <c r="FY199" s="12"/>
      <c r="FZ199" s="12"/>
      <c r="GA199" s="12"/>
      <c r="GB199" s="12"/>
      <c r="GC199" s="12"/>
      <c r="GD199" s="12"/>
      <c r="GE199" s="12"/>
    </row>
    <row r="200" spans="1:187" ht="21" customHeight="1">
      <c r="A200" s="45"/>
      <c r="B200" s="9" t="s">
        <v>27</v>
      </c>
      <c r="C200" s="10" t="s">
        <v>84</v>
      </c>
      <c r="D200" s="10" t="s">
        <v>73</v>
      </c>
      <c r="E200" s="35">
        <v>76.427999999999997</v>
      </c>
      <c r="F200" s="35">
        <f>110.184-E200</f>
        <v>33.756</v>
      </c>
      <c r="G200" s="35">
        <v>11.021000000000001</v>
      </c>
      <c r="H200" s="35">
        <f>85.698-G200</f>
        <v>74.676999999999992</v>
      </c>
      <c r="I200" s="35">
        <f t="shared" si="19"/>
        <v>195.88200000000001</v>
      </c>
      <c r="J200" s="56">
        <f>'2021'!J201</f>
        <v>196.49</v>
      </c>
      <c r="K200" s="49">
        <v>3867.4184951999996</v>
      </c>
      <c r="L200" s="49">
        <v>4022.1152350079997</v>
      </c>
      <c r="M200" s="49">
        <v>1359.1112807999998</v>
      </c>
      <c r="N200" s="49">
        <v>1413.4757320319998</v>
      </c>
      <c r="O200" s="56">
        <f t="shared" si="20"/>
        <v>2508.3072143999998</v>
      </c>
      <c r="P200" s="1">
        <f t="shared" si="14"/>
        <v>191704.90378216316</v>
      </c>
      <c r="Q200" s="1">
        <f t="shared" si="15"/>
        <v>84670.418329286389</v>
      </c>
      <c r="R200" s="1">
        <f t="shared" si="16"/>
        <v>28749.815962298493</v>
      </c>
      <c r="S200" s="1">
        <f t="shared" si="17"/>
        <v>194805.37216373871</v>
      </c>
      <c r="T200" s="1">
        <f t="shared" si="18"/>
        <v>499930.51023748674</v>
      </c>
      <c r="U200" s="11"/>
      <c r="V200" s="11"/>
      <c r="W200" s="11"/>
      <c r="X200" s="12"/>
      <c r="Y200" s="12"/>
      <c r="Z200" s="12"/>
      <c r="AA200" s="12"/>
      <c r="AB200" s="12"/>
      <c r="AC200" s="12"/>
      <c r="AD200" s="12"/>
      <c r="AE200" s="12"/>
      <c r="AF200" s="12"/>
      <c r="AG200" s="12"/>
      <c r="AH200" s="12"/>
      <c r="AI200" s="12"/>
      <c r="AJ200" s="12"/>
      <c r="AK200" s="12"/>
      <c r="AL200" s="12"/>
      <c r="AM200" s="12"/>
      <c r="AN200" s="12"/>
      <c r="AO200" s="12"/>
      <c r="AP200" s="12"/>
      <c r="AQ200" s="12"/>
      <c r="AR200" s="12"/>
      <c r="AS200" s="12"/>
      <c r="AT200" s="12"/>
      <c r="AU200" s="12"/>
      <c r="AV200" s="12"/>
      <c r="AW200" s="12"/>
      <c r="AX200" s="12"/>
      <c r="AY200" s="12"/>
      <c r="AZ200" s="12"/>
      <c r="BA200" s="12"/>
      <c r="BB200" s="12"/>
      <c r="BC200" s="12"/>
      <c r="BD200" s="12"/>
      <c r="BE200" s="12"/>
      <c r="BF200" s="12"/>
      <c r="BG200" s="12"/>
      <c r="BH200" s="12"/>
      <c r="BI200" s="12"/>
      <c r="BJ200" s="12"/>
      <c r="BK200" s="12"/>
      <c r="BL200" s="12"/>
      <c r="BM200" s="12"/>
      <c r="BN200" s="12"/>
      <c r="BO200" s="12"/>
      <c r="BP200" s="12"/>
      <c r="BQ200" s="12"/>
      <c r="BR200" s="12"/>
      <c r="BS200" s="12"/>
      <c r="BT200" s="12"/>
      <c r="BU200" s="12"/>
      <c r="BV200" s="12"/>
      <c r="BW200" s="12"/>
      <c r="BX200" s="12"/>
      <c r="BY200" s="12"/>
      <c r="BZ200" s="12"/>
      <c r="CA200" s="12"/>
      <c r="CB200" s="12"/>
      <c r="CC200" s="12"/>
      <c r="CD200" s="12"/>
      <c r="CE200" s="12"/>
      <c r="CF200" s="12"/>
      <c r="CG200" s="12"/>
      <c r="CH200" s="12"/>
      <c r="CI200" s="12"/>
      <c r="CJ200" s="12"/>
      <c r="CK200" s="12"/>
      <c r="CL200" s="12"/>
      <c r="CM200" s="12"/>
      <c r="CN200" s="12"/>
      <c r="CO200" s="12"/>
      <c r="CP200" s="12"/>
      <c r="CQ200" s="12"/>
      <c r="CR200" s="12"/>
      <c r="CS200" s="12"/>
      <c r="CT200" s="12"/>
      <c r="CU200" s="12"/>
      <c r="CV200" s="12"/>
      <c r="CW200" s="12"/>
      <c r="CX200" s="12"/>
      <c r="CY200" s="12"/>
      <c r="CZ200" s="12"/>
      <c r="DA200" s="12"/>
      <c r="DB200" s="12"/>
      <c r="DC200" s="12"/>
      <c r="DD200" s="12"/>
      <c r="DE200" s="12"/>
      <c r="DF200" s="12"/>
      <c r="DG200" s="12"/>
      <c r="DH200" s="12"/>
      <c r="DI200" s="12"/>
      <c r="DJ200" s="12"/>
      <c r="DK200" s="12"/>
      <c r="DL200" s="12"/>
      <c r="DM200" s="12"/>
      <c r="DN200" s="12"/>
      <c r="DO200" s="12"/>
      <c r="DP200" s="12"/>
      <c r="DQ200" s="12"/>
      <c r="DR200" s="12"/>
      <c r="DS200" s="12"/>
      <c r="DT200" s="12"/>
      <c r="DU200" s="12"/>
      <c r="DV200" s="12"/>
      <c r="DW200" s="12"/>
      <c r="DX200" s="12"/>
      <c r="DY200" s="12"/>
      <c r="DZ200" s="12"/>
      <c r="EA200" s="12"/>
      <c r="EB200" s="12"/>
      <c r="EC200" s="12"/>
      <c r="ED200" s="12"/>
      <c r="EE200" s="12"/>
      <c r="EF200" s="12"/>
      <c r="EG200" s="12"/>
      <c r="EH200" s="12"/>
      <c r="EI200" s="12"/>
      <c r="EJ200" s="12"/>
      <c r="EK200" s="12"/>
      <c r="EL200" s="12"/>
      <c r="EM200" s="12"/>
      <c r="EN200" s="12"/>
      <c r="EO200" s="12"/>
      <c r="EP200" s="12"/>
      <c r="EQ200" s="12"/>
      <c r="ER200" s="12"/>
      <c r="ES200" s="12"/>
      <c r="ET200" s="12"/>
      <c r="EU200" s="12"/>
      <c r="EV200" s="12"/>
      <c r="EW200" s="12"/>
      <c r="EX200" s="12"/>
      <c r="EY200" s="12"/>
      <c r="EZ200" s="12"/>
      <c r="FA200" s="12"/>
      <c r="FB200" s="12"/>
      <c r="FC200" s="12"/>
      <c r="FD200" s="12"/>
      <c r="FE200" s="12"/>
      <c r="FF200" s="12"/>
      <c r="FG200" s="12"/>
      <c r="FH200" s="12"/>
      <c r="FI200" s="12"/>
      <c r="FJ200" s="12"/>
      <c r="FK200" s="12"/>
      <c r="FL200" s="12"/>
      <c r="FM200" s="12"/>
      <c r="FN200" s="12"/>
      <c r="FO200" s="12"/>
      <c r="FP200" s="12"/>
      <c r="FQ200" s="12"/>
      <c r="FR200" s="12"/>
      <c r="FS200" s="12"/>
      <c r="FT200" s="12"/>
      <c r="FU200" s="12"/>
      <c r="FV200" s="12"/>
      <c r="FW200" s="12"/>
      <c r="FX200" s="12"/>
      <c r="FY200" s="12"/>
      <c r="FZ200" s="12"/>
      <c r="GA200" s="12"/>
      <c r="GB200" s="12"/>
      <c r="GC200" s="12"/>
      <c r="GD200" s="12"/>
      <c r="GE200" s="12"/>
    </row>
    <row r="201" spans="1:187" ht="21" customHeight="1">
      <c r="A201" s="45"/>
      <c r="B201" s="101" t="s">
        <v>224</v>
      </c>
      <c r="C201" s="101"/>
      <c r="D201" s="101"/>
      <c r="E201" s="77"/>
      <c r="F201" s="2"/>
      <c r="G201" s="2"/>
      <c r="H201" s="2"/>
      <c r="I201" s="35">
        <f t="shared" si="19"/>
        <v>0</v>
      </c>
      <c r="J201" s="56"/>
      <c r="K201" s="49"/>
      <c r="L201" s="49"/>
      <c r="M201" s="49"/>
      <c r="N201" s="49"/>
      <c r="O201" s="56">
        <f t="shared" si="20"/>
        <v>0</v>
      </c>
      <c r="P201" s="1">
        <f t="shared" ref="P201:P238" si="21">(K201-M201)*E201</f>
        <v>0</v>
      </c>
      <c r="Q201" s="1">
        <f t="shared" ref="Q201:Q238" si="22">(K201-M201)*F201</f>
        <v>0</v>
      </c>
      <c r="R201" s="1">
        <f t="shared" ref="R201:R238" si="23">(L201-N201)*G201</f>
        <v>0</v>
      </c>
      <c r="S201" s="1">
        <f t="shared" ref="S201:S238" si="24">(H201*(L201-N201))</f>
        <v>0</v>
      </c>
      <c r="T201" s="1">
        <f t="shared" ref="T201:T238" si="25">SUM(P201:S201)</f>
        <v>0</v>
      </c>
      <c r="U201" s="1"/>
      <c r="V201" s="1"/>
      <c r="W201" s="1"/>
    </row>
    <row r="202" spans="1:187" ht="25.5" customHeight="1">
      <c r="A202" s="45"/>
      <c r="B202" s="15" t="s">
        <v>263</v>
      </c>
      <c r="C202" s="10" t="s">
        <v>68</v>
      </c>
      <c r="D202" s="14" t="s">
        <v>225</v>
      </c>
      <c r="E202" s="2">
        <v>23396.089</v>
      </c>
      <c r="F202" s="2">
        <f>35322.611-E202</f>
        <v>11926.521999999997</v>
      </c>
      <c r="G202" s="2">
        <v>1831.683</v>
      </c>
      <c r="H202" s="2">
        <f>22369.351-G202</f>
        <v>20537.667999999998</v>
      </c>
      <c r="I202" s="35">
        <f t="shared" si="19"/>
        <v>57691.961999999992</v>
      </c>
      <c r="J202" s="56">
        <f>'2021'!J203</f>
        <v>64238.8</v>
      </c>
      <c r="K202" s="49">
        <v>5163.3191999999999</v>
      </c>
      <c r="L202" s="49">
        <v>5369.8519679999999</v>
      </c>
      <c r="M202" s="49">
        <v>1551.4304</v>
      </c>
      <c r="N202" s="49">
        <v>1613.48</v>
      </c>
      <c r="O202" s="56">
        <f t="shared" si="20"/>
        <v>3611.8887999999997</v>
      </c>
      <c r="P202" s="1">
        <f t="shared" si="21"/>
        <v>84504071.822903186</v>
      </c>
      <c r="Q202" s="1">
        <f t="shared" si="22"/>
        <v>43077271.234753586</v>
      </c>
      <c r="R202" s="1">
        <f t="shared" si="23"/>
        <v>6880482.6754621435</v>
      </c>
      <c r="S202" s="1">
        <f t="shared" si="24"/>
        <v>77147120.363290608</v>
      </c>
      <c r="T202" s="1">
        <f t="shared" si="25"/>
        <v>211608946.09640953</v>
      </c>
      <c r="U202" s="1"/>
      <c r="V202" s="1"/>
      <c r="W202" s="45"/>
    </row>
    <row r="203" spans="1:187" ht="25.5" customHeight="1">
      <c r="A203" s="45"/>
      <c r="B203" s="15" t="s">
        <v>263</v>
      </c>
      <c r="C203" s="10" t="s">
        <v>68</v>
      </c>
      <c r="D203" s="14" t="s">
        <v>226</v>
      </c>
      <c r="E203" s="2">
        <v>1110.8130000000001</v>
      </c>
      <c r="F203" s="2">
        <f>1816.639-E203</f>
        <v>705.82599999999979</v>
      </c>
      <c r="G203" s="2">
        <v>356.37200000000001</v>
      </c>
      <c r="H203" s="2">
        <f>1478.407-G203</f>
        <v>1122.0349999999999</v>
      </c>
      <c r="I203" s="35">
        <f t="shared" si="19"/>
        <v>3295.0459999999998</v>
      </c>
      <c r="J203" s="56">
        <f>'2021'!J204</f>
        <v>2853.19</v>
      </c>
      <c r="K203" s="49">
        <v>11735.3184</v>
      </c>
      <c r="L203" s="49">
        <v>12204.731136</v>
      </c>
      <c r="M203" s="49">
        <v>1551.4304</v>
      </c>
      <c r="N203" s="49">
        <v>1613.48</v>
      </c>
      <c r="O203" s="56">
        <f t="shared" si="20"/>
        <v>10183.888000000001</v>
      </c>
      <c r="P203" s="1">
        <f t="shared" si="21"/>
        <v>11312395.180944001</v>
      </c>
      <c r="Q203" s="1">
        <f t="shared" si="22"/>
        <v>7188052.9314879989</v>
      </c>
      <c r="R203" s="1">
        <f t="shared" si="23"/>
        <v>3774425.3498385926</v>
      </c>
      <c r="S203" s="1">
        <f t="shared" si="24"/>
        <v>11883754.468381759</v>
      </c>
      <c r="T203" s="1">
        <f t="shared" si="25"/>
        <v>34158627.93065235</v>
      </c>
      <c r="U203" s="1"/>
      <c r="V203" s="1"/>
      <c r="W203" s="45"/>
    </row>
    <row r="204" spans="1:187" ht="25.5" customHeight="1">
      <c r="A204" s="45"/>
      <c r="B204" s="15" t="s">
        <v>28</v>
      </c>
      <c r="C204" s="83" t="s">
        <v>154</v>
      </c>
      <c r="D204" s="14" t="s">
        <v>227</v>
      </c>
      <c r="E204" s="2">
        <v>436.428</v>
      </c>
      <c r="F204" s="2">
        <f>638.217-E204</f>
        <v>201.78899999999999</v>
      </c>
      <c r="G204" s="2">
        <v>33.944000000000003</v>
      </c>
      <c r="H204" s="2">
        <f>470.372-G204</f>
        <v>436.428</v>
      </c>
      <c r="I204" s="35">
        <f t="shared" ref="I204:I236" si="26">SUM(E204:H204)</f>
        <v>1108.5889999999999</v>
      </c>
      <c r="J204" s="56">
        <f>'2021'!J205</f>
        <v>1205.2666666666667</v>
      </c>
      <c r="K204" s="49">
        <v>5375.5385447030139</v>
      </c>
      <c r="L204" s="49">
        <v>5590.5600864911348</v>
      </c>
      <c r="M204" s="49">
        <v>1581.267376</v>
      </c>
      <c r="N204" s="49">
        <v>1644.51807104</v>
      </c>
      <c r="O204" s="56">
        <f t="shared" si="20"/>
        <v>3794.2711687030142</v>
      </c>
      <c r="P204" s="1">
        <f t="shared" si="21"/>
        <v>1655926.1776147191</v>
      </c>
      <c r="Q204" s="1">
        <f t="shared" si="22"/>
        <v>765642.1848614125</v>
      </c>
      <c r="R204" s="1">
        <f t="shared" si="23"/>
        <v>133944.45017247333</v>
      </c>
      <c r="S204" s="1">
        <f t="shared" si="24"/>
        <v>1722163.2247193079</v>
      </c>
      <c r="T204" s="1">
        <f t="shared" si="25"/>
        <v>4277676.0373679129</v>
      </c>
      <c r="U204" s="1"/>
      <c r="V204" s="1"/>
      <c r="W204" s="45"/>
    </row>
    <row r="205" spans="1:187" ht="25.5" customHeight="1">
      <c r="A205" s="45"/>
      <c r="B205" s="15" t="s">
        <v>22</v>
      </c>
      <c r="C205" s="83" t="s">
        <v>228</v>
      </c>
      <c r="D205" s="14" t="s">
        <v>225</v>
      </c>
      <c r="E205" s="2">
        <v>17.07</v>
      </c>
      <c r="F205" s="2">
        <f>25.037-E205</f>
        <v>7.9669999999999987</v>
      </c>
      <c r="G205" s="2">
        <v>2.85</v>
      </c>
      <c r="H205" s="2">
        <f>19.92-G205</f>
        <v>17.07</v>
      </c>
      <c r="I205" s="35">
        <f t="shared" si="26"/>
        <v>44.957000000000001</v>
      </c>
      <c r="J205" s="56">
        <f>'2021'!J206</f>
        <v>45.4</v>
      </c>
      <c r="K205" s="49">
        <v>7409.6048000000001</v>
      </c>
      <c r="L205" s="49">
        <v>7705.9889920000005</v>
      </c>
      <c r="M205" s="49">
        <v>1865.8952000000002</v>
      </c>
      <c r="N205" s="49">
        <v>1940.5310080000002</v>
      </c>
      <c r="O205" s="56">
        <f t="shared" si="20"/>
        <v>5543.7096000000001</v>
      </c>
      <c r="P205" s="1">
        <f t="shared" si="21"/>
        <v>94631.122872000007</v>
      </c>
      <c r="Q205" s="1">
        <f t="shared" si="22"/>
        <v>44166.734383199997</v>
      </c>
      <c r="R205" s="1">
        <f t="shared" si="23"/>
        <v>16431.555254400002</v>
      </c>
      <c r="S205" s="1">
        <f t="shared" si="24"/>
        <v>98416.367786880015</v>
      </c>
      <c r="T205" s="1">
        <f t="shared" si="25"/>
        <v>253645.78029648005</v>
      </c>
      <c r="U205" s="1"/>
      <c r="V205" s="1"/>
      <c r="W205" s="45"/>
    </row>
    <row r="206" spans="1:187" ht="25.5" customHeight="1">
      <c r="A206" s="45"/>
      <c r="B206" s="15" t="s">
        <v>262</v>
      </c>
      <c r="C206" s="83" t="s">
        <v>229</v>
      </c>
      <c r="D206" s="14" t="s">
        <v>226</v>
      </c>
      <c r="E206" s="2">
        <v>529.71299999999997</v>
      </c>
      <c r="F206" s="2">
        <f>776.354-E206</f>
        <v>246.64100000000008</v>
      </c>
      <c r="G206" s="2">
        <v>41.2</v>
      </c>
      <c r="H206" s="2">
        <v>570.91300000000001</v>
      </c>
      <c r="I206" s="35">
        <f t="shared" si="26"/>
        <v>1388.4670000000001</v>
      </c>
      <c r="J206" s="56">
        <f>'2021'!J207</f>
        <v>1446.1</v>
      </c>
      <c r="K206" s="49">
        <v>7011.3263999999999</v>
      </c>
      <c r="L206" s="49">
        <v>7291.7794560000002</v>
      </c>
      <c r="M206" s="49">
        <v>1830.7016000000001</v>
      </c>
      <c r="N206" s="49">
        <v>1903.9296640000002</v>
      </c>
      <c r="O206" s="56">
        <f t="shared" si="20"/>
        <v>5180.6247999999996</v>
      </c>
      <c r="P206" s="1">
        <f t="shared" si="21"/>
        <v>2744244.3046823996</v>
      </c>
      <c r="Q206" s="1">
        <f t="shared" si="22"/>
        <v>1277754.4812968003</v>
      </c>
      <c r="R206" s="1">
        <f t="shared" si="23"/>
        <v>221979.41143040001</v>
      </c>
      <c r="S206" s="1">
        <f t="shared" si="24"/>
        <v>3075993.4883000962</v>
      </c>
      <c r="T206" s="1">
        <f t="shared" si="25"/>
        <v>7319971.6857096963</v>
      </c>
      <c r="U206" s="1"/>
      <c r="V206" s="1"/>
      <c r="W206" s="45"/>
    </row>
    <row r="207" spans="1:187" ht="25.5" customHeight="1">
      <c r="A207" s="45"/>
      <c r="B207" s="15" t="s">
        <v>19</v>
      </c>
      <c r="C207" s="83" t="s">
        <v>111</v>
      </c>
      <c r="D207" s="14" t="s">
        <v>225</v>
      </c>
      <c r="E207" s="40">
        <v>2778.4690000000001</v>
      </c>
      <c r="F207" s="40">
        <f>4280.479-E207</f>
        <v>1502.0100000000002</v>
      </c>
      <c r="G207" s="40">
        <v>359.56299999999999</v>
      </c>
      <c r="H207" s="40">
        <f>2786.562</f>
        <v>2786.5619999999999</v>
      </c>
      <c r="I207" s="35">
        <f t="shared" si="26"/>
        <v>7426.6040000000003</v>
      </c>
      <c r="J207" s="56">
        <f>'2021'!J208</f>
        <v>7327.6459999999997</v>
      </c>
      <c r="K207" s="49">
        <v>3598.5428861290675</v>
      </c>
      <c r="L207" s="49">
        <v>3742.4846015742305</v>
      </c>
      <c r="M207" s="49">
        <v>1551.4258344</v>
      </c>
      <c r="N207" s="49">
        <v>1613.4828677760001</v>
      </c>
      <c r="O207" s="56">
        <f t="shared" si="20"/>
        <v>2047.1170517290675</v>
      </c>
      <c r="P207" s="1">
        <f t="shared" si="21"/>
        <v>5687851.2676006109</v>
      </c>
      <c r="Q207" s="1">
        <f t="shared" si="22"/>
        <v>3074790.2828675769</v>
      </c>
      <c r="R207" s="1">
        <f t="shared" si="23"/>
        <v>765510.25040969311</v>
      </c>
      <c r="S207" s="1">
        <f t="shared" si="24"/>
        <v>5932595.3293362642</v>
      </c>
      <c r="T207" s="1">
        <f t="shared" si="25"/>
        <v>15460747.130214144</v>
      </c>
      <c r="U207" s="1"/>
      <c r="V207" s="1"/>
      <c r="W207" s="45"/>
    </row>
    <row r="208" spans="1:187" ht="21" customHeight="1">
      <c r="A208" s="45"/>
      <c r="B208" s="101" t="s">
        <v>230</v>
      </c>
      <c r="C208" s="101"/>
      <c r="D208" s="55"/>
      <c r="E208" s="2"/>
      <c r="F208" s="2"/>
      <c r="G208" s="2"/>
      <c r="H208" s="2"/>
      <c r="I208" s="35">
        <f t="shared" si="26"/>
        <v>0</v>
      </c>
      <c r="J208" s="56"/>
      <c r="K208" s="49"/>
      <c r="L208" s="49"/>
      <c r="M208" s="49"/>
      <c r="N208" s="49"/>
      <c r="O208" s="56">
        <f t="shared" si="20"/>
        <v>0</v>
      </c>
      <c r="P208" s="1">
        <f t="shared" si="21"/>
        <v>0</v>
      </c>
      <c r="Q208" s="1">
        <f t="shared" si="22"/>
        <v>0</v>
      </c>
      <c r="R208" s="1">
        <f t="shared" si="23"/>
        <v>0</v>
      </c>
      <c r="S208" s="1">
        <f t="shared" si="24"/>
        <v>0</v>
      </c>
      <c r="T208" s="1">
        <f t="shared" si="25"/>
        <v>0</v>
      </c>
      <c r="U208" s="1"/>
      <c r="V208" s="1"/>
      <c r="W208" s="45"/>
    </row>
    <row r="209" spans="1:23" ht="21" customHeight="1">
      <c r="A209" s="45"/>
      <c r="B209" s="15">
        <v>2907016373</v>
      </c>
      <c r="C209" s="83" t="s">
        <v>231</v>
      </c>
      <c r="D209" s="14" t="s">
        <v>232</v>
      </c>
      <c r="E209" s="2">
        <v>386.90199999999999</v>
      </c>
      <c r="F209" s="2">
        <f>564.842-E209</f>
        <v>177.94</v>
      </c>
      <c r="G209" s="2">
        <v>23.946999999999999</v>
      </c>
      <c r="H209" s="2">
        <f>432.51-G209</f>
        <v>408.56299999999999</v>
      </c>
      <c r="I209" s="35">
        <f t="shared" si="26"/>
        <v>997.35199999999998</v>
      </c>
      <c r="J209" s="56">
        <f>'2021'!J210</f>
        <v>1088.3</v>
      </c>
      <c r="K209" s="49">
        <v>3892.8867467250961</v>
      </c>
      <c r="L209" s="49">
        <v>4048.6022165941004</v>
      </c>
      <c r="M209" s="49">
        <v>1752.4329367999999</v>
      </c>
      <c r="N209" s="49">
        <v>1822.5302542719999</v>
      </c>
      <c r="O209" s="56">
        <f t="shared" ref="O209:O236" si="27">K209-M209</f>
        <v>2140.4538099250963</v>
      </c>
      <c r="P209" s="1">
        <f t="shared" si="21"/>
        <v>828145.85996763955</v>
      </c>
      <c r="Q209" s="1">
        <f t="shared" si="22"/>
        <v>380872.35093807161</v>
      </c>
      <c r="R209" s="1">
        <f t="shared" si="23"/>
        <v>53307.74528172733</v>
      </c>
      <c r="S209" s="1">
        <f t="shared" si="24"/>
        <v>909490.63914220419</v>
      </c>
      <c r="T209" s="1">
        <f t="shared" si="25"/>
        <v>2171816.5953296428</v>
      </c>
      <c r="U209" s="1"/>
      <c r="V209" s="1"/>
      <c r="W209" s="45"/>
    </row>
    <row r="210" spans="1:23" ht="21" customHeight="1">
      <c r="A210" s="45"/>
      <c r="B210" s="15">
        <v>2907016373</v>
      </c>
      <c r="C210" s="83" t="s">
        <v>231</v>
      </c>
      <c r="D210" s="14" t="s">
        <v>233</v>
      </c>
      <c r="E210" s="2">
        <v>1343.6489999999999</v>
      </c>
      <c r="F210" s="2">
        <f>1900.436-E210</f>
        <v>556.78700000000003</v>
      </c>
      <c r="G210" s="2">
        <v>170.78</v>
      </c>
      <c r="H210" s="2">
        <v>1475.18</v>
      </c>
      <c r="I210" s="35">
        <f t="shared" si="26"/>
        <v>3546.3959999999997</v>
      </c>
      <c r="J210" s="56">
        <f>'2021'!J211</f>
        <v>3970.9</v>
      </c>
      <c r="K210" s="49">
        <v>3892.8867467250961</v>
      </c>
      <c r="L210" s="49">
        <v>4048.6022165941004</v>
      </c>
      <c r="M210" s="49">
        <v>1737.6793304</v>
      </c>
      <c r="N210" s="49">
        <v>1807.186503616</v>
      </c>
      <c r="O210" s="56">
        <f t="shared" si="27"/>
        <v>2155.2074163250963</v>
      </c>
      <c r="P210" s="1">
        <f t="shared" si="21"/>
        <v>2895842.2897377992</v>
      </c>
      <c r="Q210" s="1">
        <f t="shared" si="22"/>
        <v>1199991.4717134016</v>
      </c>
      <c r="R210" s="1">
        <f t="shared" si="23"/>
        <v>382788.97546240001</v>
      </c>
      <c r="S210" s="1">
        <f t="shared" si="24"/>
        <v>3306491.6314710346</v>
      </c>
      <c r="T210" s="1">
        <f t="shared" si="25"/>
        <v>7785114.3683846351</v>
      </c>
      <c r="U210" s="1"/>
      <c r="V210" s="1"/>
      <c r="W210" s="45"/>
    </row>
    <row r="211" spans="1:23" ht="21" customHeight="1">
      <c r="A211" s="45"/>
      <c r="B211" s="15" t="s">
        <v>45</v>
      </c>
      <c r="C211" s="83" t="s">
        <v>234</v>
      </c>
      <c r="D211" s="14" t="s">
        <v>235</v>
      </c>
      <c r="E211" s="2">
        <v>81.180000000000007</v>
      </c>
      <c r="F211" s="2">
        <f>117.26-E211</f>
        <v>36.08</v>
      </c>
      <c r="G211" s="2">
        <v>13.98</v>
      </c>
      <c r="H211" s="2">
        <f>97.86</f>
        <v>97.86</v>
      </c>
      <c r="I211" s="35">
        <f t="shared" si="26"/>
        <v>229.10000000000002</v>
      </c>
      <c r="J211" s="56">
        <f>'2021'!J212</f>
        <v>244.16</v>
      </c>
      <c r="K211" s="49">
        <v>2248.1704960000002</v>
      </c>
      <c r="L211" s="49">
        <v>2338.0973158400002</v>
      </c>
      <c r="M211" s="49">
        <v>1801.0076759999999</v>
      </c>
      <c r="N211" s="49">
        <v>1873.04798304</v>
      </c>
      <c r="O211" s="56">
        <f t="shared" si="27"/>
        <v>447.16282000000024</v>
      </c>
      <c r="P211" s="1">
        <f t="shared" si="21"/>
        <v>36300.677727600021</v>
      </c>
      <c r="Q211" s="1">
        <f t="shared" si="22"/>
        <v>16133.634545600007</v>
      </c>
      <c r="R211" s="1">
        <f t="shared" si="23"/>
        <v>6501.3896725440036</v>
      </c>
      <c r="S211" s="1">
        <f t="shared" si="24"/>
        <v>45509.727707808022</v>
      </c>
      <c r="T211" s="1">
        <f t="shared" si="25"/>
        <v>104445.42965355206</v>
      </c>
      <c r="U211" s="1"/>
      <c r="V211" s="1"/>
      <c r="W211" s="45"/>
    </row>
    <row r="212" spans="1:23" ht="21" customHeight="1">
      <c r="A212" s="45"/>
      <c r="B212" s="15" t="s">
        <v>260</v>
      </c>
      <c r="C212" s="83" t="s">
        <v>236</v>
      </c>
      <c r="D212" s="14" t="s">
        <v>237</v>
      </c>
      <c r="E212" s="2">
        <v>68.394000000000005</v>
      </c>
      <c r="F212" s="2">
        <f>98.546-E212</f>
        <v>30.152000000000001</v>
      </c>
      <c r="G212" s="2">
        <v>4.5599999999999996</v>
      </c>
      <c r="H212" s="2">
        <f>72.954-G212</f>
        <v>68.393999999999991</v>
      </c>
      <c r="I212" s="35">
        <f t="shared" si="26"/>
        <v>171.5</v>
      </c>
      <c r="J212" s="56">
        <f>'2021'!J213</f>
        <v>173.3</v>
      </c>
      <c r="K212" s="49">
        <v>6141.6060160000006</v>
      </c>
      <c r="L212" s="49">
        <v>6387.2702566400012</v>
      </c>
      <c r="M212" s="49">
        <v>1571.8091064</v>
      </c>
      <c r="N212" s="49">
        <v>1634.6814706560001</v>
      </c>
      <c r="O212" s="56">
        <f t="shared" si="27"/>
        <v>4569.7969096000006</v>
      </c>
      <c r="P212" s="1">
        <f t="shared" si="21"/>
        <v>312546.68983518245</v>
      </c>
      <c r="Q212" s="1">
        <f t="shared" si="22"/>
        <v>137788.51641825921</v>
      </c>
      <c r="R212" s="1">
        <f t="shared" si="23"/>
        <v>21671.804864087044</v>
      </c>
      <c r="S212" s="1">
        <f t="shared" si="24"/>
        <v>325048.55742858973</v>
      </c>
      <c r="T212" s="1">
        <f t="shared" si="25"/>
        <v>797055.56854611845</v>
      </c>
      <c r="U212" s="1"/>
      <c r="V212" s="1"/>
      <c r="W212" s="45"/>
    </row>
    <row r="213" spans="1:23" ht="21" customHeight="1">
      <c r="A213" s="45"/>
      <c r="B213" s="15">
        <v>2907016373</v>
      </c>
      <c r="C213" s="83" t="s">
        <v>231</v>
      </c>
      <c r="D213" s="14" t="s">
        <v>238</v>
      </c>
      <c r="E213" s="2">
        <v>107.289</v>
      </c>
      <c r="F213" s="2">
        <f>154.588-E213</f>
        <v>47.298999999999992</v>
      </c>
      <c r="G213" s="2">
        <v>7.415</v>
      </c>
      <c r="H213" s="2">
        <f>118.645-G213</f>
        <v>111.22999999999999</v>
      </c>
      <c r="I213" s="35">
        <f t="shared" si="26"/>
        <v>273.23299999999995</v>
      </c>
      <c r="J213" s="56">
        <f>'2021'!J214</f>
        <v>385.8</v>
      </c>
      <c r="K213" s="49">
        <v>3892.8867467250961</v>
      </c>
      <c r="L213" s="49">
        <v>4048.6022165941004</v>
      </c>
      <c r="M213" s="49">
        <v>1944.2513896</v>
      </c>
      <c r="N213" s="49">
        <v>2022.0214451840002</v>
      </c>
      <c r="O213" s="56">
        <f t="shared" si="27"/>
        <v>1948.6353571250961</v>
      </c>
      <c r="P213" s="1">
        <f t="shared" si="21"/>
        <v>209067.13883059443</v>
      </c>
      <c r="Q213" s="1">
        <f t="shared" si="22"/>
        <v>92168.503756659906</v>
      </c>
      <c r="R213" s="1">
        <f t="shared" si="23"/>
        <v>15027.096420005893</v>
      </c>
      <c r="S213" s="1">
        <f t="shared" si="24"/>
        <v>225416.57920394541</v>
      </c>
      <c r="T213" s="1">
        <f t="shared" si="25"/>
        <v>541679.31821120565</v>
      </c>
      <c r="U213" s="1"/>
      <c r="V213" s="1"/>
      <c r="W213" s="45"/>
    </row>
    <row r="214" spans="1:23" ht="21" customHeight="1">
      <c r="A214" s="45"/>
      <c r="B214" s="15">
        <v>2907016373</v>
      </c>
      <c r="C214" s="83" t="s">
        <v>231</v>
      </c>
      <c r="D214" s="14" t="s">
        <v>239</v>
      </c>
      <c r="E214" s="2">
        <v>182.262</v>
      </c>
      <c r="F214" s="2">
        <f>190.857-E214</f>
        <v>8.5949999999999989</v>
      </c>
      <c r="G214" s="2">
        <v>12.292</v>
      </c>
      <c r="H214" s="2">
        <f>190.516-G214</f>
        <v>178.22399999999999</v>
      </c>
      <c r="I214" s="35">
        <f t="shared" si="26"/>
        <v>381.37299999999999</v>
      </c>
      <c r="J214" s="56">
        <f>'2021'!J215</f>
        <v>618.9</v>
      </c>
      <c r="K214" s="49">
        <v>3892.8867467250961</v>
      </c>
      <c r="L214" s="49">
        <v>4048.6022165941004</v>
      </c>
      <c r="M214" s="49">
        <v>1395.8011703999998</v>
      </c>
      <c r="N214" s="49">
        <v>1451.6332172159998</v>
      </c>
      <c r="O214" s="56">
        <f t="shared" si="27"/>
        <v>2497.0855763250966</v>
      </c>
      <c r="P214" s="1">
        <f t="shared" si="21"/>
        <v>455123.81131216476</v>
      </c>
      <c r="Q214" s="1">
        <f t="shared" si="22"/>
        <v>21462.4505285142</v>
      </c>
      <c r="R214" s="1">
        <f t="shared" si="23"/>
        <v>31921.94294035561</v>
      </c>
      <c r="S214" s="1">
        <f t="shared" si="24"/>
        <v>462842.20294516254</v>
      </c>
      <c r="T214" s="1">
        <f t="shared" si="25"/>
        <v>971350.40772619715</v>
      </c>
      <c r="U214" s="1"/>
      <c r="V214" s="1"/>
      <c r="W214" s="45"/>
    </row>
    <row r="215" spans="1:23" ht="21" customHeight="1">
      <c r="A215" s="45"/>
      <c r="B215" s="15" t="s">
        <v>260</v>
      </c>
      <c r="C215" s="83" t="s">
        <v>236</v>
      </c>
      <c r="D215" s="14" t="s">
        <v>240</v>
      </c>
      <c r="E215" s="2">
        <v>289.19400000000002</v>
      </c>
      <c r="F215" s="2">
        <f>416.688-E215</f>
        <v>127.49399999999997</v>
      </c>
      <c r="G215" s="2">
        <v>18.370999999999999</v>
      </c>
      <c r="H215" s="2">
        <f>308.456-G215</f>
        <v>290.08500000000004</v>
      </c>
      <c r="I215" s="35">
        <f t="shared" si="26"/>
        <v>725.14400000000001</v>
      </c>
      <c r="J215" s="56">
        <f>'2021'!J216</f>
        <v>614.4</v>
      </c>
      <c r="K215" s="49">
        <v>3892.8867467250961</v>
      </c>
      <c r="L215" s="49">
        <v>4048.6022165941004</v>
      </c>
      <c r="M215" s="49">
        <v>1851.1462111999999</v>
      </c>
      <c r="N215" s="49">
        <v>1925.1920596479999</v>
      </c>
      <c r="O215" s="56">
        <f t="shared" si="27"/>
        <v>2041.7405355250962</v>
      </c>
      <c r="P215" s="1">
        <f t="shared" si="21"/>
        <v>590459.11243064469</v>
      </c>
      <c r="Q215" s="1">
        <f t="shared" si="22"/>
        <v>260309.66783623656</v>
      </c>
      <c r="R215" s="1">
        <f t="shared" si="23"/>
        <v>39009.167993256808</v>
      </c>
      <c r="S215" s="1">
        <f t="shared" si="24"/>
        <v>615969.43537770957</v>
      </c>
      <c r="T215" s="1">
        <f t="shared" si="25"/>
        <v>1505747.3836378476</v>
      </c>
      <c r="U215" s="1"/>
      <c r="V215" s="1"/>
      <c r="W215" s="45"/>
    </row>
    <row r="216" spans="1:23" ht="21" customHeight="1">
      <c r="A216" s="45"/>
      <c r="B216" s="15" t="s">
        <v>261</v>
      </c>
      <c r="C216" s="83" t="s">
        <v>241</v>
      </c>
      <c r="D216" s="14" t="s">
        <v>242</v>
      </c>
      <c r="E216" s="2">
        <v>462.46499999999997</v>
      </c>
      <c r="F216" s="2">
        <f>666.347-E216</f>
        <v>203.88200000000001</v>
      </c>
      <c r="G216" s="2">
        <v>43.509</v>
      </c>
      <c r="H216" s="2">
        <v>494.46699999999998</v>
      </c>
      <c r="I216" s="35">
        <f t="shared" si="26"/>
        <v>1204.3229999999999</v>
      </c>
      <c r="J216" s="56">
        <f>'2021'!J217</f>
        <v>1113</v>
      </c>
      <c r="K216" s="49">
        <v>2833.0132480000007</v>
      </c>
      <c r="L216" s="49">
        <v>2946.333777920001</v>
      </c>
      <c r="M216" s="49">
        <v>1330.4452824</v>
      </c>
      <c r="N216" s="49">
        <v>1383.663093696</v>
      </c>
      <c r="O216" s="56">
        <f t="shared" si="27"/>
        <v>1502.5679656000007</v>
      </c>
      <c r="P216" s="1">
        <f t="shared" si="21"/>
        <v>694885.09421120421</v>
      </c>
      <c r="Q216" s="1">
        <f t="shared" si="22"/>
        <v>306346.56196245935</v>
      </c>
      <c r="R216" s="1">
        <f t="shared" si="23"/>
        <v>67990.238799902058</v>
      </c>
      <c r="S216" s="1">
        <f t="shared" si="24"/>
        <v>772689.08521618904</v>
      </c>
      <c r="T216" s="1">
        <f t="shared" si="25"/>
        <v>1841910.9801897546</v>
      </c>
      <c r="U216" s="1"/>
      <c r="V216" s="1"/>
      <c r="W216" s="45"/>
    </row>
    <row r="217" spans="1:23" ht="21" customHeight="1">
      <c r="A217" s="45"/>
      <c r="B217" s="15">
        <v>2907016373</v>
      </c>
      <c r="C217" s="83" t="s">
        <v>231</v>
      </c>
      <c r="D217" s="14" t="s">
        <v>243</v>
      </c>
      <c r="E217" s="2">
        <v>825.476</v>
      </c>
      <c r="F217" s="2">
        <f>1190.596-E217</f>
        <v>365.12</v>
      </c>
      <c r="G217" s="2">
        <v>54.725999999999999</v>
      </c>
      <c r="H217" s="2">
        <f>884.125-G217</f>
        <v>829.399</v>
      </c>
      <c r="I217" s="35">
        <f t="shared" si="26"/>
        <v>2074.721</v>
      </c>
      <c r="J217" s="56">
        <f>'2021'!J218</f>
        <v>2207.5300000000002</v>
      </c>
      <c r="K217" s="49">
        <v>3892.8867467250961</v>
      </c>
      <c r="L217" s="49">
        <v>4048.6022165941004</v>
      </c>
      <c r="M217" s="49">
        <v>1923.8034087999997</v>
      </c>
      <c r="N217" s="49">
        <v>2000.7555451519997</v>
      </c>
      <c r="O217" s="56">
        <f t="shared" si="27"/>
        <v>1969.0833379250964</v>
      </c>
      <c r="P217" s="1">
        <f t="shared" si="21"/>
        <v>1625431.0374570568</v>
      </c>
      <c r="Q217" s="1">
        <f t="shared" si="22"/>
        <v>718951.70834321121</v>
      </c>
      <c r="R217" s="1">
        <f t="shared" si="23"/>
        <v>112070.4569413404</v>
      </c>
      <c r="S217" s="1">
        <f t="shared" si="24"/>
        <v>1698481.9814474068</v>
      </c>
      <c r="T217" s="1">
        <f t="shared" si="25"/>
        <v>4154935.1841890151</v>
      </c>
      <c r="U217" s="1"/>
      <c r="V217" s="1"/>
      <c r="W217" s="45"/>
    </row>
    <row r="218" spans="1:23" ht="21" customHeight="1">
      <c r="A218" s="45"/>
      <c r="B218" s="15" t="s">
        <v>44</v>
      </c>
      <c r="C218" s="83" t="s">
        <v>244</v>
      </c>
      <c r="D218" s="14" t="s">
        <v>245</v>
      </c>
      <c r="E218" s="2">
        <v>250.64099999999999</v>
      </c>
      <c r="F218" s="2">
        <f>373.176-E218</f>
        <v>122.535</v>
      </c>
      <c r="G218" s="2">
        <v>44.558999999999997</v>
      </c>
      <c r="H218" s="2">
        <f>295.2-G218</f>
        <v>250.64099999999999</v>
      </c>
      <c r="I218" s="35">
        <f t="shared" si="26"/>
        <v>668.37599999999998</v>
      </c>
      <c r="J218" s="56">
        <f>'2021'!J219</f>
        <v>682.4</v>
      </c>
      <c r="K218" s="49">
        <v>2283.0845440000007</v>
      </c>
      <c r="L218" s="49">
        <v>2374.407925760001</v>
      </c>
      <c r="M218" s="49">
        <v>1374.9325824</v>
      </c>
      <c r="N218" s="49">
        <v>1429.9298856960002</v>
      </c>
      <c r="O218" s="56">
        <f t="shared" si="27"/>
        <v>908.15196160000073</v>
      </c>
      <c r="P218" s="1">
        <f t="shared" si="21"/>
        <v>227620.11580738577</v>
      </c>
      <c r="Q218" s="1">
        <f t="shared" si="22"/>
        <v>111280.40061465609</v>
      </c>
      <c r="R218" s="1">
        <f t="shared" si="23"/>
        <v>42084.996987211816</v>
      </c>
      <c r="S218" s="1">
        <f t="shared" si="24"/>
        <v>236724.92043968124</v>
      </c>
      <c r="T218" s="1">
        <f t="shared" si="25"/>
        <v>617710.43384893495</v>
      </c>
      <c r="U218" s="1"/>
      <c r="V218" s="1"/>
      <c r="W218" s="45"/>
    </row>
    <row r="219" spans="1:23" ht="21" customHeight="1">
      <c r="A219" s="45"/>
      <c r="B219" s="15">
        <v>2907016373</v>
      </c>
      <c r="C219" s="83" t="s">
        <v>231</v>
      </c>
      <c r="D219" s="14" t="s">
        <v>246</v>
      </c>
      <c r="E219" s="2">
        <v>562.71699999999998</v>
      </c>
      <c r="F219" s="2">
        <f>811.883-E219</f>
        <v>249.16600000000005</v>
      </c>
      <c r="G219" s="2">
        <v>37.667999999999999</v>
      </c>
      <c r="H219" s="2">
        <f>602.685-G219</f>
        <v>565.01699999999994</v>
      </c>
      <c r="I219" s="35">
        <f t="shared" si="26"/>
        <v>1414.568</v>
      </c>
      <c r="J219" s="56">
        <f>'2021'!J220</f>
        <v>1370.6</v>
      </c>
      <c r="K219" s="49">
        <v>3892.8867467250961</v>
      </c>
      <c r="L219" s="49">
        <v>4048.6022165941004</v>
      </c>
      <c r="M219" s="49">
        <v>1791.9807983999997</v>
      </c>
      <c r="N219" s="49">
        <v>1863.6600303359996</v>
      </c>
      <c r="O219" s="56">
        <f t="shared" si="27"/>
        <v>2100.9059483250967</v>
      </c>
      <c r="P219" s="1">
        <f t="shared" si="21"/>
        <v>1182215.4925236534</v>
      </c>
      <c r="Q219" s="1">
        <f t="shared" si="22"/>
        <v>523474.33152037114</v>
      </c>
      <c r="R219" s="1">
        <f t="shared" si="23"/>
        <v>82302.402271970132</v>
      </c>
      <c r="S219" s="1">
        <f t="shared" si="24"/>
        <v>1234529.4792529931</v>
      </c>
      <c r="T219" s="1">
        <f t="shared" si="25"/>
        <v>3022521.7055689879</v>
      </c>
      <c r="U219" s="1"/>
      <c r="V219" s="1"/>
      <c r="W219" s="45"/>
    </row>
    <row r="220" spans="1:23" ht="21" customHeight="1">
      <c r="A220" s="45"/>
      <c r="B220" s="15">
        <v>2907016373</v>
      </c>
      <c r="C220" s="83" t="s">
        <v>231</v>
      </c>
      <c r="D220" s="14" t="s">
        <v>247</v>
      </c>
      <c r="E220" s="2">
        <v>125.459</v>
      </c>
      <c r="F220" s="2">
        <f>181.974-E220</f>
        <v>56.514999999999986</v>
      </c>
      <c r="G220" s="2">
        <v>13.56</v>
      </c>
      <c r="H220" s="2">
        <v>133.63</v>
      </c>
      <c r="I220" s="35">
        <f t="shared" si="26"/>
        <v>329.16399999999999</v>
      </c>
      <c r="J220" s="56">
        <f>'2021'!J221</f>
        <v>350.46</v>
      </c>
      <c r="K220" s="49">
        <v>3892.8867467250961</v>
      </c>
      <c r="L220" s="49">
        <v>4048.6022165941004</v>
      </c>
      <c r="M220" s="49">
        <v>2089.5334303999998</v>
      </c>
      <c r="N220" s="49">
        <v>2173.1147676159999</v>
      </c>
      <c r="O220" s="56">
        <f t="shared" si="27"/>
        <v>1803.3533163250963</v>
      </c>
      <c r="P220" s="1">
        <f t="shared" si="21"/>
        <v>226246.90371283027</v>
      </c>
      <c r="Q220" s="1">
        <f t="shared" si="22"/>
        <v>101916.51267211279</v>
      </c>
      <c r="R220" s="1">
        <f t="shared" si="23"/>
        <v>25431.609808143043</v>
      </c>
      <c r="S220" s="1">
        <f t="shared" si="24"/>
        <v>250621.38780694356</v>
      </c>
      <c r="T220" s="1">
        <f t="shared" si="25"/>
        <v>604216.41400002968</v>
      </c>
      <c r="U220" s="1"/>
      <c r="V220" s="1"/>
      <c r="W220" s="45"/>
    </row>
    <row r="221" spans="1:23" ht="21" customHeight="1">
      <c r="A221" s="45"/>
      <c r="B221" s="15" t="s">
        <v>260</v>
      </c>
      <c r="C221" s="83" t="s">
        <v>236</v>
      </c>
      <c r="D221" s="14" t="s">
        <v>248</v>
      </c>
      <c r="E221" s="2">
        <v>680.85299999999995</v>
      </c>
      <c r="F221" s="2">
        <f>981.132-E221</f>
        <v>300.279</v>
      </c>
      <c r="G221" s="2">
        <v>45.875</v>
      </c>
      <c r="H221" s="2">
        <f>737.929-G221</f>
        <v>692.05399999999997</v>
      </c>
      <c r="I221" s="35">
        <f t="shared" si="26"/>
        <v>1719.0610000000001</v>
      </c>
      <c r="J221" s="56">
        <f>'2021'!J222</f>
        <v>1892.4</v>
      </c>
      <c r="K221" s="49">
        <v>3892.8867467250961</v>
      </c>
      <c r="L221" s="49">
        <v>4048.6022165941004</v>
      </c>
      <c r="M221" s="49">
        <v>1651.6813351999999</v>
      </c>
      <c r="N221" s="49">
        <v>1717.7485886079999</v>
      </c>
      <c r="O221" s="56">
        <f t="shared" si="27"/>
        <v>2241.2054115250962</v>
      </c>
      <c r="P221" s="1">
        <f t="shared" si="21"/>
        <v>1525931.4280530962</v>
      </c>
      <c r="Q221" s="1">
        <f t="shared" si="22"/>
        <v>672986.91976734437</v>
      </c>
      <c r="R221" s="1">
        <f t="shared" si="23"/>
        <v>106927.91018386236</v>
      </c>
      <c r="S221" s="1">
        <f t="shared" si="24"/>
        <v>1613076.5766622927</v>
      </c>
      <c r="T221" s="1">
        <f t="shared" si="25"/>
        <v>3918922.8346665953</v>
      </c>
      <c r="U221" s="1"/>
      <c r="V221" s="1"/>
      <c r="W221" s="45"/>
    </row>
    <row r="222" spans="1:23" ht="21" customHeight="1">
      <c r="A222" s="45"/>
      <c r="B222" s="15" t="s">
        <v>2</v>
      </c>
      <c r="C222" s="83" t="s">
        <v>68</v>
      </c>
      <c r="D222" s="14" t="s">
        <v>249</v>
      </c>
      <c r="E222" s="2">
        <v>2406.0349999999999</v>
      </c>
      <c r="F222" s="2">
        <f>3096.807-E222</f>
        <v>690.77199999999993</v>
      </c>
      <c r="G222" s="2">
        <v>138.09</v>
      </c>
      <c r="H222" s="2">
        <f>1843.6-G222</f>
        <v>1705.51</v>
      </c>
      <c r="I222" s="35">
        <f t="shared" si="26"/>
        <v>4940.4070000000002</v>
      </c>
      <c r="J222" s="56">
        <f>'2021'!J223</f>
        <v>5018.8999999999996</v>
      </c>
      <c r="K222" s="49">
        <v>3981.2155449892939</v>
      </c>
      <c r="L222" s="49">
        <v>4140.4641667888654</v>
      </c>
      <c r="M222" s="49">
        <v>1546.0118647999998</v>
      </c>
      <c r="N222" s="49">
        <v>1607.8523393919997</v>
      </c>
      <c r="O222" s="56">
        <f t="shared" si="27"/>
        <v>2435.2036801892941</v>
      </c>
      <c r="P222" s="1">
        <f t="shared" si="21"/>
        <v>5859185.2866642475</v>
      </c>
      <c r="Q222" s="1">
        <f t="shared" si="22"/>
        <v>1682170.516571719</v>
      </c>
      <c r="R222" s="1">
        <f t="shared" si="23"/>
        <v>349728.36724523321</v>
      </c>
      <c r="S222" s="1">
        <f t="shared" si="24"/>
        <v>4319394.7977436287</v>
      </c>
      <c r="T222" s="1">
        <f t="shared" si="25"/>
        <v>12210478.968224829</v>
      </c>
      <c r="U222" s="1"/>
      <c r="V222" s="1"/>
      <c r="W222" s="45"/>
    </row>
    <row r="223" spans="1:23" ht="21" customHeight="1">
      <c r="A223" s="45"/>
      <c r="B223" s="33" t="s">
        <v>332</v>
      </c>
      <c r="C223" s="83" t="s">
        <v>370</v>
      </c>
      <c r="D223" s="14" t="s">
        <v>250</v>
      </c>
      <c r="E223" s="2">
        <v>5787.1480000000001</v>
      </c>
      <c r="F223" s="2">
        <f>7761.256-E223</f>
        <v>1974.1080000000002</v>
      </c>
      <c r="G223" s="2">
        <v>778.02</v>
      </c>
      <c r="H223" s="2">
        <v>4985.1000000000004</v>
      </c>
      <c r="I223" s="35">
        <f t="shared" si="26"/>
        <v>13524.376</v>
      </c>
      <c r="J223" s="56">
        <f>'2021'!J224</f>
        <v>13098</v>
      </c>
      <c r="K223" s="49">
        <v>4011.7409280000002</v>
      </c>
      <c r="L223" s="49">
        <v>4172.21056512</v>
      </c>
      <c r="M223" s="49">
        <v>2288.696332</v>
      </c>
      <c r="N223" s="49">
        <v>2380.2441852800002</v>
      </c>
      <c r="O223" s="56">
        <f t="shared" si="27"/>
        <v>1723.0445960000002</v>
      </c>
      <c r="P223" s="1">
        <f t="shared" si="21"/>
        <v>9971514.0876522101</v>
      </c>
      <c r="Q223" s="1">
        <f t="shared" si="22"/>
        <v>3401476.1213203687</v>
      </c>
      <c r="R223" s="1">
        <f t="shared" si="23"/>
        <v>1394185.6828431166</v>
      </c>
      <c r="S223" s="1">
        <f t="shared" si="24"/>
        <v>8933131.6001403835</v>
      </c>
      <c r="T223" s="1">
        <f t="shared" si="25"/>
        <v>23700307.491956078</v>
      </c>
      <c r="U223" s="1"/>
      <c r="V223" s="1"/>
      <c r="W223" s="45"/>
    </row>
    <row r="224" spans="1:23" ht="21" customHeight="1">
      <c r="A224" s="45"/>
      <c r="B224" s="15" t="s">
        <v>5</v>
      </c>
      <c r="C224" s="83" t="s">
        <v>251</v>
      </c>
      <c r="D224" s="14" t="s">
        <v>252</v>
      </c>
      <c r="E224" s="2">
        <v>158.44999999999999</v>
      </c>
      <c r="F224" s="2">
        <f>224.51-E224</f>
        <v>66.06</v>
      </c>
      <c r="G224" s="2">
        <v>6.57</v>
      </c>
      <c r="H224" s="2">
        <f>144.23-G224</f>
        <v>137.66</v>
      </c>
      <c r="I224" s="35">
        <f t="shared" si="26"/>
        <v>368.74</v>
      </c>
      <c r="J224" s="56">
        <f>'2021'!J225</f>
        <v>368</v>
      </c>
      <c r="K224" s="49">
        <v>2528.7080000000001</v>
      </c>
      <c r="L224" s="49">
        <v>2629.8563200000003</v>
      </c>
      <c r="M224" s="49">
        <v>1792.3880000000001</v>
      </c>
      <c r="N224" s="49">
        <v>1864.0835200000001</v>
      </c>
      <c r="O224" s="56">
        <f t="shared" si="27"/>
        <v>736.31999999999994</v>
      </c>
      <c r="P224" s="1">
        <f t="shared" si="21"/>
        <v>116669.90399999998</v>
      </c>
      <c r="Q224" s="1">
        <f t="shared" si="22"/>
        <v>48641.299199999994</v>
      </c>
      <c r="R224" s="1">
        <f t="shared" si="23"/>
        <v>5031.1272960000015</v>
      </c>
      <c r="S224" s="1">
        <f t="shared" si="24"/>
        <v>105416.28364800003</v>
      </c>
      <c r="T224" s="1">
        <f t="shared" si="25"/>
        <v>275758.61414399999</v>
      </c>
      <c r="U224" s="1"/>
      <c r="V224" s="1"/>
      <c r="W224" s="45"/>
    </row>
    <row r="225" spans="1:23" ht="21" customHeight="1">
      <c r="A225" s="45"/>
      <c r="B225" s="15" t="s">
        <v>259</v>
      </c>
      <c r="C225" s="83" t="s">
        <v>68</v>
      </c>
      <c r="D225" s="14" t="s">
        <v>252</v>
      </c>
      <c r="E225" s="2">
        <v>25629.039000000001</v>
      </c>
      <c r="F225" s="2">
        <f>34741.357-E225</f>
        <v>9112.3180000000029</v>
      </c>
      <c r="G225" s="2">
        <v>1947.2529999999999</v>
      </c>
      <c r="H225" s="2">
        <f>20301.345-G225</f>
        <v>18354.092000000001</v>
      </c>
      <c r="I225" s="35">
        <f t="shared" si="26"/>
        <v>55042.702000000005</v>
      </c>
      <c r="J225" s="56">
        <f>'2021'!J226</f>
        <v>60234.7</v>
      </c>
      <c r="K225" s="49">
        <v>3542.081800171472</v>
      </c>
      <c r="L225" s="49">
        <v>3683.7650721783311</v>
      </c>
      <c r="M225" s="49">
        <v>1520.4518887999998</v>
      </c>
      <c r="N225" s="49">
        <v>1581.2699643519998</v>
      </c>
      <c r="O225" s="56">
        <f t="shared" si="27"/>
        <v>2021.6299113714722</v>
      </c>
      <c r="P225" s="1">
        <f t="shared" si="21"/>
        <v>51812431.842106007</v>
      </c>
      <c r="Q225" s="1">
        <f t="shared" si="22"/>
        <v>18421734.630728677</v>
      </c>
      <c r="R225" s="1">
        <f t="shared" si="23"/>
        <v>4094089.9062001468</v>
      </c>
      <c r="S225" s="1">
        <f t="shared" si="24"/>
        <v>38589388.638594404</v>
      </c>
      <c r="T225" s="1">
        <f t="shared" si="25"/>
        <v>112917645.01762922</v>
      </c>
      <c r="U225" s="1"/>
      <c r="V225" s="1"/>
      <c r="W225" s="45"/>
    </row>
    <row r="226" spans="1:23" ht="21" customHeight="1">
      <c r="A226" s="45"/>
      <c r="B226" s="15">
        <v>2907016373</v>
      </c>
      <c r="C226" s="83" t="s">
        <v>231</v>
      </c>
      <c r="D226" s="14" t="s">
        <v>253</v>
      </c>
      <c r="E226" s="2">
        <v>232.71600000000001</v>
      </c>
      <c r="F226" s="2">
        <f>335.311-E226</f>
        <v>102.59499999999997</v>
      </c>
      <c r="G226" s="2">
        <v>15.513999999999999</v>
      </c>
      <c r="H226" s="2">
        <f>248.232-G226</f>
        <v>232.71799999999999</v>
      </c>
      <c r="I226" s="35">
        <f t="shared" si="26"/>
        <v>583.54300000000001</v>
      </c>
      <c r="J226" s="56">
        <f>'2021'!J227</f>
        <v>461.4</v>
      </c>
      <c r="K226" s="49">
        <v>3892.8867467250961</v>
      </c>
      <c r="L226" s="49">
        <v>4048.6022165941004</v>
      </c>
      <c r="M226" s="49">
        <v>1791.8082416000002</v>
      </c>
      <c r="N226" s="49">
        <v>1863.4805712640002</v>
      </c>
      <c r="O226" s="56">
        <f t="shared" si="27"/>
        <v>2101.0785051250959</v>
      </c>
      <c r="P226" s="1">
        <f t="shared" si="21"/>
        <v>488954.58539869182</v>
      </c>
      <c r="Q226" s="1">
        <f t="shared" si="22"/>
        <v>215560.14923330914</v>
      </c>
      <c r="R226" s="1">
        <f t="shared" si="23"/>
        <v>33899.977205651179</v>
      </c>
      <c r="S226" s="1">
        <f t="shared" si="24"/>
        <v>508517.13905793027</v>
      </c>
      <c r="T226" s="1">
        <f t="shared" si="25"/>
        <v>1246931.8508955825</v>
      </c>
      <c r="U226" s="1"/>
      <c r="V226" s="1"/>
      <c r="W226" s="45"/>
    </row>
    <row r="227" spans="1:23" ht="21" customHeight="1">
      <c r="A227" s="45"/>
      <c r="B227" s="15">
        <v>2907016373</v>
      </c>
      <c r="C227" s="83" t="s">
        <v>231</v>
      </c>
      <c r="D227" s="14" t="s">
        <v>254</v>
      </c>
      <c r="E227" s="2">
        <v>176.477</v>
      </c>
      <c r="F227" s="2">
        <f>255.059-E227</f>
        <v>78.581999999999994</v>
      </c>
      <c r="G227" s="2">
        <v>11.765000000000001</v>
      </c>
      <c r="H227" s="2">
        <f>171.403-G227</f>
        <v>159.63799999999998</v>
      </c>
      <c r="I227" s="35">
        <f t="shared" si="26"/>
        <v>426.46199999999999</v>
      </c>
      <c r="J227" s="56">
        <f>'2021'!J228</f>
        <v>377.6</v>
      </c>
      <c r="K227" s="49">
        <v>3892.8867467250961</v>
      </c>
      <c r="L227" s="49">
        <v>4048.6022165941004</v>
      </c>
      <c r="M227" s="49">
        <v>1463.4110816</v>
      </c>
      <c r="N227" s="49">
        <v>1521.9475248640001</v>
      </c>
      <c r="O227" s="56">
        <f t="shared" si="27"/>
        <v>2429.4756651250964</v>
      </c>
      <c r="P227" s="1">
        <f t="shared" si="21"/>
        <v>428746.57695428166</v>
      </c>
      <c r="Q227" s="1">
        <f t="shared" si="22"/>
        <v>190913.0567168603</v>
      </c>
      <c r="R227" s="1">
        <f t="shared" si="23"/>
        <v>29726.092448204632</v>
      </c>
      <c r="S227" s="1">
        <f t="shared" si="24"/>
        <v>403350.10167840967</v>
      </c>
      <c r="T227" s="1">
        <f t="shared" si="25"/>
        <v>1052735.8277977563</v>
      </c>
      <c r="U227" s="1"/>
      <c r="V227" s="1"/>
      <c r="W227" s="45"/>
    </row>
    <row r="228" spans="1:23" ht="21" customHeight="1">
      <c r="A228" s="45"/>
      <c r="B228" s="15" t="s">
        <v>258</v>
      </c>
      <c r="C228" s="83" t="s">
        <v>255</v>
      </c>
      <c r="D228" s="14" t="s">
        <v>252</v>
      </c>
      <c r="E228" s="2">
        <v>320.81</v>
      </c>
      <c r="F228" s="2">
        <f>433.188-E228</f>
        <v>112.37799999999999</v>
      </c>
      <c r="G228" s="2">
        <v>3.8319999999999999</v>
      </c>
      <c r="H228" s="2">
        <f>226.567-G228</f>
        <v>222.73500000000001</v>
      </c>
      <c r="I228" s="35">
        <f t="shared" si="26"/>
        <v>659.755</v>
      </c>
      <c r="J228" s="56">
        <f>'2021'!J229</f>
        <v>670</v>
      </c>
      <c r="K228" s="49">
        <v>2958.132736</v>
      </c>
      <c r="L228" s="49">
        <v>3076.4580454400002</v>
      </c>
      <c r="M228" s="49">
        <v>1792.3906207999999</v>
      </c>
      <c r="N228" s="49">
        <v>1864.0862456319999</v>
      </c>
      <c r="O228" s="56">
        <f t="shared" si="27"/>
        <v>1165.7421152000002</v>
      </c>
      <c r="P228" s="1">
        <f t="shared" si="21"/>
        <v>373981.72797731205</v>
      </c>
      <c r="Q228" s="1">
        <f t="shared" si="22"/>
        <v>131003.76742194561</v>
      </c>
      <c r="R228" s="1">
        <f t="shared" si="23"/>
        <v>4645.8087368642573</v>
      </c>
      <c r="S228" s="1">
        <f t="shared" si="24"/>
        <v>270037.63283023494</v>
      </c>
      <c r="T228" s="1">
        <f t="shared" si="25"/>
        <v>779668.93696635682</v>
      </c>
      <c r="U228" s="1"/>
      <c r="V228" s="1"/>
      <c r="W228" s="45"/>
    </row>
    <row r="229" spans="1:23" ht="21" customHeight="1">
      <c r="A229" s="45"/>
      <c r="B229" s="15">
        <v>2907017610</v>
      </c>
      <c r="C229" s="83" t="s">
        <v>384</v>
      </c>
      <c r="D229" s="14" t="s">
        <v>252</v>
      </c>
      <c r="E229" s="2">
        <v>441.74</v>
      </c>
      <c r="F229" s="2">
        <f>649.76-E229</f>
        <v>208.01999999999998</v>
      </c>
      <c r="G229" s="2">
        <v>55</v>
      </c>
      <c r="H229" s="2">
        <v>390</v>
      </c>
      <c r="I229" s="35">
        <f t="shared" si="26"/>
        <v>1094.76</v>
      </c>
      <c r="J229" s="56">
        <f>'2021'!J230</f>
        <v>1055</v>
      </c>
      <c r="K229" s="49">
        <v>2556.46976</v>
      </c>
      <c r="L229" s="49">
        <v>2658.7285504000001</v>
      </c>
      <c r="M229" s="49">
        <v>1794.1269735999999</v>
      </c>
      <c r="N229" s="49">
        <v>1865.8920525440001</v>
      </c>
      <c r="O229" s="56"/>
      <c r="P229" s="1">
        <f t="shared" si="21"/>
        <v>336757.30246433604</v>
      </c>
      <c r="Q229" s="1">
        <f t="shared" si="22"/>
        <v>158582.54642692799</v>
      </c>
      <c r="R229" s="1">
        <f t="shared" si="23"/>
        <v>43606.007382080003</v>
      </c>
      <c r="S229" s="1">
        <f t="shared" si="24"/>
        <v>309206.23416384001</v>
      </c>
      <c r="T229" s="1">
        <f t="shared" si="25"/>
        <v>848152.09043718409</v>
      </c>
      <c r="U229" s="1"/>
      <c r="V229" s="1"/>
      <c r="W229" s="45"/>
    </row>
    <row r="230" spans="1:23" ht="21" customHeight="1">
      <c r="A230" s="45"/>
      <c r="B230" s="15" t="s">
        <v>257</v>
      </c>
      <c r="C230" s="83" t="s">
        <v>256</v>
      </c>
      <c r="D230" s="14" t="s">
        <v>250</v>
      </c>
      <c r="E230" s="2">
        <v>81.459000000000003</v>
      </c>
      <c r="F230" s="2">
        <f>1148.283-E230</f>
        <v>1066.8239999999998</v>
      </c>
      <c r="G230" s="2">
        <v>106.55</v>
      </c>
      <c r="H230" s="2">
        <f>818.48-G230</f>
        <v>711.93000000000006</v>
      </c>
      <c r="I230" s="35">
        <f t="shared" si="26"/>
        <v>1966.7629999999999</v>
      </c>
      <c r="J230" s="56">
        <f>'2021'!J231</f>
        <v>2328.6</v>
      </c>
      <c r="K230" s="49">
        <v>5649.2292479999996</v>
      </c>
      <c r="L230" s="49">
        <v>5875.1984179199999</v>
      </c>
      <c r="M230" s="49">
        <v>2262.4676983999998</v>
      </c>
      <c r="N230" s="49">
        <v>2352.9664063359996</v>
      </c>
      <c r="O230" s="56">
        <f t="shared" si="27"/>
        <v>3386.7615495999999</v>
      </c>
      <c r="P230" s="1">
        <f t="shared" si="21"/>
        <v>275882.20906886639</v>
      </c>
      <c r="Q230" s="1">
        <f t="shared" si="22"/>
        <v>3613078.5033904696</v>
      </c>
      <c r="R230" s="1">
        <f t="shared" si="23"/>
        <v>375293.82083427522</v>
      </c>
      <c r="S230" s="1">
        <f t="shared" si="24"/>
        <v>2507582.6360069974</v>
      </c>
      <c r="T230" s="1">
        <f t="shared" si="25"/>
        <v>6771837.1693006083</v>
      </c>
      <c r="U230" s="1"/>
      <c r="V230" s="1"/>
      <c r="W230" s="45"/>
    </row>
    <row r="231" spans="1:23" ht="26.25" customHeight="1">
      <c r="A231" s="45" t="s">
        <v>337</v>
      </c>
      <c r="B231" s="15" t="s">
        <v>350</v>
      </c>
      <c r="C231" s="83" t="s">
        <v>349</v>
      </c>
      <c r="D231" s="14" t="s">
        <v>249</v>
      </c>
      <c r="E231" s="2">
        <f>45.1773333333333*0.6</f>
        <v>27.106399999999979</v>
      </c>
      <c r="F231" s="2">
        <f>45.1773333333333*0.4</f>
        <v>18.070933333333322</v>
      </c>
      <c r="G231" s="2">
        <f>45.906*0.2</f>
        <v>9.1812000000000005</v>
      </c>
      <c r="H231" s="2">
        <f>45.906*0.8</f>
        <v>36.724800000000002</v>
      </c>
      <c r="I231" s="35">
        <f t="shared" si="26"/>
        <v>91.0833333333333</v>
      </c>
      <c r="J231" s="56">
        <f>'2021'!J232</f>
        <v>91.1</v>
      </c>
      <c r="K231" s="49">
        <v>3277.8753280000001</v>
      </c>
      <c r="L231" s="49">
        <v>3408.9903411200003</v>
      </c>
      <c r="M231" s="49">
        <v>1809.7865031999997</v>
      </c>
      <c r="N231" s="49">
        <v>1882.1779633279998</v>
      </c>
      <c r="O231" s="56">
        <f t="shared" si="27"/>
        <v>1468.0888248000003</v>
      </c>
      <c r="P231" s="1">
        <f t="shared" si="21"/>
        <v>39794.602920558696</v>
      </c>
      <c r="Q231" s="1">
        <f t="shared" si="22"/>
        <v>26529.735280372468</v>
      </c>
      <c r="R231" s="1">
        <f t="shared" si="23"/>
        <v>14017.969802983915</v>
      </c>
      <c r="S231" s="1">
        <f t="shared" si="24"/>
        <v>56071.879211935659</v>
      </c>
      <c r="T231" s="1">
        <f t="shared" si="25"/>
        <v>136414.18721585075</v>
      </c>
      <c r="U231" s="1"/>
      <c r="V231" s="1"/>
      <c r="W231" s="45"/>
    </row>
    <row r="232" spans="1:23" ht="21" customHeight="1">
      <c r="A232" s="45"/>
      <c r="B232" s="101" t="s">
        <v>340</v>
      </c>
      <c r="C232" s="101"/>
      <c r="D232" s="14"/>
      <c r="E232" s="2"/>
      <c r="F232" s="2"/>
      <c r="G232" s="2"/>
      <c r="H232" s="2"/>
      <c r="I232" s="35">
        <f t="shared" si="26"/>
        <v>0</v>
      </c>
      <c r="J232" s="56"/>
      <c r="K232" s="49"/>
      <c r="L232" s="49"/>
      <c r="M232" s="49"/>
      <c r="N232" s="49"/>
      <c r="O232" s="56">
        <f t="shared" si="27"/>
        <v>0</v>
      </c>
      <c r="P232" s="1">
        <f t="shared" si="21"/>
        <v>0</v>
      </c>
      <c r="Q232" s="1">
        <f t="shared" si="22"/>
        <v>0</v>
      </c>
      <c r="R232" s="1">
        <f t="shared" si="23"/>
        <v>0</v>
      </c>
      <c r="S232" s="1">
        <f t="shared" si="24"/>
        <v>0</v>
      </c>
      <c r="T232" s="1">
        <f t="shared" si="25"/>
        <v>0</v>
      </c>
      <c r="U232" s="1"/>
      <c r="V232" s="1"/>
      <c r="W232" s="45"/>
    </row>
    <row r="233" spans="1:23" ht="21" customHeight="1">
      <c r="A233" s="45" t="s">
        <v>337</v>
      </c>
      <c r="B233" s="15">
        <v>7729314745</v>
      </c>
      <c r="C233" s="83" t="s">
        <v>341</v>
      </c>
      <c r="D233" s="14"/>
      <c r="E233" s="35">
        <f>523.721*0.6</f>
        <v>314.23259999999999</v>
      </c>
      <c r="F233" s="35">
        <f>523.721*0.4</f>
        <v>209.48840000000001</v>
      </c>
      <c r="G233" s="35">
        <f>428.499*0.2</f>
        <v>85.69980000000001</v>
      </c>
      <c r="H233" s="35">
        <f>428.499*0.8</f>
        <v>342.79920000000004</v>
      </c>
      <c r="I233" s="35">
        <f t="shared" si="26"/>
        <v>952.22</v>
      </c>
      <c r="J233" s="56">
        <f>'2021'!J234</f>
        <v>952.22</v>
      </c>
      <c r="K233" s="49">
        <v>7869.7756800000006</v>
      </c>
      <c r="L233" s="49">
        <v>8184.5667072000006</v>
      </c>
      <c r="M233" s="49">
        <v>1653.9784975999999</v>
      </c>
      <c r="N233" s="49">
        <v>1720.1376375039999</v>
      </c>
      <c r="O233" s="56">
        <f t="shared" si="27"/>
        <v>6215.7971824000006</v>
      </c>
      <c r="P233" s="1">
        <f t="shared" si="21"/>
        <v>1953206.1096982264</v>
      </c>
      <c r="Q233" s="1">
        <f t="shared" si="22"/>
        <v>1302137.4064654843</v>
      </c>
      <c r="R233" s="1">
        <f t="shared" si="23"/>
        <v>554000.27838713338</v>
      </c>
      <c r="S233" s="1">
        <f t="shared" si="24"/>
        <v>2216001.1135485335</v>
      </c>
      <c r="T233" s="1">
        <f t="shared" si="25"/>
        <v>6025344.9080993775</v>
      </c>
      <c r="U233" s="1"/>
      <c r="V233" s="1"/>
      <c r="W233" s="45"/>
    </row>
    <row r="234" spans="1:23" ht="21" customHeight="1">
      <c r="A234" s="45"/>
      <c r="B234" s="63">
        <v>7606053324</v>
      </c>
      <c r="C234" s="18" t="s">
        <v>411</v>
      </c>
      <c r="D234" s="14"/>
      <c r="E234" s="62">
        <v>682524.34057667619</v>
      </c>
      <c r="F234" s="62">
        <v>367673.97361413721</v>
      </c>
      <c r="G234" s="35">
        <v>153873.79866323207</v>
      </c>
      <c r="H234" s="35">
        <v>592188.67380904942</v>
      </c>
      <c r="I234" s="35">
        <f t="shared" ref="I234" si="28">SUM(E234:H234)</f>
        <v>1796260.7866630948</v>
      </c>
      <c r="J234" s="56">
        <f>'2021'!J235</f>
        <v>1796260.786663095</v>
      </c>
      <c r="K234" s="49">
        <v>1699.412</v>
      </c>
      <c r="L234" s="49">
        <v>1767.3884800000001</v>
      </c>
      <c r="M234" s="49">
        <v>1591.9443279999998</v>
      </c>
      <c r="N234" s="49">
        <v>1655.6221011199998</v>
      </c>
      <c r="O234" s="56"/>
      <c r="P234" s="1">
        <f t="shared" si="21"/>
        <v>73349301.965110675</v>
      </c>
      <c r="Q234" s="1">
        <f t="shared" si="22"/>
        <v>39513065.99930083</v>
      </c>
      <c r="R234" s="1">
        <f t="shared" si="23"/>
        <v>17197917.281099673</v>
      </c>
      <c r="S234" s="1">
        <f t="shared" si="24"/>
        <v>66186783.685387112</v>
      </c>
      <c r="T234" s="1">
        <f t="shared" si="25"/>
        <v>196247068.93089828</v>
      </c>
      <c r="U234" s="1"/>
      <c r="V234" s="1"/>
      <c r="W234" s="45"/>
    </row>
    <row r="235" spans="1:23" ht="21" customHeight="1">
      <c r="A235" s="45"/>
      <c r="B235" s="101" t="s">
        <v>343</v>
      </c>
      <c r="C235" s="101"/>
      <c r="D235" s="14"/>
      <c r="E235" s="2"/>
      <c r="F235" s="2"/>
      <c r="G235" s="2"/>
      <c r="H235" s="2"/>
      <c r="I235" s="35">
        <f t="shared" si="26"/>
        <v>0</v>
      </c>
      <c r="J235" s="56"/>
      <c r="K235" s="49">
        <v>0</v>
      </c>
      <c r="L235" s="49">
        <v>0</v>
      </c>
      <c r="M235" s="49">
        <v>0</v>
      </c>
      <c r="N235" s="49">
        <v>0</v>
      </c>
      <c r="O235" s="56">
        <f t="shared" si="27"/>
        <v>0</v>
      </c>
      <c r="P235" s="1">
        <f t="shared" si="21"/>
        <v>0</v>
      </c>
      <c r="Q235" s="1">
        <f t="shared" si="22"/>
        <v>0</v>
      </c>
      <c r="R235" s="1">
        <f t="shared" si="23"/>
        <v>0</v>
      </c>
      <c r="S235" s="1">
        <f t="shared" si="24"/>
        <v>0</v>
      </c>
      <c r="T235" s="1">
        <f t="shared" si="25"/>
        <v>0</v>
      </c>
      <c r="U235" s="1"/>
      <c r="V235" s="1"/>
      <c r="W235" s="45"/>
    </row>
    <row r="236" spans="1:23" ht="21" customHeight="1">
      <c r="A236" s="45" t="s">
        <v>337</v>
      </c>
      <c r="B236" s="15">
        <v>7729314745</v>
      </c>
      <c r="C236" s="83" t="s">
        <v>341</v>
      </c>
      <c r="D236" s="14"/>
      <c r="E236" s="35">
        <f>8464.885*0.6</f>
        <v>5078.9309999999996</v>
      </c>
      <c r="F236" s="35">
        <f>8464.885*0.4</f>
        <v>3385.9540000000002</v>
      </c>
      <c r="G236" s="35">
        <f>6925.815*0.2</f>
        <v>1385.163</v>
      </c>
      <c r="H236" s="35">
        <f>6925.815*0.8</f>
        <v>5540.652</v>
      </c>
      <c r="I236" s="35">
        <f t="shared" si="26"/>
        <v>15390.7</v>
      </c>
      <c r="J236" s="56">
        <f>'2021'!J237</f>
        <v>15390.7</v>
      </c>
      <c r="K236" s="49">
        <v>7377.6476800000009</v>
      </c>
      <c r="L236" s="49">
        <v>7672.7535872000017</v>
      </c>
      <c r="M236" s="49">
        <v>2150.2626391999997</v>
      </c>
      <c r="N236" s="49">
        <v>2236.2731447679998</v>
      </c>
      <c r="O236" s="56">
        <f t="shared" si="27"/>
        <v>5227.3850408000017</v>
      </c>
      <c r="P236" s="1">
        <f t="shared" si="21"/>
        <v>26549527.93265539</v>
      </c>
      <c r="Q236" s="1">
        <f t="shared" si="22"/>
        <v>17699685.288436931</v>
      </c>
      <c r="R236" s="1">
        <f t="shared" si="23"/>
        <v>7530411.5590804387</v>
      </c>
      <c r="S236" s="1">
        <f t="shared" si="24"/>
        <v>30121646.236321755</v>
      </c>
      <c r="T236" s="1">
        <f t="shared" si="25"/>
        <v>81901271.016494513</v>
      </c>
      <c r="U236" s="1"/>
      <c r="V236" s="1"/>
      <c r="W236" s="45"/>
    </row>
    <row r="237" spans="1:23" ht="21" customHeight="1">
      <c r="A237" s="45"/>
      <c r="B237" s="101" t="s">
        <v>428</v>
      </c>
      <c r="C237" s="101"/>
      <c r="D237" s="14"/>
      <c r="E237" s="2"/>
      <c r="F237" s="2"/>
      <c r="G237" s="2"/>
      <c r="H237" s="2"/>
      <c r="I237" s="35">
        <f t="shared" ref="I237:I238" si="29">SUM(E237:H237)</f>
        <v>0</v>
      </c>
      <c r="J237" s="56"/>
      <c r="K237" s="49"/>
      <c r="L237" s="49"/>
      <c r="M237" s="49"/>
      <c r="N237" s="49"/>
      <c r="O237" s="56"/>
      <c r="P237" s="1">
        <f t="shared" si="21"/>
        <v>0</v>
      </c>
      <c r="Q237" s="1">
        <f t="shared" si="22"/>
        <v>0</v>
      </c>
      <c r="R237" s="1">
        <f t="shared" si="23"/>
        <v>0</v>
      </c>
      <c r="S237" s="1">
        <f t="shared" si="24"/>
        <v>0</v>
      </c>
      <c r="T237" s="1">
        <f t="shared" si="25"/>
        <v>0</v>
      </c>
      <c r="U237" s="1"/>
      <c r="V237" s="1"/>
      <c r="W237" s="45"/>
    </row>
    <row r="238" spans="1:23" ht="21" customHeight="1">
      <c r="A238" s="45"/>
      <c r="B238" s="63">
        <v>2903011092</v>
      </c>
      <c r="C238" s="18" t="s">
        <v>429</v>
      </c>
      <c r="D238" s="14"/>
      <c r="E238" s="35">
        <v>72437.160999999993</v>
      </c>
      <c r="F238" s="35">
        <v>45103.659</v>
      </c>
      <c r="G238" s="35">
        <v>21721.248</v>
      </c>
      <c r="H238" s="35">
        <v>75527.932000000001</v>
      </c>
      <c r="I238" s="35">
        <f t="shared" si="29"/>
        <v>214790</v>
      </c>
      <c r="J238" s="35">
        <v>214790</v>
      </c>
      <c r="K238" s="49">
        <v>1581.1743999999999</v>
      </c>
      <c r="L238" s="49">
        <v>1644.421376</v>
      </c>
      <c r="M238" s="49">
        <v>1359.7691536</v>
      </c>
      <c r="N238" s="49">
        <v>1414.159919744</v>
      </c>
      <c r="O238" s="56"/>
      <c r="P238" s="1">
        <f t="shared" si="21"/>
        <v>16037967.47972146</v>
      </c>
      <c r="Q238" s="1">
        <f t="shared" si="22"/>
        <v>9986186.7344365735</v>
      </c>
      <c r="R238" s="1">
        <f t="shared" si="23"/>
        <v>5001566.1961777266</v>
      </c>
      <c r="S238" s="1">
        <f t="shared" si="24"/>
        <v>17391171.610324141</v>
      </c>
      <c r="T238" s="1">
        <f t="shared" si="25"/>
        <v>48416892.020659909</v>
      </c>
      <c r="U238" s="1"/>
      <c r="V238" s="1"/>
      <c r="W238" s="45"/>
    </row>
    <row r="239" spans="1:23" s="79" customFormat="1" ht="21" customHeight="1">
      <c r="A239" s="78"/>
      <c r="B239" s="102" t="s">
        <v>47</v>
      </c>
      <c r="C239" s="102"/>
      <c r="D239" s="22"/>
      <c r="E239" s="36">
        <f>SUM(E8:E238)</f>
        <v>1609099.4433004302</v>
      </c>
      <c r="F239" s="36">
        <f t="shared" ref="F239:I239" si="30">SUM(F8:F238)</f>
        <v>840790.09339330671</v>
      </c>
      <c r="G239" s="36">
        <f t="shared" si="30"/>
        <v>335589.16876477428</v>
      </c>
      <c r="H239" s="36">
        <f t="shared" si="30"/>
        <v>1410075.8808759165</v>
      </c>
      <c r="I239" s="36">
        <f t="shared" si="30"/>
        <v>4195554.5863344278</v>
      </c>
      <c r="J239" s="36" t="e">
        <f>SUM(J8:J238)</f>
        <v>#VALUE!</v>
      </c>
      <c r="K239" s="23"/>
      <c r="L239" s="23"/>
      <c r="M239" s="23"/>
      <c r="N239" s="23"/>
      <c r="O239" s="23"/>
      <c r="P239" s="23">
        <f>SUM(P8:P238)</f>
        <v>1206358066.37901</v>
      </c>
      <c r="Q239" s="23">
        <f t="shared" ref="Q239:S239" si="31">SUM(Q8:Q238)</f>
        <v>622084623.27537525</v>
      </c>
      <c r="R239" s="23">
        <f t="shared" si="31"/>
        <v>220520230.73134062</v>
      </c>
      <c r="S239" s="23">
        <f t="shared" si="31"/>
        <v>1115778801.6251631</v>
      </c>
      <c r="T239" s="23">
        <f>SUM(T8:T238)</f>
        <v>3164741722.0108867</v>
      </c>
      <c r="U239" s="23">
        <f>'2021'!V240</f>
        <v>386231220.70158678</v>
      </c>
      <c r="V239" s="23">
        <f>S239*0.36</f>
        <v>401680368.58505869</v>
      </c>
      <c r="W239" s="23">
        <f>T239+U239-V239</f>
        <v>3149292574.1274147</v>
      </c>
    </row>
    <row r="240" spans="1:23" s="79" customFormat="1" ht="21" customHeight="1">
      <c r="A240" s="80"/>
      <c r="B240" s="26"/>
      <c r="C240" s="26"/>
      <c r="D240" s="27"/>
      <c r="E240" s="28"/>
      <c r="F240" s="28"/>
      <c r="G240" s="28"/>
      <c r="H240" s="28"/>
      <c r="I240" s="28"/>
      <c r="J240" s="28"/>
      <c r="K240" s="28"/>
      <c r="L240" s="28"/>
      <c r="M240" s="28"/>
      <c r="N240" s="28"/>
      <c r="O240" s="28"/>
      <c r="P240" s="28"/>
      <c r="Q240" s="28"/>
      <c r="R240" s="28"/>
      <c r="S240" s="28"/>
      <c r="T240" s="28"/>
      <c r="U240" s="28"/>
      <c r="V240" s="28"/>
      <c r="W240" s="28"/>
    </row>
    <row r="241" ht="18" customHeight="1"/>
    <row r="242" ht="18" customHeight="1"/>
  </sheetData>
  <mergeCells count="41">
    <mergeCell ref="A4:A5"/>
    <mergeCell ref="B4:B5"/>
    <mergeCell ref="C4:C5"/>
    <mergeCell ref="D4:D5"/>
    <mergeCell ref="E4:I4"/>
    <mergeCell ref="B24:D24"/>
    <mergeCell ref="K4:L4"/>
    <mergeCell ref="M4:N4"/>
    <mergeCell ref="P4:T4"/>
    <mergeCell ref="U4:U5"/>
    <mergeCell ref="E2:K2"/>
    <mergeCell ref="V4:V5"/>
    <mergeCell ref="W4:W5"/>
    <mergeCell ref="B7:D7"/>
    <mergeCell ref="B14:D14"/>
    <mergeCell ref="B32:D32"/>
    <mergeCell ref="B42:D42"/>
    <mergeCell ref="J50:J51"/>
    <mergeCell ref="B54:D54"/>
    <mergeCell ref="B67:D67"/>
    <mergeCell ref="B83:D83"/>
    <mergeCell ref="B86:D86"/>
    <mergeCell ref="B89:D89"/>
    <mergeCell ref="B95:D95"/>
    <mergeCell ref="B70:D70"/>
    <mergeCell ref="B239:C239"/>
    <mergeCell ref="B237:C237"/>
    <mergeCell ref="E1:N1"/>
    <mergeCell ref="B193:D193"/>
    <mergeCell ref="B201:D201"/>
    <mergeCell ref="B208:C208"/>
    <mergeCell ref="B232:C232"/>
    <mergeCell ref="B235:C235"/>
    <mergeCell ref="J100:J102"/>
    <mergeCell ref="B107:D107"/>
    <mergeCell ref="B126:D126"/>
    <mergeCell ref="B154:D154"/>
    <mergeCell ref="B160:D160"/>
    <mergeCell ref="B174:D174"/>
    <mergeCell ref="B74:D74"/>
    <mergeCell ref="B81:D81"/>
  </mergeCells>
  <pageMargins left="0.23622047244094491" right="0.15748031496062992" top="0.59055118110236227" bottom="0.51181102362204722" header="0.31496062992125984" footer="0.15748031496062992"/>
  <pageSetup paperSize="9" scale="65" fitToHeight="0" orientation="landscape" r:id="rId1"/>
  <headerFooter>
    <oddFooter>&amp;C&amp;P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3</vt:i4>
      </vt:variant>
    </vt:vector>
  </HeadingPairs>
  <TitlesOfParts>
    <vt:vector size="6" baseType="lpstr">
      <vt:lpstr>2020</vt:lpstr>
      <vt:lpstr>2021</vt:lpstr>
      <vt:lpstr>2022</vt:lpstr>
      <vt:lpstr>'2020'!Заголовки_для_печати</vt:lpstr>
      <vt:lpstr>'2021'!Заголовки_для_печати</vt:lpstr>
      <vt:lpstr>'2022'!Заголовки_для_печати</vt:lpstr>
    </vt:vector>
  </TitlesOfParts>
  <Company>Минестерство энергетики и связи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lubovtsova</dc:creator>
  <cp:lastModifiedBy>minfin user</cp:lastModifiedBy>
  <cp:lastPrinted>2019-10-10T12:00:39Z</cp:lastPrinted>
  <dcterms:created xsi:type="dcterms:W3CDTF">2014-12-30T11:05:19Z</dcterms:created>
  <dcterms:modified xsi:type="dcterms:W3CDTF">2019-10-10T12:00:43Z</dcterms:modified>
</cp:coreProperties>
</file>