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330" windowWidth="23250" windowHeight="11535"/>
  </bookViews>
  <sheets>
    <sheet name="Авиа и жд" sheetId="8" r:id="rId1"/>
    <sheet name="водный транспорт" sheetId="9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Titles" localSheetId="0">'Авиа и жд'!$A:$A,'Авиа и жд'!$9:$10</definedName>
    <definedName name="_xlnm.Print_Titles" localSheetId="1">'водный транспорт'!$A:$A,'водный транспорт'!$5:$6</definedName>
    <definedName name="_xlnm.Print_Area" localSheetId="0">'Авиа и жд'!$A$1:$BB$23</definedName>
    <definedName name="_xlnm.Print_Area" localSheetId="1">'водный транспорт'!$A$1:$BB$27</definedName>
  </definedNames>
  <calcPr calcId="125725"/>
</workbook>
</file>

<file path=xl/calcChain.xml><?xml version="1.0" encoding="utf-8"?>
<calcChain xmlns="http://schemas.openxmlformats.org/spreadsheetml/2006/main">
  <c r="AC21" i="9"/>
  <c r="V21"/>
  <c r="X21" s="1"/>
  <c r="S21"/>
  <c r="R21"/>
  <c r="AD21" s="1"/>
  <c r="Q21"/>
  <c r="M21"/>
  <c r="P21" s="1"/>
  <c r="AE20"/>
  <c r="AC19"/>
  <c r="V19"/>
  <c r="AB19" s="1"/>
  <c r="S19"/>
  <c r="R19"/>
  <c r="Q19"/>
  <c r="M19"/>
  <c r="N19" s="1"/>
  <c r="L19"/>
  <c r="J19"/>
  <c r="H19"/>
  <c r="AC18"/>
  <c r="AB18"/>
  <c r="AA18"/>
  <c r="Z18"/>
  <c r="Z17" s="1"/>
  <c r="X18"/>
  <c r="S18"/>
  <c r="R18"/>
  <c r="AD18" s="1"/>
  <c r="Q18"/>
  <c r="P18"/>
  <c r="N18"/>
  <c r="L18"/>
  <c r="J18"/>
  <c r="H18"/>
  <c r="AG17"/>
  <c r="AG18" s="1"/>
  <c r="AC17"/>
  <c r="AE17" s="1"/>
  <c r="AB17"/>
  <c r="X17"/>
  <c r="S17"/>
  <c r="R17"/>
  <c r="Q17"/>
  <c r="P17"/>
  <c r="N17"/>
  <c r="L17"/>
  <c r="J17"/>
  <c r="H17"/>
  <c r="AC16"/>
  <c r="V16"/>
  <c r="X16" s="1"/>
  <c r="R16"/>
  <c r="Q16"/>
  <c r="M16"/>
  <c r="P16" s="1"/>
  <c r="L16"/>
  <c r="J16"/>
  <c r="H16"/>
  <c r="AC15"/>
  <c r="V15"/>
  <c r="AB15" s="1"/>
  <c r="S15"/>
  <c r="R15"/>
  <c r="Q15"/>
  <c r="P15"/>
  <c r="N15"/>
  <c r="L15"/>
  <c r="J15"/>
  <c r="H15"/>
  <c r="D15"/>
  <c r="B15"/>
  <c r="AC12"/>
  <c r="AB12"/>
  <c r="W12"/>
  <c r="V12"/>
  <c r="R12"/>
  <c r="AD12" s="1"/>
  <c r="Q12"/>
  <c r="M12"/>
  <c r="N12" s="1"/>
  <c r="L12"/>
  <c r="J12"/>
  <c r="H12"/>
  <c r="B12"/>
  <c r="AC11"/>
  <c r="V11"/>
  <c r="AB11" s="1"/>
  <c r="S11"/>
  <c r="R11"/>
  <c r="Q11"/>
  <c r="P11"/>
  <c r="N11"/>
  <c r="L11"/>
  <c r="J11"/>
  <c r="H11"/>
  <c r="AC10"/>
  <c r="V10"/>
  <c r="AB10" s="1"/>
  <c r="R10"/>
  <c r="AD10" s="1"/>
  <c r="Q10"/>
  <c r="M10"/>
  <c r="P10" s="1"/>
  <c r="L10"/>
  <c r="J10"/>
  <c r="H10"/>
  <c r="AC9"/>
  <c r="V9"/>
  <c r="AB9" s="1"/>
  <c r="AE9" s="1"/>
  <c r="AF9" s="1"/>
  <c r="S9"/>
  <c r="R9"/>
  <c r="Q9"/>
  <c r="P9"/>
  <c r="N9"/>
  <c r="L9"/>
  <c r="J9"/>
  <c r="H9"/>
  <c r="AC8"/>
  <c r="V8"/>
  <c r="AB8" s="1"/>
  <c r="AE8" s="1"/>
  <c r="AF8" s="1"/>
  <c r="S8"/>
  <c r="R8"/>
  <c r="Q8"/>
  <c r="P8"/>
  <c r="N8"/>
  <c r="L8"/>
  <c r="J8"/>
  <c r="H8"/>
  <c r="AE15" l="1"/>
  <c r="AF15" s="1"/>
  <c r="AD17"/>
  <c r="AE19"/>
  <c r="AF19" s="1"/>
  <c r="AD16"/>
  <c r="N10"/>
  <c r="AE10"/>
  <c r="AF10" s="1"/>
  <c r="T17"/>
  <c r="U17" s="1"/>
  <c r="AF17"/>
  <c r="AE18"/>
  <c r="AF18" s="1"/>
  <c r="P19"/>
  <c r="AE11"/>
  <c r="AF11" s="1"/>
  <c r="T18"/>
  <c r="U18" s="1"/>
  <c r="T8"/>
  <c r="U8" s="1"/>
  <c r="AD8"/>
  <c r="X8"/>
  <c r="X9"/>
  <c r="X10"/>
  <c r="X11"/>
  <c r="X15"/>
  <c r="N16"/>
  <c r="X19"/>
  <c r="AB21"/>
  <c r="AE21" s="1"/>
  <c r="AF21" s="1"/>
  <c r="P12"/>
  <c r="T16"/>
  <c r="U16" s="1"/>
  <c r="AB16"/>
  <c r="AE16" s="1"/>
  <c r="AF16" s="1"/>
  <c r="T21"/>
  <c r="U21" s="1"/>
  <c r="AD9"/>
  <c r="T10"/>
  <c r="U10" s="1"/>
  <c r="AD11"/>
  <c r="X12"/>
  <c r="AD15"/>
  <c r="AD19"/>
  <c r="T15"/>
  <c r="U15" s="1"/>
  <c r="T19"/>
  <c r="U19" s="1"/>
  <c r="T9"/>
  <c r="U9" s="1"/>
  <c r="AE12"/>
  <c r="AF12" s="1"/>
  <c r="T12"/>
  <c r="U12" s="1"/>
  <c r="T11"/>
  <c r="U11" s="1"/>
  <c r="H12" i="8" l="1"/>
  <c r="J12"/>
  <c r="L12"/>
  <c r="N12"/>
  <c r="O12"/>
  <c r="P12" s="1"/>
  <c r="T12"/>
  <c r="U12" s="1"/>
  <c r="Z12"/>
  <c r="H13"/>
  <c r="J13"/>
  <c r="L13"/>
  <c r="P13"/>
  <c r="T13"/>
  <c r="U13" s="1"/>
  <c r="H14"/>
  <c r="N14"/>
  <c r="P14"/>
  <c r="S14"/>
  <c r="T14"/>
  <c r="S15"/>
  <c r="T15"/>
  <c r="P17"/>
  <c r="Q17"/>
  <c r="AB17" s="1"/>
  <c r="R17"/>
  <c r="R18" s="1"/>
  <c r="S17"/>
  <c r="B18"/>
  <c r="C18"/>
  <c r="D18"/>
  <c r="E18"/>
  <c r="H18" s="1"/>
  <c r="F18"/>
  <c r="G18"/>
  <c r="I18"/>
  <c r="J18" s="1"/>
  <c r="K18"/>
  <c r="L18" s="1"/>
  <c r="M18"/>
  <c r="V18"/>
  <c r="W18"/>
  <c r="X18"/>
  <c r="AA18"/>
  <c r="H20"/>
  <c r="J20"/>
  <c r="L20"/>
  <c r="N20"/>
  <c r="P20"/>
  <c r="Q20"/>
  <c r="R20"/>
  <c r="T20" s="1"/>
  <c r="U20" s="1"/>
  <c r="V20"/>
  <c r="AB12"/>
  <c r="AC12"/>
  <c r="AD12" s="1"/>
  <c r="AB13"/>
  <c r="AC13"/>
  <c r="AB14"/>
  <c r="AC14"/>
  <c r="AD14" s="1"/>
  <c r="AB15"/>
  <c r="AC15"/>
  <c r="AG17"/>
  <c r="AG18" s="1"/>
  <c r="AB20"/>
  <c r="AE20" s="1"/>
  <c r="AF20" s="1"/>
  <c r="AP20"/>
  <c r="AK20"/>
  <c r="AL20" s="1"/>
  <c r="AJ20"/>
  <c r="AM18"/>
  <c r="AZ17"/>
  <c r="AU17"/>
  <c r="AP17"/>
  <c r="AT16"/>
  <c r="AS16"/>
  <c r="AX16" s="1"/>
  <c r="AY12"/>
  <c r="AT12"/>
  <c r="AS12"/>
  <c r="AX12" s="1"/>
  <c r="AI12"/>
  <c r="AI18" s="1"/>
  <c r="AC17" l="1"/>
  <c r="AD17" s="1"/>
  <c r="N18"/>
  <c r="AE14"/>
  <c r="S18"/>
  <c r="AE17"/>
  <c r="AF17" s="1"/>
  <c r="AZ20"/>
  <c r="AU20"/>
  <c r="AP18"/>
  <c r="AY16"/>
  <c r="AZ16" s="1"/>
  <c r="AU16"/>
  <c r="AE13"/>
  <c r="O18"/>
  <c r="P18" s="1"/>
  <c r="T17"/>
  <c r="U17" s="1"/>
  <c r="Q18"/>
  <c r="U14"/>
  <c r="AE15"/>
  <c r="AF12" s="1"/>
  <c r="AT18"/>
  <c r="AE12"/>
  <c r="AC18"/>
  <c r="AD18" s="1"/>
  <c r="AJ17"/>
  <c r="AQ20"/>
  <c r="AR20" s="1"/>
  <c r="AU12"/>
  <c r="AV16"/>
  <c r="AJ12"/>
  <c r="BA12"/>
  <c r="AD15"/>
  <c r="AD13"/>
  <c r="AH12"/>
  <c r="AP12"/>
  <c r="AQ16"/>
  <c r="AB18"/>
  <c r="BA20"/>
  <c r="AQ12"/>
  <c r="AV12"/>
  <c r="AH17"/>
  <c r="AK17" s="1"/>
  <c r="AL17" s="1"/>
  <c r="AK12"/>
  <c r="AS17"/>
  <c r="AQ17"/>
  <c r="AZ12"/>
  <c r="AV20"/>
  <c r="AS18" l="1"/>
  <c r="AX17"/>
  <c r="BB12"/>
  <c r="AE18"/>
  <c r="AF18" s="1"/>
  <c r="T18"/>
  <c r="U18" s="1"/>
  <c r="AW20"/>
  <c r="AW16"/>
  <c r="AU18"/>
  <c r="BA16"/>
  <c r="BB16" s="1"/>
  <c r="AY18"/>
  <c r="AZ18" s="1"/>
  <c r="AW12"/>
  <c r="AR12"/>
  <c r="AQ18"/>
  <c r="AR18" s="1"/>
  <c r="AL12"/>
  <c r="AK18"/>
  <c r="AL18" s="1"/>
  <c r="BB20"/>
  <c r="AV17"/>
  <c r="AJ18"/>
  <c r="AH18"/>
  <c r="AW17" l="1"/>
  <c r="AV18"/>
  <c r="AW18" s="1"/>
  <c r="BA17"/>
  <c r="AX18"/>
  <c r="BB17" l="1"/>
  <c r="BA18"/>
  <c r="BB18" s="1"/>
</calcChain>
</file>

<file path=xl/comments1.xml><?xml version="1.0" encoding="utf-8"?>
<comments xmlns="http://schemas.openxmlformats.org/spreadsheetml/2006/main">
  <authors>
    <author>Автор</author>
  </authors>
  <commentList>
    <comment ref="AF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учетом полетов в 1 квартале 2018 г.+капитальный ремонт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Учтена линия Архангельск-Котлас, 15346,3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 сумма на 9 месяцев
</t>
        </r>
      </text>
    </comment>
  </commentList>
</comments>
</file>

<file path=xl/sharedStrings.xml><?xml version="1.0" encoding="utf-8"?>
<sst xmlns="http://schemas.openxmlformats.org/spreadsheetml/2006/main" count="202" uniqueCount="91">
  <si>
    <t>тыс. руб.</t>
  </si>
  <si>
    <t>2009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</si>
  <si>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</si>
  <si>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</si>
  <si>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</si>
  <si>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</si>
  <si>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</si>
  <si>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</si>
  <si>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</si>
  <si>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 - прогноз</t>
  </si>
  <si>
    <t>Факт 2016 год (по данным Министерства транспорта АО)</t>
  </si>
  <si>
    <t>2017 год</t>
  </si>
  <si>
    <t>2019 год - прогноз</t>
  </si>
  <si>
    <t>2020 год - прогноз</t>
  </si>
  <si>
    <t>Областной закон от 03.12.2008 г.    № 637-32-ОЗ</t>
  </si>
  <si>
    <t>Областной закон от 15.12.2009 г.                       № 118-9-ОЗ</t>
  </si>
  <si>
    <t>Заявка перевозчиков</t>
  </si>
  <si>
    <t>Областной закон от 21.12.2010 г.                       № 243-18-ОЗ</t>
  </si>
  <si>
    <t>Областной закон от 16.12.2011 г.    № 243-18-ОЗ</t>
  </si>
  <si>
    <t>Рост к 2011 г., %</t>
  </si>
  <si>
    <t xml:space="preserve">Областной закон от 17.12.2012 г.            № 603-36-ОЗ </t>
  </si>
  <si>
    <t>Рост к 2013 г., %</t>
  </si>
  <si>
    <t>Областной закон от 19.12.2013 г.                   № 59-4-ОЗ</t>
  </si>
  <si>
    <t>Областной закон от 16.12.2014 г.                   № 220-13-ОЗ</t>
  </si>
  <si>
    <t>Рост к 2014 г., %</t>
  </si>
  <si>
    <t>Областной закон от 18.12.2015 г.                   № 375-22-ОЗ</t>
  </si>
  <si>
    <t>Рост к 2015 г., %</t>
  </si>
  <si>
    <t>Расходы</t>
  </si>
  <si>
    <t>Доходы</t>
  </si>
  <si>
    <t>Рост тарифов, %</t>
  </si>
  <si>
    <t>Субсидии</t>
  </si>
  <si>
    <t>Рост к 2016 г., %</t>
  </si>
  <si>
    <t>Рост тарифов к 2016 г., %</t>
  </si>
  <si>
    <t>Рост к 2018 г., %</t>
  </si>
  <si>
    <t>Рост к 2019 г., %</t>
  </si>
  <si>
    <t>Авиаперевозки:</t>
  </si>
  <si>
    <t xml:space="preserve">ОАО "2-ой Архангельский ОАО" межсубъектные перевозки </t>
  </si>
  <si>
    <t xml:space="preserve"> - </t>
  </si>
  <si>
    <t>АО "2-ой Архангельский ОАО" (Архангельск - Лешуконское)</t>
  </si>
  <si>
    <t>АО "2-ой Архангельский ОАО" (Архангельск - Мезень)</t>
  </si>
  <si>
    <t xml:space="preserve">ИТОГО авиаперевозки </t>
  </si>
  <si>
    <t>Железнодорожные перевозки:</t>
  </si>
  <si>
    <t xml:space="preserve">АО "Северная пригородная пассажирская компания" </t>
  </si>
  <si>
    <t>ООО "Судоходная компания "Арктикрейд"</t>
  </si>
  <si>
    <t>ИП Цурко Е.Ю. (г. Онега - с. Лямца)</t>
  </si>
  <si>
    <t>МУП "НЕСК" (Новодвинск - Ягодник - Дедов Полой)</t>
  </si>
  <si>
    <t>ИП Емельянов В.В. (Котлас - Песчаница)</t>
  </si>
  <si>
    <t xml:space="preserve">ИП Муковозов Н.П. (п. Порог - с. Усть Кожа ) </t>
  </si>
  <si>
    <t>ИП Цурко Е.Ю. (г. Онега - пос. Легашевская запань)</t>
  </si>
  <si>
    <t>ООО "Устьпинежский ЛПХ" (дер. Хорьково - дер. Кузьмино, дер.Черный Яр - дер. Дедов Полой)</t>
  </si>
  <si>
    <t>МУП "Коммунальное" (с. Черевково-Ракулка)</t>
  </si>
  <si>
    <t>-</t>
  </si>
  <si>
    <t>ООО "Сиверко" (пос. Каменка - г. Мезень)</t>
  </si>
  <si>
    <t>Фактически выплаченная субсидия за 2017 год</t>
  </si>
  <si>
    <t>Рост к 2017 г., %</t>
  </si>
  <si>
    <t>2018 год - прогнозная оценка АТиЦ</t>
  </si>
  <si>
    <t>2019 год</t>
  </si>
  <si>
    <t>2018 год</t>
  </si>
  <si>
    <t>2021 год - прогноз</t>
  </si>
  <si>
    <t>Областной закон от 23.12.2016                   № 503-31-ОЗ</t>
  </si>
  <si>
    <t>Областной закон от 15.12.2017                   № 581-40-ОЗ</t>
  </si>
  <si>
    <t>Рост к 2020 г., %</t>
  </si>
  <si>
    <t>Примечания:</t>
  </si>
  <si>
    <t>2022 год - прогноз</t>
  </si>
  <si>
    <t xml:space="preserve">ИП Сидоров А.Б. (Архангельск - Патракеевка)
</t>
  </si>
  <si>
    <t>ОАО "Архангельский речной порт" (межмуниципальные)</t>
  </si>
  <si>
    <t>ОАО "Архангельский речной порт" (муниципальные)</t>
  </si>
  <si>
    <t>областной закон</t>
  </si>
  <si>
    <t xml:space="preserve"> </t>
  </si>
  <si>
    <t xml:space="preserve">Расчет прогнозируемого размера субсидий на возмещение недополученных доходов, возникающих в результате  государственного регулирования тарифов на перевозки пассажиров и багажа всеми видами транспорта на 2020 год и плановый период 2021 - 2022 годов                                                                                                                                                                              </t>
  </si>
  <si>
    <t>ИП Сидоров А.Б. или АО "СРП"(В. Тойма - Н. Тойма)</t>
  </si>
  <si>
    <t>АО "2-ой Архангельский ОАО" (Архангельск - Котлас)</t>
  </si>
  <si>
    <t>АО "2-ой Архангельский ОАО" (Архангельск - Соловки)</t>
  </si>
  <si>
    <t>1. В расходы АО "2-ой Архангельский ОАО" включены  лизинговые платежи на приобретение 4 воздушных судов L-410 (2 договора заключены в 2018 году, 2 договора в стадии заключения, платежи начнутся с 2019 года).</t>
  </si>
  <si>
    <t xml:space="preserve">2. В рамках неполного возмещения недополученных доходов АО «СППК» за 2014 – 2016 годы от государственного регулирования тарифов между министерством транспорта Архангельской области и АО «СППК» заключено Соглашение об урегулировании размера субсидии на возмещение недополученных доходов, возникающих в результате государственного регулирования тарифов на перевозки пассажиров железнодорожным транспортом в пригородном сообщении, за 2014–2016 годы, подлежащих предоставлению акционерному обществу «Северная пригородная пассажирская компания» от 17 февраля 2017 года. Период выплат по указанному соглашению составляет 5 лет (ежегодная выплата 28 052,04 тыс. рублей добавлена к расчетной сумме субсидии по железнодорожному транспорту).
</t>
  </si>
  <si>
    <t xml:space="preserve">Расчет прогнозируемого размера субсидий на организацию транспортного обслуживания населения водным транспортом на 2020 год и плановый период 2021 - 2022 годов                                                                                                                                                                              </t>
  </si>
  <si>
    <t>1. Межмуниципальные перевозки</t>
  </si>
  <si>
    <t>2 Муниципальные перевозки</t>
  </si>
  <si>
    <t>АО "2-ой Архангельский ОАО" на территории АО</t>
  </si>
  <si>
    <t>В областном законе</t>
  </si>
  <si>
    <t>1. ООО "СК "Арктикрейд" : необходимость проведение ремонта теплохода на сумму 3500,0 тыс. рублей.</t>
  </si>
  <si>
    <t>2. ИП Сидоров А.Б. : снижение доходов по прогнозу АТЦ АО на 55 % по сравнению с прогнозом на 2019 год (письмо АТЦ от 02.08.2019 № 313/2640)</t>
  </si>
  <si>
    <t>4. ИП "Емельянов: включены расходы в сумме 900,0 тыс. руб. на обязательное проведение дноуглубительных работ в 2020 году, кроме того прогнозируется снижение доходов на 21 % по сравнению с прогнозом на 2019 год (письмо АТЦ от 02.08.2019 № 313/2640)</t>
  </si>
  <si>
    <t xml:space="preserve">3. МУП "НЭСК": Представлены данные о фактических расходах за навигацию 2018 год, выполнен расчет затрат на 2020 год с учетом прогноза Минэкономразвития России (расчет прилагается). </t>
  </si>
  <si>
    <t xml:space="preserve">5. ОАО "Архангельский речной порт": Представлены данные о фактических расходах за навигацию 2018 год, выполнен расчет затрат на 2020 год с учетом прогноза Минэкономразвития России (расчет прилагается). </t>
  </si>
  <si>
    <t>Пояснения по причинам роста субсидии по межмуниципальным перевозкам водным транспортом:</t>
  </si>
  <si>
    <t>Приложение № 17</t>
  </si>
  <si>
    <t>к пояснительной записке</t>
  </si>
  <si>
    <t>Таблица № 1</t>
  </si>
  <si>
    <t>Таблица № 2</t>
  </si>
  <si>
    <t>приложения № 17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</si>
</sst>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i/>
      <sz val="16"/>
      <color indexed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51">
    <xf numFmtId="0" fontId="0" fillId="0" borderId="0"/>
    <xf numFmtId="9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7" fillId="7" borderId="48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8" fillId="20" borderId="49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19" fillId="20" borderId="48" applyNumberFormat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0" fillId="0" borderId="50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1" fillId="0" borderId="51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5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3" fillId="0" borderId="53" applyNumberFormat="0" applyFill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4" fillId="21" borderId="54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0" borderId="0"/>
    <xf numFmtId="0" fontId="8" fillId="0" borderId="0"/>
    <xf numFmtId="0" fontId="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0" fontId="27" fillId="23" borderId="5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2" fillId="0" borderId="56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</cellStyleXfs>
  <cellXfs count="230">
    <xf numFmtId="0" fontId="0" fillId="0" borderId="0" xfId="0"/>
    <xf numFmtId="164" fontId="5" fillId="0" borderId="33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center" vertical="center"/>
    </xf>
    <xf numFmtId="165" fontId="9" fillId="0" borderId="34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4" fontId="10" fillId="0" borderId="21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7" fillId="0" borderId="34" xfId="0" applyNumberFormat="1" applyFont="1" applyFill="1" applyBorder="1" applyAlignment="1">
      <alignment horizontal="center" vertical="center"/>
    </xf>
    <xf numFmtId="166" fontId="6" fillId="0" borderId="34" xfId="0" applyNumberFormat="1" applyFont="1" applyFill="1" applyBorder="1" applyAlignment="1">
      <alignment horizontal="center" vertical="center" wrapText="1"/>
    </xf>
    <xf numFmtId="4" fontId="9" fillId="0" borderId="34" xfId="0" applyNumberFormat="1" applyFont="1" applyFill="1" applyBorder="1" applyAlignment="1">
      <alignment horizontal="center" vertical="center"/>
    </xf>
    <xf numFmtId="4" fontId="10" fillId="0" borderId="34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horizontal="center" vertical="center"/>
    </xf>
    <xf numFmtId="164" fontId="7" fillId="0" borderId="34" xfId="0" applyNumberFormat="1" applyFont="1" applyFill="1" applyBorder="1" applyAlignment="1">
      <alignment horizontal="center" vertical="center"/>
    </xf>
    <xf numFmtId="164" fontId="9" fillId="0" borderId="34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 wrapText="1"/>
    </xf>
    <xf numFmtId="166" fontId="6" fillId="0" borderId="34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vertical="center"/>
    </xf>
    <xf numFmtId="166" fontId="5" fillId="0" borderId="34" xfId="0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4" fontId="5" fillId="0" borderId="35" xfId="0" applyNumberFormat="1" applyFont="1" applyFill="1" applyBorder="1" applyAlignment="1">
      <alignment horizontal="center" vertical="center"/>
    </xf>
    <xf numFmtId="4" fontId="5" fillId="0" borderId="35" xfId="0" applyNumberFormat="1" applyFont="1" applyFill="1" applyBorder="1" applyAlignment="1">
      <alignment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9" fillId="0" borderId="21" xfId="0" applyNumberFormat="1" applyFont="1" applyFill="1" applyBorder="1" applyAlignment="1">
      <alignment horizontal="center" vertical="center"/>
    </xf>
    <xf numFmtId="166" fontId="6" fillId="0" borderId="21" xfId="0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 wrapText="1"/>
    </xf>
    <xf numFmtId="4" fontId="5" fillId="0" borderId="34" xfId="0" applyNumberFormat="1" applyFont="1" applyFill="1" applyBorder="1" applyAlignment="1">
      <alignment horizontal="center" vertical="center" wrapText="1"/>
    </xf>
    <xf numFmtId="166" fontId="6" fillId="0" borderId="34" xfId="1" applyNumberFormat="1" applyFont="1" applyFill="1" applyBorder="1" applyAlignment="1">
      <alignment horizontal="center" vertical="center"/>
    </xf>
    <xf numFmtId="165" fontId="10" fillId="0" borderId="34" xfId="0" applyNumberFormat="1" applyFont="1" applyFill="1" applyBorder="1" applyAlignment="1">
      <alignment horizontal="center" vertical="center"/>
    </xf>
    <xf numFmtId="4" fontId="5" fillId="0" borderId="35" xfId="1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/>
    </xf>
    <xf numFmtId="0" fontId="37" fillId="0" borderId="32" xfId="0" applyFont="1" applyFill="1" applyBorder="1" applyAlignment="1">
      <alignment horizontal="left" vertical="center" wrapText="1"/>
    </xf>
    <xf numFmtId="0" fontId="37" fillId="0" borderId="32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left" vertical="center" wrapText="1"/>
    </xf>
    <xf numFmtId="4" fontId="40" fillId="0" borderId="32" xfId="1" applyNumberFormat="1" applyFont="1" applyFill="1" applyBorder="1" applyAlignment="1">
      <alignment horizontal="center" vertical="center"/>
    </xf>
    <xf numFmtId="3" fontId="40" fillId="0" borderId="32" xfId="1" applyNumberFormat="1" applyFont="1" applyFill="1" applyBorder="1" applyAlignment="1">
      <alignment horizontal="center" vertical="center"/>
    </xf>
    <xf numFmtId="4" fontId="39" fillId="0" borderId="18" xfId="0" applyNumberFormat="1" applyFont="1" applyFill="1" applyBorder="1" applyAlignment="1">
      <alignment horizontal="center" vertical="center"/>
    </xf>
    <xf numFmtId="4" fontId="39" fillId="0" borderId="21" xfId="0" applyNumberFormat="1" applyFont="1" applyFill="1" applyBorder="1" applyAlignment="1">
      <alignment horizontal="center" vertical="center"/>
    </xf>
    <xf numFmtId="10" fontId="41" fillId="0" borderId="21" xfId="1" applyNumberFormat="1" applyFont="1" applyFill="1" applyBorder="1" applyAlignment="1">
      <alignment horizontal="center" vertical="center"/>
    </xf>
    <xf numFmtId="166" fontId="41" fillId="0" borderId="19" xfId="1" applyNumberFormat="1" applyFont="1" applyFill="1" applyBorder="1" applyAlignment="1">
      <alignment horizontal="center" vertical="center"/>
    </xf>
    <xf numFmtId="3" fontId="40" fillId="0" borderId="11" xfId="1" applyNumberFormat="1" applyFont="1" applyFill="1" applyBorder="1" applyAlignment="1">
      <alignment horizontal="center" vertical="center"/>
    </xf>
    <xf numFmtId="4" fontId="39" fillId="0" borderId="18" xfId="1" applyNumberFormat="1" applyFont="1" applyFill="1" applyBorder="1" applyAlignment="1">
      <alignment horizontal="center" vertical="center"/>
    </xf>
    <xf numFmtId="4" fontId="39" fillId="0" borderId="21" xfId="1" applyNumberFormat="1" applyFont="1" applyFill="1" applyBorder="1" applyAlignment="1">
      <alignment horizontal="center" vertical="center"/>
    </xf>
    <xf numFmtId="166" fontId="41" fillId="0" borderId="21" xfId="1" applyNumberFormat="1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horizontal="left" vertical="center"/>
    </xf>
    <xf numFmtId="0" fontId="42" fillId="0" borderId="32" xfId="0" applyFont="1" applyFill="1" applyBorder="1" applyAlignment="1">
      <alignment horizontal="left" vertical="center"/>
    </xf>
    <xf numFmtId="0" fontId="38" fillId="0" borderId="3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 vertical="center"/>
    </xf>
    <xf numFmtId="165" fontId="39" fillId="0" borderId="46" xfId="1" applyNumberFormat="1" applyFont="1" applyFill="1" applyBorder="1" applyAlignment="1">
      <alignment horizontal="center" vertical="center"/>
    </xf>
    <xf numFmtId="4" fontId="39" fillId="0" borderId="33" xfId="1" applyNumberFormat="1" applyFont="1" applyFill="1" applyBorder="1" applyAlignment="1">
      <alignment horizontal="center" vertical="center"/>
    </xf>
    <xf numFmtId="4" fontId="39" fillId="0" borderId="36" xfId="0" applyNumberFormat="1" applyFont="1" applyFill="1" applyBorder="1" applyAlignment="1">
      <alignment vertical="center"/>
    </xf>
    <xf numFmtId="4" fontId="46" fillId="0" borderId="34" xfId="0" applyNumberFormat="1" applyFont="1" applyFill="1" applyBorder="1" applyAlignment="1">
      <alignment vertical="center"/>
    </xf>
    <xf numFmtId="10" fontId="46" fillId="0" borderId="34" xfId="1" applyNumberFormat="1" applyFont="1" applyFill="1" applyBorder="1" applyAlignment="1">
      <alignment vertical="center"/>
    </xf>
    <xf numFmtId="166" fontId="46" fillId="0" borderId="37" xfId="1" applyNumberFormat="1" applyFont="1" applyFill="1" applyBorder="1" applyAlignment="1">
      <alignment vertical="center"/>
    </xf>
    <xf numFmtId="3" fontId="46" fillId="0" borderId="46" xfId="1" applyNumberFormat="1" applyFont="1" applyFill="1" applyBorder="1" applyAlignment="1">
      <alignment vertical="center"/>
    </xf>
    <xf numFmtId="4" fontId="46" fillId="0" borderId="36" xfId="1" applyNumberFormat="1" applyFont="1" applyFill="1" applyBorder="1" applyAlignment="1">
      <alignment vertical="center"/>
    </xf>
    <xf numFmtId="4" fontId="46" fillId="0" borderId="34" xfId="1" applyNumberFormat="1" applyFont="1" applyFill="1" applyBorder="1" applyAlignment="1">
      <alignment vertical="center"/>
    </xf>
    <xf numFmtId="10" fontId="47" fillId="0" borderId="34" xfId="1" applyNumberFormat="1" applyFont="1" applyFill="1" applyBorder="1" applyAlignment="1">
      <alignment vertical="center"/>
    </xf>
    <xf numFmtId="166" fontId="47" fillId="0" borderId="37" xfId="1" applyNumberFormat="1" applyFont="1" applyFill="1" applyBorder="1" applyAlignment="1">
      <alignment horizontal="center" vertical="center"/>
    </xf>
    <xf numFmtId="166" fontId="46" fillId="0" borderId="34" xfId="1" applyNumberFormat="1" applyFont="1" applyFill="1" applyBorder="1" applyAlignment="1">
      <alignment vertical="center"/>
    </xf>
    <xf numFmtId="4" fontId="39" fillId="0" borderId="33" xfId="0" applyNumberFormat="1" applyFont="1" applyFill="1" applyBorder="1" applyAlignment="1">
      <alignment vertical="center"/>
    </xf>
    <xf numFmtId="165" fontId="39" fillId="0" borderId="57" xfId="1" applyNumberFormat="1" applyFont="1" applyFill="1" applyBorder="1" applyAlignment="1">
      <alignment horizontal="center" vertical="center"/>
    </xf>
    <xf numFmtId="4" fontId="39" fillId="0" borderId="20" xfId="0" applyNumberFormat="1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horizontal="left" vertical="center" wrapText="1"/>
    </xf>
    <xf numFmtId="4" fontId="39" fillId="0" borderId="36" xfId="1" applyNumberFormat="1" applyFont="1" applyFill="1" applyBorder="1" applyAlignment="1">
      <alignment horizontal="center" vertical="center"/>
    </xf>
    <xf numFmtId="4" fontId="39" fillId="0" borderId="34" xfId="1" applyNumberFormat="1" applyFont="1" applyFill="1" applyBorder="1" applyAlignment="1">
      <alignment horizontal="center" vertical="center"/>
    </xf>
    <xf numFmtId="10" fontId="41" fillId="0" borderId="34" xfId="1" applyNumberFormat="1" applyFont="1" applyFill="1" applyBorder="1" applyAlignment="1">
      <alignment horizontal="center" vertical="center"/>
    </xf>
    <xf numFmtId="4" fontId="39" fillId="0" borderId="36" xfId="0" applyNumberFormat="1" applyFont="1" applyFill="1" applyBorder="1" applyAlignment="1">
      <alignment horizontal="center" vertical="center"/>
    </xf>
    <xf numFmtId="4" fontId="39" fillId="0" borderId="34" xfId="0" applyNumberFormat="1" applyFont="1" applyFill="1" applyBorder="1" applyAlignment="1">
      <alignment horizontal="center" vertical="center"/>
    </xf>
    <xf numFmtId="4" fontId="39" fillId="0" borderId="33" xfId="0" applyNumberFormat="1" applyFont="1" applyFill="1" applyBorder="1" applyAlignment="1">
      <alignment horizontal="center" vertical="center"/>
    </xf>
    <xf numFmtId="166" fontId="41" fillId="0" borderId="34" xfId="1" applyNumberFormat="1" applyFont="1" applyFill="1" applyBorder="1" applyAlignment="1">
      <alignment horizontal="center" vertical="center"/>
    </xf>
    <xf numFmtId="166" fontId="41" fillId="0" borderId="37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9" fillId="0" borderId="0" xfId="0" applyFont="1" applyFill="1"/>
    <xf numFmtId="0" fontId="36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164" fontId="2" fillId="0" borderId="0" xfId="0" applyNumberFormat="1" applyFont="1" applyFill="1"/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4" fontId="39" fillId="0" borderId="36" xfId="0" applyNumberFormat="1" applyFont="1" applyFill="1" applyBorder="1" applyAlignment="1">
      <alignment horizontal="center" vertical="center" wrapText="1"/>
    </xf>
    <xf numFmtId="4" fontId="39" fillId="0" borderId="34" xfId="0" applyNumberFormat="1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 wrapText="1"/>
    </xf>
    <xf numFmtId="4" fontId="39" fillId="0" borderId="32" xfId="0" applyNumberFormat="1" applyFont="1" applyFill="1" applyBorder="1" applyAlignment="1">
      <alignment horizontal="center" vertical="center" wrapText="1"/>
    </xf>
    <xf numFmtId="10" fontId="40" fillId="0" borderId="34" xfId="0" applyNumberFormat="1" applyFont="1" applyFill="1" applyBorder="1" applyAlignment="1">
      <alignment horizontal="center" vertical="center" wrapText="1"/>
    </xf>
    <xf numFmtId="10" fontId="39" fillId="0" borderId="34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4" fontId="39" fillId="0" borderId="32" xfId="1" applyNumberFormat="1" applyFont="1" applyFill="1" applyBorder="1" applyAlignment="1">
      <alignment horizontal="center" vertical="center"/>
    </xf>
    <xf numFmtId="10" fontId="40" fillId="0" borderId="34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4" fontId="3" fillId="0" borderId="0" xfId="0" applyNumberFormat="1" applyFont="1" applyFill="1"/>
    <xf numFmtId="0" fontId="48" fillId="0" borderId="0" xfId="0" applyFont="1" applyFill="1"/>
    <xf numFmtId="0" fontId="5" fillId="0" borderId="3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42" fillId="0" borderId="61" xfId="0" applyFont="1" applyFill="1" applyBorder="1"/>
    <xf numFmtId="0" fontId="2" fillId="0" borderId="65" xfId="0" applyFont="1" applyFill="1" applyBorder="1" applyAlignment="1"/>
    <xf numFmtId="0" fontId="2" fillId="0" borderId="62" xfId="0" applyFont="1" applyFill="1" applyBorder="1" applyAlignment="1"/>
    <xf numFmtId="164" fontId="6" fillId="0" borderId="62" xfId="0" applyNumberFormat="1" applyFont="1" applyFill="1" applyBorder="1" applyAlignment="1">
      <alignment horizontal="center" vertical="center" wrapText="1"/>
    </xf>
    <xf numFmtId="166" fontId="6" fillId="0" borderId="62" xfId="0" applyNumberFormat="1" applyFont="1" applyFill="1" applyBorder="1" applyAlignment="1">
      <alignment horizontal="center" vertical="center" wrapText="1"/>
    </xf>
    <xf numFmtId="4" fontId="4" fillId="0" borderId="62" xfId="0" applyNumberFormat="1" applyFont="1" applyFill="1" applyBorder="1" applyAlignment="1"/>
    <xf numFmtId="166" fontId="4" fillId="0" borderId="62" xfId="0" applyNumberFormat="1" applyFont="1" applyFill="1" applyBorder="1" applyAlignment="1"/>
    <xf numFmtId="166" fontId="5" fillId="0" borderId="64" xfId="0" applyNumberFormat="1" applyFont="1" applyFill="1" applyBorder="1" applyAlignment="1"/>
    <xf numFmtId="4" fontId="40" fillId="0" borderId="44" xfId="0" applyNumberFormat="1" applyFont="1" applyFill="1" applyBorder="1" applyAlignment="1"/>
    <xf numFmtId="4" fontId="45" fillId="0" borderId="62" xfId="0" applyNumberFormat="1" applyFont="1" applyFill="1" applyBorder="1" applyAlignment="1"/>
    <xf numFmtId="10" fontId="45" fillId="0" borderId="62" xfId="0" applyNumberFormat="1" applyFont="1" applyFill="1" applyBorder="1" applyAlignment="1"/>
    <xf numFmtId="166" fontId="45" fillId="0" borderId="45" xfId="0" applyNumberFormat="1" applyFont="1" applyFill="1" applyBorder="1" applyAlignment="1"/>
    <xf numFmtId="3" fontId="45" fillId="0" borderId="66" xfId="0" applyNumberFormat="1" applyFont="1" applyFill="1" applyBorder="1" applyAlignment="1"/>
    <xf numFmtId="4" fontId="46" fillId="0" borderId="44" xfId="0" applyNumberFormat="1" applyFont="1" applyFill="1" applyBorder="1" applyAlignment="1"/>
    <xf numFmtId="4" fontId="46" fillId="0" borderId="62" xfId="0" applyNumberFormat="1" applyFont="1" applyFill="1" applyBorder="1" applyAlignment="1"/>
    <xf numFmtId="10" fontId="47" fillId="0" borderId="62" xfId="0" applyNumberFormat="1" applyFont="1" applyFill="1" applyBorder="1" applyAlignment="1"/>
    <xf numFmtId="166" fontId="47" fillId="0" borderId="45" xfId="0" applyNumberFormat="1" applyFont="1" applyFill="1" applyBorder="1" applyAlignment="1">
      <alignment horizontal="center"/>
    </xf>
    <xf numFmtId="166" fontId="45" fillId="0" borderId="62" xfId="1" applyNumberFormat="1" applyFont="1" applyFill="1" applyBorder="1" applyAlignment="1"/>
    <xf numFmtId="166" fontId="45" fillId="0" borderId="45" xfId="1" applyNumberFormat="1" applyFont="1" applyFill="1" applyBorder="1" applyAlignment="1"/>
    <xf numFmtId="4" fontId="40" fillId="0" borderId="65" xfId="0" applyNumberFormat="1" applyFont="1" applyFill="1" applyBorder="1" applyAlignment="1"/>
    <xf numFmtId="0" fontId="9" fillId="0" borderId="34" xfId="0" applyFont="1" applyFill="1" applyBorder="1" applyAlignment="1">
      <alignment horizontal="center"/>
    </xf>
    <xf numFmtId="4" fontId="6" fillId="0" borderId="34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166" fontId="6" fillId="0" borderId="21" xfId="0" applyNumberFormat="1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center"/>
    </xf>
    <xf numFmtId="0" fontId="44" fillId="0" borderId="0" xfId="0" applyFont="1" applyFill="1" applyBorder="1" applyAlignment="1"/>
    <xf numFmtId="4" fontId="44" fillId="0" borderId="0" xfId="0" applyNumberFormat="1" applyFont="1" applyFill="1" applyBorder="1" applyAlignment="1"/>
    <xf numFmtId="0" fontId="37" fillId="0" borderId="0" xfId="0" applyFont="1" applyFill="1" applyBorder="1" applyAlignment="1"/>
    <xf numFmtId="0" fontId="35" fillId="0" borderId="0" xfId="0" applyFont="1" applyFill="1" applyBorder="1"/>
    <xf numFmtId="0" fontId="37" fillId="0" borderId="0" xfId="0" applyFont="1" applyFill="1" applyBorder="1" applyAlignment="1">
      <alignment horizontal="left" vertical="center" wrapText="1"/>
    </xf>
    <xf numFmtId="0" fontId="3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left"/>
    </xf>
    <xf numFmtId="0" fontId="36" fillId="0" borderId="0" xfId="0" applyFont="1" applyFill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0" fontId="41" fillId="0" borderId="34" xfId="1" applyNumberFormat="1" applyFont="1" applyFill="1" applyBorder="1" applyAlignment="1">
      <alignment horizontal="center" vertical="center"/>
    </xf>
    <xf numFmtId="4" fontId="39" fillId="0" borderId="34" xfId="0" applyNumberFormat="1" applyFont="1" applyFill="1" applyBorder="1" applyAlignment="1">
      <alignment horizontal="center" vertical="center"/>
    </xf>
    <xf numFmtId="4" fontId="39" fillId="0" borderId="33" xfId="0" applyNumberFormat="1" applyFont="1" applyFill="1" applyBorder="1" applyAlignment="1">
      <alignment horizontal="center" vertical="center"/>
    </xf>
    <xf numFmtId="166" fontId="41" fillId="0" borderId="34" xfId="1" applyNumberFormat="1" applyFont="1" applyFill="1" applyBorder="1" applyAlignment="1">
      <alignment horizontal="center" vertical="center"/>
    </xf>
    <xf numFmtId="166" fontId="41" fillId="0" borderId="37" xfId="1" applyNumberFormat="1" applyFont="1" applyFill="1" applyBorder="1" applyAlignment="1">
      <alignment horizontal="center" vertical="center"/>
    </xf>
    <xf numFmtId="4" fontId="39" fillId="0" borderId="3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10" fillId="0" borderId="40" xfId="0" applyNumberFormat="1" applyFont="1" applyFill="1" applyBorder="1" applyAlignment="1">
      <alignment horizontal="center" vertical="center"/>
    </xf>
    <xf numFmtId="165" fontId="10" fillId="0" borderId="23" xfId="0" applyNumberFormat="1" applyFont="1" applyFill="1" applyBorder="1" applyAlignment="1">
      <alignment horizontal="center" vertical="center"/>
    </xf>
    <xf numFmtId="165" fontId="10" fillId="0" borderId="6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5" fontId="40" fillId="0" borderId="46" xfId="1" applyNumberFormat="1" applyFont="1" applyFill="1" applyBorder="1" applyAlignment="1">
      <alignment horizontal="center" vertical="center"/>
    </xf>
    <xf numFmtId="4" fontId="39" fillId="0" borderId="36" xfId="1" applyNumberFormat="1" applyFont="1" applyFill="1" applyBorder="1" applyAlignment="1">
      <alignment horizontal="center" vertical="center"/>
    </xf>
    <xf numFmtId="4" fontId="39" fillId="0" borderId="34" xfId="1" applyNumberFormat="1" applyFont="1" applyFill="1" applyBorder="1" applyAlignment="1">
      <alignment horizontal="center" vertical="center"/>
    </xf>
    <xf numFmtId="166" fontId="6" fillId="0" borderId="40" xfId="1" applyNumberFormat="1" applyFont="1" applyFill="1" applyBorder="1" applyAlignment="1">
      <alignment horizontal="center" vertical="center"/>
    </xf>
    <xf numFmtId="166" fontId="6" fillId="0" borderId="23" xfId="1" applyNumberFormat="1" applyFont="1" applyFill="1" applyBorder="1" applyAlignment="1">
      <alignment horizontal="center" vertical="center"/>
    </xf>
    <xf numFmtId="166" fontId="6" fillId="0" borderId="62" xfId="1" applyNumberFormat="1" applyFont="1" applyFill="1" applyBorder="1" applyAlignment="1">
      <alignment horizontal="center" vertical="center"/>
    </xf>
    <xf numFmtId="4" fontId="5" fillId="0" borderId="43" xfId="1" applyNumberFormat="1" applyFont="1" applyFill="1" applyBorder="1" applyAlignment="1">
      <alignment horizontal="center" vertical="center"/>
    </xf>
    <xf numFmtId="4" fontId="5" fillId="0" borderId="27" xfId="1" applyNumberFormat="1" applyFont="1" applyFill="1" applyBorder="1" applyAlignment="1">
      <alignment horizontal="center" vertical="center"/>
    </xf>
    <xf numFmtId="4" fontId="5" fillId="0" borderId="45" xfId="1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8" fillId="0" borderId="28" xfId="0" applyFont="1" applyFill="1" applyBorder="1" applyAlignment="1">
      <alignment horizontal="left" vertical="center" wrapText="1"/>
    </xf>
  </cellXfs>
  <cellStyles count="951">
    <cellStyle name="20% — акцент1" xfId="2"/>
    <cellStyle name="20% - Акцент1 2" xfId="3"/>
    <cellStyle name="20% — акцент1 2" xfId="4"/>
    <cellStyle name="20% - Акцент1 2 10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2 7" xfId="11"/>
    <cellStyle name="20% - Акцент1 2 8" xfId="12"/>
    <cellStyle name="20% - Акцент1 2 9" xfId="13"/>
    <cellStyle name="20% - Акцент1 3" xfId="14"/>
    <cellStyle name="20% - Акцент1 3 10" xfId="15"/>
    <cellStyle name="20% - Акцент1 3 2" xfId="16"/>
    <cellStyle name="20% - Акцент1 3 3" xfId="17"/>
    <cellStyle name="20% - Акцент1 3 4" xfId="18"/>
    <cellStyle name="20% - Акцент1 3 5" xfId="19"/>
    <cellStyle name="20% - Акцент1 3 6" xfId="20"/>
    <cellStyle name="20% - Акцент1 3 7" xfId="21"/>
    <cellStyle name="20% - Акцент1 3 8" xfId="22"/>
    <cellStyle name="20% - Акцент1 3 9" xfId="23"/>
    <cellStyle name="20% — акцент2" xfId="24"/>
    <cellStyle name="20% - Акцент2 2" xfId="25"/>
    <cellStyle name="20% — акцент2 2" xfId="26"/>
    <cellStyle name="20% - Акцент2 2 10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 6" xfId="32"/>
    <cellStyle name="20% - Акцент2 2 7" xfId="33"/>
    <cellStyle name="20% - Акцент2 2 8" xfId="34"/>
    <cellStyle name="20% - Акцент2 2 9" xfId="35"/>
    <cellStyle name="20% - Акцент2 3" xfId="36"/>
    <cellStyle name="20% - Акцент2 3 10" xfId="37"/>
    <cellStyle name="20% - Акцент2 3 2" xfId="38"/>
    <cellStyle name="20% - Акцент2 3 3" xfId="39"/>
    <cellStyle name="20% - Акцент2 3 4" xfId="40"/>
    <cellStyle name="20% - Акцент2 3 5" xfId="41"/>
    <cellStyle name="20% - Акцент2 3 6" xfId="42"/>
    <cellStyle name="20% - Акцент2 3 7" xfId="43"/>
    <cellStyle name="20% - Акцент2 3 8" xfId="44"/>
    <cellStyle name="20% - Акцент2 3 9" xfId="45"/>
    <cellStyle name="20% — акцент3" xfId="46"/>
    <cellStyle name="20% - Акцент3 2" xfId="47"/>
    <cellStyle name="20% — акцент3 2" xfId="48"/>
    <cellStyle name="20% - Акцент3 2 10" xfId="49"/>
    <cellStyle name="20% - Акцент3 2 2" xfId="50"/>
    <cellStyle name="20% - Акцент3 2 3" xfId="51"/>
    <cellStyle name="20% - Акцент3 2 4" xfId="52"/>
    <cellStyle name="20% - Акцент3 2 5" xfId="53"/>
    <cellStyle name="20% - Акцент3 2 6" xfId="54"/>
    <cellStyle name="20% - Акцент3 2 7" xfId="55"/>
    <cellStyle name="20% - Акцент3 2 8" xfId="56"/>
    <cellStyle name="20% - Акцент3 2 9" xfId="57"/>
    <cellStyle name="20% - Акцент3 3" xfId="58"/>
    <cellStyle name="20% - Акцент3 3 10" xfId="59"/>
    <cellStyle name="20% - Акцент3 3 2" xfId="60"/>
    <cellStyle name="20% - Акцент3 3 3" xfId="61"/>
    <cellStyle name="20% - Акцент3 3 4" xfId="62"/>
    <cellStyle name="20% - Акцент3 3 5" xfId="63"/>
    <cellStyle name="20% - Акцент3 3 6" xfId="64"/>
    <cellStyle name="20% - Акцент3 3 7" xfId="65"/>
    <cellStyle name="20% - Акцент3 3 8" xfId="66"/>
    <cellStyle name="20% - Акцент3 3 9" xfId="67"/>
    <cellStyle name="20% — акцент4" xfId="68"/>
    <cellStyle name="20% - Акцент4 2" xfId="69"/>
    <cellStyle name="20% — акцент4 2" xfId="70"/>
    <cellStyle name="20% - Акцент4 2 10" xfId="71"/>
    <cellStyle name="20% - Акцент4 2 2" xfId="72"/>
    <cellStyle name="20% - Акцент4 2 3" xfId="73"/>
    <cellStyle name="20% - Акцент4 2 4" xfId="74"/>
    <cellStyle name="20% - Акцент4 2 5" xfId="75"/>
    <cellStyle name="20% - Акцент4 2 6" xfId="76"/>
    <cellStyle name="20% - Акцент4 2 7" xfId="77"/>
    <cellStyle name="20% - Акцент4 2 8" xfId="78"/>
    <cellStyle name="20% - Акцент4 2 9" xfId="79"/>
    <cellStyle name="20% - Акцент4 3" xfId="80"/>
    <cellStyle name="20% - Акцент4 3 10" xfId="81"/>
    <cellStyle name="20% - Акцент4 3 2" xfId="82"/>
    <cellStyle name="20% - Акцент4 3 3" xfId="83"/>
    <cellStyle name="20% - Акцент4 3 4" xfId="84"/>
    <cellStyle name="20% - Акцент4 3 5" xfId="85"/>
    <cellStyle name="20% - Акцент4 3 6" xfId="86"/>
    <cellStyle name="20% - Акцент4 3 7" xfId="87"/>
    <cellStyle name="20% - Акцент4 3 8" xfId="88"/>
    <cellStyle name="20% - Акцент4 3 9" xfId="89"/>
    <cellStyle name="20% — акцент5" xfId="90"/>
    <cellStyle name="20% - Акцент5 2" xfId="91"/>
    <cellStyle name="20% — акцент5 2" xfId="92"/>
    <cellStyle name="20% - Акцент5 2 10" xfId="93"/>
    <cellStyle name="20% - Акцент5 2 2" xfId="94"/>
    <cellStyle name="20% - Акцент5 2 3" xfId="95"/>
    <cellStyle name="20% - Акцент5 2 4" xfId="96"/>
    <cellStyle name="20% - Акцент5 2 5" xfId="97"/>
    <cellStyle name="20% - Акцент5 2 6" xfId="98"/>
    <cellStyle name="20% - Акцент5 2 7" xfId="99"/>
    <cellStyle name="20% - Акцент5 2 8" xfId="100"/>
    <cellStyle name="20% - Акцент5 2 9" xfId="101"/>
    <cellStyle name="20% - Акцент5 3" xfId="102"/>
    <cellStyle name="20% - Акцент5 3 10" xfId="103"/>
    <cellStyle name="20% - Акцент5 3 2" xfId="104"/>
    <cellStyle name="20% - Акцент5 3 3" xfId="105"/>
    <cellStyle name="20% - Акцент5 3 4" xfId="106"/>
    <cellStyle name="20% - Акцент5 3 5" xfId="107"/>
    <cellStyle name="20% - Акцент5 3 6" xfId="108"/>
    <cellStyle name="20% - Акцент5 3 7" xfId="109"/>
    <cellStyle name="20% - Акцент5 3 8" xfId="110"/>
    <cellStyle name="20% - Акцент5 3 9" xfId="111"/>
    <cellStyle name="20% — акцент6" xfId="112"/>
    <cellStyle name="20% - Акцент6 2" xfId="113"/>
    <cellStyle name="20% — акцент6 2" xfId="114"/>
    <cellStyle name="20% - Акцент6 2 10" xfId="115"/>
    <cellStyle name="20% - Акцент6 2 2" xfId="116"/>
    <cellStyle name="20% - Акцент6 2 3" xfId="117"/>
    <cellStyle name="20% - Акцент6 2 4" xfId="118"/>
    <cellStyle name="20% - Акцент6 2 5" xfId="119"/>
    <cellStyle name="20% - Акцент6 2 6" xfId="120"/>
    <cellStyle name="20% - Акцент6 2 7" xfId="121"/>
    <cellStyle name="20% - Акцент6 2 8" xfId="122"/>
    <cellStyle name="20% - Акцент6 2 9" xfId="123"/>
    <cellStyle name="20% - Акцент6 3" xfId="124"/>
    <cellStyle name="20% - Акцент6 3 10" xfId="125"/>
    <cellStyle name="20% - Акцент6 3 2" xfId="126"/>
    <cellStyle name="20% - Акцент6 3 3" xfId="127"/>
    <cellStyle name="20% - Акцент6 3 4" xfId="128"/>
    <cellStyle name="20% - Акцент6 3 5" xfId="129"/>
    <cellStyle name="20% - Акцент6 3 6" xfId="130"/>
    <cellStyle name="20% - Акцент6 3 7" xfId="131"/>
    <cellStyle name="20% - Акцент6 3 8" xfId="132"/>
    <cellStyle name="20% - Акцент6 3 9" xfId="133"/>
    <cellStyle name="40% — акцент1" xfId="134"/>
    <cellStyle name="40% - Акцент1 2" xfId="135"/>
    <cellStyle name="40% — акцент1 2" xfId="136"/>
    <cellStyle name="40% - Акцент1 2 10" xfId="137"/>
    <cellStyle name="40% - Акцент1 2 2" xfId="138"/>
    <cellStyle name="40% - Акцент1 2 3" xfId="139"/>
    <cellStyle name="40% - Акцент1 2 4" xfId="140"/>
    <cellStyle name="40% - Акцент1 2 5" xfId="141"/>
    <cellStyle name="40% - Акцент1 2 6" xfId="142"/>
    <cellStyle name="40% - Акцент1 2 7" xfId="143"/>
    <cellStyle name="40% - Акцент1 2 8" xfId="144"/>
    <cellStyle name="40% - Акцент1 2 9" xfId="145"/>
    <cellStyle name="40% - Акцент1 3" xfId="146"/>
    <cellStyle name="40% - Акцент1 3 10" xfId="147"/>
    <cellStyle name="40% - Акцент1 3 2" xfId="148"/>
    <cellStyle name="40% - Акцент1 3 3" xfId="149"/>
    <cellStyle name="40% - Акцент1 3 4" xfId="150"/>
    <cellStyle name="40% - Акцент1 3 5" xfId="151"/>
    <cellStyle name="40% - Акцент1 3 6" xfId="152"/>
    <cellStyle name="40% - Акцент1 3 7" xfId="153"/>
    <cellStyle name="40% - Акцент1 3 8" xfId="154"/>
    <cellStyle name="40% - Акцент1 3 9" xfId="155"/>
    <cellStyle name="40% — акцент2" xfId="156"/>
    <cellStyle name="40% - Акцент2 2" xfId="157"/>
    <cellStyle name="40% — акцент2 2" xfId="158"/>
    <cellStyle name="40% - Акцент2 2 10" xfId="159"/>
    <cellStyle name="40% - Акцент2 2 2" xfId="160"/>
    <cellStyle name="40% - Акцент2 2 3" xfId="161"/>
    <cellStyle name="40% - Акцент2 2 4" xfId="162"/>
    <cellStyle name="40% - Акцент2 2 5" xfId="163"/>
    <cellStyle name="40% - Акцент2 2 6" xfId="164"/>
    <cellStyle name="40% - Акцент2 2 7" xfId="165"/>
    <cellStyle name="40% - Акцент2 2 8" xfId="166"/>
    <cellStyle name="40% - Акцент2 2 9" xfId="167"/>
    <cellStyle name="40% - Акцент2 3" xfId="168"/>
    <cellStyle name="40% - Акцент2 3 10" xfId="169"/>
    <cellStyle name="40% - Акцент2 3 2" xfId="170"/>
    <cellStyle name="40% - Акцент2 3 3" xfId="171"/>
    <cellStyle name="40% - Акцент2 3 4" xfId="172"/>
    <cellStyle name="40% - Акцент2 3 5" xfId="173"/>
    <cellStyle name="40% - Акцент2 3 6" xfId="174"/>
    <cellStyle name="40% - Акцент2 3 7" xfId="175"/>
    <cellStyle name="40% - Акцент2 3 8" xfId="176"/>
    <cellStyle name="40% - Акцент2 3 9" xfId="177"/>
    <cellStyle name="40% — акцент3" xfId="178"/>
    <cellStyle name="40% - Акцент3 2" xfId="179"/>
    <cellStyle name="40% — акцент3 2" xfId="180"/>
    <cellStyle name="40% - Акцент3 2 10" xfId="181"/>
    <cellStyle name="40% - Акцент3 2 2" xfId="182"/>
    <cellStyle name="40% - Акцент3 2 3" xfId="183"/>
    <cellStyle name="40% - Акцент3 2 4" xfId="184"/>
    <cellStyle name="40% - Акцент3 2 5" xfId="185"/>
    <cellStyle name="40% - Акцент3 2 6" xfId="186"/>
    <cellStyle name="40% - Акцент3 2 7" xfId="187"/>
    <cellStyle name="40% - Акцент3 2 8" xfId="188"/>
    <cellStyle name="40% - Акцент3 2 9" xfId="189"/>
    <cellStyle name="40% - Акцент3 3" xfId="190"/>
    <cellStyle name="40% - Акцент3 3 10" xfId="191"/>
    <cellStyle name="40% - Акцент3 3 2" xfId="192"/>
    <cellStyle name="40% - Акцент3 3 3" xfId="193"/>
    <cellStyle name="40% - Акцент3 3 4" xfId="194"/>
    <cellStyle name="40% - Акцент3 3 5" xfId="195"/>
    <cellStyle name="40% - Акцент3 3 6" xfId="196"/>
    <cellStyle name="40% - Акцент3 3 7" xfId="197"/>
    <cellStyle name="40% - Акцент3 3 8" xfId="198"/>
    <cellStyle name="40% - Акцент3 3 9" xfId="199"/>
    <cellStyle name="40% — акцент4" xfId="200"/>
    <cellStyle name="40% - Акцент4 2" xfId="201"/>
    <cellStyle name="40% — акцент4 2" xfId="202"/>
    <cellStyle name="40% - Акцент4 2 10" xfId="203"/>
    <cellStyle name="40% - Акцент4 2 2" xfId="204"/>
    <cellStyle name="40% - Акцент4 2 3" xfId="205"/>
    <cellStyle name="40% - Акцент4 2 4" xfId="206"/>
    <cellStyle name="40% - Акцент4 2 5" xfId="207"/>
    <cellStyle name="40% - Акцент4 2 6" xfId="208"/>
    <cellStyle name="40% - Акцент4 2 7" xfId="209"/>
    <cellStyle name="40% - Акцент4 2 8" xfId="210"/>
    <cellStyle name="40% - Акцент4 2 9" xfId="211"/>
    <cellStyle name="40% - Акцент4 3" xfId="212"/>
    <cellStyle name="40% - Акцент4 3 10" xfId="213"/>
    <cellStyle name="40% - Акцент4 3 2" xfId="214"/>
    <cellStyle name="40% - Акцент4 3 3" xfId="215"/>
    <cellStyle name="40% - Акцент4 3 4" xfId="216"/>
    <cellStyle name="40% - Акцент4 3 5" xfId="217"/>
    <cellStyle name="40% - Акцент4 3 6" xfId="218"/>
    <cellStyle name="40% - Акцент4 3 7" xfId="219"/>
    <cellStyle name="40% - Акцент4 3 8" xfId="220"/>
    <cellStyle name="40% - Акцент4 3 9" xfId="221"/>
    <cellStyle name="40% — акцент5" xfId="222"/>
    <cellStyle name="40% - Акцент5 2" xfId="223"/>
    <cellStyle name="40% — акцент5 2" xfId="224"/>
    <cellStyle name="40% - Акцент5 2 10" xfId="225"/>
    <cellStyle name="40% - Акцент5 2 2" xfId="226"/>
    <cellStyle name="40% - Акцент5 2 3" xfId="227"/>
    <cellStyle name="40% - Акцент5 2 4" xfId="228"/>
    <cellStyle name="40% - Акцент5 2 5" xfId="229"/>
    <cellStyle name="40% - Акцент5 2 6" xfId="230"/>
    <cellStyle name="40% - Акцент5 2 7" xfId="231"/>
    <cellStyle name="40% - Акцент5 2 8" xfId="232"/>
    <cellStyle name="40% - Акцент5 2 9" xfId="233"/>
    <cellStyle name="40% - Акцент5 3" xfId="234"/>
    <cellStyle name="40% - Акцент5 3 10" xfId="235"/>
    <cellStyle name="40% - Акцент5 3 2" xfId="236"/>
    <cellStyle name="40% - Акцент5 3 3" xfId="237"/>
    <cellStyle name="40% - Акцент5 3 4" xfId="238"/>
    <cellStyle name="40% - Акцент5 3 5" xfId="239"/>
    <cellStyle name="40% - Акцент5 3 6" xfId="240"/>
    <cellStyle name="40% - Акцент5 3 7" xfId="241"/>
    <cellStyle name="40% - Акцент5 3 8" xfId="242"/>
    <cellStyle name="40% - Акцент5 3 9" xfId="243"/>
    <cellStyle name="40% — акцент6" xfId="244"/>
    <cellStyle name="40% - Акцент6 2" xfId="245"/>
    <cellStyle name="40% — акцент6 2" xfId="246"/>
    <cellStyle name="40% - Акцент6 2 10" xfId="247"/>
    <cellStyle name="40% - Акцент6 2 2" xfId="248"/>
    <cellStyle name="40% - Акцент6 2 3" xfId="249"/>
    <cellStyle name="40% - Акцент6 2 4" xfId="250"/>
    <cellStyle name="40% - Акцент6 2 5" xfId="251"/>
    <cellStyle name="40% - Акцент6 2 6" xfId="252"/>
    <cellStyle name="40% - Акцент6 2 7" xfId="253"/>
    <cellStyle name="40% - Акцент6 2 8" xfId="254"/>
    <cellStyle name="40% - Акцент6 2 9" xfId="255"/>
    <cellStyle name="40% - Акцент6 3" xfId="256"/>
    <cellStyle name="40% - Акцент6 3 10" xfId="257"/>
    <cellStyle name="40% - Акцент6 3 2" xfId="258"/>
    <cellStyle name="40% - Акцент6 3 3" xfId="259"/>
    <cellStyle name="40% - Акцент6 3 4" xfId="260"/>
    <cellStyle name="40% - Акцент6 3 5" xfId="261"/>
    <cellStyle name="40% - Акцент6 3 6" xfId="262"/>
    <cellStyle name="40% - Акцент6 3 7" xfId="263"/>
    <cellStyle name="40% - Акцент6 3 8" xfId="264"/>
    <cellStyle name="40% - Акцент6 3 9" xfId="265"/>
    <cellStyle name="60% — акцент1" xfId="266"/>
    <cellStyle name="60% - Акцент1 2" xfId="267"/>
    <cellStyle name="60% — акцент1 2" xfId="268"/>
    <cellStyle name="60% - Акцент1 2 10" xfId="269"/>
    <cellStyle name="60% - Акцент1 2 2" xfId="270"/>
    <cellStyle name="60% - Акцент1 2 3" xfId="271"/>
    <cellStyle name="60% - Акцент1 2 4" xfId="272"/>
    <cellStyle name="60% - Акцент1 2 5" xfId="273"/>
    <cellStyle name="60% - Акцент1 2 6" xfId="274"/>
    <cellStyle name="60% - Акцент1 2 7" xfId="275"/>
    <cellStyle name="60% - Акцент1 2 8" xfId="276"/>
    <cellStyle name="60% - Акцент1 2 9" xfId="277"/>
    <cellStyle name="60% - Акцент1 3" xfId="278"/>
    <cellStyle name="60% - Акцент1 3 10" xfId="279"/>
    <cellStyle name="60% - Акцент1 3 2" xfId="280"/>
    <cellStyle name="60% - Акцент1 3 3" xfId="281"/>
    <cellStyle name="60% - Акцент1 3 4" xfId="282"/>
    <cellStyle name="60% - Акцент1 3 5" xfId="283"/>
    <cellStyle name="60% - Акцент1 3 6" xfId="284"/>
    <cellStyle name="60% - Акцент1 3 7" xfId="285"/>
    <cellStyle name="60% - Акцент1 3 8" xfId="286"/>
    <cellStyle name="60% - Акцент1 3 9" xfId="287"/>
    <cellStyle name="60% — акцент2" xfId="288"/>
    <cellStyle name="60% - Акцент2 2" xfId="289"/>
    <cellStyle name="60% — акцент2 2" xfId="290"/>
    <cellStyle name="60% - Акцент2 2 10" xfId="291"/>
    <cellStyle name="60% - Акцент2 2 2" xfId="292"/>
    <cellStyle name="60% - Акцент2 2 3" xfId="293"/>
    <cellStyle name="60% - Акцент2 2 4" xfId="294"/>
    <cellStyle name="60% - Акцент2 2 5" xfId="295"/>
    <cellStyle name="60% - Акцент2 2 6" xfId="296"/>
    <cellStyle name="60% - Акцент2 2 7" xfId="297"/>
    <cellStyle name="60% - Акцент2 2 8" xfId="298"/>
    <cellStyle name="60% - Акцент2 2 9" xfId="299"/>
    <cellStyle name="60% - Акцент2 3" xfId="300"/>
    <cellStyle name="60% - Акцент2 3 10" xfId="301"/>
    <cellStyle name="60% - Акцент2 3 2" xfId="302"/>
    <cellStyle name="60% - Акцент2 3 3" xfId="303"/>
    <cellStyle name="60% - Акцент2 3 4" xfId="304"/>
    <cellStyle name="60% - Акцент2 3 5" xfId="305"/>
    <cellStyle name="60% - Акцент2 3 6" xfId="306"/>
    <cellStyle name="60% - Акцент2 3 7" xfId="307"/>
    <cellStyle name="60% - Акцент2 3 8" xfId="308"/>
    <cellStyle name="60% - Акцент2 3 9" xfId="309"/>
    <cellStyle name="60% — акцент3" xfId="310"/>
    <cellStyle name="60% - Акцент3 2" xfId="311"/>
    <cellStyle name="60% — акцент3 2" xfId="312"/>
    <cellStyle name="60% - Акцент3 2 10" xfId="313"/>
    <cellStyle name="60% - Акцент3 2 2" xfId="314"/>
    <cellStyle name="60% - Акцент3 2 3" xfId="315"/>
    <cellStyle name="60% - Акцент3 2 4" xfId="316"/>
    <cellStyle name="60% - Акцент3 2 5" xfId="317"/>
    <cellStyle name="60% - Акцент3 2 6" xfId="318"/>
    <cellStyle name="60% - Акцент3 2 7" xfId="319"/>
    <cellStyle name="60% - Акцент3 2 8" xfId="320"/>
    <cellStyle name="60% - Акцент3 2 9" xfId="321"/>
    <cellStyle name="60% - Акцент3 3" xfId="322"/>
    <cellStyle name="60% - Акцент3 3 10" xfId="323"/>
    <cellStyle name="60% - Акцент3 3 2" xfId="324"/>
    <cellStyle name="60% - Акцент3 3 3" xfId="325"/>
    <cellStyle name="60% - Акцент3 3 4" xfId="326"/>
    <cellStyle name="60% - Акцент3 3 5" xfId="327"/>
    <cellStyle name="60% - Акцент3 3 6" xfId="328"/>
    <cellStyle name="60% - Акцент3 3 7" xfId="329"/>
    <cellStyle name="60% - Акцент3 3 8" xfId="330"/>
    <cellStyle name="60% - Акцент3 3 9" xfId="331"/>
    <cellStyle name="60% — акцент4" xfId="332"/>
    <cellStyle name="60% - Акцент4 2" xfId="333"/>
    <cellStyle name="60% — акцент4 2" xfId="334"/>
    <cellStyle name="60% - Акцент4 2 10" xfId="335"/>
    <cellStyle name="60% - Акцент4 2 2" xfId="336"/>
    <cellStyle name="60% - Акцент4 2 3" xfId="337"/>
    <cellStyle name="60% - Акцент4 2 4" xfId="338"/>
    <cellStyle name="60% - Акцент4 2 5" xfId="339"/>
    <cellStyle name="60% - Акцент4 2 6" xfId="340"/>
    <cellStyle name="60% - Акцент4 2 7" xfId="341"/>
    <cellStyle name="60% - Акцент4 2 8" xfId="342"/>
    <cellStyle name="60% - Акцент4 2 9" xfId="343"/>
    <cellStyle name="60% - Акцент4 3" xfId="344"/>
    <cellStyle name="60% - Акцент4 3 10" xfId="345"/>
    <cellStyle name="60% - Акцент4 3 2" xfId="346"/>
    <cellStyle name="60% - Акцент4 3 3" xfId="347"/>
    <cellStyle name="60% - Акцент4 3 4" xfId="348"/>
    <cellStyle name="60% - Акцент4 3 5" xfId="349"/>
    <cellStyle name="60% - Акцент4 3 6" xfId="350"/>
    <cellStyle name="60% - Акцент4 3 7" xfId="351"/>
    <cellStyle name="60% - Акцент4 3 8" xfId="352"/>
    <cellStyle name="60% - Акцент4 3 9" xfId="353"/>
    <cellStyle name="60% — акцент5" xfId="354"/>
    <cellStyle name="60% - Акцент5 2" xfId="355"/>
    <cellStyle name="60% — акцент5 2" xfId="356"/>
    <cellStyle name="60% - Акцент5 2 10" xfId="357"/>
    <cellStyle name="60% - Акцент5 2 2" xfId="358"/>
    <cellStyle name="60% - Акцент5 2 3" xfId="359"/>
    <cellStyle name="60% - Акцент5 2 4" xfId="360"/>
    <cellStyle name="60% - Акцент5 2 5" xfId="361"/>
    <cellStyle name="60% - Акцент5 2 6" xfId="362"/>
    <cellStyle name="60% - Акцент5 2 7" xfId="363"/>
    <cellStyle name="60% - Акцент5 2 8" xfId="364"/>
    <cellStyle name="60% - Акцент5 2 9" xfId="365"/>
    <cellStyle name="60% - Акцент5 3" xfId="366"/>
    <cellStyle name="60% - Акцент5 3 10" xfId="367"/>
    <cellStyle name="60% - Акцент5 3 2" xfId="368"/>
    <cellStyle name="60% - Акцент5 3 3" xfId="369"/>
    <cellStyle name="60% - Акцент5 3 4" xfId="370"/>
    <cellStyle name="60% - Акцент5 3 5" xfId="371"/>
    <cellStyle name="60% - Акцент5 3 6" xfId="372"/>
    <cellStyle name="60% - Акцент5 3 7" xfId="373"/>
    <cellStyle name="60% - Акцент5 3 8" xfId="374"/>
    <cellStyle name="60% - Акцент5 3 9" xfId="375"/>
    <cellStyle name="60% — акцент6" xfId="376"/>
    <cellStyle name="60% - Акцент6 2" xfId="377"/>
    <cellStyle name="60% — акцент6 2" xfId="378"/>
    <cellStyle name="60% - Акцент6 2 10" xfId="379"/>
    <cellStyle name="60% - Акцент6 2 2" xfId="380"/>
    <cellStyle name="60% - Акцент6 2 3" xfId="381"/>
    <cellStyle name="60% - Акцент6 2 4" xfId="382"/>
    <cellStyle name="60% - Акцент6 2 5" xfId="383"/>
    <cellStyle name="60% - Акцент6 2 6" xfId="384"/>
    <cellStyle name="60% - Акцент6 2 7" xfId="385"/>
    <cellStyle name="60% - Акцент6 2 8" xfId="386"/>
    <cellStyle name="60% - Акцент6 2 9" xfId="387"/>
    <cellStyle name="60% - Акцент6 3" xfId="388"/>
    <cellStyle name="60% - Акцент6 3 10" xfId="389"/>
    <cellStyle name="60% - Акцент6 3 2" xfId="390"/>
    <cellStyle name="60% - Акцент6 3 3" xfId="391"/>
    <cellStyle name="60% - Акцент6 3 4" xfId="392"/>
    <cellStyle name="60% - Акцент6 3 5" xfId="393"/>
    <cellStyle name="60% - Акцент6 3 6" xfId="394"/>
    <cellStyle name="60% - Акцент6 3 7" xfId="395"/>
    <cellStyle name="60% - Акцент6 3 8" xfId="396"/>
    <cellStyle name="60% - Акцент6 3 9" xfId="397"/>
    <cellStyle name="Акцент1 2" xfId="398"/>
    <cellStyle name="Акцент1 2 10" xfId="399"/>
    <cellStyle name="Акцент1 2 2" xfId="400"/>
    <cellStyle name="Акцент1 2 3" xfId="401"/>
    <cellStyle name="Акцент1 2 4" xfId="402"/>
    <cellStyle name="Акцент1 2 5" xfId="403"/>
    <cellStyle name="Акцент1 2 6" xfId="404"/>
    <cellStyle name="Акцент1 2 7" xfId="405"/>
    <cellStyle name="Акцент1 2 8" xfId="406"/>
    <cellStyle name="Акцент1 2 9" xfId="407"/>
    <cellStyle name="Акцент1 3" xfId="408"/>
    <cellStyle name="Акцент1 3 10" xfId="409"/>
    <cellStyle name="Акцент1 3 2" xfId="410"/>
    <cellStyle name="Акцент1 3 3" xfId="411"/>
    <cellStyle name="Акцент1 3 4" xfId="412"/>
    <cellStyle name="Акцент1 3 5" xfId="413"/>
    <cellStyle name="Акцент1 3 6" xfId="414"/>
    <cellStyle name="Акцент1 3 7" xfId="415"/>
    <cellStyle name="Акцент1 3 8" xfId="416"/>
    <cellStyle name="Акцент1 3 9" xfId="417"/>
    <cellStyle name="Акцент2 2" xfId="418"/>
    <cellStyle name="Акцент2 2 10" xfId="419"/>
    <cellStyle name="Акцент2 2 2" xfId="420"/>
    <cellStyle name="Акцент2 2 3" xfId="421"/>
    <cellStyle name="Акцент2 2 4" xfId="422"/>
    <cellStyle name="Акцент2 2 5" xfId="423"/>
    <cellStyle name="Акцент2 2 6" xfId="424"/>
    <cellStyle name="Акцент2 2 7" xfId="425"/>
    <cellStyle name="Акцент2 2 8" xfId="426"/>
    <cellStyle name="Акцент2 2 9" xfId="427"/>
    <cellStyle name="Акцент2 3" xfId="428"/>
    <cellStyle name="Акцент2 3 10" xfId="429"/>
    <cellStyle name="Акцент2 3 2" xfId="430"/>
    <cellStyle name="Акцент2 3 3" xfId="431"/>
    <cellStyle name="Акцент2 3 4" xfId="432"/>
    <cellStyle name="Акцент2 3 5" xfId="433"/>
    <cellStyle name="Акцент2 3 6" xfId="434"/>
    <cellStyle name="Акцент2 3 7" xfId="435"/>
    <cellStyle name="Акцент2 3 8" xfId="436"/>
    <cellStyle name="Акцент2 3 9" xfId="437"/>
    <cellStyle name="Акцент3 2" xfId="438"/>
    <cellStyle name="Акцент3 2 10" xfId="439"/>
    <cellStyle name="Акцент3 2 2" xfId="440"/>
    <cellStyle name="Акцент3 2 3" xfId="441"/>
    <cellStyle name="Акцент3 2 4" xfId="442"/>
    <cellStyle name="Акцент3 2 5" xfId="443"/>
    <cellStyle name="Акцент3 2 6" xfId="444"/>
    <cellStyle name="Акцент3 2 7" xfId="445"/>
    <cellStyle name="Акцент3 2 8" xfId="446"/>
    <cellStyle name="Акцент3 2 9" xfId="447"/>
    <cellStyle name="Акцент3 3" xfId="448"/>
    <cellStyle name="Акцент3 3 10" xfId="449"/>
    <cellStyle name="Акцент3 3 2" xfId="450"/>
    <cellStyle name="Акцент3 3 3" xfId="451"/>
    <cellStyle name="Акцент3 3 4" xfId="452"/>
    <cellStyle name="Акцент3 3 5" xfId="453"/>
    <cellStyle name="Акцент3 3 6" xfId="454"/>
    <cellStyle name="Акцент3 3 7" xfId="455"/>
    <cellStyle name="Акцент3 3 8" xfId="456"/>
    <cellStyle name="Акцент3 3 9" xfId="457"/>
    <cellStyle name="Акцент4 2" xfId="458"/>
    <cellStyle name="Акцент4 2 10" xfId="459"/>
    <cellStyle name="Акцент4 2 2" xfId="460"/>
    <cellStyle name="Акцент4 2 3" xfId="461"/>
    <cellStyle name="Акцент4 2 4" xfId="462"/>
    <cellStyle name="Акцент4 2 5" xfId="463"/>
    <cellStyle name="Акцент4 2 6" xfId="464"/>
    <cellStyle name="Акцент4 2 7" xfId="465"/>
    <cellStyle name="Акцент4 2 8" xfId="466"/>
    <cellStyle name="Акцент4 2 9" xfId="467"/>
    <cellStyle name="Акцент4 3" xfId="468"/>
    <cellStyle name="Акцент4 3 10" xfId="469"/>
    <cellStyle name="Акцент4 3 2" xfId="470"/>
    <cellStyle name="Акцент4 3 3" xfId="471"/>
    <cellStyle name="Акцент4 3 4" xfId="472"/>
    <cellStyle name="Акцент4 3 5" xfId="473"/>
    <cellStyle name="Акцент4 3 6" xfId="474"/>
    <cellStyle name="Акцент4 3 7" xfId="475"/>
    <cellStyle name="Акцент4 3 8" xfId="476"/>
    <cellStyle name="Акцент4 3 9" xfId="477"/>
    <cellStyle name="Акцент5 2" xfId="478"/>
    <cellStyle name="Акцент5 2 10" xfId="479"/>
    <cellStyle name="Акцент5 2 2" xfId="480"/>
    <cellStyle name="Акцент5 2 3" xfId="481"/>
    <cellStyle name="Акцент5 2 4" xfId="482"/>
    <cellStyle name="Акцент5 2 5" xfId="483"/>
    <cellStyle name="Акцент5 2 6" xfId="484"/>
    <cellStyle name="Акцент5 2 7" xfId="485"/>
    <cellStyle name="Акцент5 2 8" xfId="486"/>
    <cellStyle name="Акцент5 2 9" xfId="487"/>
    <cellStyle name="Акцент5 3" xfId="488"/>
    <cellStyle name="Акцент5 3 10" xfId="489"/>
    <cellStyle name="Акцент5 3 2" xfId="490"/>
    <cellStyle name="Акцент5 3 3" xfId="491"/>
    <cellStyle name="Акцент5 3 4" xfId="492"/>
    <cellStyle name="Акцент5 3 5" xfId="493"/>
    <cellStyle name="Акцент5 3 6" xfId="494"/>
    <cellStyle name="Акцент5 3 7" xfId="495"/>
    <cellStyle name="Акцент5 3 8" xfId="496"/>
    <cellStyle name="Акцент5 3 9" xfId="497"/>
    <cellStyle name="Акцент6 2" xfId="498"/>
    <cellStyle name="Акцент6 2 10" xfId="499"/>
    <cellStyle name="Акцент6 2 2" xfId="500"/>
    <cellStyle name="Акцент6 2 3" xfId="501"/>
    <cellStyle name="Акцент6 2 4" xfId="502"/>
    <cellStyle name="Акцент6 2 5" xfId="503"/>
    <cellStyle name="Акцент6 2 6" xfId="504"/>
    <cellStyle name="Акцент6 2 7" xfId="505"/>
    <cellStyle name="Акцент6 2 8" xfId="506"/>
    <cellStyle name="Акцент6 2 9" xfId="507"/>
    <cellStyle name="Акцент6 3" xfId="508"/>
    <cellStyle name="Акцент6 3 10" xfId="509"/>
    <cellStyle name="Акцент6 3 2" xfId="510"/>
    <cellStyle name="Акцент6 3 3" xfId="511"/>
    <cellStyle name="Акцент6 3 4" xfId="512"/>
    <cellStyle name="Акцент6 3 5" xfId="513"/>
    <cellStyle name="Акцент6 3 6" xfId="514"/>
    <cellStyle name="Акцент6 3 7" xfId="515"/>
    <cellStyle name="Акцент6 3 8" xfId="516"/>
    <cellStyle name="Акцент6 3 9" xfId="517"/>
    <cellStyle name="Ввод  2" xfId="518"/>
    <cellStyle name="Ввод  2 10" xfId="519"/>
    <cellStyle name="Ввод  2 2" xfId="520"/>
    <cellStyle name="Ввод  2 3" xfId="521"/>
    <cellStyle name="Ввод  2 4" xfId="522"/>
    <cellStyle name="Ввод  2 5" xfId="523"/>
    <cellStyle name="Ввод  2 6" xfId="524"/>
    <cellStyle name="Ввод  2 7" xfId="525"/>
    <cellStyle name="Ввод  2 8" xfId="526"/>
    <cellStyle name="Ввод  2 9" xfId="527"/>
    <cellStyle name="Ввод  3" xfId="528"/>
    <cellStyle name="Ввод  3 10" xfId="529"/>
    <cellStyle name="Ввод  3 2" xfId="530"/>
    <cellStyle name="Ввод  3 3" xfId="531"/>
    <cellStyle name="Ввод  3 4" xfId="532"/>
    <cellStyle name="Ввод  3 5" xfId="533"/>
    <cellStyle name="Ввод  3 6" xfId="534"/>
    <cellStyle name="Ввод  3 7" xfId="535"/>
    <cellStyle name="Ввод  3 8" xfId="536"/>
    <cellStyle name="Ввод  3 9" xfId="537"/>
    <cellStyle name="Вывод 2" xfId="538"/>
    <cellStyle name="Вывод 2 10" xfId="539"/>
    <cellStyle name="Вывод 2 2" xfId="540"/>
    <cellStyle name="Вывод 2 3" xfId="541"/>
    <cellStyle name="Вывод 2 4" xfId="542"/>
    <cellStyle name="Вывод 2 5" xfId="543"/>
    <cellStyle name="Вывод 2 6" xfId="544"/>
    <cellStyle name="Вывод 2 7" xfId="545"/>
    <cellStyle name="Вывод 2 8" xfId="546"/>
    <cellStyle name="Вывод 2 9" xfId="547"/>
    <cellStyle name="Вывод 3" xfId="548"/>
    <cellStyle name="Вывод 3 10" xfId="549"/>
    <cellStyle name="Вывод 3 2" xfId="550"/>
    <cellStyle name="Вывод 3 3" xfId="551"/>
    <cellStyle name="Вывод 3 4" xfId="552"/>
    <cellStyle name="Вывод 3 5" xfId="553"/>
    <cellStyle name="Вывод 3 6" xfId="554"/>
    <cellStyle name="Вывод 3 7" xfId="555"/>
    <cellStyle name="Вывод 3 8" xfId="556"/>
    <cellStyle name="Вывод 3 9" xfId="557"/>
    <cellStyle name="Вычисление 2" xfId="558"/>
    <cellStyle name="Вычисление 2 10" xfId="559"/>
    <cellStyle name="Вычисление 2 2" xfId="560"/>
    <cellStyle name="Вычисление 2 3" xfId="561"/>
    <cellStyle name="Вычисление 2 4" xfId="562"/>
    <cellStyle name="Вычисление 2 5" xfId="563"/>
    <cellStyle name="Вычисление 2 6" xfId="564"/>
    <cellStyle name="Вычисление 2 7" xfId="565"/>
    <cellStyle name="Вычисление 2 8" xfId="566"/>
    <cellStyle name="Вычисление 2 9" xfId="567"/>
    <cellStyle name="Вычисление 3" xfId="568"/>
    <cellStyle name="Вычисление 3 10" xfId="569"/>
    <cellStyle name="Вычисление 3 2" xfId="570"/>
    <cellStyle name="Вычисление 3 3" xfId="571"/>
    <cellStyle name="Вычисление 3 4" xfId="572"/>
    <cellStyle name="Вычисление 3 5" xfId="573"/>
    <cellStyle name="Вычисление 3 6" xfId="574"/>
    <cellStyle name="Вычисление 3 7" xfId="575"/>
    <cellStyle name="Вычисление 3 8" xfId="576"/>
    <cellStyle name="Вычисление 3 9" xfId="577"/>
    <cellStyle name="Заголовок 1 2" xfId="578"/>
    <cellStyle name="Заголовок 1 2 10" xfId="579"/>
    <cellStyle name="Заголовок 1 2 2" xfId="580"/>
    <cellStyle name="Заголовок 1 2 3" xfId="581"/>
    <cellStyle name="Заголовок 1 2 4" xfId="582"/>
    <cellStyle name="Заголовок 1 2 5" xfId="583"/>
    <cellStyle name="Заголовок 1 2 6" xfId="584"/>
    <cellStyle name="Заголовок 1 2 7" xfId="585"/>
    <cellStyle name="Заголовок 1 2 8" xfId="586"/>
    <cellStyle name="Заголовок 1 2 9" xfId="587"/>
    <cellStyle name="Заголовок 1 3" xfId="588"/>
    <cellStyle name="Заголовок 1 3 10" xfId="589"/>
    <cellStyle name="Заголовок 1 3 2" xfId="590"/>
    <cellStyle name="Заголовок 1 3 3" xfId="591"/>
    <cellStyle name="Заголовок 1 3 4" xfId="592"/>
    <cellStyle name="Заголовок 1 3 5" xfId="593"/>
    <cellStyle name="Заголовок 1 3 6" xfId="594"/>
    <cellStyle name="Заголовок 1 3 7" xfId="595"/>
    <cellStyle name="Заголовок 1 3 8" xfId="596"/>
    <cellStyle name="Заголовок 1 3 9" xfId="597"/>
    <cellStyle name="Заголовок 2 2" xfId="598"/>
    <cellStyle name="Заголовок 2 2 10" xfId="599"/>
    <cellStyle name="Заголовок 2 2 2" xfId="600"/>
    <cellStyle name="Заголовок 2 2 3" xfId="601"/>
    <cellStyle name="Заголовок 2 2 4" xfId="602"/>
    <cellStyle name="Заголовок 2 2 5" xfId="603"/>
    <cellStyle name="Заголовок 2 2 6" xfId="604"/>
    <cellStyle name="Заголовок 2 2 7" xfId="605"/>
    <cellStyle name="Заголовок 2 2 8" xfId="606"/>
    <cellStyle name="Заголовок 2 2 9" xfId="607"/>
    <cellStyle name="Заголовок 2 3" xfId="608"/>
    <cellStyle name="Заголовок 2 3 10" xfId="609"/>
    <cellStyle name="Заголовок 2 3 2" xfId="610"/>
    <cellStyle name="Заголовок 2 3 3" xfId="611"/>
    <cellStyle name="Заголовок 2 3 4" xfId="612"/>
    <cellStyle name="Заголовок 2 3 5" xfId="613"/>
    <cellStyle name="Заголовок 2 3 6" xfId="614"/>
    <cellStyle name="Заголовок 2 3 7" xfId="615"/>
    <cellStyle name="Заголовок 2 3 8" xfId="616"/>
    <cellStyle name="Заголовок 2 3 9" xfId="617"/>
    <cellStyle name="Заголовок 3 2" xfId="618"/>
    <cellStyle name="Заголовок 3 2 10" xfId="619"/>
    <cellStyle name="Заголовок 3 2 2" xfId="620"/>
    <cellStyle name="Заголовок 3 2 3" xfId="621"/>
    <cellStyle name="Заголовок 3 2 4" xfId="622"/>
    <cellStyle name="Заголовок 3 2 5" xfId="623"/>
    <cellStyle name="Заголовок 3 2 6" xfId="624"/>
    <cellStyle name="Заголовок 3 2 7" xfId="625"/>
    <cellStyle name="Заголовок 3 2 8" xfId="626"/>
    <cellStyle name="Заголовок 3 2 9" xfId="627"/>
    <cellStyle name="Заголовок 3 3" xfId="628"/>
    <cellStyle name="Заголовок 3 3 10" xfId="629"/>
    <cellStyle name="Заголовок 3 3 2" xfId="630"/>
    <cellStyle name="Заголовок 3 3 3" xfId="631"/>
    <cellStyle name="Заголовок 3 3 4" xfId="632"/>
    <cellStyle name="Заголовок 3 3 5" xfId="633"/>
    <cellStyle name="Заголовок 3 3 6" xfId="634"/>
    <cellStyle name="Заголовок 3 3 7" xfId="635"/>
    <cellStyle name="Заголовок 3 3 8" xfId="636"/>
    <cellStyle name="Заголовок 3 3 9" xfId="637"/>
    <cellStyle name="Заголовок 4 2" xfId="638"/>
    <cellStyle name="Заголовок 4 2 10" xfId="639"/>
    <cellStyle name="Заголовок 4 2 2" xfId="640"/>
    <cellStyle name="Заголовок 4 2 3" xfId="641"/>
    <cellStyle name="Заголовок 4 2 4" xfId="642"/>
    <cellStyle name="Заголовок 4 2 5" xfId="643"/>
    <cellStyle name="Заголовок 4 2 6" xfId="644"/>
    <cellStyle name="Заголовок 4 2 7" xfId="645"/>
    <cellStyle name="Заголовок 4 2 8" xfId="646"/>
    <cellStyle name="Заголовок 4 2 9" xfId="647"/>
    <cellStyle name="Заголовок 4 3" xfId="648"/>
    <cellStyle name="Заголовок 4 3 10" xfId="649"/>
    <cellStyle name="Заголовок 4 3 2" xfId="650"/>
    <cellStyle name="Заголовок 4 3 3" xfId="651"/>
    <cellStyle name="Заголовок 4 3 4" xfId="652"/>
    <cellStyle name="Заголовок 4 3 5" xfId="653"/>
    <cellStyle name="Заголовок 4 3 6" xfId="654"/>
    <cellStyle name="Заголовок 4 3 7" xfId="655"/>
    <cellStyle name="Заголовок 4 3 8" xfId="656"/>
    <cellStyle name="Заголовок 4 3 9" xfId="657"/>
    <cellStyle name="Итог 2" xfId="658"/>
    <cellStyle name="Итог 2 10" xfId="659"/>
    <cellStyle name="Итог 2 2" xfId="660"/>
    <cellStyle name="Итог 2 3" xfId="661"/>
    <cellStyle name="Итог 2 4" xfId="662"/>
    <cellStyle name="Итог 2 5" xfId="663"/>
    <cellStyle name="Итог 2 6" xfId="664"/>
    <cellStyle name="Итог 2 7" xfId="665"/>
    <cellStyle name="Итог 2 8" xfId="666"/>
    <cellStyle name="Итог 2 9" xfId="667"/>
    <cellStyle name="Итог 3" xfId="668"/>
    <cellStyle name="Итог 3 10" xfId="669"/>
    <cellStyle name="Итог 3 2" xfId="670"/>
    <cellStyle name="Итог 3 3" xfId="671"/>
    <cellStyle name="Итог 3 4" xfId="672"/>
    <cellStyle name="Итог 3 5" xfId="673"/>
    <cellStyle name="Итог 3 6" xfId="674"/>
    <cellStyle name="Итог 3 7" xfId="675"/>
    <cellStyle name="Итог 3 8" xfId="676"/>
    <cellStyle name="Итог 3 9" xfId="677"/>
    <cellStyle name="Контрольная ячейка 2" xfId="678"/>
    <cellStyle name="Контрольная ячейка 2 10" xfId="679"/>
    <cellStyle name="Контрольная ячейка 2 2" xfId="680"/>
    <cellStyle name="Контрольная ячейка 2 3" xfId="681"/>
    <cellStyle name="Контрольная ячейка 2 4" xfId="682"/>
    <cellStyle name="Контрольная ячейка 2 5" xfId="683"/>
    <cellStyle name="Контрольная ячейка 2 6" xfId="684"/>
    <cellStyle name="Контрольная ячейка 2 7" xfId="685"/>
    <cellStyle name="Контрольная ячейка 2 8" xfId="686"/>
    <cellStyle name="Контрольная ячейка 2 9" xfId="687"/>
    <cellStyle name="Контрольная ячейка 3" xfId="688"/>
    <cellStyle name="Контрольная ячейка 3 10" xfId="689"/>
    <cellStyle name="Контрольная ячейка 3 2" xfId="690"/>
    <cellStyle name="Контрольная ячейка 3 3" xfId="691"/>
    <cellStyle name="Контрольная ячейка 3 4" xfId="692"/>
    <cellStyle name="Контрольная ячейка 3 5" xfId="693"/>
    <cellStyle name="Контрольная ячейка 3 6" xfId="694"/>
    <cellStyle name="Контрольная ячейка 3 7" xfId="695"/>
    <cellStyle name="Контрольная ячейка 3 8" xfId="696"/>
    <cellStyle name="Контрольная ячейка 3 9" xfId="697"/>
    <cellStyle name="Название 2" xfId="698"/>
    <cellStyle name="Название 2 10" xfId="699"/>
    <cellStyle name="Название 2 2" xfId="700"/>
    <cellStyle name="Название 2 3" xfId="701"/>
    <cellStyle name="Название 2 4" xfId="702"/>
    <cellStyle name="Название 2 5" xfId="703"/>
    <cellStyle name="Название 2 6" xfId="704"/>
    <cellStyle name="Название 2 7" xfId="705"/>
    <cellStyle name="Название 2 8" xfId="706"/>
    <cellStyle name="Название 2 9" xfId="707"/>
    <cellStyle name="Название 3" xfId="708"/>
    <cellStyle name="Название 3 10" xfId="709"/>
    <cellStyle name="Название 3 2" xfId="710"/>
    <cellStyle name="Название 3 3" xfId="711"/>
    <cellStyle name="Название 3 4" xfId="712"/>
    <cellStyle name="Название 3 5" xfId="713"/>
    <cellStyle name="Название 3 6" xfId="714"/>
    <cellStyle name="Название 3 7" xfId="715"/>
    <cellStyle name="Название 3 8" xfId="716"/>
    <cellStyle name="Название 3 9" xfId="717"/>
    <cellStyle name="Нейтральный 2" xfId="718"/>
    <cellStyle name="Нейтральный 2 10" xfId="719"/>
    <cellStyle name="Нейтральный 2 2" xfId="720"/>
    <cellStyle name="Нейтральный 2 3" xfId="721"/>
    <cellStyle name="Нейтральный 2 4" xfId="722"/>
    <cellStyle name="Нейтральный 2 5" xfId="723"/>
    <cellStyle name="Нейтральный 2 6" xfId="724"/>
    <cellStyle name="Нейтральный 2 7" xfId="725"/>
    <cellStyle name="Нейтральный 2 8" xfId="726"/>
    <cellStyle name="Нейтральный 2 9" xfId="727"/>
    <cellStyle name="Нейтральный 3" xfId="728"/>
    <cellStyle name="Нейтральный 3 10" xfId="729"/>
    <cellStyle name="Нейтральный 3 2" xfId="730"/>
    <cellStyle name="Нейтральный 3 3" xfId="731"/>
    <cellStyle name="Нейтральный 3 4" xfId="732"/>
    <cellStyle name="Нейтральный 3 5" xfId="733"/>
    <cellStyle name="Нейтральный 3 6" xfId="734"/>
    <cellStyle name="Нейтральный 3 7" xfId="735"/>
    <cellStyle name="Нейтральный 3 8" xfId="736"/>
    <cellStyle name="Нейтральный 3 9" xfId="737"/>
    <cellStyle name="Обычный" xfId="0" builtinId="0"/>
    <cellStyle name="Обычный 10" xfId="738"/>
    <cellStyle name="Обычный 10 2" xfId="739"/>
    <cellStyle name="Обычный 11" xfId="740"/>
    <cellStyle name="Обычный 12" xfId="741"/>
    <cellStyle name="Обычный 2" xfId="742"/>
    <cellStyle name="Обычный 2 10" xfId="743"/>
    <cellStyle name="Обычный 2 11" xfId="744"/>
    <cellStyle name="Обычный 2 12" xfId="745"/>
    <cellStyle name="Обычный 2 13" xfId="746"/>
    <cellStyle name="Обычный 2 2" xfId="747"/>
    <cellStyle name="Обычный 2 3" xfId="748"/>
    <cellStyle name="Обычный 2 4" xfId="749"/>
    <cellStyle name="Обычный 2 5" xfId="750"/>
    <cellStyle name="Обычный 2 6" xfId="751"/>
    <cellStyle name="Обычный 2 7" xfId="752"/>
    <cellStyle name="Обычный 2 8" xfId="753"/>
    <cellStyle name="Обычный 2 9" xfId="754"/>
    <cellStyle name="Обычный 3" xfId="755"/>
    <cellStyle name="Обычный 3 2" xfId="756"/>
    <cellStyle name="Обычный 3 3" xfId="757"/>
    <cellStyle name="Обычный 3 4" xfId="758"/>
    <cellStyle name="Обычный 3 5" xfId="759"/>
    <cellStyle name="Обычный 3 6" xfId="760"/>
    <cellStyle name="Обычный 3 7" xfId="761"/>
    <cellStyle name="Обычный 4" xfId="762"/>
    <cellStyle name="Обычный 4 2" xfId="763"/>
    <cellStyle name="Обычный 4 3" xfId="764"/>
    <cellStyle name="Обычный 4 4" xfId="765"/>
    <cellStyle name="Обычный 4 5" xfId="766"/>
    <cellStyle name="Обычный 4 6" xfId="767"/>
    <cellStyle name="Обычный 4 6 10" xfId="768"/>
    <cellStyle name="Обычный 4 6 2" xfId="769"/>
    <cellStyle name="Обычный 4 6 3" xfId="770"/>
    <cellStyle name="Обычный 4 6 4" xfId="771"/>
    <cellStyle name="Обычный 4 6 5" xfId="772"/>
    <cellStyle name="Обычный 4 6 6" xfId="773"/>
    <cellStyle name="Обычный 4 6 7" xfId="774"/>
    <cellStyle name="Обычный 4 6 8" xfId="775"/>
    <cellStyle name="Обычный 4 6 9" xfId="776"/>
    <cellStyle name="Обычный 4 7" xfId="777"/>
    <cellStyle name="Обычный 4 7 10" xfId="778"/>
    <cellStyle name="Обычный 4 7 2" xfId="779"/>
    <cellStyle name="Обычный 4 7 3" xfId="780"/>
    <cellStyle name="Обычный 4 7 4" xfId="781"/>
    <cellStyle name="Обычный 4 7 5" xfId="782"/>
    <cellStyle name="Обычный 4 7 6" xfId="783"/>
    <cellStyle name="Обычный 4 7 7" xfId="784"/>
    <cellStyle name="Обычный 4 7 8" xfId="785"/>
    <cellStyle name="Обычный 4 7 9" xfId="786"/>
    <cellStyle name="Обычный 4 8" xfId="787"/>
    <cellStyle name="Обычный 4 8 10" xfId="788"/>
    <cellStyle name="Обычный 4 8 2" xfId="789"/>
    <cellStyle name="Обычный 4 8 3" xfId="790"/>
    <cellStyle name="Обычный 4 8 4" xfId="791"/>
    <cellStyle name="Обычный 4 8 5" xfId="792"/>
    <cellStyle name="Обычный 4 8 6" xfId="793"/>
    <cellStyle name="Обычный 4 8 7" xfId="794"/>
    <cellStyle name="Обычный 4 8 8" xfId="795"/>
    <cellStyle name="Обычный 4 8 9" xfId="796"/>
    <cellStyle name="Обычный 4 9" xfId="797"/>
    <cellStyle name="Обычный 4 9 10" xfId="798"/>
    <cellStyle name="Обычный 4 9 2" xfId="799"/>
    <cellStyle name="Обычный 4 9 3" xfId="800"/>
    <cellStyle name="Обычный 4 9 4" xfId="801"/>
    <cellStyle name="Обычный 4 9 5" xfId="802"/>
    <cellStyle name="Обычный 4 9 6" xfId="803"/>
    <cellStyle name="Обычный 4 9 7" xfId="804"/>
    <cellStyle name="Обычный 4 9 8" xfId="805"/>
    <cellStyle name="Обычный 4 9 9" xfId="806"/>
    <cellStyle name="Обычный 5" xfId="807"/>
    <cellStyle name="Обычный 6" xfId="808"/>
    <cellStyle name="Обычный 7" xfId="809"/>
    <cellStyle name="Обычный 7 2" xfId="810"/>
    <cellStyle name="Обычный 7 3" xfId="811"/>
    <cellStyle name="Обычный 7 4" xfId="812"/>
    <cellStyle name="Обычный 7 5" xfId="813"/>
    <cellStyle name="Обычный 7 6" xfId="814"/>
    <cellStyle name="Обычный 7 7" xfId="815"/>
    <cellStyle name="Обычный 7 8" xfId="816"/>
    <cellStyle name="Обычный 7 9" xfId="817"/>
    <cellStyle name="Обычный 8" xfId="818"/>
    <cellStyle name="Обычный 8 2" xfId="819"/>
    <cellStyle name="Обычный 8 3" xfId="820"/>
    <cellStyle name="Обычный 8 4" xfId="821"/>
    <cellStyle name="Обычный 8 5" xfId="822"/>
    <cellStyle name="Обычный 8 6" xfId="823"/>
    <cellStyle name="Обычный 8 7" xfId="824"/>
    <cellStyle name="Обычный 9" xfId="825"/>
    <cellStyle name="Обычный 9 2" xfId="826"/>
    <cellStyle name="Плохой 2" xfId="827"/>
    <cellStyle name="Плохой 2 10" xfId="828"/>
    <cellStyle name="Плохой 2 2" xfId="829"/>
    <cellStyle name="Плохой 2 3" xfId="830"/>
    <cellStyle name="Плохой 2 4" xfId="831"/>
    <cellStyle name="Плохой 2 5" xfId="832"/>
    <cellStyle name="Плохой 2 6" xfId="833"/>
    <cellStyle name="Плохой 2 7" xfId="834"/>
    <cellStyle name="Плохой 2 8" xfId="835"/>
    <cellStyle name="Плохой 2 9" xfId="836"/>
    <cellStyle name="Плохой 3" xfId="837"/>
    <cellStyle name="Плохой 3 10" xfId="838"/>
    <cellStyle name="Плохой 3 2" xfId="839"/>
    <cellStyle name="Плохой 3 3" xfId="840"/>
    <cellStyle name="Плохой 3 4" xfId="841"/>
    <cellStyle name="Плохой 3 5" xfId="842"/>
    <cellStyle name="Плохой 3 6" xfId="843"/>
    <cellStyle name="Плохой 3 7" xfId="844"/>
    <cellStyle name="Плохой 3 8" xfId="845"/>
    <cellStyle name="Плохой 3 9" xfId="846"/>
    <cellStyle name="Пояснение 2" xfId="847"/>
    <cellStyle name="Пояснение 2 10" xfId="848"/>
    <cellStyle name="Пояснение 2 2" xfId="849"/>
    <cellStyle name="Пояснение 2 3" xfId="850"/>
    <cellStyle name="Пояснение 2 4" xfId="851"/>
    <cellStyle name="Пояснение 2 5" xfId="852"/>
    <cellStyle name="Пояснение 2 6" xfId="853"/>
    <cellStyle name="Пояснение 2 7" xfId="854"/>
    <cellStyle name="Пояснение 2 8" xfId="855"/>
    <cellStyle name="Пояснение 2 9" xfId="856"/>
    <cellStyle name="Пояснение 3" xfId="857"/>
    <cellStyle name="Пояснение 3 10" xfId="858"/>
    <cellStyle name="Пояснение 3 2" xfId="859"/>
    <cellStyle name="Пояснение 3 3" xfId="860"/>
    <cellStyle name="Пояснение 3 4" xfId="861"/>
    <cellStyle name="Пояснение 3 5" xfId="862"/>
    <cellStyle name="Пояснение 3 6" xfId="863"/>
    <cellStyle name="Пояснение 3 7" xfId="864"/>
    <cellStyle name="Пояснение 3 8" xfId="865"/>
    <cellStyle name="Пояснение 3 9" xfId="866"/>
    <cellStyle name="Примечание 2" xfId="867"/>
    <cellStyle name="Примечание 2 10" xfId="868"/>
    <cellStyle name="Примечание 2 2" xfId="869"/>
    <cellStyle name="Примечание 2 3" xfId="870"/>
    <cellStyle name="Примечание 2 4" xfId="871"/>
    <cellStyle name="Примечание 2 5" xfId="872"/>
    <cellStyle name="Примечание 2 6" xfId="873"/>
    <cellStyle name="Примечание 2 7" xfId="874"/>
    <cellStyle name="Примечание 2 8" xfId="875"/>
    <cellStyle name="Примечание 2 9" xfId="876"/>
    <cellStyle name="Примечание 3" xfId="877"/>
    <cellStyle name="Примечание 3 10" xfId="878"/>
    <cellStyle name="Примечание 3 2" xfId="879"/>
    <cellStyle name="Примечание 3 3" xfId="880"/>
    <cellStyle name="Примечание 3 4" xfId="881"/>
    <cellStyle name="Примечание 3 5" xfId="882"/>
    <cellStyle name="Примечание 3 6" xfId="883"/>
    <cellStyle name="Примечание 3 7" xfId="884"/>
    <cellStyle name="Примечание 3 8" xfId="885"/>
    <cellStyle name="Примечание 3 9" xfId="886"/>
    <cellStyle name="Процентный" xfId="1" builtinId="5"/>
    <cellStyle name="Процентный 2" xfId="887"/>
    <cellStyle name="Процентный 2 2" xfId="888"/>
    <cellStyle name="Процентный 3" xfId="889"/>
    <cellStyle name="Процентный 4" xfId="890"/>
    <cellStyle name="Связанная ячейка 2" xfId="891"/>
    <cellStyle name="Связанная ячейка 2 10" xfId="892"/>
    <cellStyle name="Связанная ячейка 2 2" xfId="893"/>
    <cellStyle name="Связанная ячейка 2 3" xfId="894"/>
    <cellStyle name="Связанная ячейка 2 4" xfId="895"/>
    <cellStyle name="Связанная ячейка 2 5" xfId="896"/>
    <cellStyle name="Связанная ячейка 2 6" xfId="897"/>
    <cellStyle name="Связанная ячейка 2 7" xfId="898"/>
    <cellStyle name="Связанная ячейка 2 8" xfId="899"/>
    <cellStyle name="Связанная ячейка 2 9" xfId="900"/>
    <cellStyle name="Связанная ячейка 3" xfId="901"/>
    <cellStyle name="Связанная ячейка 3 10" xfId="902"/>
    <cellStyle name="Связанная ячейка 3 2" xfId="903"/>
    <cellStyle name="Связанная ячейка 3 3" xfId="904"/>
    <cellStyle name="Связанная ячейка 3 4" xfId="905"/>
    <cellStyle name="Связанная ячейка 3 5" xfId="906"/>
    <cellStyle name="Связанная ячейка 3 6" xfId="907"/>
    <cellStyle name="Связанная ячейка 3 7" xfId="908"/>
    <cellStyle name="Связанная ячейка 3 8" xfId="909"/>
    <cellStyle name="Связанная ячейка 3 9" xfId="910"/>
    <cellStyle name="Текст предупреждения 2" xfId="911"/>
    <cellStyle name="Текст предупреждения 2 10" xfId="912"/>
    <cellStyle name="Текст предупреждения 2 2" xfId="913"/>
    <cellStyle name="Текст предупреждения 2 3" xfId="914"/>
    <cellStyle name="Текст предупреждения 2 4" xfId="915"/>
    <cellStyle name="Текст предупреждения 2 5" xfId="916"/>
    <cellStyle name="Текст предупреждения 2 6" xfId="917"/>
    <cellStyle name="Текст предупреждения 2 7" xfId="918"/>
    <cellStyle name="Текст предупреждения 2 8" xfId="919"/>
    <cellStyle name="Текст предупреждения 2 9" xfId="920"/>
    <cellStyle name="Текст предупреждения 3" xfId="921"/>
    <cellStyle name="Текст предупреждения 3 10" xfId="922"/>
    <cellStyle name="Текст предупреждения 3 2" xfId="923"/>
    <cellStyle name="Текст предупреждения 3 3" xfId="924"/>
    <cellStyle name="Текст предупреждения 3 4" xfId="925"/>
    <cellStyle name="Текст предупреждения 3 5" xfId="926"/>
    <cellStyle name="Текст предупреждения 3 6" xfId="927"/>
    <cellStyle name="Текст предупреждения 3 7" xfId="928"/>
    <cellStyle name="Текст предупреждения 3 8" xfId="929"/>
    <cellStyle name="Текст предупреждения 3 9" xfId="930"/>
    <cellStyle name="Хороший 2" xfId="931"/>
    <cellStyle name="Хороший 2 10" xfId="932"/>
    <cellStyle name="Хороший 2 2" xfId="933"/>
    <cellStyle name="Хороший 2 3" xfId="934"/>
    <cellStyle name="Хороший 2 4" xfId="935"/>
    <cellStyle name="Хороший 2 5" xfId="936"/>
    <cellStyle name="Хороший 2 6" xfId="937"/>
    <cellStyle name="Хороший 2 7" xfId="938"/>
    <cellStyle name="Хороший 2 8" xfId="939"/>
    <cellStyle name="Хороший 2 9" xfId="940"/>
    <cellStyle name="Хороший 3" xfId="941"/>
    <cellStyle name="Хороший 3 10" xfId="942"/>
    <cellStyle name="Хороший 3 2" xfId="943"/>
    <cellStyle name="Хороший 3 3" xfId="944"/>
    <cellStyle name="Хороший 3 4" xfId="945"/>
    <cellStyle name="Хороший 3 5" xfId="946"/>
    <cellStyle name="Хороший 3 6" xfId="947"/>
    <cellStyle name="Хороший 3 7" xfId="948"/>
    <cellStyle name="Хороший 3 8" xfId="949"/>
    <cellStyle name="Хороший 3 9" xfId="9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72;&#1085;&#1075;&#1077;&#1083;&#1100;&#1089;&#1082;-&#1050;&#1086;&#1090;&#1083;&#1072;&#1089;%20&#1054;&#1040;&#1054;%20&#1050;&#1086;&#1084;&#1080;&#1072;&#1074;&#1080;&#1072;&#1090;&#1088;&#1072;&#1085;&#1089;%202017-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0;&#1086;&#1078;&#1072;%20%20-%20&#1055;&#1086;&#1088;&#1086;&#1075;%20&#1041;&#1047;%202017-20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8;&#1055;%20&#1062;&#1091;&#1088;&#1082;&#1086;%20&#1045;.&#1070;\&#1048;&#1055;%20&#1062;&#1091;&#1088;&#1082;&#1086;%20&#1045;.&#1070;.%202%20&#1083;&#1080;&#1085;&#1080;&#1080;%202017-2019%20&#1075;&#1086;&#10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9;&#1089;&#1090;&#1100;-&#1055;&#1080;&#1085;&#1077;&#1075;&#1072;%20&#1051;&#1103;&#1074;&#1083;&#1103;\&#1059;&#1089;&#1090;&#1100;-&#1055;&#1080;&#1085;&#1077;&#1078;&#1089;&#1082;&#1080;&#1081;%20&#1051;&#1055;&#1061;%20&#1051;&#1103;&#1074;&#1083;&#1103;%202017-2019%20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54;&#1054;&#1054;%20&#1057;&#1080;&#1074;&#1077;&#1088;&#1082;&#1086;%20&#1041;&#1047;%202017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%20&#1076;&#1080;&#1089;&#1082;&#1072;%20D\&#1044;&#1054;&#1050;&#1059;&#1052;&#1045;&#1053;&#1058;&#1067;\&#1057;&#1046;&#1044;\&#1057;&#1055;&#1055;&#1050;%202016\&#1058;&#1040;&#1056;&#1048;&#1060;&#1067;%202016%20&#1075;&#1086;&#1076;%20&#1046;&#1044;%20&#1074;%20&#1057;&#1055;&#1055;&#1050;%2025.32%20&#1089;%20&#1085;&#1072;&#1089;&#1077;&#1083;&#1077;&#1085;&#1080;&#1077;&#108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0;&#1088;&#1082;&#1090;&#1080;&#1082;&#1088;&#1077;&#1081;&#1076;%20&#1041;&#1047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3;&#1077;&#1084;&#1072;&#1085;&#1086;&#1074;%20&#1042;.&#1050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0;&#1086;&#1087;&#1080;&#1103;%20&#1052;&#1059;&#1055;%20&#1053;&#1069;&#1057;&#1050;%20&#1073;&#1102;&#1076;&#1078;&#1077;&#1090;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45;&#1084;&#1077;&#1083;&#1100;&#1103;&#1085;&#1086;&#1074;%20&#1042;&#104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0;&#1088;&#1093;&#1088;&#1077;&#1095;&#1087;&#1086;&#1088;&#1090;%20&#1041;&#1047;%202017-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VPopov\LOCALS~1\Temp\&#1059;&#1058;&#1054;&#1063;&#1053;&#1045;&#1053;&#1053;&#1067;&#1049;%20&#1057;&#1042;&#1054;&#1044;&#1053;&#1067;&#1049;%20&#1041;&#1070;&#1044;&#1046;&#1045;&#1058;%202018-2020%20&#1075;&#1086;&#1076;&#1099;%20&#1085;&#1072;%2001.08.20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102;&#1076;&#1078;&#1077;&#1090;&#1085;&#1099;&#1077;%20&#1087;&#1088;&#1086;&#1077;&#1082;&#1090;&#1080;&#1088;&#1086;&#1074;&#1082;&#1080;%20&#1085;&#1072;%202017-2019%20&#1075;&#1086;&#1076;&#1099;\&#1055;&#1086;%20&#1087;&#1088;&#1077;&#1076;&#1087;&#1088;&#1080;&#1103;&#1090;&#1080;&#1103;&#1084;\&#1047;&#1040;&#1071;&#1042;&#1050;&#1040;%20&#1074;%20&#1088;&#1072;&#1079;&#1077;&#1088;&#1077;&#1079;&#1077;%20&#1087;&#1088;&#1077;&#1076;&#1087;&#1088;&#1080;&#1103;&#1090;&#1080;&#1081;%202017-2019\&#1057;&#1056;&#1055;%20&#1080;%20&#1054;&#1054;&#1054;%20&#1056;&#1077;&#1084;&#1089;&#1090;&#1088;&#1086;&#1081;&#1089;&#1077;&#1088;&#1074;&#1080;&#1089;\&#1048;&#1055;%20&#1057;&#1080;&#1076;&#1086;&#1088;&#1086;&#1074;%20&#1040;.&#1041;.%20%20&#1041;&#1047;%202017-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налета на 2014г. (3)"/>
      <sheetName val="расчет налета на 2014г."/>
      <sheetName val="расчет налета на 2014г. (2)"/>
      <sheetName val="налет часов"/>
      <sheetName val="к расчету нормативов"/>
      <sheetName val="Нормативы"/>
      <sheetName val="Сыв-Ктс-Сыв"/>
      <sheetName val="Ктс-Арх-Ктс 10%"/>
      <sheetName val="Ктс-Арх-Ктс  оригинал"/>
      <sheetName val="Расчет субсидии"/>
      <sheetName val="пас.тариф"/>
      <sheetName val="гр.тариф"/>
      <sheetName val="уч.Сыв-Ухта"/>
      <sheetName val="СЫВ-ИНТ-СЫВ "/>
      <sheetName val="522_"/>
      <sheetName val="522__"/>
      <sheetName val="521_"/>
      <sheetName val="524_"/>
      <sheetName val="543_"/>
      <sheetName val="уч. СЫВ-УХТ "/>
      <sheetName val="уч.Ухта-Воркута"/>
      <sheetName val="уч.Сыв-Вкт-Сыв"/>
      <sheetName val="Сыв-Усн-Сыв "/>
      <sheetName val="Сыв-Пчр-Сыв"/>
      <sheetName val="Сыв-Инта-Сыв"/>
      <sheetName val="Вуктыл-Ухта-Вуктыл  "/>
      <sheetName val="Сыв-Вуктыл-Сыв"/>
      <sheetName val="уч.Ухта-Усинск"/>
      <sheetName val="стоимость ГСМ"/>
      <sheetName val="сравнительные таблиц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>
            <v>39525.347176898591</v>
          </cell>
        </row>
        <row r="14">
          <cell r="H14">
            <v>18740.909090909088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тариф"/>
      <sheetName val="тарифы"/>
    </sheetNames>
    <sheetDataSet>
      <sheetData sheetId="0">
        <row r="41">
          <cell r="AU41">
            <v>3293.3921976499996</v>
          </cell>
        </row>
        <row r="44">
          <cell r="AU44">
            <v>731.34710000000007</v>
          </cell>
        </row>
        <row r="49">
          <cell r="AU49">
            <v>164.6696098825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егашевская"/>
      <sheetName val="Лямца"/>
      <sheetName val="топливо"/>
      <sheetName val="Прочие расходы"/>
      <sheetName val="ФОТ (Легашевская и Лямца)"/>
      <sheetName val="тариф"/>
      <sheetName val="Доходы"/>
    </sheetNames>
    <sheetDataSet>
      <sheetData sheetId="0" refreshError="1">
        <row r="15">
          <cell r="AE15">
            <v>3565.1853625000003</v>
          </cell>
        </row>
        <row r="28">
          <cell r="AE28">
            <v>5804.5715572328018</v>
          </cell>
        </row>
      </sheetData>
      <sheetData sheetId="1" refreshError="1">
        <row r="11">
          <cell r="AD11">
            <v>157.5</v>
          </cell>
        </row>
        <row r="25">
          <cell r="AD25">
            <v>792.19978678820542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Расчет зар. платы"/>
      <sheetName val="прочие расходы"/>
      <sheetName val="Общехозяйственные "/>
      <sheetName val="Распр. общ."/>
      <sheetName val="Лист2"/>
      <sheetName val="Лист3"/>
    </sheetNames>
    <sheetDataSet>
      <sheetData sheetId="0">
        <row r="31">
          <cell r="CW31">
            <v>2221025.6370041845</v>
          </cell>
        </row>
        <row r="43">
          <cell r="CW43">
            <v>158548.5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8">
          <cell r="M18">
            <v>1020</v>
          </cell>
        </row>
        <row r="39">
          <cell r="M39">
            <v>3044.0185510444007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таблица"/>
      <sheetName val="Инфраструкт."/>
      <sheetName val="Аренда"/>
      <sheetName val="Собств. "/>
      <sheetName val="Резерв отпусков"/>
      <sheetName val="Прочие расходы"/>
      <sheetName val="Доходы"/>
      <sheetName val="Лист1"/>
      <sheetName val="Анализ по ЗП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D26">
            <v>192492931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Доход"/>
      <sheetName val="ГСМ"/>
      <sheetName val="Труд"/>
      <sheetName val="Матер"/>
      <sheetName val="Кап. рем"/>
      <sheetName val="Экспл"/>
      <sheetName val="Лист1"/>
    </sheetNames>
    <sheetDataSet>
      <sheetData sheetId="0">
        <row r="12">
          <cell r="AK12">
            <v>1725.2414999999999</v>
          </cell>
        </row>
        <row r="31">
          <cell r="AK31">
            <v>9677.3529327128963</v>
          </cell>
        </row>
        <row r="75">
          <cell r="AS75">
            <v>105.5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7">
          <cell r="DW17">
            <v>900.95</v>
          </cell>
        </row>
        <row r="46">
          <cell r="DW46">
            <v>4161.8025014495461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СМ"/>
      <sheetName val="Лист1"/>
      <sheetName val="Лист2"/>
      <sheetName val="Лист3"/>
      <sheetName val="общех."/>
      <sheetName val="пассажиропоток"/>
    </sheetNames>
    <sheetDataSet>
      <sheetData sheetId="0"/>
      <sheetData sheetId="1">
        <row r="59">
          <cell r="FD59">
            <v>3759516.8579686605</v>
          </cell>
        </row>
        <row r="71">
          <cell r="FD71">
            <v>867507.51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DF18">
            <v>105.5</v>
          </cell>
        </row>
        <row r="21">
          <cell r="CW21">
            <v>1837535.9478834653</v>
          </cell>
        </row>
        <row r="24">
          <cell r="CW24">
            <v>294925.95084846462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тр"/>
      <sheetName val="ФР 2007г."/>
      <sheetName val="Тариф 2008"/>
      <sheetName val="ФР2007"/>
      <sheetName val="Управленч"/>
      <sheetName val="Лист1"/>
      <sheetName val="Вспом.произв"/>
      <sheetName val="СВФ"/>
      <sheetName val="Вспом.cуд"/>
      <sheetName val="Распред"/>
      <sheetName val="Причалы"/>
      <sheetName val="Д ОС"/>
      <sheetName val="Доход"/>
      <sheetName val="ФР 2011"/>
      <sheetName val="РАСПР бз 2013-2015"/>
      <sheetName val="РАСПР 2014-2016"/>
      <sheetName val="РАСПР 2015-2017"/>
      <sheetName val="РАСПР 2016-2018"/>
      <sheetName val="ЗП"/>
      <sheetName val="доходы"/>
      <sheetName val="Тарифы"/>
      <sheetName val="Свод"/>
      <sheetName val="Зар.пл"/>
      <sheetName val="Топливо"/>
      <sheetName val="КР"/>
      <sheetName val="Капре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">
          <cell r="BG9">
            <v>32462.455499999996</v>
          </cell>
        </row>
        <row r="38">
          <cell r="BG38">
            <v>99784.710618600016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ная"/>
      <sheetName val="Прогноз тарифов"/>
      <sheetName val="Бюджет Речпорт"/>
      <sheetName val="Бюджет"/>
      <sheetName val="речпорт факт 2016"/>
      <sheetName val="речпорт прогноз 2018"/>
      <sheetName val="речпорт база для расчета 2018"/>
    </sheetNames>
    <sheetDataSet>
      <sheetData sheetId="0" refreshError="1"/>
      <sheetData sheetId="1" refreshError="1"/>
      <sheetData sheetId="2" refreshError="1">
        <row r="29">
          <cell r="V29">
            <v>95309.482000000004</v>
          </cell>
          <cell r="W29">
            <v>29289.112000000001</v>
          </cell>
          <cell r="AA29">
            <v>102462.27557212667</v>
          </cell>
          <cell r="AB29">
            <v>33746.326391102404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Арханг-ВТ"/>
      <sheetName val="Сойга"/>
      <sheetName val="Н-В Тойма"/>
      <sheetName val="Зарплата основных"/>
      <sheetName val="Прочие расходы"/>
      <sheetName val="Распределяемые"/>
      <sheetName val="БЗ 08-11"/>
      <sheetName val="Топл"/>
      <sheetName val="Кап. рем"/>
      <sheetName val="Лист3"/>
    </sheetNames>
    <sheetDataSet>
      <sheetData sheetId="0"/>
      <sheetData sheetId="1"/>
      <sheetData sheetId="2"/>
      <sheetData sheetId="3">
        <row r="14">
          <cell r="AM14">
            <v>105.5</v>
          </cell>
        </row>
        <row r="33">
          <cell r="AB33">
            <v>5241</v>
          </cell>
        </row>
        <row r="34">
          <cell r="AB34">
            <v>889.36500000000001</v>
          </cell>
        </row>
        <row r="38">
          <cell r="AB38">
            <v>262.05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2"/>
  <sheetViews>
    <sheetView tabSelected="1" view="pageBreakPreview" topLeftCell="AH4" zoomScale="60" zoomScaleNormal="44" workbookViewId="0">
      <selection activeCell="AN27" sqref="AN27"/>
    </sheetView>
  </sheetViews>
  <sheetFormatPr defaultColWidth="55" defaultRowHeight="15.75" outlineLevelRow="1" outlineLevelCol="1"/>
  <cols>
    <col min="1" max="1" width="67.85546875" style="85" customWidth="1"/>
    <col min="2" max="2" width="2.5703125" style="85" hidden="1" customWidth="1" outlineLevel="1"/>
    <col min="3" max="3" width="3.28515625" style="85" hidden="1" customWidth="1" outlineLevel="1"/>
    <col min="4" max="4" width="16.5703125" style="85" hidden="1" customWidth="1" outlineLevel="1"/>
    <col min="5" max="5" width="18.28515625" style="85" hidden="1" customWidth="1" outlineLevel="1"/>
    <col min="6" max="6" width="14.7109375" style="85" hidden="1" customWidth="1" outlineLevel="1"/>
    <col min="7" max="7" width="17.28515625" style="85" hidden="1" customWidth="1" outlineLevel="1"/>
    <col min="8" max="8" width="10" style="85" hidden="1" customWidth="1" outlineLevel="1"/>
    <col min="9" max="9" width="17.140625" style="85" hidden="1" customWidth="1" outlineLevel="1"/>
    <col min="10" max="10" width="10" style="85" hidden="1" customWidth="1" outlineLevel="1"/>
    <col min="11" max="11" width="17.140625" style="85" hidden="1" customWidth="1" outlineLevel="1"/>
    <col min="12" max="12" width="10.28515625" style="85" hidden="1" customWidth="1" outlineLevel="1"/>
    <col min="13" max="13" width="17.140625" style="85" hidden="1" customWidth="1" outlineLevel="1"/>
    <col min="14" max="14" width="10.28515625" style="85" hidden="1" customWidth="1" outlineLevel="1"/>
    <col min="15" max="15" width="17.140625" style="85" hidden="1" customWidth="1" outlineLevel="1" collapsed="1"/>
    <col min="16" max="16" width="23.5703125" style="85" hidden="1" customWidth="1" outlineLevel="1"/>
    <col min="17" max="17" width="13.140625" style="85" hidden="1" customWidth="1" outlineLevel="1"/>
    <col min="18" max="18" width="12.28515625" style="85" hidden="1" customWidth="1" outlineLevel="1"/>
    <col min="19" max="19" width="12.140625" style="85" hidden="1" customWidth="1" outlineLevel="1"/>
    <col min="20" max="20" width="11.28515625" style="85" hidden="1" customWidth="1" outlineLevel="1"/>
    <col min="21" max="21" width="9.42578125" style="85" hidden="1" customWidth="1" outlineLevel="1"/>
    <col min="22" max="22" width="13.42578125" style="85" hidden="1" customWidth="1" outlineLevel="1"/>
    <col min="23" max="23" width="12.5703125" style="85" hidden="1" customWidth="1" outlineLevel="1"/>
    <col min="24" max="24" width="13.28515625" style="85" hidden="1" customWidth="1" outlineLevel="1"/>
    <col min="25" max="25" width="9.42578125" style="85" hidden="1" customWidth="1" outlineLevel="1" collapsed="1"/>
    <col min="26" max="26" width="17.85546875" style="85" hidden="1" customWidth="1"/>
    <col min="27" max="27" width="17" style="85" hidden="1" customWidth="1"/>
    <col min="28" max="28" width="14.85546875" style="86" hidden="1" customWidth="1"/>
    <col min="29" max="29" width="14.7109375" style="86" hidden="1" customWidth="1"/>
    <col min="30" max="30" width="12.140625" style="86" hidden="1" customWidth="1"/>
    <col min="31" max="31" width="14.7109375" style="86" hidden="1" customWidth="1"/>
    <col min="32" max="32" width="11.7109375" style="87" hidden="1" customWidth="1"/>
    <col min="33" max="33" width="18.7109375" style="87" hidden="1" customWidth="1"/>
    <col min="34" max="34" width="18.28515625" style="87" customWidth="1"/>
    <col min="35" max="35" width="17.7109375" style="86" customWidth="1"/>
    <col min="36" max="36" width="15.28515625" style="86" customWidth="1"/>
    <col min="37" max="37" width="18.28515625" style="86" customWidth="1"/>
    <col min="38" max="38" width="12.5703125" style="86" customWidth="1"/>
    <col min="39" max="39" width="17" style="86" customWidth="1"/>
    <col min="40" max="40" width="19.140625" style="86" customWidth="1"/>
    <col min="41" max="41" width="17" style="86" customWidth="1"/>
    <col min="42" max="42" width="16.42578125" style="86" customWidth="1"/>
    <col min="43" max="43" width="15.85546875" style="86" customWidth="1"/>
    <col min="44" max="44" width="12.85546875" style="86" customWidth="1"/>
    <col min="45" max="45" width="17.42578125" style="87" customWidth="1"/>
    <col min="46" max="46" width="17" style="86" customWidth="1"/>
    <col min="47" max="47" width="12.28515625" style="86" customWidth="1"/>
    <col min="48" max="48" width="16.28515625" style="86" customWidth="1"/>
    <col min="49" max="49" width="12.42578125" style="86" customWidth="1"/>
    <col min="50" max="50" width="16.5703125" style="85" customWidth="1"/>
    <col min="51" max="51" width="17.5703125" style="85" customWidth="1"/>
    <col min="52" max="52" width="13" style="85" customWidth="1"/>
    <col min="53" max="53" width="17.5703125" style="85" customWidth="1"/>
    <col min="54" max="54" width="12" style="85" customWidth="1"/>
    <col min="55" max="55" width="0.5703125" style="85" customWidth="1"/>
    <col min="56" max="16384" width="55" style="85"/>
  </cols>
  <sheetData>
    <row r="1" spans="1:55" ht="16.5">
      <c r="AQ1" s="132" t="s">
        <v>86</v>
      </c>
    </row>
    <row r="2" spans="1:55" ht="16.5">
      <c r="AQ2" s="132" t="s">
        <v>87</v>
      </c>
    </row>
    <row r="3" spans="1:55" ht="16.5">
      <c r="AQ3" s="132"/>
    </row>
    <row r="4" spans="1:55" ht="16.5">
      <c r="AQ4" s="132" t="s">
        <v>88</v>
      </c>
    </row>
    <row r="7" spans="1:55" ht="101.2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188" t="s">
        <v>69</v>
      </c>
      <c r="AI7" s="188"/>
      <c r="AJ7" s="188"/>
      <c r="AK7" s="188"/>
      <c r="AL7" s="188"/>
      <c r="AM7" s="188"/>
      <c r="AN7" s="188"/>
      <c r="AO7" s="188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</row>
    <row r="8" spans="1:55" ht="14.25" customHeight="1" thickBot="1">
      <c r="B8" s="90"/>
      <c r="C8" s="90"/>
      <c r="D8" s="90"/>
      <c r="E8" s="90"/>
      <c r="F8" s="90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S8" s="91"/>
      <c r="AR8" s="92" t="s">
        <v>0</v>
      </c>
      <c r="AW8" s="85"/>
      <c r="BB8" s="92"/>
    </row>
    <row r="9" spans="1:55" ht="30.75" customHeight="1" thickBot="1">
      <c r="A9" s="201"/>
      <c r="B9" s="93" t="s">
        <v>1</v>
      </c>
      <c r="C9" s="94" t="s">
        <v>2</v>
      </c>
      <c r="D9" s="203" t="s">
        <v>3</v>
      </c>
      <c r="E9" s="204"/>
      <c r="F9" s="203" t="s">
        <v>4</v>
      </c>
      <c r="G9" s="205"/>
      <c r="H9" s="204"/>
      <c r="I9" s="203" t="s">
        <v>5</v>
      </c>
      <c r="J9" s="204"/>
      <c r="K9" s="203" t="s">
        <v>6</v>
      </c>
      <c r="L9" s="204"/>
      <c r="M9" s="203" t="s">
        <v>7</v>
      </c>
      <c r="N9" s="204"/>
      <c r="O9" s="206" t="s">
        <v>8</v>
      </c>
      <c r="P9" s="207"/>
      <c r="Q9" s="206" t="s">
        <v>9</v>
      </c>
      <c r="R9" s="208"/>
      <c r="S9" s="208"/>
      <c r="T9" s="208"/>
      <c r="U9" s="194"/>
      <c r="V9" s="209" t="s">
        <v>10</v>
      </c>
      <c r="W9" s="208"/>
      <c r="X9" s="208"/>
      <c r="Y9" s="207"/>
      <c r="Z9" s="95" t="s">
        <v>11</v>
      </c>
      <c r="AA9" s="213" t="s">
        <v>53</v>
      </c>
      <c r="AB9" s="206" t="s">
        <v>55</v>
      </c>
      <c r="AC9" s="208"/>
      <c r="AD9" s="208"/>
      <c r="AE9" s="208"/>
      <c r="AF9" s="207"/>
      <c r="AG9" s="95" t="s">
        <v>57</v>
      </c>
      <c r="AH9" s="191" t="s">
        <v>12</v>
      </c>
      <c r="AI9" s="192"/>
      <c r="AJ9" s="192"/>
      <c r="AK9" s="192"/>
      <c r="AL9" s="193"/>
      <c r="AM9" s="133" t="s">
        <v>56</v>
      </c>
      <c r="AN9" s="203" t="s">
        <v>13</v>
      </c>
      <c r="AO9" s="205"/>
      <c r="AP9" s="205"/>
      <c r="AQ9" s="205"/>
      <c r="AR9" s="204"/>
      <c r="AS9" s="191" t="s">
        <v>58</v>
      </c>
      <c r="AT9" s="192"/>
      <c r="AU9" s="192"/>
      <c r="AV9" s="192"/>
      <c r="AW9" s="193"/>
      <c r="AX9" s="194" t="s">
        <v>63</v>
      </c>
      <c r="AY9" s="192"/>
      <c r="AZ9" s="192"/>
      <c r="BA9" s="192"/>
      <c r="BB9" s="193"/>
    </row>
    <row r="10" spans="1:55" ht="74.25" customHeight="1" thickBot="1">
      <c r="A10" s="202"/>
      <c r="B10" s="134" t="s">
        <v>14</v>
      </c>
      <c r="C10" s="135" t="s">
        <v>15</v>
      </c>
      <c r="D10" s="135" t="s">
        <v>16</v>
      </c>
      <c r="E10" s="135" t="s">
        <v>17</v>
      </c>
      <c r="F10" s="135" t="s">
        <v>16</v>
      </c>
      <c r="G10" s="136" t="s">
        <v>18</v>
      </c>
      <c r="H10" s="137" t="s">
        <v>19</v>
      </c>
      <c r="I10" s="136" t="s">
        <v>20</v>
      </c>
      <c r="J10" s="138" t="s">
        <v>21</v>
      </c>
      <c r="K10" s="139" t="s">
        <v>22</v>
      </c>
      <c r="L10" s="138" t="s">
        <v>21</v>
      </c>
      <c r="M10" s="136" t="s">
        <v>23</v>
      </c>
      <c r="N10" s="137" t="s">
        <v>24</v>
      </c>
      <c r="O10" s="140" t="s">
        <v>25</v>
      </c>
      <c r="P10" s="141" t="s">
        <v>26</v>
      </c>
      <c r="Q10" s="142" t="s">
        <v>27</v>
      </c>
      <c r="R10" s="143" t="s">
        <v>28</v>
      </c>
      <c r="S10" s="143" t="s">
        <v>29</v>
      </c>
      <c r="T10" s="143" t="s">
        <v>30</v>
      </c>
      <c r="U10" s="143" t="s">
        <v>31</v>
      </c>
      <c r="V10" s="143" t="s">
        <v>27</v>
      </c>
      <c r="W10" s="143" t="s">
        <v>28</v>
      </c>
      <c r="X10" s="143" t="s">
        <v>30</v>
      </c>
      <c r="Y10" s="144"/>
      <c r="Z10" s="145" t="s">
        <v>59</v>
      </c>
      <c r="AA10" s="214"/>
      <c r="AB10" s="142" t="s">
        <v>27</v>
      </c>
      <c r="AC10" s="143" t="s">
        <v>28</v>
      </c>
      <c r="AD10" s="143" t="s">
        <v>32</v>
      </c>
      <c r="AE10" s="143" t="s">
        <v>30</v>
      </c>
      <c r="AF10" s="144" t="s">
        <v>54</v>
      </c>
      <c r="AG10" s="145" t="s">
        <v>60</v>
      </c>
      <c r="AH10" s="140" t="s">
        <v>27</v>
      </c>
      <c r="AI10" s="143" t="s">
        <v>28</v>
      </c>
      <c r="AJ10" s="143" t="s">
        <v>29</v>
      </c>
      <c r="AK10" s="143" t="s">
        <v>30</v>
      </c>
      <c r="AL10" s="141" t="s">
        <v>33</v>
      </c>
      <c r="AM10" s="146" t="s">
        <v>67</v>
      </c>
      <c r="AN10" s="147" t="s">
        <v>27</v>
      </c>
      <c r="AO10" s="148" t="s">
        <v>28</v>
      </c>
      <c r="AP10" s="148" t="s">
        <v>29</v>
      </c>
      <c r="AQ10" s="148" t="s">
        <v>30</v>
      </c>
      <c r="AR10" s="149" t="s">
        <v>34</v>
      </c>
      <c r="AS10" s="140" t="s">
        <v>27</v>
      </c>
      <c r="AT10" s="143" t="s">
        <v>28</v>
      </c>
      <c r="AU10" s="143" t="s">
        <v>29</v>
      </c>
      <c r="AV10" s="143" t="s">
        <v>30</v>
      </c>
      <c r="AW10" s="141" t="s">
        <v>61</v>
      </c>
      <c r="AX10" s="142" t="s">
        <v>27</v>
      </c>
      <c r="AY10" s="143" t="s">
        <v>28</v>
      </c>
      <c r="AZ10" s="143" t="s">
        <v>29</v>
      </c>
      <c r="BA10" s="143" t="s">
        <v>30</v>
      </c>
      <c r="BB10" s="141" t="s">
        <v>61</v>
      </c>
    </row>
    <row r="11" spans="1:55" ht="28.9" customHeight="1">
      <c r="A11" s="150" t="s">
        <v>35</v>
      </c>
      <c r="B11" s="151"/>
      <c r="C11" s="152"/>
      <c r="D11" s="152"/>
      <c r="E11" s="152"/>
      <c r="F11" s="152"/>
      <c r="G11" s="152"/>
      <c r="H11" s="152"/>
      <c r="I11" s="215"/>
      <c r="J11" s="216"/>
      <c r="K11" s="152"/>
      <c r="L11" s="153"/>
      <c r="M11" s="153"/>
      <c r="N11" s="153"/>
      <c r="O11" s="153"/>
      <c r="P11" s="154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5"/>
      <c r="AC11" s="155"/>
      <c r="AD11" s="155"/>
      <c r="AE11" s="155"/>
      <c r="AF11" s="156"/>
      <c r="AG11" s="157"/>
      <c r="AH11" s="158"/>
      <c r="AI11" s="159"/>
      <c r="AJ11" s="160"/>
      <c r="AK11" s="159"/>
      <c r="AL11" s="161"/>
      <c r="AM11" s="162"/>
      <c r="AN11" s="163"/>
      <c r="AO11" s="164"/>
      <c r="AP11" s="165"/>
      <c r="AQ11" s="164"/>
      <c r="AR11" s="166"/>
      <c r="AS11" s="158"/>
      <c r="AT11" s="159"/>
      <c r="AU11" s="167"/>
      <c r="AV11" s="159"/>
      <c r="AW11" s="168"/>
      <c r="AX11" s="169"/>
      <c r="AY11" s="159"/>
      <c r="AZ11" s="167"/>
      <c r="BA11" s="159"/>
      <c r="BB11" s="168"/>
      <c r="BC11" s="85" t="s">
        <v>68</v>
      </c>
    </row>
    <row r="12" spans="1:55" ht="25.5" customHeight="1">
      <c r="A12" s="76" t="s">
        <v>78</v>
      </c>
      <c r="B12" s="1">
        <v>15037.3</v>
      </c>
      <c r="C12" s="2">
        <v>19769.599999999999</v>
      </c>
      <c r="D12" s="2">
        <v>44729</v>
      </c>
      <c r="E12" s="2">
        <v>24788.3</v>
      </c>
      <c r="F12" s="2"/>
      <c r="G12" s="37">
        <v>24788.3</v>
      </c>
      <c r="H12" s="19">
        <f>G12/E12*100</f>
        <v>100</v>
      </c>
      <c r="I12" s="170">
        <v>38190.800000000003</v>
      </c>
      <c r="J12" s="19">
        <f>I12/G12*100</f>
        <v>154.06784652436835</v>
      </c>
      <c r="K12" s="20">
        <v>41729</v>
      </c>
      <c r="L12" s="38">
        <f>K12/I12*100</f>
        <v>109.26453491416781</v>
      </c>
      <c r="M12" s="2">
        <v>47067.6</v>
      </c>
      <c r="N12" s="38">
        <f>M12/K12*100</f>
        <v>112.79350092261976</v>
      </c>
      <c r="O12" s="21">
        <f>57596.8+604.4</f>
        <v>58201.200000000004</v>
      </c>
      <c r="P12" s="14">
        <f>O12/M12</f>
        <v>1.2365448843790634</v>
      </c>
      <c r="Q12" s="5">
        <v>123212.2</v>
      </c>
      <c r="R12" s="5">
        <v>49149.7</v>
      </c>
      <c r="S12" s="3">
        <v>105.5</v>
      </c>
      <c r="T12" s="5">
        <f>Q12-R12</f>
        <v>74062.5</v>
      </c>
      <c r="U12" s="3">
        <f>T12/O12*100</f>
        <v>127.25253087565204</v>
      </c>
      <c r="V12" s="210">
        <v>132560.47099999999</v>
      </c>
      <c r="W12" s="210">
        <v>60013.67</v>
      </c>
      <c r="X12" s="210">
        <v>72222.84</v>
      </c>
      <c r="Y12" s="41"/>
      <c r="Z12" s="210">
        <f>80899.9-21230.9</f>
        <v>59668.999999999993</v>
      </c>
      <c r="AA12" s="210">
        <v>73725</v>
      </c>
      <c r="AB12" s="17">
        <f>Q12*1.045*1.036+56108.06</f>
        <v>189500.05196399998</v>
      </c>
      <c r="AC12" s="17">
        <f>R12*1.07*1.04</f>
        <v>54693.786159999996</v>
      </c>
      <c r="AD12" s="4">
        <f>AC12/R12*100</f>
        <v>111.28</v>
      </c>
      <c r="AE12" s="17">
        <f>AB12-AC12</f>
        <v>134806.265804</v>
      </c>
      <c r="AF12" s="220">
        <f>(AE12+AE14+AE15)/Z12</f>
        <v>2.4991025499002832</v>
      </c>
      <c r="AG12" s="223">
        <v>149118.99</v>
      </c>
      <c r="AH12" s="200">
        <f>AB12*1.04-56108.06+63616.61+AB14*1.04+AB15*1.04</f>
        <v>248787.11984399997</v>
      </c>
      <c r="AI12" s="196">
        <f>77381.24</f>
        <v>77381.240000000005</v>
      </c>
      <c r="AJ12" s="195">
        <f>AI12/AC12</f>
        <v>1.4148086178131942</v>
      </c>
      <c r="AK12" s="196">
        <f>AH12-AI12</f>
        <v>171405.87984399998</v>
      </c>
      <c r="AL12" s="199">
        <f>AK12/(AG12)</f>
        <v>1.1494570868807521</v>
      </c>
      <c r="AM12" s="217">
        <v>213589.6</v>
      </c>
      <c r="AN12" s="218">
        <v>293818.65000000002</v>
      </c>
      <c r="AO12" s="219">
        <v>68322.31</v>
      </c>
      <c r="AP12" s="195">
        <f>AO12/AI12</f>
        <v>0.88293118590500741</v>
      </c>
      <c r="AQ12" s="219">
        <f>AN12-AO12</f>
        <v>225496.34000000003</v>
      </c>
      <c r="AR12" s="199">
        <f>(AQ12+AQ16+AQ17)/AM12</f>
        <v>1.5452103473202814</v>
      </c>
      <c r="AS12" s="200">
        <f>AN12*1.04</f>
        <v>305571.39600000001</v>
      </c>
      <c r="AT12" s="196">
        <f>47291.55+11083.42+12299.09</f>
        <v>70674.06</v>
      </c>
      <c r="AU12" s="198">
        <f>AT12/AO12</f>
        <v>1.0344214064190744</v>
      </c>
      <c r="AV12" s="196">
        <f>AS12-AT12</f>
        <v>234897.33600000001</v>
      </c>
      <c r="AW12" s="199">
        <f>AV12/AQ12</f>
        <v>1.0416902376331252</v>
      </c>
      <c r="AX12" s="197">
        <f>AS12*1.0425</f>
        <v>318558.18033</v>
      </c>
      <c r="AY12" s="196">
        <f>11526.769+12791.05+48802.07</f>
        <v>73119.888999999996</v>
      </c>
      <c r="AZ12" s="198">
        <f>AY12/AT12</f>
        <v>1.0346071670426178</v>
      </c>
      <c r="BA12" s="196">
        <f>AX12-AY12</f>
        <v>245438.29133000001</v>
      </c>
      <c r="BB12" s="199">
        <f>BA12/AV12</f>
        <v>1.0448747334026811</v>
      </c>
    </row>
    <row r="13" spans="1:55" ht="25.5" hidden="1" customHeight="1" outlineLevel="1">
      <c r="A13" s="57" t="s">
        <v>36</v>
      </c>
      <c r="B13" s="1">
        <v>18284.400000000001</v>
      </c>
      <c r="C13" s="2">
        <v>15302</v>
      </c>
      <c r="D13" s="2">
        <v>23922.37</v>
      </c>
      <c r="E13" s="2">
        <v>17466.900000000001</v>
      </c>
      <c r="F13" s="2"/>
      <c r="G13" s="20">
        <v>17466.900000000001</v>
      </c>
      <c r="H13" s="19">
        <f>G13/E13*100</f>
        <v>100</v>
      </c>
      <c r="I13" s="20">
        <v>27103.9</v>
      </c>
      <c r="J13" s="19">
        <f>I13/G13*100</f>
        <v>155.1729270792184</v>
      </c>
      <c r="K13" s="20">
        <v>21887.7</v>
      </c>
      <c r="L13" s="38">
        <f>K13/I13*100</f>
        <v>80.754799124849185</v>
      </c>
      <c r="M13" s="38" t="s">
        <v>37</v>
      </c>
      <c r="N13" s="38" t="s">
        <v>37</v>
      </c>
      <c r="O13" s="21"/>
      <c r="P13" s="14" t="e">
        <f>O13/M13*100</f>
        <v>#VALUE!</v>
      </c>
      <c r="Q13" s="5"/>
      <c r="R13" s="5"/>
      <c r="S13" s="3">
        <v>107</v>
      </c>
      <c r="T13" s="5">
        <f>Q13-R13</f>
        <v>0</v>
      </c>
      <c r="U13" s="3" t="e">
        <f>T13/M13*100</f>
        <v>#VALUE!</v>
      </c>
      <c r="V13" s="211"/>
      <c r="W13" s="211"/>
      <c r="X13" s="211"/>
      <c r="Y13" s="41"/>
      <c r="Z13" s="211"/>
      <c r="AA13" s="211"/>
      <c r="AB13" s="17">
        <f>Q13*1.045*1.036</f>
        <v>0</v>
      </c>
      <c r="AC13" s="17">
        <f>R13*1.07*1.04</f>
        <v>0</v>
      </c>
      <c r="AD13" s="4" t="e">
        <f>AC13/R13*100</f>
        <v>#DIV/0!</v>
      </c>
      <c r="AE13" s="17">
        <f>AB13-AC13</f>
        <v>0</v>
      </c>
      <c r="AF13" s="221"/>
      <c r="AG13" s="224"/>
      <c r="AH13" s="200"/>
      <c r="AI13" s="196"/>
      <c r="AJ13" s="195"/>
      <c r="AK13" s="196"/>
      <c r="AL13" s="199"/>
      <c r="AM13" s="217"/>
      <c r="AN13" s="218"/>
      <c r="AO13" s="219"/>
      <c r="AP13" s="195"/>
      <c r="AQ13" s="219"/>
      <c r="AR13" s="199"/>
      <c r="AS13" s="200"/>
      <c r="AT13" s="196"/>
      <c r="AU13" s="198"/>
      <c r="AV13" s="196"/>
      <c r="AW13" s="199"/>
      <c r="AX13" s="197"/>
      <c r="AY13" s="196"/>
      <c r="AZ13" s="198"/>
      <c r="BA13" s="196"/>
      <c r="BB13" s="199"/>
    </row>
    <row r="14" spans="1:55" ht="46.15" customHeight="1" collapsed="1">
      <c r="A14" s="76" t="s">
        <v>38</v>
      </c>
      <c r="B14" s="1">
        <v>0</v>
      </c>
      <c r="C14" s="2">
        <v>0</v>
      </c>
      <c r="D14" s="2">
        <v>15000</v>
      </c>
      <c r="E14" s="2">
        <v>14035.4</v>
      </c>
      <c r="F14" s="2"/>
      <c r="G14" s="20">
        <v>14035.4</v>
      </c>
      <c r="H14" s="19">
        <f>G14/E14*100</f>
        <v>100</v>
      </c>
      <c r="I14" s="20" t="s">
        <v>37</v>
      </c>
      <c r="J14" s="19"/>
      <c r="K14" s="20">
        <v>5000</v>
      </c>
      <c r="L14" s="38" t="s">
        <v>37</v>
      </c>
      <c r="M14" s="2">
        <v>3399.8</v>
      </c>
      <c r="N14" s="38">
        <f>M14/K14*100</f>
        <v>67.995999999999995</v>
      </c>
      <c r="O14" s="21">
        <v>1467.8</v>
      </c>
      <c r="P14" s="14">
        <f>O14/M14</f>
        <v>0.4317312783104888</v>
      </c>
      <c r="Q14" s="5">
        <v>21025.9</v>
      </c>
      <c r="R14" s="5">
        <v>12664.4</v>
      </c>
      <c r="S14" s="3">
        <f>4700/4430*100</f>
        <v>106.09480812641084</v>
      </c>
      <c r="T14" s="5">
        <f>Q14-R14</f>
        <v>8361.5000000000018</v>
      </c>
      <c r="U14" s="3">
        <f>T14/O14*100</f>
        <v>569.66207930235737</v>
      </c>
      <c r="V14" s="211"/>
      <c r="W14" s="211"/>
      <c r="X14" s="211"/>
      <c r="Y14" s="41"/>
      <c r="Z14" s="211"/>
      <c r="AA14" s="211"/>
      <c r="AB14" s="17">
        <f>Q14*1.045*1.036</f>
        <v>22763.059858000001</v>
      </c>
      <c r="AC14" s="17">
        <f>R14*1.07*1.04</f>
        <v>14092.944320000002</v>
      </c>
      <c r="AD14" s="4">
        <f>AC14/R14*100</f>
        <v>111.28000000000003</v>
      </c>
      <c r="AE14" s="17">
        <f>AB14-AC14</f>
        <v>8670.1155379999982</v>
      </c>
      <c r="AF14" s="221"/>
      <c r="AG14" s="224"/>
      <c r="AH14" s="200"/>
      <c r="AI14" s="196"/>
      <c r="AJ14" s="195"/>
      <c r="AK14" s="196"/>
      <c r="AL14" s="199"/>
      <c r="AM14" s="217"/>
      <c r="AN14" s="218"/>
      <c r="AO14" s="219"/>
      <c r="AP14" s="195"/>
      <c r="AQ14" s="219"/>
      <c r="AR14" s="199"/>
      <c r="AS14" s="200"/>
      <c r="AT14" s="196"/>
      <c r="AU14" s="198"/>
      <c r="AV14" s="196"/>
      <c r="AW14" s="199"/>
      <c r="AX14" s="197"/>
      <c r="AY14" s="196"/>
      <c r="AZ14" s="198"/>
      <c r="BA14" s="196"/>
      <c r="BB14" s="199"/>
    </row>
    <row r="15" spans="1:55" ht="25.5" customHeight="1">
      <c r="A15" s="76" t="s">
        <v>39</v>
      </c>
      <c r="B15" s="1"/>
      <c r="C15" s="2"/>
      <c r="D15" s="2"/>
      <c r="E15" s="2"/>
      <c r="F15" s="2"/>
      <c r="G15" s="20"/>
      <c r="H15" s="19"/>
      <c r="I15" s="20"/>
      <c r="J15" s="19"/>
      <c r="K15" s="20"/>
      <c r="L15" s="38"/>
      <c r="M15" s="2"/>
      <c r="N15" s="38"/>
      <c r="O15" s="21" t="s">
        <v>37</v>
      </c>
      <c r="P15" s="14" t="s">
        <v>37</v>
      </c>
      <c r="Q15" s="5">
        <v>18229.400000000001</v>
      </c>
      <c r="R15" s="5">
        <v>12664.4</v>
      </c>
      <c r="S15" s="3">
        <f>4700/4430*100</f>
        <v>106.09480812641084</v>
      </c>
      <c r="T15" s="5">
        <f>Q15-R15</f>
        <v>5565.0000000000018</v>
      </c>
      <c r="U15" s="3" t="s">
        <v>37</v>
      </c>
      <c r="V15" s="212"/>
      <c r="W15" s="212"/>
      <c r="X15" s="212"/>
      <c r="Y15" s="41"/>
      <c r="Z15" s="212"/>
      <c r="AA15" s="212"/>
      <c r="AB15" s="17">
        <f>Q15*1.045*1.036</f>
        <v>19735.513028000001</v>
      </c>
      <c r="AC15" s="17">
        <f>R15*1.07*1.04</f>
        <v>14092.944320000002</v>
      </c>
      <c r="AD15" s="4">
        <f>AC15/R15*100</f>
        <v>111.28000000000003</v>
      </c>
      <c r="AE15" s="17">
        <f>AB15-AC15</f>
        <v>5642.5687079999989</v>
      </c>
      <c r="AF15" s="222"/>
      <c r="AG15" s="225"/>
      <c r="AH15" s="200"/>
      <c r="AI15" s="196"/>
      <c r="AJ15" s="195"/>
      <c r="AK15" s="196"/>
      <c r="AL15" s="199"/>
      <c r="AM15" s="217"/>
      <c r="AN15" s="218"/>
      <c r="AO15" s="219"/>
      <c r="AP15" s="195"/>
      <c r="AQ15" s="219"/>
      <c r="AR15" s="199"/>
      <c r="AS15" s="200"/>
      <c r="AT15" s="196"/>
      <c r="AU15" s="198"/>
      <c r="AV15" s="196"/>
      <c r="AW15" s="199"/>
      <c r="AX15" s="197"/>
      <c r="AY15" s="196"/>
      <c r="AZ15" s="198"/>
      <c r="BA15" s="196"/>
      <c r="BB15" s="199"/>
    </row>
    <row r="16" spans="1:55" ht="25.5" customHeight="1">
      <c r="A16" s="76" t="s">
        <v>72</v>
      </c>
      <c r="B16" s="1"/>
      <c r="C16" s="2"/>
      <c r="D16" s="2"/>
      <c r="E16" s="2"/>
      <c r="F16" s="2"/>
      <c r="G16" s="20"/>
      <c r="H16" s="19"/>
      <c r="I16" s="20"/>
      <c r="J16" s="19"/>
      <c r="K16" s="20"/>
      <c r="L16" s="38"/>
      <c r="M16" s="2"/>
      <c r="N16" s="38"/>
      <c r="O16" s="21"/>
      <c r="P16" s="14"/>
      <c r="Q16" s="5"/>
      <c r="R16" s="5"/>
      <c r="S16" s="3"/>
      <c r="T16" s="5"/>
      <c r="U16" s="3"/>
      <c r="V16" s="41"/>
      <c r="W16" s="41"/>
      <c r="X16" s="41"/>
      <c r="Y16" s="41"/>
      <c r="Z16" s="41"/>
      <c r="AA16" s="41"/>
      <c r="AB16" s="17"/>
      <c r="AC16" s="17"/>
      <c r="AD16" s="4"/>
      <c r="AE16" s="17"/>
      <c r="AF16" s="40"/>
      <c r="AG16" s="42"/>
      <c r="AH16" s="80"/>
      <c r="AI16" s="81"/>
      <c r="AJ16" s="79"/>
      <c r="AK16" s="81"/>
      <c r="AL16" s="84"/>
      <c r="AM16" s="217"/>
      <c r="AN16" s="77">
        <v>70682.62</v>
      </c>
      <c r="AO16" s="78">
        <v>36803.129999999997</v>
      </c>
      <c r="AP16" s="79"/>
      <c r="AQ16" s="78">
        <f>AN16-AO16</f>
        <v>33879.49</v>
      </c>
      <c r="AR16" s="199"/>
      <c r="AS16" s="80">
        <f>AN16*1.04</f>
        <v>73509.924799999993</v>
      </c>
      <c r="AT16" s="81">
        <f>AO16*1.04</f>
        <v>38275.2552</v>
      </c>
      <c r="AU16" s="83">
        <f>AT16/AO16</f>
        <v>1.04</v>
      </c>
      <c r="AV16" s="81">
        <f>AS16-AT16</f>
        <v>35234.669599999994</v>
      </c>
      <c r="AW16" s="84">
        <f>AV16/AQ16</f>
        <v>1.0399999999999998</v>
      </c>
      <c r="AX16" s="82">
        <f>AS16*1.045237</f>
        <v>76835.293268177586</v>
      </c>
      <c r="AY16" s="81">
        <f>AT16*1.04</f>
        <v>39806.265407999999</v>
      </c>
      <c r="AZ16" s="83">
        <f>AY16/AT16</f>
        <v>1.04</v>
      </c>
      <c r="BA16" s="81">
        <f>AX16-AY16</f>
        <v>37029.027860177586</v>
      </c>
      <c r="BB16" s="84">
        <f>BA16/AV16</f>
        <v>1.0509259283696417</v>
      </c>
    </row>
    <row r="17" spans="1:54" ht="25.5" customHeight="1">
      <c r="A17" s="76" t="s">
        <v>71</v>
      </c>
      <c r="B17" s="1"/>
      <c r="C17" s="2"/>
      <c r="D17" s="2"/>
      <c r="E17" s="2"/>
      <c r="F17" s="2"/>
      <c r="G17" s="20"/>
      <c r="H17" s="19"/>
      <c r="I17" s="20"/>
      <c r="J17" s="19"/>
      <c r="K17" s="20" t="s">
        <v>37</v>
      </c>
      <c r="L17" s="38" t="s">
        <v>37</v>
      </c>
      <c r="M17" s="2">
        <v>21352.9</v>
      </c>
      <c r="N17" s="38" t="s">
        <v>37</v>
      </c>
      <c r="O17" s="21">
        <v>21230.9</v>
      </c>
      <c r="P17" s="14">
        <f>O17/M17</f>
        <v>0.99428649035962324</v>
      </c>
      <c r="Q17" s="5">
        <f>'[1]Расчет субсидии'!$H$13</f>
        <v>39525.347176898591</v>
      </c>
      <c r="R17" s="5">
        <f>'[1]Расчет субсидии'!$H$14</f>
        <v>18740.909090909088</v>
      </c>
      <c r="S17" s="3">
        <f>4750/4500*100</f>
        <v>105.55555555555556</v>
      </c>
      <c r="T17" s="5">
        <f>Q17-R17</f>
        <v>20784.438085989503</v>
      </c>
      <c r="U17" s="3">
        <f>T17/O17*100</f>
        <v>97.897112632952442</v>
      </c>
      <c r="V17" s="41">
        <v>44673.517999999996</v>
      </c>
      <c r="W17" s="41">
        <v>13366.364</v>
      </c>
      <c r="X17" s="41">
        <v>29109.922999999999</v>
      </c>
      <c r="Y17" s="41"/>
      <c r="Z17" s="41">
        <v>21230.9</v>
      </c>
      <c r="AA17" s="41">
        <v>4452.8</v>
      </c>
      <c r="AB17" s="17">
        <f>Q17</f>
        <v>39525.347176898591</v>
      </c>
      <c r="AC17" s="17">
        <f>R17</f>
        <v>18740.909090909088</v>
      </c>
      <c r="AD17" s="4">
        <f>AC17/R17*100</f>
        <v>100</v>
      </c>
      <c r="AE17" s="17">
        <f>AB17-AC17</f>
        <v>20784.438085989503</v>
      </c>
      <c r="AF17" s="22">
        <f>AE17/X17</f>
        <v>0.71399838762849022</v>
      </c>
      <c r="AG17" s="29">
        <f>2340.102+18444.308</f>
        <v>20784.41</v>
      </c>
      <c r="AH17" s="80">
        <f>AB17*1.04</f>
        <v>41106.361063974538</v>
      </c>
      <c r="AI17" s="81">
        <v>13901.02</v>
      </c>
      <c r="AJ17" s="79">
        <f>AI17/AC17</f>
        <v>0.74174736842105271</v>
      </c>
      <c r="AK17" s="81">
        <f>AH17-AI17</f>
        <v>27205.341063974538</v>
      </c>
      <c r="AL17" s="84">
        <f>AK17/AG17</f>
        <v>1.3089301579392698</v>
      </c>
      <c r="AM17" s="217"/>
      <c r="AN17" s="77">
        <v>78707.61</v>
      </c>
      <c r="AO17" s="78">
        <v>8042.58</v>
      </c>
      <c r="AP17" s="79">
        <f>AO17/AI17</f>
        <v>0.57856042218484682</v>
      </c>
      <c r="AQ17" s="78">
        <f>AN17-AO17</f>
        <v>70665.03</v>
      </c>
      <c r="AR17" s="199"/>
      <c r="AS17" s="80">
        <f>AN17*1.04</f>
        <v>81855.914400000009</v>
      </c>
      <c r="AT17" s="81">
        <v>8364.2800000000007</v>
      </c>
      <c r="AU17" s="83">
        <f>AT17/AO17</f>
        <v>1.0399996021177285</v>
      </c>
      <c r="AV17" s="81">
        <f>AS17-AT17</f>
        <v>73491.63440000001</v>
      </c>
      <c r="AW17" s="84">
        <f>AV17/AQ17</f>
        <v>1.0400000452840679</v>
      </c>
      <c r="AX17" s="82">
        <f>AS17*1.0458</f>
        <v>85604.915279520021</v>
      </c>
      <c r="AY17" s="81">
        <v>8698.85</v>
      </c>
      <c r="AZ17" s="83">
        <f>AY17/AT17</f>
        <v>1.0399998565327799</v>
      </c>
      <c r="BA17" s="81">
        <f>AX17-AY17</f>
        <v>76906.065279520015</v>
      </c>
      <c r="BB17" s="84">
        <f>BA17/AV17</f>
        <v>1.0464601298827558</v>
      </c>
    </row>
    <row r="18" spans="1:54" ht="30.6" customHeight="1">
      <c r="A18" s="58" t="s">
        <v>40</v>
      </c>
      <c r="B18" s="1">
        <f>B12+B13+B14</f>
        <v>33321.699999999997</v>
      </c>
      <c r="C18" s="2">
        <f>C12+C13+C14</f>
        <v>35071.599999999999</v>
      </c>
      <c r="D18" s="2">
        <f>D12+D13+D14</f>
        <v>83651.37</v>
      </c>
      <c r="E18" s="2">
        <f>SUM(E12:E14)</f>
        <v>56290.6</v>
      </c>
      <c r="F18" s="2">
        <f>F12+F13+F14</f>
        <v>0</v>
      </c>
      <c r="G18" s="20">
        <f>G12+G13+G14</f>
        <v>56290.6</v>
      </c>
      <c r="H18" s="19">
        <f>G18/E18*100</f>
        <v>100</v>
      </c>
      <c r="I18" s="20">
        <f>SUM(I12:I14)+15346.6</f>
        <v>80641.3</v>
      </c>
      <c r="J18" s="19">
        <f>I18/G18*100</f>
        <v>143.2589100133948</v>
      </c>
      <c r="K18" s="20">
        <f>K12+K13+K14</f>
        <v>68616.7</v>
      </c>
      <c r="L18" s="38">
        <f>K18/I18*100</f>
        <v>85.088782050884589</v>
      </c>
      <c r="M18" s="2">
        <f>M12+M14+M17</f>
        <v>71820.3</v>
      </c>
      <c r="N18" s="38">
        <f>M18/K18*100</f>
        <v>104.66883426337905</v>
      </c>
      <c r="O18" s="21">
        <f>O12+O14+O17</f>
        <v>80899.900000000009</v>
      </c>
      <c r="P18" s="14">
        <f>O18/M18</f>
        <v>1.1264210815048115</v>
      </c>
      <c r="Q18" s="5">
        <f>Q12+Q14+Q15+Q17</f>
        <v>201992.84717689859</v>
      </c>
      <c r="R18" s="5">
        <f>R12+R14+R15+R17</f>
        <v>93219.409090909088</v>
      </c>
      <c r="S18" s="3">
        <f>R18/(R12/S12*100+R14/S14*100+R17/S17*100+R15/S15*100)*100</f>
        <v>105.67215373660299</v>
      </c>
      <c r="T18" s="5">
        <f>T12+T14+T15+T17</f>
        <v>108773.4380859895</v>
      </c>
      <c r="U18" s="3">
        <f>T18/O18*100</f>
        <v>134.45435419078328</v>
      </c>
      <c r="V18" s="5">
        <f>V12+V17</f>
        <v>177233.989</v>
      </c>
      <c r="W18" s="5">
        <f>W12+W17</f>
        <v>73380.034</v>
      </c>
      <c r="X18" s="5">
        <f>X12+X17</f>
        <v>101332.76299999999</v>
      </c>
      <c r="Y18" s="41"/>
      <c r="Z18" s="5">
        <v>80899.899999999994</v>
      </c>
      <c r="AA18" s="5">
        <f>AA12+AA17</f>
        <v>78177.8</v>
      </c>
      <c r="AB18" s="18">
        <f>AB12+AB14+AB15+AB17</f>
        <v>271523.97202689853</v>
      </c>
      <c r="AC18" s="18">
        <f>AC12+AC14+AC15+AC17</f>
        <v>101620.5838909091</v>
      </c>
      <c r="AD18" s="4">
        <f>AC18/R18*100</f>
        <v>109.01225923005696</v>
      </c>
      <c r="AE18" s="18">
        <f>AE12+AE14+AE15+AE17</f>
        <v>169903.38813598949</v>
      </c>
      <c r="AF18" s="40">
        <f>AE18/X18</f>
        <v>1.6766876092778551</v>
      </c>
      <c r="AG18" s="42">
        <f>AG12+AG17</f>
        <v>169903.4</v>
      </c>
      <c r="AH18" s="80">
        <f>AH12+AH14+AH15+AH17</f>
        <v>289893.48090797453</v>
      </c>
      <c r="AI18" s="81">
        <f>AI12+AI14+AI15+AI17</f>
        <v>91282.260000000009</v>
      </c>
      <c r="AJ18" s="79">
        <f>AI18/AC18</f>
        <v>0.89826545474283637</v>
      </c>
      <c r="AK18" s="81">
        <f>AK12+AK14+AK15+AK17</f>
        <v>198611.22090797452</v>
      </c>
      <c r="AL18" s="84">
        <f>AK18/AG18</f>
        <v>1.1689655469400526</v>
      </c>
      <c r="AM18" s="61">
        <f>AM12</f>
        <v>213589.6</v>
      </c>
      <c r="AN18" s="77">
        <v>443208.87</v>
      </c>
      <c r="AO18" s="78">
        <v>113168.02</v>
      </c>
      <c r="AP18" s="79">
        <f>AO18/AI18</f>
        <v>1.2397591821236678</v>
      </c>
      <c r="AQ18" s="78">
        <f>AQ12+AQ17+AQ16</f>
        <v>330040.86</v>
      </c>
      <c r="AR18" s="84">
        <f>AQ18/AM18</f>
        <v>1.5452103473202814</v>
      </c>
      <c r="AS18" s="77">
        <f>AS12+AS17+AS16</f>
        <v>460937.2352</v>
      </c>
      <c r="AT18" s="78">
        <f>AT12+AT17+AT16</f>
        <v>117313.5952</v>
      </c>
      <c r="AU18" s="83">
        <f>AT18/AO18</f>
        <v>1.0366320379202534</v>
      </c>
      <c r="AV18" s="78">
        <f>AV12+AV17+AV16</f>
        <v>343623.64</v>
      </c>
      <c r="AW18" s="84">
        <f>AV18/AQ18</f>
        <v>1.0411548436760225</v>
      </c>
      <c r="AX18" s="62">
        <f>AX12+AX17+AX16</f>
        <v>480998.38887769764</v>
      </c>
      <c r="AY18" s="78">
        <f>AY12+AY17+AY16</f>
        <v>121625.00440800001</v>
      </c>
      <c r="AZ18" s="83">
        <f>AY18/AT18</f>
        <v>1.0367511472191249</v>
      </c>
      <c r="BA18" s="78">
        <f>BA12+BA17+BA16</f>
        <v>359373.3844696976</v>
      </c>
      <c r="BB18" s="84">
        <f>BA18/AV18</f>
        <v>1.0458342868077923</v>
      </c>
    </row>
    <row r="19" spans="1:54" ht="28.5" customHeight="1">
      <c r="A19" s="59" t="s">
        <v>41</v>
      </c>
      <c r="B19" s="28"/>
      <c r="C19" s="23"/>
      <c r="D19" s="23"/>
      <c r="E19" s="23"/>
      <c r="F19" s="23"/>
      <c r="G19" s="23"/>
      <c r="H19" s="23"/>
      <c r="I19" s="24"/>
      <c r="J19" s="25"/>
      <c r="K19" s="23"/>
      <c r="L19" s="38"/>
      <c r="M19" s="38"/>
      <c r="N19" s="38"/>
      <c r="O19" s="171"/>
      <c r="P19" s="1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30"/>
      <c r="AH19" s="63"/>
      <c r="AI19" s="64"/>
      <c r="AJ19" s="65"/>
      <c r="AK19" s="64"/>
      <c r="AL19" s="66"/>
      <c r="AM19" s="67"/>
      <c r="AN19" s="68"/>
      <c r="AO19" s="69"/>
      <c r="AP19" s="70"/>
      <c r="AQ19" s="69"/>
      <c r="AR19" s="71"/>
      <c r="AS19" s="63"/>
      <c r="AT19" s="64"/>
      <c r="AU19" s="72"/>
      <c r="AV19" s="64"/>
      <c r="AW19" s="66"/>
      <c r="AX19" s="73"/>
      <c r="AY19" s="64"/>
      <c r="AZ19" s="72"/>
      <c r="BA19" s="64"/>
      <c r="BB19" s="66"/>
    </row>
    <row r="20" spans="1:54" ht="38.25" customHeight="1" thickBot="1">
      <c r="A20" s="60" t="s">
        <v>42</v>
      </c>
      <c r="B20" s="6">
        <v>58131.9</v>
      </c>
      <c r="C20" s="7">
        <v>48538.7</v>
      </c>
      <c r="D20" s="7">
        <v>199540</v>
      </c>
      <c r="E20" s="7">
        <v>48538.7</v>
      </c>
      <c r="F20" s="7">
        <v>199540</v>
      </c>
      <c r="G20" s="172">
        <v>48538.7</v>
      </c>
      <c r="H20" s="31">
        <f>G20/E20*100</f>
        <v>100</v>
      </c>
      <c r="I20" s="32">
        <v>100000</v>
      </c>
      <c r="J20" s="31">
        <f>I20/G20*100</f>
        <v>206.02117485635176</v>
      </c>
      <c r="K20" s="32">
        <v>170806.6</v>
      </c>
      <c r="L20" s="173">
        <f>K20/I20*100</f>
        <v>170.8066</v>
      </c>
      <c r="M20" s="7">
        <v>280228.5</v>
      </c>
      <c r="N20" s="173">
        <f>M20/K20*100</f>
        <v>164.06186880366448</v>
      </c>
      <c r="O20" s="174">
        <v>298069</v>
      </c>
      <c r="P20" s="175">
        <f>O20/M20</f>
        <v>1.0636641169616938</v>
      </c>
      <c r="Q20" s="9">
        <f>463323*3267.078/3160.9*1.075*1.055</f>
        <v>543117.16700544779</v>
      </c>
      <c r="R20" s="9">
        <f>[2]Доходы!$D$26/1000*1.1</f>
        <v>211742.22410000002</v>
      </c>
      <c r="S20" s="10">
        <v>110</v>
      </c>
      <c r="T20" s="9">
        <f>Q20-R20</f>
        <v>331374.9429054478</v>
      </c>
      <c r="U20" s="10">
        <f>T20/O20*100</f>
        <v>111.17390366171853</v>
      </c>
      <c r="V20" s="11">
        <f>W20+X20</f>
        <v>483767.2</v>
      </c>
      <c r="W20" s="11">
        <v>194522.7</v>
      </c>
      <c r="X20" s="11">
        <v>289244.5</v>
      </c>
      <c r="Y20" s="10"/>
      <c r="Z20" s="9">
        <v>278446.2</v>
      </c>
      <c r="AA20" s="9">
        <v>278446.2</v>
      </c>
      <c r="AB20" s="12">
        <f>498133.2+540683.2-520277.7</f>
        <v>518538.6999999999</v>
      </c>
      <c r="AC20" s="12">
        <v>200060.6</v>
      </c>
      <c r="AD20" s="8">
        <v>104</v>
      </c>
      <c r="AE20" s="12">
        <f>AB20-AC20</f>
        <v>318478.09999999986</v>
      </c>
      <c r="AF20" s="33">
        <f>AE20/X20</f>
        <v>1.101068818940377</v>
      </c>
      <c r="AG20" s="34">
        <v>259945.3</v>
      </c>
      <c r="AH20" s="49">
        <v>607980.54</v>
      </c>
      <c r="AI20" s="50">
        <v>215389.12</v>
      </c>
      <c r="AJ20" s="51">
        <f>AI20/AC20</f>
        <v>1.076619384326549</v>
      </c>
      <c r="AK20" s="50">
        <f>AH20-AI20+28952.04</f>
        <v>421543.46</v>
      </c>
      <c r="AL20" s="52">
        <f>AK20/AG20</f>
        <v>1.6216621727725027</v>
      </c>
      <c r="AM20" s="74">
        <v>420843.5</v>
      </c>
      <c r="AN20" s="54">
        <v>670014.55000000005</v>
      </c>
      <c r="AO20" s="55">
        <v>220698.92</v>
      </c>
      <c r="AP20" s="51">
        <f>AO20/AI20</f>
        <v>1.0246521272755096</v>
      </c>
      <c r="AQ20" s="55">
        <f>AN20-AO20+28952.04</f>
        <v>478267.67</v>
      </c>
      <c r="AR20" s="52">
        <f>AQ20/AM20</f>
        <v>1.1364501768472128</v>
      </c>
      <c r="AS20" s="49">
        <v>614205.63</v>
      </c>
      <c r="AT20" s="50">
        <v>228386.1</v>
      </c>
      <c r="AU20" s="56">
        <f>AT20/AO20</f>
        <v>1.0348310721230534</v>
      </c>
      <c r="AV20" s="50">
        <f>AS20-AT20+28952.04</f>
        <v>414771.57</v>
      </c>
      <c r="AW20" s="52">
        <f>AV20/AQ20</f>
        <v>0.86723731503741408</v>
      </c>
      <c r="AX20" s="75">
        <v>638189.63</v>
      </c>
      <c r="AY20" s="50">
        <v>236073.28</v>
      </c>
      <c r="AZ20" s="56">
        <f>AY20/AT20</f>
        <v>1.0336587033974485</v>
      </c>
      <c r="BA20" s="50">
        <f>AX20-AY20+28952.04</f>
        <v>431068.38999999996</v>
      </c>
      <c r="BB20" s="52">
        <f>BA20/AV20</f>
        <v>1.0392910729151468</v>
      </c>
    </row>
    <row r="21" spans="1:54" s="181" customFormat="1" ht="41.25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7"/>
      <c r="W21" s="177"/>
      <c r="X21" s="177"/>
      <c r="Y21" s="177"/>
      <c r="Z21" s="177"/>
      <c r="AA21" s="177"/>
      <c r="AB21" s="178"/>
      <c r="AC21" s="178"/>
      <c r="AD21" s="178"/>
      <c r="AE21" s="179"/>
      <c r="AF21" s="180"/>
      <c r="AG21" s="180"/>
      <c r="AH21" s="176" t="s">
        <v>62</v>
      </c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</row>
    <row r="22" spans="1:54" s="183" customFormat="1" ht="39.75" customHeight="1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9" t="s">
        <v>73</v>
      </c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</row>
    <row r="23" spans="1:54" s="183" customFormat="1" ht="135.75" customHeight="1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9" t="s">
        <v>74</v>
      </c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</row>
    <row r="24" spans="1:54">
      <c r="A24" s="184"/>
      <c r="B24" s="185"/>
      <c r="C24" s="185"/>
      <c r="D24" s="185"/>
      <c r="E24" s="185"/>
      <c r="F24" s="185"/>
    </row>
    <row r="25" spans="1:54">
      <c r="A25" s="97"/>
      <c r="B25" s="97"/>
      <c r="C25" s="97"/>
      <c r="D25" s="97"/>
      <c r="E25" s="97"/>
      <c r="F25" s="97"/>
    </row>
    <row r="26" spans="1:54">
      <c r="A26" s="186"/>
      <c r="B26" s="185"/>
      <c r="C26" s="185"/>
      <c r="D26" s="185"/>
      <c r="E26" s="185"/>
      <c r="F26" s="185"/>
    </row>
    <row r="27" spans="1:54">
      <c r="A27" s="186"/>
      <c r="B27" s="185"/>
      <c r="C27" s="185"/>
      <c r="D27" s="185"/>
      <c r="E27" s="185"/>
      <c r="F27" s="185"/>
    </row>
    <row r="29" spans="1:54">
      <c r="A29" s="187"/>
      <c r="B29" s="187"/>
      <c r="C29" s="187"/>
      <c r="D29" s="187"/>
      <c r="E29" s="187"/>
      <c r="F29" s="187"/>
    </row>
    <row r="30" spans="1:54">
      <c r="A30" s="129"/>
      <c r="B30" s="129"/>
      <c r="C30" s="129"/>
      <c r="D30" s="129"/>
      <c r="E30" s="129"/>
      <c r="F30" s="129"/>
    </row>
    <row r="32" spans="1:54">
      <c r="A32" s="130"/>
      <c r="B32" s="130"/>
      <c r="C32" s="130"/>
      <c r="D32" s="130"/>
      <c r="E32" s="130"/>
      <c r="F32" s="130"/>
    </row>
  </sheetData>
  <mergeCells count="47">
    <mergeCell ref="AV12:AV15"/>
    <mergeCell ref="AW12:AW15"/>
    <mergeCell ref="AL12:AL15"/>
    <mergeCell ref="AM12:AM17"/>
    <mergeCell ref="AB9:AF9"/>
    <mergeCell ref="AH9:AL9"/>
    <mergeCell ref="AN9:AR9"/>
    <mergeCell ref="AN12:AN15"/>
    <mergeCell ref="AO12:AO15"/>
    <mergeCell ref="AP12:AP15"/>
    <mergeCell ref="AQ12:AQ15"/>
    <mergeCell ref="AF12:AF15"/>
    <mergeCell ref="AG12:AG15"/>
    <mergeCell ref="AH12:AH15"/>
    <mergeCell ref="AI12:AI15"/>
    <mergeCell ref="I11:J11"/>
    <mergeCell ref="V12:V15"/>
    <mergeCell ref="W12:W15"/>
    <mergeCell ref="X12:X15"/>
    <mergeCell ref="Z12:Z15"/>
    <mergeCell ref="M9:N9"/>
    <mergeCell ref="O9:P9"/>
    <mergeCell ref="Q9:U9"/>
    <mergeCell ref="V9:Y9"/>
    <mergeCell ref="AA12:AA15"/>
    <mergeCell ref="AA9:AA10"/>
    <mergeCell ref="A9:A10"/>
    <mergeCell ref="D9:E9"/>
    <mergeCell ref="F9:H9"/>
    <mergeCell ref="I9:J9"/>
    <mergeCell ref="K9:L9"/>
    <mergeCell ref="AH7:AO7"/>
    <mergeCell ref="AH22:AR22"/>
    <mergeCell ref="AH23:AR23"/>
    <mergeCell ref="AS9:AW9"/>
    <mergeCell ref="AX9:BB9"/>
    <mergeCell ref="AJ12:AJ15"/>
    <mergeCell ref="AK12:AK15"/>
    <mergeCell ref="AX12:AX15"/>
    <mergeCell ref="AY12:AY15"/>
    <mergeCell ref="AZ12:AZ15"/>
    <mergeCell ref="BA12:BA15"/>
    <mergeCell ref="BB12:BB15"/>
    <mergeCell ref="AR12:AR17"/>
    <mergeCell ref="AS12:AS15"/>
    <mergeCell ref="AT12:AT15"/>
    <mergeCell ref="AU12:AU15"/>
  </mergeCells>
  <printOptions horizontalCentered="1"/>
  <pageMargins left="0.47244094488188981" right="0.47244094488188981" top="0.74803149606299213" bottom="0.74803149606299213" header="0.31496062992125984" footer="0.31496062992125984"/>
  <pageSetup paperSize="9" scale="55" fitToWidth="0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31"/>
  <sheetViews>
    <sheetView view="pageBreakPreview" zoomScale="60" zoomScaleNormal="49" workbookViewId="0">
      <selection activeCell="A9" sqref="A9"/>
    </sheetView>
  </sheetViews>
  <sheetFormatPr defaultColWidth="55" defaultRowHeight="15.75" outlineLevelCol="1"/>
  <cols>
    <col min="1" max="1" width="92.42578125" style="85" customWidth="1"/>
    <col min="2" max="2" width="2.5703125" style="85" hidden="1" customWidth="1" outlineLevel="1"/>
    <col min="3" max="3" width="3.28515625" style="85" hidden="1" customWidth="1" outlineLevel="1"/>
    <col min="4" max="4" width="16.5703125" style="85" hidden="1" customWidth="1" outlineLevel="1"/>
    <col min="5" max="5" width="18.28515625" style="85" hidden="1" customWidth="1" outlineLevel="1"/>
    <col min="6" max="6" width="14.7109375" style="85" hidden="1" customWidth="1" outlineLevel="1"/>
    <col min="7" max="7" width="17.28515625" style="85" hidden="1" customWidth="1" outlineLevel="1"/>
    <col min="8" max="8" width="10" style="85" hidden="1" customWidth="1" outlineLevel="1"/>
    <col min="9" max="9" width="17.140625" style="85" hidden="1" customWidth="1" outlineLevel="1"/>
    <col min="10" max="10" width="10" style="85" hidden="1" customWidth="1" outlineLevel="1"/>
    <col min="11" max="11" width="17.140625" style="85" hidden="1" customWidth="1" outlineLevel="1"/>
    <col min="12" max="12" width="10.28515625" style="85" hidden="1" customWidth="1" outlineLevel="1"/>
    <col min="13" max="13" width="17.140625" style="85" hidden="1" customWidth="1" outlineLevel="1"/>
    <col min="14" max="14" width="10.28515625" style="85" hidden="1" customWidth="1" outlineLevel="1"/>
    <col min="15" max="15" width="17.140625" style="85" hidden="1" customWidth="1" outlineLevel="1" collapsed="1"/>
    <col min="16" max="16" width="23.5703125" style="85" hidden="1" customWidth="1" outlineLevel="1"/>
    <col min="17" max="17" width="13.140625" style="85" hidden="1" customWidth="1" outlineLevel="1"/>
    <col min="18" max="18" width="12.28515625" style="85" hidden="1" customWidth="1" outlineLevel="1"/>
    <col min="19" max="19" width="12.140625" style="85" hidden="1" customWidth="1" outlineLevel="1"/>
    <col min="20" max="20" width="11.28515625" style="85" hidden="1" customWidth="1" outlineLevel="1"/>
    <col min="21" max="21" width="9.42578125" style="85" hidden="1" customWidth="1" outlineLevel="1"/>
    <col min="22" max="22" width="13.42578125" style="85" hidden="1" customWidth="1" outlineLevel="1"/>
    <col min="23" max="23" width="12.5703125" style="85" hidden="1" customWidth="1" outlineLevel="1"/>
    <col min="24" max="24" width="13.28515625" style="85" hidden="1" customWidth="1" outlineLevel="1"/>
    <col min="25" max="25" width="7.5703125" style="85" hidden="1" customWidth="1" outlineLevel="1" collapsed="1"/>
    <col min="26" max="26" width="17.85546875" style="85" hidden="1" customWidth="1"/>
    <col min="27" max="27" width="17" style="85" hidden="1" customWidth="1"/>
    <col min="28" max="28" width="14.85546875" style="86" hidden="1" customWidth="1"/>
    <col min="29" max="29" width="14.7109375" style="86" hidden="1" customWidth="1"/>
    <col min="30" max="30" width="12.140625" style="86" hidden="1" customWidth="1"/>
    <col min="31" max="31" width="14.7109375" style="86" hidden="1" customWidth="1"/>
    <col min="32" max="32" width="11.7109375" style="87" hidden="1" customWidth="1"/>
    <col min="33" max="33" width="18.7109375" style="87" hidden="1" customWidth="1"/>
    <col min="34" max="34" width="17" style="87" customWidth="1"/>
    <col min="35" max="35" width="16" style="86" customWidth="1"/>
    <col min="36" max="36" width="14.7109375" style="86" hidden="1" customWidth="1"/>
    <col min="37" max="37" width="16.42578125" style="86" customWidth="1"/>
    <col min="38" max="38" width="12.5703125" style="86" hidden="1" customWidth="1"/>
    <col min="39" max="39" width="17" style="86" customWidth="1"/>
    <col min="40" max="40" width="15.85546875" style="86" customWidth="1"/>
    <col min="41" max="41" width="15.5703125" style="86" customWidth="1"/>
    <col min="42" max="42" width="16.7109375" style="86" customWidth="1"/>
    <col min="43" max="43" width="15.85546875" style="86" customWidth="1"/>
    <col min="44" max="44" width="12.85546875" style="86" customWidth="1"/>
    <col min="45" max="45" width="16.140625" style="87" customWidth="1"/>
    <col min="46" max="46" width="14.42578125" style="86" customWidth="1"/>
    <col min="47" max="47" width="15.7109375" style="86" customWidth="1"/>
    <col min="48" max="49" width="15.5703125" style="86" customWidth="1"/>
    <col min="50" max="50" width="18.28515625" style="85" customWidth="1"/>
    <col min="51" max="52" width="15.7109375" style="85" customWidth="1"/>
    <col min="53" max="53" width="14.5703125" style="85" customWidth="1"/>
    <col min="54" max="54" width="12" style="85" customWidth="1"/>
    <col min="55" max="16384" width="55" style="85"/>
  </cols>
  <sheetData>
    <row r="1" spans="1:54" ht="16.5">
      <c r="AQ1" s="88" t="s">
        <v>89</v>
      </c>
    </row>
    <row r="2" spans="1:54" ht="18.75" customHeight="1">
      <c r="AQ2" s="88" t="s">
        <v>90</v>
      </c>
    </row>
    <row r="3" spans="1:54" ht="80.2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188" t="s">
        <v>75</v>
      </c>
      <c r="AI3" s="188"/>
      <c r="AJ3" s="188"/>
      <c r="AK3" s="188"/>
      <c r="AL3" s="188"/>
      <c r="AM3" s="188"/>
      <c r="AN3" s="188"/>
      <c r="AO3" s="188"/>
      <c r="AP3" s="227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</row>
    <row r="4" spans="1:54" ht="10.5" customHeight="1" thickBot="1">
      <c r="B4" s="90"/>
      <c r="C4" s="90"/>
      <c r="D4" s="90"/>
      <c r="E4" s="90"/>
      <c r="F4" s="90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S4" s="91"/>
      <c r="AW4" s="85"/>
      <c r="BB4" s="92" t="s">
        <v>0</v>
      </c>
    </row>
    <row r="5" spans="1:54" ht="36.75" customHeight="1" thickBot="1">
      <c r="A5" s="201"/>
      <c r="B5" s="93" t="s">
        <v>1</v>
      </c>
      <c r="C5" s="94" t="s">
        <v>2</v>
      </c>
      <c r="D5" s="203" t="s">
        <v>3</v>
      </c>
      <c r="E5" s="204"/>
      <c r="F5" s="203" t="s">
        <v>4</v>
      </c>
      <c r="G5" s="205"/>
      <c r="H5" s="205"/>
      <c r="I5" s="203" t="s">
        <v>5</v>
      </c>
      <c r="J5" s="204"/>
      <c r="K5" s="205" t="s">
        <v>6</v>
      </c>
      <c r="L5" s="204"/>
      <c r="M5" s="203" t="s">
        <v>7</v>
      </c>
      <c r="N5" s="205"/>
      <c r="O5" s="191" t="s">
        <v>8</v>
      </c>
      <c r="P5" s="193"/>
      <c r="Q5" s="194" t="s">
        <v>9</v>
      </c>
      <c r="R5" s="192"/>
      <c r="S5" s="192"/>
      <c r="T5" s="192"/>
      <c r="U5" s="192"/>
      <c r="V5" s="192" t="s">
        <v>10</v>
      </c>
      <c r="W5" s="192"/>
      <c r="X5" s="192"/>
      <c r="Y5" s="209"/>
      <c r="Z5" s="95" t="s">
        <v>11</v>
      </c>
      <c r="AA5" s="213" t="s">
        <v>53</v>
      </c>
      <c r="AB5" s="194" t="s">
        <v>55</v>
      </c>
      <c r="AC5" s="192"/>
      <c r="AD5" s="192"/>
      <c r="AE5" s="192"/>
      <c r="AF5" s="209"/>
      <c r="AG5" s="95" t="s">
        <v>57</v>
      </c>
      <c r="AH5" s="191" t="s">
        <v>12</v>
      </c>
      <c r="AI5" s="192"/>
      <c r="AJ5" s="192"/>
      <c r="AK5" s="192"/>
      <c r="AL5" s="193"/>
      <c r="AM5" s="96" t="s">
        <v>56</v>
      </c>
      <c r="AN5" s="203" t="s">
        <v>13</v>
      </c>
      <c r="AO5" s="205"/>
      <c r="AP5" s="205"/>
      <c r="AQ5" s="205"/>
      <c r="AR5" s="204"/>
      <c r="AS5" s="191" t="s">
        <v>58</v>
      </c>
      <c r="AT5" s="192"/>
      <c r="AU5" s="192"/>
      <c r="AV5" s="192"/>
      <c r="AW5" s="193"/>
      <c r="AX5" s="191" t="s">
        <v>63</v>
      </c>
      <c r="AY5" s="192"/>
      <c r="AZ5" s="192"/>
      <c r="BA5" s="192"/>
      <c r="BB5" s="193"/>
    </row>
    <row r="6" spans="1:54" ht="41.25" customHeight="1">
      <c r="A6" s="226"/>
      <c r="B6" s="97" t="s">
        <v>14</v>
      </c>
      <c r="C6" s="98" t="s">
        <v>15</v>
      </c>
      <c r="D6" s="98" t="s">
        <v>16</v>
      </c>
      <c r="E6" s="98" t="s">
        <v>17</v>
      </c>
      <c r="F6" s="98" t="s">
        <v>16</v>
      </c>
      <c r="G6" s="99" t="s">
        <v>18</v>
      </c>
      <c r="H6" s="100" t="s">
        <v>19</v>
      </c>
      <c r="I6" s="99" t="s">
        <v>20</v>
      </c>
      <c r="J6" s="101" t="s">
        <v>21</v>
      </c>
      <c r="K6" s="102" t="s">
        <v>22</v>
      </c>
      <c r="L6" s="101" t="s">
        <v>21</v>
      </c>
      <c r="M6" s="99" t="s">
        <v>23</v>
      </c>
      <c r="N6" s="100" t="s">
        <v>24</v>
      </c>
      <c r="O6" s="103" t="s">
        <v>25</v>
      </c>
      <c r="P6" s="104" t="s">
        <v>26</v>
      </c>
      <c r="Q6" s="105" t="s">
        <v>27</v>
      </c>
      <c r="R6" s="106" t="s">
        <v>28</v>
      </c>
      <c r="S6" s="106" t="s">
        <v>29</v>
      </c>
      <c r="T6" s="106" t="s">
        <v>30</v>
      </c>
      <c r="U6" s="106" t="s">
        <v>31</v>
      </c>
      <c r="V6" s="106" t="s">
        <v>27</v>
      </c>
      <c r="W6" s="106" t="s">
        <v>28</v>
      </c>
      <c r="X6" s="106" t="s">
        <v>30</v>
      </c>
      <c r="Y6" s="107"/>
      <c r="Z6" s="108" t="s">
        <v>59</v>
      </c>
      <c r="AA6" s="228"/>
      <c r="AB6" s="105" t="s">
        <v>27</v>
      </c>
      <c r="AC6" s="106" t="s">
        <v>28</v>
      </c>
      <c r="AD6" s="106" t="s">
        <v>32</v>
      </c>
      <c r="AE6" s="106" t="s">
        <v>30</v>
      </c>
      <c r="AF6" s="107" t="s">
        <v>54</v>
      </c>
      <c r="AG6" s="108" t="s">
        <v>60</v>
      </c>
      <c r="AH6" s="103" t="s">
        <v>27</v>
      </c>
      <c r="AI6" s="106" t="s">
        <v>28</v>
      </c>
      <c r="AJ6" s="106" t="s">
        <v>29</v>
      </c>
      <c r="AK6" s="106" t="s">
        <v>30</v>
      </c>
      <c r="AL6" s="104" t="s">
        <v>33</v>
      </c>
      <c r="AM6" s="109" t="s">
        <v>79</v>
      </c>
      <c r="AN6" s="110" t="s">
        <v>27</v>
      </c>
      <c r="AO6" s="111" t="s">
        <v>28</v>
      </c>
      <c r="AP6" s="111" t="s">
        <v>29</v>
      </c>
      <c r="AQ6" s="111" t="s">
        <v>30</v>
      </c>
      <c r="AR6" s="112" t="s">
        <v>34</v>
      </c>
      <c r="AS6" s="103" t="s">
        <v>27</v>
      </c>
      <c r="AT6" s="106" t="s">
        <v>28</v>
      </c>
      <c r="AU6" s="106" t="s">
        <v>29</v>
      </c>
      <c r="AV6" s="106" t="s">
        <v>30</v>
      </c>
      <c r="AW6" s="104" t="s">
        <v>61</v>
      </c>
      <c r="AX6" s="103" t="s">
        <v>27</v>
      </c>
      <c r="AY6" s="106" t="s">
        <v>28</v>
      </c>
      <c r="AZ6" s="106" t="s">
        <v>29</v>
      </c>
      <c r="BA6" s="106" t="s">
        <v>30</v>
      </c>
      <c r="BB6" s="104" t="s">
        <v>61</v>
      </c>
    </row>
    <row r="7" spans="1:54" ht="36.6" customHeight="1">
      <c r="A7" s="113" t="s">
        <v>76</v>
      </c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6"/>
      <c r="AH7" s="117">
        <v>86418.324373197538</v>
      </c>
      <c r="AI7" s="118">
        <v>20869.082697176244</v>
      </c>
      <c r="AJ7" s="119"/>
      <c r="AK7" s="118">
        <v>65549.24167602128</v>
      </c>
      <c r="AL7" s="120"/>
      <c r="AM7" s="121">
        <v>65549.24167602128</v>
      </c>
      <c r="AN7" s="117">
        <v>107862.51699999999</v>
      </c>
      <c r="AO7" s="118">
        <v>20981.96</v>
      </c>
      <c r="AP7" s="122">
        <v>1.0054088291498806</v>
      </c>
      <c r="AQ7" s="118">
        <v>86880.557000000001</v>
      </c>
      <c r="AR7" s="84">
        <v>1.3254242883450775</v>
      </c>
      <c r="AS7" s="117">
        <v>110947.62299999999</v>
      </c>
      <c r="AT7" s="118">
        <v>21821.200000000001</v>
      </c>
      <c r="AU7" s="123">
        <v>1.0399981698563909</v>
      </c>
      <c r="AV7" s="118">
        <v>89126.422999999995</v>
      </c>
      <c r="AW7" s="84">
        <v>1.025850041454039</v>
      </c>
      <c r="AX7" s="117">
        <v>114849.67600000001</v>
      </c>
      <c r="AY7" s="118">
        <v>22694.059999999998</v>
      </c>
      <c r="AZ7" s="123">
        <v>1.0400005499239271</v>
      </c>
      <c r="BA7" s="118">
        <v>92155.615999999995</v>
      </c>
      <c r="BB7" s="84">
        <v>1.0339875975949355</v>
      </c>
    </row>
    <row r="8" spans="1:54" s="87" customFormat="1" ht="37.9" customHeight="1">
      <c r="A8" s="45" t="s">
        <v>43</v>
      </c>
      <c r="B8" s="1">
        <v>3459.6</v>
      </c>
      <c r="C8" s="2">
        <v>3502.6</v>
      </c>
      <c r="D8" s="2">
        <v>5047.8</v>
      </c>
      <c r="E8" s="2">
        <v>5344.1</v>
      </c>
      <c r="F8" s="2"/>
      <c r="G8" s="37">
        <v>4509.1000000000004</v>
      </c>
      <c r="H8" s="19">
        <f>G8/E8*100</f>
        <v>84.375292378510878</v>
      </c>
      <c r="I8" s="20">
        <v>4746.6000000000004</v>
      </c>
      <c r="J8" s="19">
        <f>I8/G8*100</f>
        <v>105.26712647756757</v>
      </c>
      <c r="K8" s="20">
        <v>6523.8</v>
      </c>
      <c r="L8" s="38">
        <f>K8/I8*100</f>
        <v>137.44153710024017</v>
      </c>
      <c r="M8" s="2">
        <v>6686.4</v>
      </c>
      <c r="N8" s="38">
        <f>M8/K8*100</f>
        <v>102.49241239768232</v>
      </c>
      <c r="O8" s="39">
        <v>7174.1</v>
      </c>
      <c r="P8" s="14">
        <f>O8/M8</f>
        <v>1.0729391002632209</v>
      </c>
      <c r="Q8" s="15">
        <f>[3]Свод!$AK$31</f>
        <v>9677.3529327128963</v>
      </c>
      <c r="R8" s="15">
        <f>[3]Свод!$AK$12</f>
        <v>1725.2414999999999</v>
      </c>
      <c r="S8" s="13">
        <f>[3]Свод!$AS$75</f>
        <v>105.5</v>
      </c>
      <c r="T8" s="15">
        <f>Q8-R8</f>
        <v>7952.1114327128962</v>
      </c>
      <c r="U8" s="13">
        <f>T8/O8*100</f>
        <v>110.84472522982529</v>
      </c>
      <c r="V8" s="16">
        <f>1583.4771+8024.1</f>
        <v>9607.5771000000004</v>
      </c>
      <c r="W8" s="16">
        <v>1583.4771000000001</v>
      </c>
      <c r="X8" s="17">
        <f>V8-W8</f>
        <v>8024.1</v>
      </c>
      <c r="Y8" s="16"/>
      <c r="Z8" s="16">
        <v>7952.1</v>
      </c>
      <c r="AA8" s="16">
        <v>7952.1</v>
      </c>
      <c r="AB8" s="18">
        <f>V8*1.045*1.036</f>
        <v>10401.355120001999</v>
      </c>
      <c r="AC8" s="18">
        <f>W8*1.1*1.04</f>
        <v>1811.4978024000004</v>
      </c>
      <c r="AD8" s="4">
        <f>AC8/R8*100</f>
        <v>104.9996654033653</v>
      </c>
      <c r="AE8" s="18">
        <f>AB8-AC8</f>
        <v>8589.8573176019981</v>
      </c>
      <c r="AF8" s="40">
        <f>AE8/Z8</f>
        <v>1.0801998613702037</v>
      </c>
      <c r="AG8" s="42">
        <v>8589.857</v>
      </c>
      <c r="AH8" s="80">
        <v>10817.40932480208</v>
      </c>
      <c r="AI8" s="81">
        <v>1296.72</v>
      </c>
      <c r="AJ8" s="79">
        <v>0.71582753138425759</v>
      </c>
      <c r="AK8" s="81">
        <v>9520.6893248020806</v>
      </c>
      <c r="AL8" s="84">
        <v>1.1083641235007848</v>
      </c>
      <c r="AM8" s="47">
        <v>9520.6893248020806</v>
      </c>
      <c r="AN8" s="77">
        <v>14962.4</v>
      </c>
      <c r="AO8" s="78">
        <v>1366.48</v>
      </c>
      <c r="AP8" s="79">
        <v>1.0537972731198717</v>
      </c>
      <c r="AQ8" s="78">
        <v>13595.92</v>
      </c>
      <c r="AR8" s="84">
        <v>1.4280394555656437</v>
      </c>
      <c r="AS8" s="80">
        <v>14840.5</v>
      </c>
      <c r="AT8" s="81">
        <v>1421.14</v>
      </c>
      <c r="AU8" s="83">
        <v>1.040000585445817</v>
      </c>
      <c r="AV8" s="81">
        <v>13419.36</v>
      </c>
      <c r="AW8" s="84">
        <v>0.98701375118417878</v>
      </c>
      <c r="AX8" s="80">
        <v>15276.4</v>
      </c>
      <c r="AY8" s="81">
        <v>1477.99</v>
      </c>
      <c r="AZ8" s="83">
        <v>1.040003096105943</v>
      </c>
      <c r="BA8" s="81">
        <v>13798.41</v>
      </c>
      <c r="BB8" s="84">
        <v>1.0282465035590371</v>
      </c>
    </row>
    <row r="9" spans="1:54" ht="33" customHeight="1">
      <c r="A9" s="44" t="s">
        <v>64</v>
      </c>
      <c r="B9" s="1">
        <v>1588</v>
      </c>
      <c r="C9" s="2">
        <v>1614.2</v>
      </c>
      <c r="D9" s="2">
        <v>3013.1</v>
      </c>
      <c r="E9" s="2">
        <v>2508.6</v>
      </c>
      <c r="F9" s="2"/>
      <c r="G9" s="36">
        <v>3183.9</v>
      </c>
      <c r="H9" s="35">
        <f>G9/E9*100</f>
        <v>126.91939727337957</v>
      </c>
      <c r="I9" s="36">
        <v>3189.3</v>
      </c>
      <c r="J9" s="35">
        <f>I9/G9*100</f>
        <v>100.1696033166871</v>
      </c>
      <c r="K9" s="36">
        <v>3141.5</v>
      </c>
      <c r="L9" s="38">
        <f>K9/I9*100</f>
        <v>98.501238516288836</v>
      </c>
      <c r="M9" s="2">
        <v>2935.9</v>
      </c>
      <c r="N9" s="38">
        <f>M9/K9*100</f>
        <v>93.455355721788962</v>
      </c>
      <c r="O9" s="39">
        <v>3637.3</v>
      </c>
      <c r="P9" s="14">
        <f>O9/M9</f>
        <v>1.2389045948431487</v>
      </c>
      <c r="Q9" s="18">
        <f>[4]Лист2!$DW$46</f>
        <v>4161.8025014495461</v>
      </c>
      <c r="R9" s="18">
        <f>[4]Лист2!$DW$17</f>
        <v>900.95</v>
      </c>
      <c r="S9" s="4">
        <f>420/400*100</f>
        <v>105</v>
      </c>
      <c r="T9" s="18">
        <f>Q9-R9</f>
        <v>3260.8525014495463</v>
      </c>
      <c r="U9" s="4">
        <f>T9/O9*100</f>
        <v>89.650358822465734</v>
      </c>
      <c r="V9" s="17">
        <f>3437.3+915.425</f>
        <v>4352.7250000000004</v>
      </c>
      <c r="W9" s="17">
        <v>915.42499999999995</v>
      </c>
      <c r="X9" s="17">
        <f>V9-W9</f>
        <v>3437.3</v>
      </c>
      <c r="Y9" s="17"/>
      <c r="Z9" s="17">
        <v>3437.3</v>
      </c>
      <c r="AA9" s="17">
        <v>3305</v>
      </c>
      <c r="AB9" s="18">
        <f>V9*1.045*1.036</f>
        <v>4712.3471395000006</v>
      </c>
      <c r="AC9" s="18">
        <f>W9*1.1*1.034</f>
        <v>1041.2043950000002</v>
      </c>
      <c r="AD9" s="4">
        <f>AC9/R9*100</f>
        <v>115.56738942227651</v>
      </c>
      <c r="AE9" s="18">
        <f>AB9-AC9</f>
        <v>3671.1427445000004</v>
      </c>
      <c r="AF9" s="40">
        <f>AE9/Z9</f>
        <v>1.0680309383818696</v>
      </c>
      <c r="AG9" s="42">
        <v>5859.143</v>
      </c>
      <c r="AH9" s="80">
        <v>5944.3210250800003</v>
      </c>
      <c r="AI9" s="81">
        <v>750.98</v>
      </c>
      <c r="AJ9" s="79">
        <v>0.72126088173110325</v>
      </c>
      <c r="AK9" s="81">
        <v>5193.3410250800007</v>
      </c>
      <c r="AL9" s="84">
        <v>0.88636529695213118</v>
      </c>
      <c r="AM9" s="47">
        <v>5193.3410250800007</v>
      </c>
      <c r="AN9" s="77">
        <v>6386.9170000000004</v>
      </c>
      <c r="AO9" s="78">
        <v>344.01</v>
      </c>
      <c r="AP9" s="79">
        <v>0.45808144025140479</v>
      </c>
      <c r="AQ9" s="78">
        <v>6042.9070000000002</v>
      </c>
      <c r="AR9" s="84">
        <v>1.1635875577623775</v>
      </c>
      <c r="AS9" s="80">
        <v>6561.4229999999998</v>
      </c>
      <c r="AT9" s="81">
        <v>357.77</v>
      </c>
      <c r="AU9" s="83">
        <v>1.0399988372431033</v>
      </c>
      <c r="AV9" s="81">
        <v>6203.6530000000002</v>
      </c>
      <c r="AW9" s="84">
        <v>1.1945398867590129</v>
      </c>
      <c r="AX9" s="80">
        <v>6748.4759999999997</v>
      </c>
      <c r="AY9" s="81">
        <v>372.08</v>
      </c>
      <c r="AZ9" s="83">
        <v>1.039997763926545</v>
      </c>
      <c r="BA9" s="81">
        <v>6376.3959999999997</v>
      </c>
      <c r="BB9" s="84">
        <v>1.0551868496404131</v>
      </c>
    </row>
    <row r="10" spans="1:54" ht="36.75" customHeight="1">
      <c r="A10" s="45" t="s">
        <v>45</v>
      </c>
      <c r="B10" s="1">
        <v>1924.7</v>
      </c>
      <c r="C10" s="2">
        <v>1514.7</v>
      </c>
      <c r="D10" s="2">
        <v>2932.1</v>
      </c>
      <c r="E10" s="2">
        <v>1886.8</v>
      </c>
      <c r="F10" s="2"/>
      <c r="G10" s="37">
        <v>1659.7</v>
      </c>
      <c r="H10" s="19">
        <f>G10/E10*100</f>
        <v>87.963748145007429</v>
      </c>
      <c r="I10" s="20">
        <v>2062.4</v>
      </c>
      <c r="J10" s="19">
        <f>I10/G10*100</f>
        <v>124.26342110019884</v>
      </c>
      <c r="K10" s="20">
        <v>2025.7</v>
      </c>
      <c r="L10" s="38">
        <f>K10/I10*100</f>
        <v>98.220519782777345</v>
      </c>
      <c r="M10" s="2">
        <f>2070.9+100</f>
        <v>2170.9</v>
      </c>
      <c r="N10" s="38">
        <f>M10/K10*100</f>
        <v>107.16789258034261</v>
      </c>
      <c r="O10" s="39">
        <v>2866.3</v>
      </c>
      <c r="P10" s="14">
        <f>O10/M10</f>
        <v>1.3203279745727579</v>
      </c>
      <c r="Q10" s="15">
        <f>[5]Лист1!$FD$59/1000</f>
        <v>3759.5168579686606</v>
      </c>
      <c r="R10" s="15">
        <f>[5]Лист1!$FD$71/1000</f>
        <v>867.50751000000002</v>
      </c>
      <c r="S10" s="13">
        <v>105.5</v>
      </c>
      <c r="T10" s="15">
        <f>Q10-R10</f>
        <v>2892.0093479686607</v>
      </c>
      <c r="U10" s="13">
        <f>T10/O10*100</f>
        <v>100.8969524463127</v>
      </c>
      <c r="V10" s="16">
        <f>772.566+2674.613</f>
        <v>3447.1790000000001</v>
      </c>
      <c r="W10" s="16">
        <v>772.56600000000003</v>
      </c>
      <c r="X10" s="17">
        <f>V10-W10</f>
        <v>2674.6130000000003</v>
      </c>
      <c r="Y10" s="16"/>
      <c r="Z10" s="16">
        <v>2792</v>
      </c>
      <c r="AA10" s="16">
        <v>2862.3</v>
      </c>
      <c r="AB10" s="18">
        <f>V10*1.045*1.036</f>
        <v>3731.9849289799999</v>
      </c>
      <c r="AC10" s="18">
        <f>W10*1.078*1.04</f>
        <v>866.13919392000014</v>
      </c>
      <c r="AD10" s="4">
        <f>AC10/R10*100</f>
        <v>99.842270405244122</v>
      </c>
      <c r="AE10" s="18">
        <f>AB10-AC10</f>
        <v>2865.8457350599997</v>
      </c>
      <c r="AF10" s="40">
        <f>AE10/Z10</f>
        <v>1.0264490455085959</v>
      </c>
      <c r="AG10" s="42">
        <v>2865.846</v>
      </c>
      <c r="AH10" s="80">
        <v>3881.2643261392</v>
      </c>
      <c r="AI10" s="81">
        <v>859.54</v>
      </c>
      <c r="AJ10" s="79">
        <v>0.99238090832706305</v>
      </c>
      <c r="AK10" s="81">
        <v>3021.7243261392</v>
      </c>
      <c r="AL10" s="84">
        <v>1.0543917314954119</v>
      </c>
      <c r="AM10" s="47">
        <v>3021.7243261392</v>
      </c>
      <c r="AN10" s="77">
        <v>4322.2</v>
      </c>
      <c r="AO10" s="78">
        <v>905.1</v>
      </c>
      <c r="AP10" s="79">
        <v>1.053005095748889</v>
      </c>
      <c r="AQ10" s="78">
        <v>3417.1</v>
      </c>
      <c r="AR10" s="84">
        <v>1.130844389225262</v>
      </c>
      <c r="AS10" s="80">
        <v>4424.5</v>
      </c>
      <c r="AT10" s="81">
        <v>941.3</v>
      </c>
      <c r="AU10" s="83">
        <v>1.0399955805988288</v>
      </c>
      <c r="AV10" s="81">
        <v>3483.2</v>
      </c>
      <c r="AW10" s="84">
        <v>1.0193438880922419</v>
      </c>
      <c r="AX10" s="80">
        <v>4584.2</v>
      </c>
      <c r="AY10" s="81">
        <v>978.95</v>
      </c>
      <c r="AZ10" s="83">
        <v>1.0399978752788697</v>
      </c>
      <c r="BA10" s="81">
        <v>3605.25</v>
      </c>
      <c r="BB10" s="84">
        <v>1.0350396187413873</v>
      </c>
    </row>
    <row r="11" spans="1:54" ht="33" customHeight="1">
      <c r="A11" s="45" t="s">
        <v>46</v>
      </c>
      <c r="B11" s="1">
        <v>850</v>
      </c>
      <c r="C11" s="2">
        <v>898</v>
      </c>
      <c r="D11" s="2">
        <v>1134.2</v>
      </c>
      <c r="E11" s="2">
        <v>1031.5999999999999</v>
      </c>
      <c r="F11" s="2"/>
      <c r="G11" s="20">
        <v>1161.9000000000001</v>
      </c>
      <c r="H11" s="19">
        <f>G11/E11*100</f>
        <v>112.63086467623111</v>
      </c>
      <c r="I11" s="20">
        <v>1034</v>
      </c>
      <c r="J11" s="19">
        <f>I11/G11*100</f>
        <v>88.992168000688523</v>
      </c>
      <c r="K11" s="20">
        <v>1272.8</v>
      </c>
      <c r="L11" s="38">
        <f>K11/I11*100</f>
        <v>123.09477756286267</v>
      </c>
      <c r="M11" s="2">
        <v>1281.8</v>
      </c>
      <c r="N11" s="38">
        <f>M11/K11*100</f>
        <v>100.70710245128849</v>
      </c>
      <c r="O11" s="39">
        <v>1485.7</v>
      </c>
      <c r="P11" s="14">
        <f>O11/M11</f>
        <v>1.1590731783429553</v>
      </c>
      <c r="Q11" s="15">
        <f>[6]Лист1!$CW$21/1000</f>
        <v>1837.5359478834653</v>
      </c>
      <c r="R11" s="15">
        <f>[6]Лист1!$CW$24/1000</f>
        <v>294.92595084846459</v>
      </c>
      <c r="S11" s="13">
        <f>[6]Лист1!$DF$18</f>
        <v>105.5</v>
      </c>
      <c r="T11" s="15">
        <f>Q11-R11</f>
        <v>1542.6099970350006</v>
      </c>
      <c r="U11" s="13">
        <f>T11/O11*100</f>
        <v>103.83051740156159</v>
      </c>
      <c r="V11" s="16">
        <f>277.324+1435.7</f>
        <v>1713.0240000000001</v>
      </c>
      <c r="W11" s="16">
        <v>277.32400000000001</v>
      </c>
      <c r="X11" s="17">
        <f>V11-W11</f>
        <v>1435.7</v>
      </c>
      <c r="Y11" s="16"/>
      <c r="Z11" s="16">
        <v>1435.7</v>
      </c>
      <c r="AA11" s="16">
        <v>1492.6</v>
      </c>
      <c r="AB11" s="18">
        <f>V11*1.045*1.036</f>
        <v>1854.55404288</v>
      </c>
      <c r="AC11" s="18">
        <f>W11*1*1.04</f>
        <v>288.41696000000002</v>
      </c>
      <c r="AD11" s="4">
        <f>AC11/R11*100</f>
        <v>97.79300843830832</v>
      </c>
      <c r="AE11" s="18">
        <f>AB11-AC11</f>
        <v>1566.13708288</v>
      </c>
      <c r="AF11" s="40">
        <f>AE11/Z11</f>
        <v>1.090852603524413</v>
      </c>
      <c r="AG11" s="42">
        <v>1566.1369999999999</v>
      </c>
      <c r="AH11" s="80">
        <v>2840.9269999999997</v>
      </c>
      <c r="AI11" s="81">
        <v>339.35</v>
      </c>
      <c r="AJ11" s="79">
        <v>1.1765951627809961</v>
      </c>
      <c r="AK11" s="81">
        <v>2501.5769999999998</v>
      </c>
      <c r="AL11" s="84">
        <v>1.5972912969938133</v>
      </c>
      <c r="AM11" s="47">
        <v>2501.5769999999998</v>
      </c>
      <c r="AN11" s="77">
        <v>3371.8</v>
      </c>
      <c r="AO11" s="78">
        <v>268.07</v>
      </c>
      <c r="AP11" s="79">
        <v>0.78995137763371148</v>
      </c>
      <c r="AQ11" s="78">
        <v>3103.73</v>
      </c>
      <c r="AR11" s="84">
        <v>1.2407093605353745</v>
      </c>
      <c r="AS11" s="80">
        <v>3485.3</v>
      </c>
      <c r="AT11" s="81">
        <v>278.79000000000002</v>
      </c>
      <c r="AU11" s="83">
        <v>1.0399895549669864</v>
      </c>
      <c r="AV11" s="81">
        <v>3206.51</v>
      </c>
      <c r="AW11" s="84">
        <v>1.0331149938944433</v>
      </c>
      <c r="AX11" s="80">
        <v>3615.9</v>
      </c>
      <c r="AY11" s="81">
        <v>289.94</v>
      </c>
      <c r="AZ11" s="83">
        <v>1.039994260913232</v>
      </c>
      <c r="BA11" s="81">
        <v>3325.96</v>
      </c>
      <c r="BB11" s="84">
        <v>1.0372523397712778</v>
      </c>
    </row>
    <row r="12" spans="1:54" ht="36.75" customHeight="1">
      <c r="A12" s="45" t="s">
        <v>65</v>
      </c>
      <c r="B12" s="1">
        <f>20619.5+16818.7</f>
        <v>37438.199999999997</v>
      </c>
      <c r="C12" s="2">
        <v>52195.3</v>
      </c>
      <c r="D12" s="2">
        <v>54610.400000000001</v>
      </c>
      <c r="E12" s="2">
        <v>41809.199999999997</v>
      </c>
      <c r="F12" s="2"/>
      <c r="G12" s="37">
        <v>58156</v>
      </c>
      <c r="H12" s="19">
        <f t="shared" ref="H12:H19" si="0">G12/E12*100</f>
        <v>139.09857160624935</v>
      </c>
      <c r="I12" s="20">
        <v>68189.5</v>
      </c>
      <c r="J12" s="19">
        <f t="shared" ref="J12:J19" si="1">I12/G12*100</f>
        <v>117.25273402572391</v>
      </c>
      <c r="K12" s="20">
        <v>59184.800000000003</v>
      </c>
      <c r="L12" s="38">
        <f t="shared" ref="L12:L19" si="2">K12/I12*100</f>
        <v>86.794594475689081</v>
      </c>
      <c r="M12" s="2">
        <f>60174+1000</f>
        <v>61174</v>
      </c>
      <c r="N12" s="38">
        <f t="shared" ref="N12:N19" si="3">M12/K12*100</f>
        <v>103.36099809410524</v>
      </c>
      <c r="O12" s="39">
        <v>68144.7</v>
      </c>
      <c r="P12" s="14">
        <f t="shared" ref="P12:P19" si="4">O12/M12</f>
        <v>1.1139487363912772</v>
      </c>
      <c r="Q12" s="15">
        <f>[7]Свод!$BG$38</f>
        <v>99784.710618600016</v>
      </c>
      <c r="R12" s="15">
        <f>[7]Свод!$BG$9</f>
        <v>32462.455499999996</v>
      </c>
      <c r="S12" s="13">
        <v>105.5</v>
      </c>
      <c r="T12" s="15">
        <f>Q12-R12</f>
        <v>67322.25511860002</v>
      </c>
      <c r="U12" s="13">
        <f t="shared" ref="U12:U21" si="5">T12/O12*100</f>
        <v>98.793090465729577</v>
      </c>
      <c r="V12" s="16">
        <f>'[8]Бюджет Речпорт'!V29</f>
        <v>95309.482000000004</v>
      </c>
      <c r="W12" s="16">
        <f>'[8]Бюджет Речпорт'!W29</f>
        <v>29289.112000000001</v>
      </c>
      <c r="X12" s="17">
        <f t="shared" ref="X12:X21" si="6">V12-W12</f>
        <v>66020.37</v>
      </c>
      <c r="Y12" s="16"/>
      <c r="Z12" s="16">
        <v>63322.2</v>
      </c>
      <c r="AA12" s="16">
        <v>63887.4</v>
      </c>
      <c r="AB12" s="18">
        <f>'[8]Бюджет Речпорт'!AA29</f>
        <v>102462.27557212667</v>
      </c>
      <c r="AC12" s="18">
        <f>'[8]Бюджет Речпорт'!AB29</f>
        <v>33746.326391102404</v>
      </c>
      <c r="AD12" s="4">
        <f t="shared" ref="AD12:AD19" si="7">AC12/R12*100</f>
        <v>103.95494078105831</v>
      </c>
      <c r="AE12" s="18">
        <f t="shared" ref="AE12:AE21" si="8">AB12-AC12</f>
        <v>68715.949181024276</v>
      </c>
      <c r="AF12" s="40">
        <f t="shared" ref="AF12:AF19" si="9">AE12/Z12</f>
        <v>1.0851794344009571</v>
      </c>
      <c r="AG12" s="42">
        <v>81545.948999999993</v>
      </c>
      <c r="AH12" s="80">
        <v>62934.402697176251</v>
      </c>
      <c r="AI12" s="81">
        <v>17622.492697176243</v>
      </c>
      <c r="AJ12" s="79"/>
      <c r="AK12" s="81">
        <v>45311.91</v>
      </c>
      <c r="AL12" s="84"/>
      <c r="AM12" s="47">
        <v>45311.91</v>
      </c>
      <c r="AN12" s="77">
        <v>78819.199999999997</v>
      </c>
      <c r="AO12" s="78">
        <v>18098.3</v>
      </c>
      <c r="AP12" s="79">
        <v>1.0269999999999999</v>
      </c>
      <c r="AQ12" s="78">
        <v>60720.899999999994</v>
      </c>
      <c r="AR12" s="84">
        <v>1.3400648968450015</v>
      </c>
      <c r="AS12" s="80">
        <v>81635.899999999994</v>
      </c>
      <c r="AT12" s="81">
        <v>18822.2</v>
      </c>
      <c r="AU12" s="83">
        <v>1.0399982318781322</v>
      </c>
      <c r="AV12" s="81">
        <v>62813.7</v>
      </c>
      <c r="AW12" s="84">
        <v>1.0344658923039678</v>
      </c>
      <c r="AX12" s="80">
        <v>84624.7</v>
      </c>
      <c r="AY12" s="81">
        <v>19575.099999999999</v>
      </c>
      <c r="AZ12" s="83">
        <v>1.0400006375450266</v>
      </c>
      <c r="BA12" s="81">
        <v>65049.599999999999</v>
      </c>
      <c r="BB12" s="84">
        <v>1.0355957378724705</v>
      </c>
    </row>
    <row r="13" spans="1:54" ht="33.6" customHeight="1">
      <c r="A13" s="124" t="s">
        <v>77</v>
      </c>
      <c r="B13" s="1"/>
      <c r="C13" s="2"/>
      <c r="D13" s="2"/>
      <c r="E13" s="2"/>
      <c r="F13" s="2"/>
      <c r="G13" s="37"/>
      <c r="H13" s="19"/>
      <c r="I13" s="20"/>
      <c r="J13" s="19"/>
      <c r="K13" s="20"/>
      <c r="L13" s="38"/>
      <c r="M13" s="2"/>
      <c r="N13" s="38"/>
      <c r="O13" s="39"/>
      <c r="P13" s="14"/>
      <c r="Q13" s="15"/>
      <c r="R13" s="15"/>
      <c r="S13" s="13"/>
      <c r="T13" s="15"/>
      <c r="U13" s="13"/>
      <c r="V13" s="16"/>
      <c r="W13" s="16"/>
      <c r="X13" s="17"/>
      <c r="Y13" s="16"/>
      <c r="Z13" s="16"/>
      <c r="AA13" s="16"/>
      <c r="AB13" s="18"/>
      <c r="AC13" s="18"/>
      <c r="AD13" s="4"/>
      <c r="AE13" s="18"/>
      <c r="AF13" s="40"/>
      <c r="AG13" s="42"/>
      <c r="AH13" s="81">
        <v>62293.664990455713</v>
      </c>
      <c r="AI13" s="81">
        <v>21264.671584441956</v>
      </c>
      <c r="AJ13" s="81"/>
      <c r="AK13" s="81">
        <v>41028.993406013753</v>
      </c>
      <c r="AL13" s="84"/>
      <c r="AM13" s="125">
        <v>42145.025499053758</v>
      </c>
      <c r="AN13" s="81">
        <v>67083.998000000007</v>
      </c>
      <c r="AO13" s="81">
        <v>22584.34</v>
      </c>
      <c r="AP13" s="126">
        <v>1.0620591957095431</v>
      </c>
      <c r="AQ13" s="81">
        <v>44499.658000000003</v>
      </c>
      <c r="AR13" s="84">
        <v>1.0558697609756842</v>
      </c>
      <c r="AS13" s="81">
        <v>72411.190999999992</v>
      </c>
      <c r="AT13" s="81">
        <v>23487.230000000003</v>
      </c>
      <c r="AU13" s="126">
        <v>1.0399785869323612</v>
      </c>
      <c r="AV13" s="81">
        <v>48923.961000000003</v>
      </c>
      <c r="AW13" s="84">
        <v>1.0994233034330285</v>
      </c>
      <c r="AX13" s="81">
        <v>75100.369000000006</v>
      </c>
      <c r="AY13" s="81">
        <v>24426.186400000002</v>
      </c>
      <c r="AZ13" s="126">
        <v>1.0399773153326297</v>
      </c>
      <c r="BA13" s="81">
        <v>50674.1826</v>
      </c>
      <c r="BB13" s="84">
        <v>1.0357743233422985</v>
      </c>
    </row>
    <row r="14" spans="1:54" ht="30.75" customHeight="1">
      <c r="A14" s="44" t="s">
        <v>66</v>
      </c>
      <c r="B14" s="1"/>
      <c r="C14" s="2"/>
      <c r="D14" s="2"/>
      <c r="E14" s="2"/>
      <c r="F14" s="2"/>
      <c r="G14" s="37"/>
      <c r="H14" s="19"/>
      <c r="I14" s="20"/>
      <c r="J14" s="19"/>
      <c r="K14" s="20"/>
      <c r="L14" s="38"/>
      <c r="M14" s="2"/>
      <c r="N14" s="38"/>
      <c r="O14" s="39"/>
      <c r="P14" s="14"/>
      <c r="Q14" s="15"/>
      <c r="R14" s="15"/>
      <c r="S14" s="13"/>
      <c r="T14" s="15"/>
      <c r="U14" s="13"/>
      <c r="V14" s="16"/>
      <c r="W14" s="16"/>
      <c r="X14" s="17"/>
      <c r="Y14" s="16"/>
      <c r="Z14" s="16"/>
      <c r="AA14" s="16"/>
      <c r="AB14" s="18"/>
      <c r="AC14" s="18"/>
      <c r="AD14" s="4"/>
      <c r="AE14" s="18"/>
      <c r="AF14" s="40"/>
      <c r="AG14" s="42"/>
      <c r="AH14" s="80">
        <v>40242.947322297958</v>
      </c>
      <c r="AI14" s="81">
        <v>14898.247322297957</v>
      </c>
      <c r="AJ14" s="79"/>
      <c r="AK14" s="81">
        <v>25344.7</v>
      </c>
      <c r="AL14" s="84"/>
      <c r="AM14" s="47">
        <v>25344.7</v>
      </c>
      <c r="AN14" s="77">
        <v>39670.199999999997</v>
      </c>
      <c r="AO14" s="78">
        <v>15300.5</v>
      </c>
      <c r="AP14" s="79">
        <v>1.0269999999999999</v>
      </c>
      <c r="AQ14" s="78">
        <v>24369.699999999997</v>
      </c>
      <c r="AR14" s="84">
        <v>0.96153041858850163</v>
      </c>
      <c r="AS14" s="80">
        <v>41107.1</v>
      </c>
      <c r="AT14" s="81">
        <v>15912.5</v>
      </c>
      <c r="AU14" s="83">
        <v>1.0399986928531748</v>
      </c>
      <c r="AV14" s="81">
        <v>25194.6</v>
      </c>
      <c r="AW14" s="84">
        <v>1.0338494113591878</v>
      </c>
      <c r="AX14" s="80">
        <v>42630.5</v>
      </c>
      <c r="AY14" s="81">
        <v>16549</v>
      </c>
      <c r="AZ14" s="83">
        <v>1.04</v>
      </c>
      <c r="BA14" s="81">
        <v>26081.5</v>
      </c>
      <c r="BB14" s="84">
        <v>1.0352019877275289</v>
      </c>
    </row>
    <row r="15" spans="1:54" ht="36" customHeight="1">
      <c r="A15" s="43" t="s">
        <v>70</v>
      </c>
      <c r="B15" s="1">
        <f>5945.2+1734.1</f>
        <v>7679.2999999999993</v>
      </c>
      <c r="C15" s="2">
        <v>6113.8</v>
      </c>
      <c r="D15" s="2">
        <f>4850.3+4536</f>
        <v>9386.2999999999993</v>
      </c>
      <c r="E15" s="2">
        <v>7613.9</v>
      </c>
      <c r="F15" s="2"/>
      <c r="G15" s="20">
        <v>7494.8</v>
      </c>
      <c r="H15" s="19">
        <f>G15/E15*100</f>
        <v>98.435755657416053</v>
      </c>
      <c r="I15" s="20">
        <v>4559.1000000000004</v>
      </c>
      <c r="J15" s="19">
        <f>I15/G15*100</f>
        <v>60.830175588407961</v>
      </c>
      <c r="K15" s="20">
        <v>7467.1</v>
      </c>
      <c r="L15" s="38">
        <f>K15/I15*100</f>
        <v>163.78451887433923</v>
      </c>
      <c r="M15" s="2">
        <v>4501.3</v>
      </c>
      <c r="N15" s="38">
        <f>M15/K15*100</f>
        <v>60.281769361599544</v>
      </c>
      <c r="O15" s="39">
        <v>6447.1</v>
      </c>
      <c r="P15" s="14">
        <f>O15/M15</f>
        <v>1.4322751205207385</v>
      </c>
      <c r="Q15" s="15">
        <f>'[9]Н-В Тойма'!$AB$33+'[9]Н-В Тойма'!$AB$38</f>
        <v>5503.05</v>
      </c>
      <c r="R15" s="15">
        <f>'[9]Н-В Тойма'!$AB$34</f>
        <v>889.36500000000001</v>
      </c>
      <c r="S15" s="13">
        <f>'[9]Н-В Тойма'!$AM$14</f>
        <v>105.5</v>
      </c>
      <c r="T15" s="15">
        <f>Q15-R15</f>
        <v>4613.6850000000004</v>
      </c>
      <c r="U15" s="13">
        <f>T15/O15*100</f>
        <v>71.5621752415815</v>
      </c>
      <c r="V15" s="16">
        <f>5097.488+256.473</f>
        <v>5353.9610000000002</v>
      </c>
      <c r="W15" s="16">
        <v>256.47300000000001</v>
      </c>
      <c r="X15" s="17">
        <f>V15-W15</f>
        <v>5097.4880000000003</v>
      </c>
      <c r="Y15" s="16"/>
      <c r="Z15" s="16">
        <v>4513.7</v>
      </c>
      <c r="AA15" s="16">
        <v>4767.7</v>
      </c>
      <c r="AB15" s="18">
        <f>V15*1.045*1.036</f>
        <v>5796.3052578200004</v>
      </c>
      <c r="AC15" s="18">
        <f>W15*1.0644*1.0353</f>
        <v>282.62640330036004</v>
      </c>
      <c r="AD15" s="4">
        <f>AC15/R15*100</f>
        <v>31.778449039523711</v>
      </c>
      <c r="AE15" s="18">
        <f>AB15-AC15</f>
        <v>5513.6788545196405</v>
      </c>
      <c r="AF15" s="40">
        <f>AE15/Z15</f>
        <v>1.221543047725733</v>
      </c>
      <c r="AG15" s="42">
        <v>5513.6790000000001</v>
      </c>
      <c r="AH15" s="80">
        <v>6028.1574681328002</v>
      </c>
      <c r="AI15" s="81">
        <v>344.84</v>
      </c>
      <c r="AJ15" s="79">
        <v>1.2201266264338464</v>
      </c>
      <c r="AK15" s="81">
        <v>5683.3174681328001</v>
      </c>
      <c r="AL15" s="84">
        <v>1.0307668379194364</v>
      </c>
      <c r="AM15" s="48">
        <v>6099.3174681328001</v>
      </c>
      <c r="AN15" s="77">
        <v>7191</v>
      </c>
      <c r="AO15" s="78">
        <v>863.18</v>
      </c>
      <c r="AP15" s="79">
        <v>2.5031318872520592</v>
      </c>
      <c r="AQ15" s="78">
        <v>6327.82</v>
      </c>
      <c r="AR15" s="84">
        <v>1.1134025215872632</v>
      </c>
      <c r="AS15" s="80">
        <v>10429</v>
      </c>
      <c r="AT15" s="81">
        <v>897.71</v>
      </c>
      <c r="AU15" s="83">
        <v>1.0400032438193656</v>
      </c>
      <c r="AV15" s="81">
        <v>9531.2900000000009</v>
      </c>
      <c r="AW15" s="84">
        <v>1.5062517581094281</v>
      </c>
      <c r="AX15" s="80">
        <v>10668</v>
      </c>
      <c r="AY15" s="81">
        <v>933.62</v>
      </c>
      <c r="AZ15" s="83">
        <v>1.0400017823127736</v>
      </c>
      <c r="BA15" s="81">
        <v>9734.3799999999992</v>
      </c>
      <c r="BB15" s="84">
        <v>1.0213077138561515</v>
      </c>
    </row>
    <row r="16" spans="1:54" ht="36" customHeight="1">
      <c r="A16" s="43" t="s">
        <v>47</v>
      </c>
      <c r="B16" s="1">
        <v>584.9</v>
      </c>
      <c r="C16" s="2">
        <v>1113.4000000000001</v>
      </c>
      <c r="D16" s="2">
        <v>1594.6</v>
      </c>
      <c r="E16" s="2">
        <v>1306.5</v>
      </c>
      <c r="F16" s="2"/>
      <c r="G16" s="37">
        <v>2219.6</v>
      </c>
      <c r="H16" s="19">
        <f t="shared" si="0"/>
        <v>169.88901645618063</v>
      </c>
      <c r="I16" s="20">
        <v>2126.8000000000002</v>
      </c>
      <c r="J16" s="19">
        <f t="shared" si="1"/>
        <v>95.819066498468203</v>
      </c>
      <c r="K16" s="20">
        <v>2132.6999999999998</v>
      </c>
      <c r="L16" s="38">
        <f t="shared" si="2"/>
        <v>100.27741207447806</v>
      </c>
      <c r="M16" s="2">
        <f>2337.8+100</f>
        <v>2437.8000000000002</v>
      </c>
      <c r="N16" s="38">
        <f t="shared" si="3"/>
        <v>114.30580953720637</v>
      </c>
      <c r="O16" s="39">
        <v>2620.1999999999998</v>
      </c>
      <c r="P16" s="14">
        <f t="shared" si="4"/>
        <v>1.0748215604233324</v>
      </c>
      <c r="Q16" s="15">
        <f>[10]расчет!$AU$41+[10]расчет!$AU$49</f>
        <v>3458.0618075324996</v>
      </c>
      <c r="R16" s="15">
        <f>[10]расчет!$AU$44</f>
        <v>731.34710000000007</v>
      </c>
      <c r="S16" s="13">
        <v>105.5</v>
      </c>
      <c r="T16" s="15">
        <f t="shared" ref="T16:T18" si="10">Q16-R16</f>
        <v>2726.7147075324997</v>
      </c>
      <c r="U16" s="13">
        <f t="shared" si="5"/>
        <v>104.06513653661933</v>
      </c>
      <c r="V16" s="16">
        <f>2490.2+695.117</f>
        <v>3185.317</v>
      </c>
      <c r="W16" s="16">
        <v>695.11699999999996</v>
      </c>
      <c r="X16" s="17">
        <f t="shared" si="6"/>
        <v>2490.1999999999998</v>
      </c>
      <c r="Y16" s="16"/>
      <c r="Z16" s="16">
        <v>2626.7</v>
      </c>
      <c r="AA16" s="16">
        <v>2626.7</v>
      </c>
      <c r="AB16" s="18">
        <f>V16*1.045*1.036</f>
        <v>3448.4878905399996</v>
      </c>
      <c r="AC16" s="18">
        <f>W16*1.027*1.04</f>
        <v>742.44056535999994</v>
      </c>
      <c r="AD16" s="4">
        <f t="shared" si="7"/>
        <v>101.51685367454111</v>
      </c>
      <c r="AE16" s="18">
        <f t="shared" si="8"/>
        <v>2706.0473251799995</v>
      </c>
      <c r="AF16" s="40">
        <f t="shared" si="9"/>
        <v>1.0302079891803402</v>
      </c>
      <c r="AG16" s="42">
        <v>2706.047</v>
      </c>
      <c r="AH16" s="80">
        <v>3586.4274061615997</v>
      </c>
      <c r="AI16" s="81">
        <v>530.13</v>
      </c>
      <c r="AJ16" s="79">
        <v>0.71403695424824576</v>
      </c>
      <c r="AK16" s="81">
        <v>3056.2974061615996</v>
      </c>
      <c r="AL16" s="84">
        <v>1.1294324918087526</v>
      </c>
      <c r="AM16" s="48">
        <v>3056.2974061615996</v>
      </c>
      <c r="AN16" s="77">
        <v>4145.8</v>
      </c>
      <c r="AO16" s="78">
        <v>552.58000000000004</v>
      </c>
      <c r="AP16" s="79">
        <v>1.0423481032954183</v>
      </c>
      <c r="AQ16" s="78">
        <v>3593.2200000000003</v>
      </c>
      <c r="AR16" s="84">
        <v>1.1756774693313374</v>
      </c>
      <c r="AS16" s="80">
        <v>4229</v>
      </c>
      <c r="AT16" s="81">
        <v>574.67999999999995</v>
      </c>
      <c r="AU16" s="83">
        <v>1.0399942089833145</v>
      </c>
      <c r="AV16" s="81">
        <v>3654.32</v>
      </c>
      <c r="AW16" s="84">
        <v>1.0170042468871932</v>
      </c>
      <c r="AX16" s="80">
        <v>4365.3999999999996</v>
      </c>
      <c r="AY16" s="81">
        <v>597.66999999999996</v>
      </c>
      <c r="AZ16" s="83">
        <v>1.0400048722767454</v>
      </c>
      <c r="BA16" s="81">
        <v>3767.7299999999996</v>
      </c>
      <c r="BB16" s="84">
        <v>1.0310345016309461</v>
      </c>
    </row>
    <row r="17" spans="1:54" ht="31.9" customHeight="1">
      <c r="A17" s="43" t="s">
        <v>44</v>
      </c>
      <c r="B17" s="1">
        <v>290.39999999999998</v>
      </c>
      <c r="C17" s="2">
        <v>317</v>
      </c>
      <c r="D17" s="2">
        <v>453.6</v>
      </c>
      <c r="E17" s="2">
        <v>362.8</v>
      </c>
      <c r="F17" s="2"/>
      <c r="G17" s="37">
        <v>505.7</v>
      </c>
      <c r="H17" s="19">
        <f>G17/E17*100</f>
        <v>139.38809261300992</v>
      </c>
      <c r="I17" s="20">
        <v>652.9</v>
      </c>
      <c r="J17" s="19">
        <f>I17/G17*100</f>
        <v>129.10816689736998</v>
      </c>
      <c r="K17" s="20">
        <v>677.9</v>
      </c>
      <c r="L17" s="38">
        <f>K17/I17*100</f>
        <v>103.82907030173074</v>
      </c>
      <c r="M17" s="2">
        <v>729.2</v>
      </c>
      <c r="N17" s="38">
        <f>M17/K17*100</f>
        <v>107.56748783006344</v>
      </c>
      <c r="O17" s="39">
        <v>530.29999999999995</v>
      </c>
      <c r="P17" s="14">
        <f>O17/M17</f>
        <v>0.72723532638507948</v>
      </c>
      <c r="Q17" s="15">
        <f>[11]Лямца!$AD$25</f>
        <v>792.19978678820542</v>
      </c>
      <c r="R17" s="15">
        <f>[11]Лямца!$AD$11</f>
        <v>157.5</v>
      </c>
      <c r="S17" s="13">
        <f>1050/1000*100</f>
        <v>105</v>
      </c>
      <c r="T17" s="15">
        <f>Q17-R17</f>
        <v>634.69978678820542</v>
      </c>
      <c r="U17" s="13">
        <f>T17/O17*100</f>
        <v>119.68692943394407</v>
      </c>
      <c r="V17" s="16">
        <v>230.58</v>
      </c>
      <c r="W17" s="16">
        <v>24.49</v>
      </c>
      <c r="X17" s="17">
        <f>V17-W17</f>
        <v>206.09</v>
      </c>
      <c r="Y17" s="16"/>
      <c r="Z17" s="16">
        <f>2772.1-Z18</f>
        <v>219.92799999999988</v>
      </c>
      <c r="AA17" s="16">
        <v>219.3</v>
      </c>
      <c r="AB17" s="18">
        <f>V17*1.045*1.036</f>
        <v>249.63051960000001</v>
      </c>
      <c r="AC17" s="18">
        <f>W17*1.1*1.036</f>
        <v>27.908804</v>
      </c>
      <c r="AD17" s="4">
        <f>AC17/R17*100</f>
        <v>17.719875555555557</v>
      </c>
      <c r="AE17" s="18">
        <f>AB17-AC17</f>
        <v>221.72171560000001</v>
      </c>
      <c r="AF17" s="40">
        <f>AE17/Z17</f>
        <v>1.0081559219380893</v>
      </c>
      <c r="AG17" s="42">
        <f>AA17</f>
        <v>219.3</v>
      </c>
      <c r="AH17" s="80">
        <v>259.61574038400005</v>
      </c>
      <c r="AI17" s="81">
        <v>83.28</v>
      </c>
      <c r="AJ17" s="79">
        <v>2.9840046173243397</v>
      </c>
      <c r="AK17" s="81">
        <v>176.33574038400005</v>
      </c>
      <c r="AL17" s="84">
        <v>0.80408454347469238</v>
      </c>
      <c r="AM17" s="47">
        <v>176.33574038400005</v>
      </c>
      <c r="AN17" s="77"/>
      <c r="AO17" s="78"/>
      <c r="AP17" s="79"/>
      <c r="AQ17" s="78"/>
      <c r="AR17" s="84"/>
      <c r="AS17" s="80"/>
      <c r="AT17" s="81"/>
      <c r="AU17" s="83"/>
      <c r="AV17" s="81"/>
      <c r="AW17" s="84"/>
      <c r="AX17" s="80"/>
      <c r="AY17" s="81"/>
      <c r="AZ17" s="83"/>
      <c r="BA17" s="81"/>
      <c r="BB17" s="84"/>
    </row>
    <row r="18" spans="1:54" ht="30.75" customHeight="1">
      <c r="A18" s="43" t="s">
        <v>48</v>
      </c>
      <c r="B18" s="1">
        <v>1305.0999999999999</v>
      </c>
      <c r="C18" s="2">
        <v>1104.9000000000001</v>
      </c>
      <c r="D18" s="2">
        <v>1471.75</v>
      </c>
      <c r="E18" s="2">
        <v>1236.2</v>
      </c>
      <c r="F18" s="2"/>
      <c r="G18" s="37">
        <v>1309.2</v>
      </c>
      <c r="H18" s="19">
        <f t="shared" si="0"/>
        <v>105.9051933344119</v>
      </c>
      <c r="I18" s="20">
        <v>1367.7</v>
      </c>
      <c r="J18" s="19">
        <f t="shared" si="1"/>
        <v>104.46837763519707</v>
      </c>
      <c r="K18" s="20">
        <v>1553.6</v>
      </c>
      <c r="L18" s="38">
        <f t="shared" si="2"/>
        <v>113.59216202383561</v>
      </c>
      <c r="M18" s="2">
        <v>1797.6</v>
      </c>
      <c r="N18" s="38">
        <f t="shared" si="3"/>
        <v>115.70545829042224</v>
      </c>
      <c r="O18" s="39">
        <v>2231.8000000000002</v>
      </c>
      <c r="P18" s="14">
        <f t="shared" si="4"/>
        <v>1.2415442812639077</v>
      </c>
      <c r="Q18" s="15">
        <f>[11]Легашевская!$AE$28</f>
        <v>5804.5715572328018</v>
      </c>
      <c r="R18" s="15">
        <f>[11]Легашевская!$AE$15</f>
        <v>3565.1853625000003</v>
      </c>
      <c r="S18" s="13">
        <f>37/35*100</f>
        <v>105.71428571428572</v>
      </c>
      <c r="T18" s="15">
        <f t="shared" si="10"/>
        <v>2239.3861947328014</v>
      </c>
      <c r="U18" s="13">
        <f t="shared" si="5"/>
        <v>100.33991373477915</v>
      </c>
      <c r="V18" s="16">
        <v>5284.22</v>
      </c>
      <c r="W18" s="16">
        <v>2827.6</v>
      </c>
      <c r="X18" s="17">
        <f t="shared" si="6"/>
        <v>2456.6200000000003</v>
      </c>
      <c r="Y18" s="16"/>
      <c r="Z18" s="16">
        <f>2774.1*0.92</f>
        <v>2552.172</v>
      </c>
      <c r="AA18" s="16">
        <f>2774.1-AA17</f>
        <v>2554.7999999999997</v>
      </c>
      <c r="AB18" s="18">
        <f>V18*1.045*1.036</f>
        <v>5720.8022564000003</v>
      </c>
      <c r="AC18" s="18">
        <f>W18*1.086*1.026</f>
        <v>3150.6137136000002</v>
      </c>
      <c r="AD18" s="4">
        <f t="shared" si="7"/>
        <v>88.371666358203271</v>
      </c>
      <c r="AE18" s="18">
        <f t="shared" si="8"/>
        <v>2570.1885428000001</v>
      </c>
      <c r="AF18" s="40">
        <f t="shared" si="9"/>
        <v>1.0070592980410411</v>
      </c>
      <c r="AG18" s="42">
        <f>2791.91-AG17</f>
        <v>2572.6099999999997</v>
      </c>
      <c r="AH18" s="80">
        <v>5949.6343466560002</v>
      </c>
      <c r="AI18" s="81">
        <v>3276.6382621440002</v>
      </c>
      <c r="AJ18" s="79">
        <v>1.04</v>
      </c>
      <c r="AK18" s="81">
        <v>2672.9960845119999</v>
      </c>
      <c r="AL18" s="84">
        <v>1.039021104835945</v>
      </c>
      <c r="AM18" s="48">
        <v>2672.9960845119999</v>
      </c>
      <c r="AN18" s="77">
        <v>7744.6</v>
      </c>
      <c r="AO18" s="78">
        <v>3875.87</v>
      </c>
      <c r="AP18" s="79">
        <v>1.1828800404301891</v>
      </c>
      <c r="AQ18" s="78">
        <v>3868.7300000000005</v>
      </c>
      <c r="AR18" s="84">
        <v>1.4473384463285892</v>
      </c>
      <c r="AS18" s="80">
        <v>8055</v>
      </c>
      <c r="AT18" s="81">
        <v>4030.91</v>
      </c>
      <c r="AU18" s="83">
        <v>1.0400013416342653</v>
      </c>
      <c r="AV18" s="81">
        <v>4024.09</v>
      </c>
      <c r="AW18" s="84">
        <v>1.0401578812685299</v>
      </c>
      <c r="AX18" s="80">
        <v>8378.6</v>
      </c>
      <c r="AY18" s="81">
        <v>4192.1463999999996</v>
      </c>
      <c r="AZ18" s="83">
        <v>1.04</v>
      </c>
      <c r="BA18" s="81">
        <v>4186.4536000000007</v>
      </c>
      <c r="BB18" s="84">
        <v>1.0403479047436812</v>
      </c>
    </row>
    <row r="19" spans="1:54" ht="46.5" customHeight="1">
      <c r="A19" s="44" t="s">
        <v>49</v>
      </c>
      <c r="B19" s="1">
        <v>461.2</v>
      </c>
      <c r="C19" s="2">
        <v>767.6</v>
      </c>
      <c r="D19" s="2">
        <v>772.8</v>
      </c>
      <c r="E19" s="2">
        <v>767.3</v>
      </c>
      <c r="F19" s="2"/>
      <c r="G19" s="37">
        <v>846.7</v>
      </c>
      <c r="H19" s="19">
        <f t="shared" si="0"/>
        <v>110.34797341326733</v>
      </c>
      <c r="I19" s="20">
        <v>1175</v>
      </c>
      <c r="J19" s="19">
        <f t="shared" si="1"/>
        <v>138.77406401322781</v>
      </c>
      <c r="K19" s="20">
        <v>1313</v>
      </c>
      <c r="L19" s="38">
        <f t="shared" si="2"/>
        <v>111.74468085106383</v>
      </c>
      <c r="M19" s="2">
        <f>1528+50</f>
        <v>1578</v>
      </c>
      <c r="N19" s="38">
        <f t="shared" si="3"/>
        <v>120.18278750952018</v>
      </c>
      <c r="O19" s="39">
        <v>1753.4</v>
      </c>
      <c r="P19" s="14">
        <f t="shared" si="4"/>
        <v>1.1111533586818758</v>
      </c>
      <c r="Q19" s="15">
        <f>[12]Свод!$CW$31/1000</f>
        <v>2221.0256370041843</v>
      </c>
      <c r="R19" s="15">
        <f>[12]Свод!$CW$43/1000</f>
        <v>158.54849999999999</v>
      </c>
      <c r="S19" s="13">
        <f>33/30*100</f>
        <v>110.00000000000001</v>
      </c>
      <c r="T19" s="15">
        <f>Q19-R19</f>
        <v>2062.4771370041844</v>
      </c>
      <c r="U19" s="13">
        <f t="shared" si="5"/>
        <v>117.62730335372329</v>
      </c>
      <c r="V19" s="16">
        <f>118.3+1740.65</f>
        <v>1858.95</v>
      </c>
      <c r="W19" s="16">
        <v>118.3</v>
      </c>
      <c r="X19" s="17">
        <f t="shared" si="6"/>
        <v>1740.65</v>
      </c>
      <c r="Y19" s="16"/>
      <c r="Z19" s="16">
        <v>1852.5</v>
      </c>
      <c r="AA19" s="16">
        <v>1987.4</v>
      </c>
      <c r="AB19" s="18">
        <f>V19*1.045*1.036</f>
        <v>2012.5364490000002</v>
      </c>
      <c r="AC19" s="18">
        <f>W19*1.11*1.03</f>
        <v>135.25239000000002</v>
      </c>
      <c r="AD19" s="4">
        <f t="shared" si="7"/>
        <v>85.306634878286474</v>
      </c>
      <c r="AE19" s="18">
        <f t="shared" si="8"/>
        <v>1877.2840590000001</v>
      </c>
      <c r="AF19" s="40">
        <f t="shared" si="9"/>
        <v>1.013378709311741</v>
      </c>
      <c r="AG19" s="42">
        <v>1877.2840000000001</v>
      </c>
      <c r="AH19" s="80">
        <v>2093.0379069600003</v>
      </c>
      <c r="AI19" s="81">
        <v>135.27000000000001</v>
      </c>
      <c r="AJ19" s="79">
        <v>1.0001302010263922</v>
      </c>
      <c r="AK19" s="81">
        <v>1957.7679069600003</v>
      </c>
      <c r="AL19" s="84">
        <v>1.0428725259257525</v>
      </c>
      <c r="AM19" s="48">
        <v>2657.8</v>
      </c>
      <c r="AN19" s="77">
        <v>2967.8679999999999</v>
      </c>
      <c r="AO19" s="78">
        <v>166.16</v>
      </c>
      <c r="AP19" s="79">
        <v>1.2283580986175795</v>
      </c>
      <c r="AQ19" s="78">
        <v>2801.7080000000001</v>
      </c>
      <c r="AR19" s="84">
        <v>1.0541455339002181</v>
      </c>
      <c r="AS19" s="80">
        <v>2930.6</v>
      </c>
      <c r="AT19" s="81">
        <v>172.81</v>
      </c>
      <c r="AU19" s="83">
        <v>1.0400216658642274</v>
      </c>
      <c r="AV19" s="81">
        <v>2757.79</v>
      </c>
      <c r="AW19" s="84">
        <v>0.98432456201716945</v>
      </c>
      <c r="AX19" s="80">
        <v>3039.96</v>
      </c>
      <c r="AY19" s="81">
        <v>179.72</v>
      </c>
      <c r="AZ19" s="83">
        <v>1.0399861119148197</v>
      </c>
      <c r="BA19" s="81">
        <v>2860.2400000000002</v>
      </c>
      <c r="BB19" s="84">
        <v>1.0371493115864516</v>
      </c>
    </row>
    <row r="20" spans="1:54" ht="34.9" customHeight="1">
      <c r="A20" s="44" t="s">
        <v>50</v>
      </c>
      <c r="B20" s="1"/>
      <c r="C20" s="2"/>
      <c r="D20" s="2"/>
      <c r="E20" s="2"/>
      <c r="F20" s="2"/>
      <c r="G20" s="37"/>
      <c r="H20" s="19"/>
      <c r="I20" s="20"/>
      <c r="J20" s="19"/>
      <c r="K20" s="20"/>
      <c r="L20" s="38"/>
      <c r="M20" s="2"/>
      <c r="N20" s="38"/>
      <c r="O20" s="39"/>
      <c r="P20" s="14"/>
      <c r="Q20" s="15"/>
      <c r="R20" s="15"/>
      <c r="S20" s="13"/>
      <c r="T20" s="15"/>
      <c r="U20" s="13"/>
      <c r="V20" s="16"/>
      <c r="W20" s="16"/>
      <c r="X20" s="17"/>
      <c r="Y20" s="16"/>
      <c r="Z20" s="16">
        <v>0</v>
      </c>
      <c r="AA20" s="16">
        <v>0</v>
      </c>
      <c r="AB20" s="18">
        <v>899.90300000000002</v>
      </c>
      <c r="AC20" s="18">
        <v>246.4</v>
      </c>
      <c r="AD20" s="4"/>
      <c r="AE20" s="18">
        <f t="shared" si="8"/>
        <v>653.50300000000004</v>
      </c>
      <c r="AF20" s="40" t="s">
        <v>51</v>
      </c>
      <c r="AG20" s="42">
        <v>653.50300000000004</v>
      </c>
      <c r="AH20" s="80">
        <v>367.786</v>
      </c>
      <c r="AI20" s="81">
        <v>256.25600000000003</v>
      </c>
      <c r="AJ20" s="79">
        <v>1.04</v>
      </c>
      <c r="AK20" s="81">
        <v>111.52999999999997</v>
      </c>
      <c r="AL20" s="84">
        <v>0.17066486305342127</v>
      </c>
      <c r="AM20" s="48">
        <v>111.52999999999997</v>
      </c>
      <c r="AN20" s="77">
        <v>1207.33</v>
      </c>
      <c r="AO20" s="78">
        <v>42</v>
      </c>
      <c r="AP20" s="79">
        <v>0.16389860139860138</v>
      </c>
      <c r="AQ20" s="78">
        <v>1165.33</v>
      </c>
      <c r="AR20" s="84">
        <v>10.448578857706449</v>
      </c>
      <c r="AS20" s="80">
        <v>1337.2909999999999</v>
      </c>
      <c r="AT20" s="81">
        <v>43.2</v>
      </c>
      <c r="AU20" s="83">
        <v>1.0285714285714287</v>
      </c>
      <c r="AV20" s="81">
        <v>1294.0909999999999</v>
      </c>
      <c r="AW20" s="84">
        <v>1.1104931650262158</v>
      </c>
      <c r="AX20" s="80">
        <v>1560.6089999999999</v>
      </c>
      <c r="AY20" s="81">
        <v>44.4</v>
      </c>
      <c r="AZ20" s="83">
        <v>1.0277777777777777</v>
      </c>
      <c r="BA20" s="81">
        <v>1516.2089999999998</v>
      </c>
      <c r="BB20" s="84">
        <v>1.1716401705907853</v>
      </c>
    </row>
    <row r="21" spans="1:54" ht="29.25" customHeight="1" thickBot="1">
      <c r="A21" s="46" t="s">
        <v>52</v>
      </c>
      <c r="B21" s="1"/>
      <c r="C21" s="2"/>
      <c r="D21" s="2"/>
      <c r="E21" s="2"/>
      <c r="F21" s="2"/>
      <c r="G21" s="37" t="s">
        <v>37</v>
      </c>
      <c r="H21" s="19" t="s">
        <v>37</v>
      </c>
      <c r="I21" s="20" t="s">
        <v>37</v>
      </c>
      <c r="J21" s="19" t="s">
        <v>37</v>
      </c>
      <c r="K21" s="20" t="s">
        <v>37</v>
      </c>
      <c r="L21" s="38" t="s">
        <v>37</v>
      </c>
      <c r="M21" s="2">
        <f>1595.8+300</f>
        <v>1895.8</v>
      </c>
      <c r="N21" s="38" t="s">
        <v>37</v>
      </c>
      <c r="O21" s="39">
        <v>2292.6</v>
      </c>
      <c r="P21" s="14">
        <f>O21/M21</f>
        <v>1.209304778985125</v>
      </c>
      <c r="Q21" s="15">
        <f>[13]Лист1!$M$39</f>
        <v>3044.0185510444007</v>
      </c>
      <c r="R21" s="15">
        <f>[13]Лист1!$M$18</f>
        <v>1020</v>
      </c>
      <c r="S21" s="13">
        <f>75/70*100</f>
        <v>107.14285714285714</v>
      </c>
      <c r="T21" s="15">
        <f>Q21-R21</f>
        <v>2024.0185510444007</v>
      </c>
      <c r="U21" s="13">
        <f t="shared" si="5"/>
        <v>88.284853487062762</v>
      </c>
      <c r="V21" s="16">
        <f>1353.24+1991.6182</f>
        <v>3344.8581999999997</v>
      </c>
      <c r="W21" s="16">
        <v>1353.24</v>
      </c>
      <c r="X21" s="17">
        <f t="shared" si="6"/>
        <v>1991.6181999999997</v>
      </c>
      <c r="Y21" s="16"/>
      <c r="Z21" s="16">
        <v>2192.8000000000002</v>
      </c>
      <c r="AA21" s="16">
        <v>1974</v>
      </c>
      <c r="AB21" s="18">
        <f>V21*1.045*1.036</f>
        <v>3621.2103844839999</v>
      </c>
      <c r="AC21" s="18">
        <f>W21*1.114*1.026</f>
        <v>1546.7046033600002</v>
      </c>
      <c r="AD21" s="4">
        <f>AC21/R21*100</f>
        <v>151.63770621176474</v>
      </c>
      <c r="AE21" s="18">
        <f t="shared" si="8"/>
        <v>2074.5057811239994</v>
      </c>
      <c r="AF21" s="40">
        <f>AE21/Z21</f>
        <v>0.94605334783108319</v>
      </c>
      <c r="AG21" s="42">
        <v>2074.5059999999999</v>
      </c>
      <c r="AH21" s="49">
        <v>3766.05879986336</v>
      </c>
      <c r="AI21" s="50">
        <v>1740.01</v>
      </c>
      <c r="AJ21" s="51">
        <v>1.1249788719966765</v>
      </c>
      <c r="AK21" s="50">
        <v>2026.04879986336</v>
      </c>
      <c r="AL21" s="52">
        <v>0.97664157146971864</v>
      </c>
      <c r="AM21" s="53">
        <v>2026.04879986336</v>
      </c>
      <c r="AN21" s="54">
        <v>4157.2</v>
      </c>
      <c r="AO21" s="55">
        <v>1784.05</v>
      </c>
      <c r="AP21" s="51">
        <v>1.0253101993666702</v>
      </c>
      <c r="AQ21" s="55">
        <v>2373.1499999999996</v>
      </c>
      <c r="AR21" s="52">
        <v>1.1713192693878098</v>
      </c>
      <c r="AS21" s="49">
        <v>4323.2</v>
      </c>
      <c r="AT21" s="50">
        <v>1855.42</v>
      </c>
      <c r="AU21" s="56">
        <v>1.0400044841792551</v>
      </c>
      <c r="AV21" s="50">
        <v>2467.7799999999997</v>
      </c>
      <c r="AW21" s="52">
        <v>1.0398752712639319</v>
      </c>
      <c r="AX21" s="49">
        <v>4457.3</v>
      </c>
      <c r="AY21" s="50">
        <v>1929.63</v>
      </c>
      <c r="AZ21" s="56">
        <v>1.0399963350616033</v>
      </c>
      <c r="BA21" s="50">
        <v>2527.67</v>
      </c>
      <c r="BB21" s="52">
        <v>1.0242687759848934</v>
      </c>
    </row>
    <row r="22" spans="1:54" ht="21" customHeight="1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229" t="s">
        <v>85</v>
      </c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</row>
    <row r="23" spans="1:54" ht="20.25" customHeight="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89" t="s">
        <v>80</v>
      </c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</row>
    <row r="24" spans="1:54" ht="38.25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89" t="s">
        <v>81</v>
      </c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</row>
    <row r="25" spans="1:54" ht="39.75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89" t="s">
        <v>83</v>
      </c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</row>
    <row r="26" spans="1:54" ht="60" customHeight="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89" t="s">
        <v>82</v>
      </c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</row>
    <row r="27" spans="1:54" ht="46.5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89" t="s">
        <v>84</v>
      </c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</row>
    <row r="28" spans="1:54">
      <c r="A28" s="129"/>
      <c r="B28" s="129"/>
      <c r="C28" s="129"/>
      <c r="D28" s="129"/>
      <c r="E28" s="129"/>
      <c r="F28" s="129"/>
    </row>
    <row r="30" spans="1:54">
      <c r="A30" s="130"/>
      <c r="B30" s="130"/>
      <c r="C30" s="130"/>
      <c r="D30" s="130"/>
      <c r="E30" s="130"/>
      <c r="F30" s="130"/>
    </row>
    <row r="31" spans="1:54">
      <c r="AQ31" s="131"/>
    </row>
  </sheetData>
  <mergeCells count="22">
    <mergeCell ref="AH25:AR25"/>
    <mergeCell ref="AH26:AR26"/>
    <mergeCell ref="AH27:AR27"/>
    <mergeCell ref="AS5:AW5"/>
    <mergeCell ref="AX5:BB5"/>
    <mergeCell ref="AH22:AR22"/>
    <mergeCell ref="AH23:AR23"/>
    <mergeCell ref="AH24:AR24"/>
    <mergeCell ref="M5:N5"/>
    <mergeCell ref="O5:P5"/>
    <mergeCell ref="Q5:U5"/>
    <mergeCell ref="V5:Y5"/>
    <mergeCell ref="AH3:AP3"/>
    <mergeCell ref="AA5:AA6"/>
    <mergeCell ref="AB5:AF5"/>
    <mergeCell ref="AH5:AL5"/>
    <mergeCell ref="AN5:AR5"/>
    <mergeCell ref="A5:A6"/>
    <mergeCell ref="D5:E5"/>
    <mergeCell ref="F5:H5"/>
    <mergeCell ref="I5:J5"/>
    <mergeCell ref="K5:L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5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Авиа и жд</vt:lpstr>
      <vt:lpstr>водный транспорт</vt:lpstr>
      <vt:lpstr>'Авиа и жд'!Заголовки_для_печати</vt:lpstr>
      <vt:lpstr>'водный транспорт'!Заголовки_для_печати</vt:lpstr>
      <vt:lpstr>'Авиа и жд'!Область_печати</vt:lpstr>
      <vt:lpstr>'водный транспорт'!Область_печати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lastPrinted>2019-10-12T09:49:58Z</cp:lastPrinted>
  <dcterms:created xsi:type="dcterms:W3CDTF">2017-08-04T07:55:22Z</dcterms:created>
  <dcterms:modified xsi:type="dcterms:W3CDTF">2019-10-13T12:54:02Z</dcterms:modified>
</cp:coreProperties>
</file>