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3250" windowHeight="13170"/>
  </bookViews>
  <sheets>
    <sheet name="Водные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Titles" localSheetId="0">Водные!$A:$B,Водные!$3:$4</definedName>
    <definedName name="_xlnm.Print_Area" localSheetId="0">Водные!$A$1:$BC$19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12" i="1"/>
  <c r="AU8" l="1"/>
  <c r="AU19" s="1"/>
  <c r="AO8"/>
  <c r="AP8"/>
  <c r="AP19"/>
  <c r="AY12" l="1"/>
  <c r="AY8" s="1"/>
  <c r="AY19" s="1"/>
  <c r="AT12"/>
  <c r="AT8" s="1"/>
  <c r="AT19" s="1"/>
  <c r="AO6" l="1"/>
  <c r="AO19" s="1"/>
  <c r="AV19" l="1"/>
  <c r="AN14"/>
  <c r="AN19" s="1"/>
  <c r="AJ14"/>
  <c r="AQ14" l="1"/>
  <c r="AI14"/>
  <c r="BA6" l="1"/>
  <c r="AV6"/>
  <c r="BB14" l="1"/>
  <c r="BA14"/>
  <c r="AV14"/>
  <c r="AW14"/>
  <c r="AR14"/>
  <c r="AS14" l="1"/>
  <c r="AX14"/>
  <c r="BC14"/>
  <c r="BA5" l="1"/>
  <c r="BA10"/>
  <c r="BA13"/>
  <c r="BA7"/>
  <c r="AJ7" l="1"/>
  <c r="AQ7" s="1"/>
  <c r="AJ6"/>
  <c r="AQ6" s="1"/>
  <c r="AV5"/>
  <c r="AQ10"/>
  <c r="AQ13"/>
  <c r="AQ5"/>
  <c r="AH11" l="1"/>
  <c r="AH12" s="1"/>
  <c r="AB12" l="1"/>
  <c r="AD7" l="1"/>
  <c r="W7"/>
  <c r="Y7" s="1"/>
  <c r="T7"/>
  <c r="S7"/>
  <c r="R7"/>
  <c r="N7"/>
  <c r="Q7" s="1"/>
  <c r="AF6"/>
  <c r="AD13"/>
  <c r="W13"/>
  <c r="T13"/>
  <c r="S13"/>
  <c r="R13"/>
  <c r="N13"/>
  <c r="M13"/>
  <c r="K13"/>
  <c r="I13"/>
  <c r="AD12"/>
  <c r="AJ12" s="1"/>
  <c r="AC12"/>
  <c r="AI12" s="1"/>
  <c r="AA12"/>
  <c r="Y12"/>
  <c r="T12"/>
  <c r="S12"/>
  <c r="R12"/>
  <c r="Q12"/>
  <c r="O12"/>
  <c r="M12"/>
  <c r="K12"/>
  <c r="I12"/>
  <c r="AD10"/>
  <c r="W10"/>
  <c r="Y10" s="1"/>
  <c r="S10"/>
  <c r="R10"/>
  <c r="N10"/>
  <c r="Q10" s="1"/>
  <c r="M10"/>
  <c r="K10"/>
  <c r="I10"/>
  <c r="AD5"/>
  <c r="W5"/>
  <c r="T5"/>
  <c r="S5"/>
  <c r="R5"/>
  <c r="Q5"/>
  <c r="O5"/>
  <c r="M5"/>
  <c r="K5"/>
  <c r="I5"/>
  <c r="E5"/>
  <c r="C5"/>
  <c r="AD11"/>
  <c r="AC11"/>
  <c r="AI11" s="1"/>
  <c r="Y11"/>
  <c r="T11"/>
  <c r="S11"/>
  <c r="R11"/>
  <c r="Q11"/>
  <c r="O11"/>
  <c r="M11"/>
  <c r="K11"/>
  <c r="I11"/>
  <c r="AJ8" l="1"/>
  <c r="AA11"/>
  <c r="AR12"/>
  <c r="AZ12"/>
  <c r="AQ12"/>
  <c r="U12"/>
  <c r="V12" s="1"/>
  <c r="AL6"/>
  <c r="AE11"/>
  <c r="AF11"/>
  <c r="U7"/>
  <c r="V7" s="1"/>
  <c r="U13"/>
  <c r="V13" s="1"/>
  <c r="AE12"/>
  <c r="U10"/>
  <c r="V10" s="1"/>
  <c r="AE13"/>
  <c r="AK5"/>
  <c r="AL11"/>
  <c r="AC10"/>
  <c r="AI10" s="1"/>
  <c r="AI8" s="1"/>
  <c r="AK6"/>
  <c r="O10"/>
  <c r="AC7"/>
  <c r="AI7" s="1"/>
  <c r="AL7" s="1"/>
  <c r="AE7"/>
  <c r="AF12"/>
  <c r="AG12" s="1"/>
  <c r="AC13"/>
  <c r="AI13" s="1"/>
  <c r="Y13"/>
  <c r="AE5"/>
  <c r="AE10"/>
  <c r="U11"/>
  <c r="V11" s="1"/>
  <c r="AK11"/>
  <c r="AC5"/>
  <c r="AI5" s="1"/>
  <c r="AI19" s="1"/>
  <c r="AL12"/>
  <c r="AN12" s="1"/>
  <c r="Y5"/>
  <c r="Q13"/>
  <c r="O13"/>
  <c r="U5"/>
  <c r="BA19" l="1"/>
  <c r="AZ8"/>
  <c r="AZ19" s="1"/>
  <c r="AJ19"/>
  <c r="AQ19" s="1"/>
  <c r="AQ8"/>
  <c r="AG11"/>
  <c r="AM11"/>
  <c r="AN11"/>
  <c r="AM6"/>
  <c r="AS6"/>
  <c r="AF10"/>
  <c r="AG10" s="1"/>
  <c r="AF7"/>
  <c r="AG7" s="1"/>
  <c r="BB12"/>
  <c r="BA12"/>
  <c r="AS12"/>
  <c r="AM12"/>
  <c r="BB7"/>
  <c r="AR7"/>
  <c r="AS7" s="1"/>
  <c r="AR5"/>
  <c r="AR13"/>
  <c r="AS13" s="1"/>
  <c r="BB13"/>
  <c r="AR10"/>
  <c r="AR8" s="1"/>
  <c r="BB10"/>
  <c r="AM7"/>
  <c r="AV10"/>
  <c r="AK10"/>
  <c r="AK8" s="1"/>
  <c r="V5"/>
  <c r="AV13"/>
  <c r="AK13"/>
  <c r="AV12"/>
  <c r="AK12"/>
  <c r="AV7"/>
  <c r="AK7"/>
  <c r="AK19" s="1"/>
  <c r="AF5"/>
  <c r="AF13"/>
  <c r="AG13" s="1"/>
  <c r="AL10"/>
  <c r="AL8" s="1"/>
  <c r="AS8" l="1"/>
  <c r="AR19"/>
  <c r="BB8"/>
  <c r="AR18"/>
  <c r="AM10"/>
  <c r="AM8" s="1"/>
  <c r="AN10"/>
  <c r="AW10"/>
  <c r="BB5"/>
  <c r="AS10"/>
  <c r="AW7"/>
  <c r="AL13"/>
  <c r="AM13" s="1"/>
  <c r="AW13"/>
  <c r="AG5"/>
  <c r="AW12"/>
  <c r="AX12" s="1"/>
  <c r="AL5"/>
  <c r="AL19" s="1"/>
  <c r="AY15" l="1"/>
  <c r="BC10"/>
  <c r="AW8"/>
  <c r="BB19"/>
  <c r="BC8"/>
  <c r="AV17"/>
  <c r="AM5"/>
  <c r="AM19" s="1"/>
  <c r="AS19"/>
  <c r="AX10"/>
  <c r="AX7"/>
  <c r="BC7"/>
  <c r="AX13"/>
  <c r="BC13"/>
  <c r="BC12"/>
  <c r="AS5"/>
  <c r="AW5"/>
  <c r="AW19" l="1"/>
  <c r="BC19" s="1"/>
  <c r="AX8"/>
  <c r="AX5"/>
  <c r="BC5"/>
  <c r="AX19" l="1"/>
</calcChain>
</file>

<file path=xl/sharedStrings.xml><?xml version="1.0" encoding="utf-8"?>
<sst xmlns="http://schemas.openxmlformats.org/spreadsheetml/2006/main" count="99" uniqueCount="68">
  <si>
    <t>тыс. руб.</t>
  </si>
  <si>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</si>
  <si>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</si>
  <si>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</si>
  <si>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</si>
  <si>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</si>
  <si>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</si>
  <si>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</si>
  <si>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</si>
  <si>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</si>
  <si>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</si>
  <si>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</si>
  <si>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2019 год - прогноз</t>
  </si>
  <si>
    <t>2020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</si>
  <si>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</si>
  <si>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</si>
  <si>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</si>
  <si>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</si>
  <si>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</si>
  <si>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</si>
  <si>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</si>
  <si>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</si>
  <si>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</si>
  <si>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</si>
  <si>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</si>
  <si>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</si>
  <si>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</si>
  <si>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</si>
  <si>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</si>
  <si>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</si>
  <si>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</si>
  <si>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</si>
  <si>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Рост тарифов к 2016 г., %</t>
  </si>
  <si>
    <t>Рост к 2018 г., %</t>
  </si>
  <si>
    <t>Рост к 2019 г., %</t>
  </si>
  <si>
    <t xml:space="preserve"> - </t>
  </si>
  <si>
    <t>-</t>
  </si>
  <si>
    <t>Фактически выплаченная субсидия за 2017 год</t>
  </si>
  <si>
    <t>Рост к 2017 г., %</t>
  </si>
  <si>
    <t>2018 год - прогнозная оценка АТиЦ</t>
  </si>
  <si>
    <t>2019 год</t>
  </si>
  <si>
    <t>2018 год</t>
  </si>
  <si>
    <t>2021 год - прогноз</t>
  </si>
  <si>
    <t>Областной закон от 23.12.2016                   № 503-31-ОЗ</t>
  </si>
  <si>
    <t>Областной закон от 15.12.2017                   № 581-40-ОЗ</t>
  </si>
  <si>
    <t>Рост к 2020 г., %</t>
  </si>
  <si>
    <t>2022 год - прогноз</t>
  </si>
  <si>
    <t>Итого</t>
  </si>
  <si>
    <t>В областном законе</t>
  </si>
  <si>
    <t>Муниципальное образование</t>
  </si>
  <si>
    <t>Перевозчик / Маршрут водного траспорта</t>
  </si>
  <si>
    <t>Верхнетоемский муниципальный район</t>
  </si>
  <si>
    <t>Красноборский муниципальный район</t>
  </si>
  <si>
    <t xml:space="preserve">МУП "Коммунальное" (с. Черевково-Ракулка) </t>
  </si>
  <si>
    <t xml:space="preserve">ИП Сидоров А.Б. или АО "СРП"(В. Тойма - Н. Тойма) </t>
  </si>
  <si>
    <t>Онежский муниципальный район</t>
  </si>
  <si>
    <t xml:space="preserve">ИП Муковозов Н.П. (п. Порог - с. Усть Кожа ) </t>
  </si>
  <si>
    <t xml:space="preserve">ИП Цурко Е.Ю. (г. Онега - с. Лямца) </t>
  </si>
  <si>
    <t xml:space="preserve">ИП Цурко Е.Ю. (г. Онега - пос. Легашевская запань) </t>
  </si>
  <si>
    <t>ООО "Устьпинежский ЛПХ" (дер. Хорьково - дер. Кузьмино, дер.Черный Яр - дер. Дедов Полой)</t>
  </si>
  <si>
    <t>Приморский муниципальный район</t>
  </si>
  <si>
    <t>ООО "Сиверко" (пос. Каменка - г. Мезень)</t>
  </si>
  <si>
    <t>Мезенский муниципальный район</t>
  </si>
  <si>
    <t>Город Архангельск</t>
  </si>
  <si>
    <t xml:space="preserve">ОАО "Архангельский речной порт" </t>
  </si>
  <si>
    <t>в том числе:</t>
  </si>
  <si>
    <t>Всего по МО:</t>
  </si>
  <si>
    <t xml:space="preserve">Расчет субсидий местным бюджетам на организацию транспортного обслуживания населения водным транспортом по муниципальным маршрутам на 2020 год и плановый период 2021 - 2022 годов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</si>
</sst>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51">
    <xf numFmtId="0" fontId="0" fillId="0" borderId="0"/>
    <xf numFmtId="9" fontId="9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4" fillId="20" borderId="31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5" fillId="20" borderId="30" applyNumberFormat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34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19" fillId="0" borderId="35" applyNumberFormat="0" applyFill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0" fillId="21" borderId="36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/>
    <xf numFmtId="0" fontId="23" fillId="0" borderId="0"/>
    <xf numFmtId="0" fontId="9" fillId="0" borderId="0"/>
    <xf numFmtId="0" fontId="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0" fontId="23" fillId="23" borderId="3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</cellStyleXfs>
  <cellXfs count="157">
    <xf numFmtId="0" fontId="0" fillId="0" borderId="0" xfId="0"/>
    <xf numFmtId="164" fontId="6" fillId="0" borderId="19" xfId="0" applyNumberFormat="1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4" fontId="7" fillId="0" borderId="20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 wrapText="1"/>
    </xf>
    <xf numFmtId="4" fontId="10" fillId="0" borderId="20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 wrapText="1"/>
    </xf>
    <xf numFmtId="4" fontId="6" fillId="0" borderId="20" xfId="0" applyNumberFormat="1" applyFont="1" applyFill="1" applyBorder="1" applyAlignment="1">
      <alignment horizontal="center" vertical="center" wrapText="1"/>
    </xf>
    <xf numFmtId="4" fontId="6" fillId="0" borderId="20" xfId="0" applyNumberFormat="1" applyFont="1" applyFill="1" applyBorder="1" applyAlignment="1">
      <alignment horizontal="center" vertical="center"/>
    </xf>
    <xf numFmtId="165" fontId="7" fillId="0" borderId="20" xfId="1" applyNumberFormat="1" applyFont="1" applyFill="1" applyBorder="1" applyAlignment="1">
      <alignment horizontal="center" vertical="center"/>
    </xf>
    <xf numFmtId="165" fontId="7" fillId="0" borderId="22" xfId="1" applyNumberFormat="1" applyFont="1" applyFill="1" applyBorder="1" applyAlignment="1">
      <alignment horizontal="center" vertical="center"/>
    </xf>
    <xf numFmtId="4" fontId="6" fillId="0" borderId="20" xfId="1" applyNumberFormat="1" applyFont="1" applyFill="1" applyBorder="1" applyAlignment="1">
      <alignment horizontal="center" vertical="center"/>
    </xf>
    <xf numFmtId="10" fontId="7" fillId="0" borderId="20" xfId="1" applyNumberFormat="1" applyFont="1" applyFill="1" applyBorder="1" applyAlignment="1">
      <alignment horizontal="center" vertical="center"/>
    </xf>
    <xf numFmtId="4" fontId="4" fillId="0" borderId="20" xfId="1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/>
    </xf>
    <xf numFmtId="4" fontId="6" fillId="0" borderId="48" xfId="1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3" fontId="4" fillId="0" borderId="45" xfId="1" applyNumberFormat="1" applyFont="1" applyFill="1" applyBorder="1" applyAlignment="1">
      <alignment horizontal="center" vertical="center"/>
    </xf>
    <xf numFmtId="4" fontId="4" fillId="0" borderId="45" xfId="0" applyNumberFormat="1" applyFont="1" applyFill="1" applyBorder="1" applyAlignment="1">
      <alignment horizontal="center" vertical="center"/>
    </xf>
    <xf numFmtId="4" fontId="4" fillId="0" borderId="45" xfId="1" applyNumberFormat="1" applyFont="1" applyFill="1" applyBorder="1" applyAlignment="1">
      <alignment horizontal="center" vertical="center"/>
    </xf>
    <xf numFmtId="4" fontId="6" fillId="0" borderId="21" xfId="1" applyNumberFormat="1" applyFont="1" applyFill="1" applyBorder="1" applyAlignment="1">
      <alignment horizontal="center" vertical="center"/>
    </xf>
    <xf numFmtId="4" fontId="4" fillId="0" borderId="21" xfId="1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 wrapText="1" indent="3"/>
    </xf>
    <xf numFmtId="0" fontId="4" fillId="0" borderId="45" xfId="0" applyFont="1" applyFill="1" applyBorder="1" applyAlignment="1">
      <alignment horizontal="left" vertical="center" indent="3"/>
    </xf>
    <xf numFmtId="166" fontId="4" fillId="0" borderId="45" xfId="1" applyNumberFormat="1" applyFont="1" applyFill="1" applyBorder="1" applyAlignment="1">
      <alignment horizontal="center" vertical="center"/>
    </xf>
    <xf numFmtId="166" fontId="6" fillId="0" borderId="20" xfId="1" applyNumberFormat="1" applyFont="1" applyFill="1" applyBorder="1" applyAlignment="1">
      <alignment horizontal="center" vertical="center"/>
    </xf>
    <xf numFmtId="166" fontId="6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 applyBorder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center" vertical="center"/>
    </xf>
    <xf numFmtId="165" fontId="7" fillId="0" borderId="9" xfId="1" applyNumberFormat="1" applyFont="1" applyFill="1" applyBorder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10" fontId="7" fillId="0" borderId="9" xfId="1" applyNumberFormat="1" applyFont="1" applyFill="1" applyBorder="1" applyAlignment="1">
      <alignment horizontal="center" vertical="center"/>
    </xf>
    <xf numFmtId="165" fontId="7" fillId="0" borderId="7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6" fillId="0" borderId="9" xfId="1" applyNumberFormat="1" applyFont="1" applyFill="1" applyBorder="1" applyAlignment="1">
      <alignment horizontal="center" vertical="center"/>
    </xf>
    <xf numFmtId="166" fontId="6" fillId="0" borderId="9" xfId="1" applyNumberFormat="1" applyFont="1" applyFill="1" applyBorder="1" applyAlignment="1">
      <alignment horizontal="center" vertical="center"/>
    </xf>
    <xf numFmtId="166" fontId="6" fillId="0" borderId="9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 wrapText="1"/>
    </xf>
    <xf numFmtId="0" fontId="2" fillId="0" borderId="40" xfId="0" applyFont="1" applyFill="1" applyBorder="1"/>
    <xf numFmtId="164" fontId="4" fillId="0" borderId="47" xfId="0" applyNumberFormat="1" applyFont="1" applyFill="1" applyBorder="1" applyAlignment="1">
      <alignment horizontal="left"/>
    </xf>
    <xf numFmtId="164" fontId="4" fillId="0" borderId="20" xfId="0" applyNumberFormat="1" applyFont="1" applyFill="1" applyBorder="1" applyAlignment="1">
      <alignment horizontal="left"/>
    </xf>
    <xf numFmtId="0" fontId="2" fillId="0" borderId="20" xfId="0" applyFont="1" applyFill="1" applyBorder="1"/>
    <xf numFmtId="0" fontId="3" fillId="0" borderId="20" xfId="0" applyFont="1" applyFill="1" applyBorder="1"/>
    <xf numFmtId="0" fontId="4" fillId="0" borderId="20" xfId="0" applyFont="1" applyFill="1" applyBorder="1"/>
    <xf numFmtId="0" fontId="4" fillId="0" borderId="48" xfId="0" applyFont="1" applyFill="1" applyBorder="1"/>
    <xf numFmtId="0" fontId="4" fillId="0" borderId="21" xfId="0" applyFont="1" applyFill="1" applyBorder="1"/>
    <xf numFmtId="0" fontId="3" fillId="0" borderId="22" xfId="0" applyFont="1" applyFill="1" applyBorder="1"/>
    <xf numFmtId="0" fontId="3" fillId="0" borderId="45" xfId="0" applyFont="1" applyFill="1" applyBorder="1"/>
    <xf numFmtId="0" fontId="3" fillId="0" borderId="21" xfId="0" applyFont="1" applyFill="1" applyBorder="1"/>
    <xf numFmtId="4" fontId="2" fillId="0" borderId="21" xfId="0" applyNumberFormat="1" applyFont="1" applyFill="1" applyBorder="1"/>
    <xf numFmtId="0" fontId="2" fillId="0" borderId="22" xfId="0" applyFont="1" applyFill="1" applyBorder="1"/>
    <xf numFmtId="0" fontId="2" fillId="0" borderId="21" xfId="0" applyFont="1" applyFill="1" applyBorder="1"/>
    <xf numFmtId="0" fontId="2" fillId="0" borderId="20" xfId="0" applyFont="1" applyFill="1" applyBorder="1" applyAlignment="1">
      <alignment horizontal="left" vertical="center" wrapText="1"/>
    </xf>
    <xf numFmtId="4" fontId="3" fillId="0" borderId="20" xfId="0" applyNumberFormat="1" applyFont="1" applyFill="1" applyBorder="1"/>
    <xf numFmtId="0" fontId="2" fillId="0" borderId="27" xfId="0" applyFont="1" applyFill="1" applyBorder="1"/>
    <xf numFmtId="0" fontId="2" fillId="0" borderId="25" xfId="0" applyFont="1" applyFill="1" applyBorder="1"/>
    <xf numFmtId="0" fontId="3" fillId="0" borderId="25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3" fillId="0" borderId="28" xfId="0" applyFont="1" applyFill="1" applyBorder="1"/>
    <xf numFmtId="0" fontId="3" fillId="0" borderId="23" xfId="0" applyFont="1" applyFill="1" applyBorder="1"/>
    <xf numFmtId="0" fontId="3" fillId="0" borderId="27" xfId="0" applyFont="1" applyFill="1" applyBorder="1"/>
    <xf numFmtId="4" fontId="3" fillId="0" borderId="25" xfId="0" applyNumberFormat="1" applyFont="1" applyFill="1" applyBorder="1"/>
    <xf numFmtId="0" fontId="2" fillId="0" borderId="28" xfId="0" applyFont="1" applyFill="1" applyBorder="1"/>
    <xf numFmtId="0" fontId="6" fillId="0" borderId="4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164" fontId="6" fillId="0" borderId="43" xfId="0" applyNumberFormat="1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/>
    </xf>
    <xf numFmtId="164" fontId="8" fillId="0" borderId="43" xfId="0" applyNumberFormat="1" applyFont="1" applyFill="1" applyBorder="1" applyAlignment="1">
      <alignment horizontal="center" vertical="center"/>
    </xf>
    <xf numFmtId="164" fontId="10" fillId="0" borderId="43" xfId="0" applyNumberFormat="1" applyFont="1" applyFill="1" applyBorder="1" applyAlignment="1">
      <alignment horizontal="center" vertical="center"/>
    </xf>
    <xf numFmtId="164" fontId="7" fillId="0" borderId="43" xfId="0" applyNumberFormat="1" applyFont="1" applyFill="1" applyBorder="1" applyAlignment="1">
      <alignment horizontal="center" vertical="center" wrapText="1"/>
    </xf>
    <xf numFmtId="4" fontId="6" fillId="0" borderId="43" xfId="0" applyNumberFormat="1" applyFont="1" applyFill="1" applyBorder="1" applyAlignment="1">
      <alignment horizontal="center" vertical="center" wrapText="1"/>
    </xf>
    <xf numFmtId="165" fontId="7" fillId="0" borderId="43" xfId="0" applyNumberFormat="1" applyFont="1" applyFill="1" applyBorder="1" applyAlignment="1">
      <alignment horizontal="center" vertical="center" wrapText="1"/>
    </xf>
    <xf numFmtId="4" fontId="10" fillId="0" borderId="43" xfId="0" applyNumberFormat="1" applyFont="1" applyFill="1" applyBorder="1" applyAlignment="1">
      <alignment horizontal="center" vertical="center"/>
    </xf>
    <xf numFmtId="4" fontId="8" fillId="0" borderId="43" xfId="0" applyNumberFormat="1" applyFont="1" applyFill="1" applyBorder="1" applyAlignment="1">
      <alignment horizontal="center" vertical="center"/>
    </xf>
    <xf numFmtId="4" fontId="11" fillId="0" borderId="43" xfId="0" applyNumberFormat="1" applyFont="1" applyFill="1" applyBorder="1" applyAlignment="1">
      <alignment horizontal="center" vertical="center"/>
    </xf>
    <xf numFmtId="4" fontId="4" fillId="0" borderId="43" xfId="0" applyNumberFormat="1" applyFont="1" applyFill="1" applyBorder="1" applyAlignment="1">
      <alignment horizontal="center" vertical="center"/>
    </xf>
    <xf numFmtId="4" fontId="6" fillId="0" borderId="43" xfId="0" applyNumberFormat="1" applyFont="1" applyFill="1" applyBorder="1" applyAlignment="1">
      <alignment horizontal="center" vertical="center"/>
    </xf>
    <xf numFmtId="4" fontId="7" fillId="0" borderId="43" xfId="0" applyNumberFormat="1" applyFont="1" applyFill="1" applyBorder="1" applyAlignment="1">
      <alignment horizontal="center" vertical="center"/>
    </xf>
    <xf numFmtId="165" fontId="7" fillId="0" borderId="43" xfId="1" applyNumberFormat="1" applyFont="1" applyFill="1" applyBorder="1" applyAlignment="1">
      <alignment horizontal="center" vertical="center"/>
    </xf>
    <xf numFmtId="4" fontId="6" fillId="0" borderId="49" xfId="1" applyNumberFormat="1" applyFont="1" applyFill="1" applyBorder="1" applyAlignment="1">
      <alignment horizontal="center" vertical="center"/>
    </xf>
    <xf numFmtId="4" fontId="6" fillId="0" borderId="42" xfId="0" applyNumberFormat="1" applyFont="1" applyFill="1" applyBorder="1" applyAlignment="1">
      <alignment horizontal="center" vertical="center"/>
    </xf>
    <xf numFmtId="4" fontId="6" fillId="0" borderId="44" xfId="0" applyNumberFormat="1" applyFont="1" applyFill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10" fontId="4" fillId="0" borderId="43" xfId="0" applyNumberFormat="1" applyFont="1" applyFill="1" applyBorder="1" applyAlignment="1">
      <alignment horizontal="center" vertical="center"/>
    </xf>
    <xf numFmtId="166" fontId="6" fillId="0" borderId="43" xfId="0" applyNumberFormat="1" applyFont="1" applyFill="1" applyBorder="1" applyAlignment="1">
      <alignment horizontal="center" vertical="center"/>
    </xf>
    <xf numFmtId="165" fontId="7" fillId="0" borderId="44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164" fontId="2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/>
  </cellXfs>
  <cellStyles count="951">
    <cellStyle name="20% — акцент1" xfId="2"/>
    <cellStyle name="20% - Акцент1 2" xfId="3"/>
    <cellStyle name="20% — акцент1 2" xfId="4"/>
    <cellStyle name="20% - Акцент1 2 10" xfId="5"/>
    <cellStyle name="20% - Акцент1 2 2" xfId="6"/>
    <cellStyle name="20% - Акцент1 2 3" xfId="7"/>
    <cellStyle name="20% - Акцент1 2 4" xfId="8"/>
    <cellStyle name="20% - Акцент1 2 5" xfId="9"/>
    <cellStyle name="20% - Акцент1 2 6" xfId="10"/>
    <cellStyle name="20% - Акцент1 2 7" xfId="11"/>
    <cellStyle name="20% - Акцент1 2 8" xfId="12"/>
    <cellStyle name="20% - Акцент1 2 9" xfId="13"/>
    <cellStyle name="20% - Акцент1 3" xfId="14"/>
    <cellStyle name="20% - Акцент1 3 10" xfId="15"/>
    <cellStyle name="20% - Акцент1 3 2" xfId="16"/>
    <cellStyle name="20% - Акцент1 3 3" xfId="17"/>
    <cellStyle name="20% - Акцент1 3 4" xfId="18"/>
    <cellStyle name="20% - Акцент1 3 5" xfId="19"/>
    <cellStyle name="20% - Акцент1 3 6" xfId="20"/>
    <cellStyle name="20% - Акцент1 3 7" xfId="21"/>
    <cellStyle name="20% - Акцент1 3 8" xfId="22"/>
    <cellStyle name="20% - Акцент1 3 9" xfId="23"/>
    <cellStyle name="20% — акцент2" xfId="24"/>
    <cellStyle name="20% - Акцент2 2" xfId="25"/>
    <cellStyle name="20% — акцент2 2" xfId="26"/>
    <cellStyle name="20% - Акцент2 2 10" xfId="27"/>
    <cellStyle name="20% - Акцент2 2 2" xfId="28"/>
    <cellStyle name="20% - Акцент2 2 3" xfId="29"/>
    <cellStyle name="20% - Акцент2 2 4" xfId="30"/>
    <cellStyle name="20% - Акцент2 2 5" xfId="31"/>
    <cellStyle name="20% - Акцент2 2 6" xfId="32"/>
    <cellStyle name="20% - Акцент2 2 7" xfId="33"/>
    <cellStyle name="20% - Акцент2 2 8" xfId="34"/>
    <cellStyle name="20% - Акцент2 2 9" xfId="35"/>
    <cellStyle name="20% - Акцент2 3" xfId="36"/>
    <cellStyle name="20% - Акцент2 3 10" xfId="37"/>
    <cellStyle name="20% - Акцент2 3 2" xfId="38"/>
    <cellStyle name="20% - Акцент2 3 3" xfId="39"/>
    <cellStyle name="20% - Акцент2 3 4" xfId="40"/>
    <cellStyle name="20% - Акцент2 3 5" xfId="41"/>
    <cellStyle name="20% - Акцент2 3 6" xfId="42"/>
    <cellStyle name="20% - Акцент2 3 7" xfId="43"/>
    <cellStyle name="20% - Акцент2 3 8" xfId="44"/>
    <cellStyle name="20% - Акцент2 3 9" xfId="45"/>
    <cellStyle name="20% — акцент3" xfId="46"/>
    <cellStyle name="20% - Акцент3 2" xfId="47"/>
    <cellStyle name="20% — акцент3 2" xfId="48"/>
    <cellStyle name="20% - Акцент3 2 10" xfId="49"/>
    <cellStyle name="20% - Акцент3 2 2" xfId="50"/>
    <cellStyle name="20% - Акцент3 2 3" xfId="51"/>
    <cellStyle name="20% - Акцент3 2 4" xfId="52"/>
    <cellStyle name="20% - Акцент3 2 5" xfId="53"/>
    <cellStyle name="20% - Акцент3 2 6" xfId="54"/>
    <cellStyle name="20% - Акцент3 2 7" xfId="55"/>
    <cellStyle name="20% - Акцент3 2 8" xfId="56"/>
    <cellStyle name="20% - Акцент3 2 9" xfId="57"/>
    <cellStyle name="20% - Акцент3 3" xfId="58"/>
    <cellStyle name="20% - Акцент3 3 10" xfId="59"/>
    <cellStyle name="20% - Акцент3 3 2" xfId="60"/>
    <cellStyle name="20% - Акцент3 3 3" xfId="61"/>
    <cellStyle name="20% - Акцент3 3 4" xfId="62"/>
    <cellStyle name="20% - Акцент3 3 5" xfId="63"/>
    <cellStyle name="20% - Акцент3 3 6" xfId="64"/>
    <cellStyle name="20% - Акцент3 3 7" xfId="65"/>
    <cellStyle name="20% - Акцент3 3 8" xfId="66"/>
    <cellStyle name="20% - Акцент3 3 9" xfId="67"/>
    <cellStyle name="20% — акцент4" xfId="68"/>
    <cellStyle name="20% - Акцент4 2" xfId="69"/>
    <cellStyle name="20% — акцент4 2" xfId="70"/>
    <cellStyle name="20% - Акцент4 2 10" xfId="71"/>
    <cellStyle name="20% - Акцент4 2 2" xfId="72"/>
    <cellStyle name="20% - Акцент4 2 3" xfId="73"/>
    <cellStyle name="20% - Акцент4 2 4" xfId="74"/>
    <cellStyle name="20% - Акцент4 2 5" xfId="75"/>
    <cellStyle name="20% - Акцент4 2 6" xfId="76"/>
    <cellStyle name="20% - Акцент4 2 7" xfId="77"/>
    <cellStyle name="20% - Акцент4 2 8" xfId="78"/>
    <cellStyle name="20% - Акцент4 2 9" xfId="79"/>
    <cellStyle name="20% - Акцент4 3" xfId="80"/>
    <cellStyle name="20% - Акцент4 3 10" xfId="81"/>
    <cellStyle name="20% - Акцент4 3 2" xfId="82"/>
    <cellStyle name="20% - Акцент4 3 3" xfId="83"/>
    <cellStyle name="20% - Акцент4 3 4" xfId="84"/>
    <cellStyle name="20% - Акцент4 3 5" xfId="85"/>
    <cellStyle name="20% - Акцент4 3 6" xfId="86"/>
    <cellStyle name="20% - Акцент4 3 7" xfId="87"/>
    <cellStyle name="20% - Акцент4 3 8" xfId="88"/>
    <cellStyle name="20% - Акцент4 3 9" xfId="89"/>
    <cellStyle name="20% — акцент5" xfId="90"/>
    <cellStyle name="20% - Акцент5 2" xfId="91"/>
    <cellStyle name="20% — акцент5 2" xfId="92"/>
    <cellStyle name="20% - Акцент5 2 10" xfId="93"/>
    <cellStyle name="20% - Акцент5 2 2" xfId="94"/>
    <cellStyle name="20% - Акцент5 2 3" xfId="95"/>
    <cellStyle name="20% - Акцент5 2 4" xfId="96"/>
    <cellStyle name="20% - Акцент5 2 5" xfId="97"/>
    <cellStyle name="20% - Акцент5 2 6" xfId="98"/>
    <cellStyle name="20% - Акцент5 2 7" xfId="99"/>
    <cellStyle name="20% - Акцент5 2 8" xfId="100"/>
    <cellStyle name="20% - Акцент5 2 9" xfId="101"/>
    <cellStyle name="20% - Акцент5 3" xfId="102"/>
    <cellStyle name="20% - Акцент5 3 10" xfId="103"/>
    <cellStyle name="20% - Акцент5 3 2" xfId="104"/>
    <cellStyle name="20% - Акцент5 3 3" xfId="105"/>
    <cellStyle name="20% - Акцент5 3 4" xfId="106"/>
    <cellStyle name="20% - Акцент5 3 5" xfId="107"/>
    <cellStyle name="20% - Акцент5 3 6" xfId="108"/>
    <cellStyle name="20% - Акцент5 3 7" xfId="109"/>
    <cellStyle name="20% - Акцент5 3 8" xfId="110"/>
    <cellStyle name="20% - Акцент5 3 9" xfId="111"/>
    <cellStyle name="20% — акцент6" xfId="112"/>
    <cellStyle name="20% - Акцент6 2" xfId="113"/>
    <cellStyle name="20% — акцент6 2" xfId="114"/>
    <cellStyle name="20% - Акцент6 2 10" xfId="115"/>
    <cellStyle name="20% - Акцент6 2 2" xfId="116"/>
    <cellStyle name="20% - Акцент6 2 3" xfId="117"/>
    <cellStyle name="20% - Акцент6 2 4" xfId="118"/>
    <cellStyle name="20% - Акцент6 2 5" xfId="119"/>
    <cellStyle name="20% - Акцент6 2 6" xfId="120"/>
    <cellStyle name="20% - Акцент6 2 7" xfId="121"/>
    <cellStyle name="20% - Акцент6 2 8" xfId="122"/>
    <cellStyle name="20% - Акцент6 2 9" xfId="123"/>
    <cellStyle name="20% - Акцент6 3" xfId="124"/>
    <cellStyle name="20% - Акцент6 3 10" xfId="125"/>
    <cellStyle name="20% - Акцент6 3 2" xfId="126"/>
    <cellStyle name="20% - Акцент6 3 3" xfId="127"/>
    <cellStyle name="20% - Акцент6 3 4" xfId="128"/>
    <cellStyle name="20% - Акцент6 3 5" xfId="129"/>
    <cellStyle name="20% - Акцент6 3 6" xfId="130"/>
    <cellStyle name="20% - Акцент6 3 7" xfId="131"/>
    <cellStyle name="20% - Акцент6 3 8" xfId="132"/>
    <cellStyle name="20% - Акцент6 3 9" xfId="133"/>
    <cellStyle name="40% — акцент1" xfId="134"/>
    <cellStyle name="40% - Акцент1 2" xfId="135"/>
    <cellStyle name="40% — акцент1 2" xfId="136"/>
    <cellStyle name="40% - Акцент1 2 10" xfId="137"/>
    <cellStyle name="40% - Акцент1 2 2" xfId="138"/>
    <cellStyle name="40% - Акцент1 2 3" xfId="139"/>
    <cellStyle name="40% - Акцент1 2 4" xfId="140"/>
    <cellStyle name="40% - Акцент1 2 5" xfId="141"/>
    <cellStyle name="40% - Акцент1 2 6" xfId="142"/>
    <cellStyle name="40% - Акцент1 2 7" xfId="143"/>
    <cellStyle name="40% - Акцент1 2 8" xfId="144"/>
    <cellStyle name="40% - Акцент1 2 9" xfId="145"/>
    <cellStyle name="40% - Акцент1 3" xfId="146"/>
    <cellStyle name="40% - Акцент1 3 10" xfId="147"/>
    <cellStyle name="40% - Акцент1 3 2" xfId="148"/>
    <cellStyle name="40% - Акцент1 3 3" xfId="149"/>
    <cellStyle name="40% - Акцент1 3 4" xfId="150"/>
    <cellStyle name="40% - Акцент1 3 5" xfId="151"/>
    <cellStyle name="40% - Акцент1 3 6" xfId="152"/>
    <cellStyle name="40% - Акцент1 3 7" xfId="153"/>
    <cellStyle name="40% - Акцент1 3 8" xfId="154"/>
    <cellStyle name="40% - Акцент1 3 9" xfId="155"/>
    <cellStyle name="40% — акцент2" xfId="156"/>
    <cellStyle name="40% - Акцент2 2" xfId="157"/>
    <cellStyle name="40% — акцент2 2" xfId="158"/>
    <cellStyle name="40% - Акцент2 2 10" xfId="159"/>
    <cellStyle name="40% - Акцент2 2 2" xfId="160"/>
    <cellStyle name="40% - Акцент2 2 3" xfId="161"/>
    <cellStyle name="40% - Акцент2 2 4" xfId="162"/>
    <cellStyle name="40% - Акцент2 2 5" xfId="163"/>
    <cellStyle name="40% - Акцент2 2 6" xfId="164"/>
    <cellStyle name="40% - Акцент2 2 7" xfId="165"/>
    <cellStyle name="40% - Акцент2 2 8" xfId="166"/>
    <cellStyle name="40% - Акцент2 2 9" xfId="167"/>
    <cellStyle name="40% - Акцент2 3" xfId="168"/>
    <cellStyle name="40% - Акцент2 3 10" xfId="169"/>
    <cellStyle name="40% - Акцент2 3 2" xfId="170"/>
    <cellStyle name="40% - Акцент2 3 3" xfId="171"/>
    <cellStyle name="40% - Акцент2 3 4" xfId="172"/>
    <cellStyle name="40% - Акцент2 3 5" xfId="173"/>
    <cellStyle name="40% - Акцент2 3 6" xfId="174"/>
    <cellStyle name="40% - Акцент2 3 7" xfId="175"/>
    <cellStyle name="40% - Акцент2 3 8" xfId="176"/>
    <cellStyle name="40% - Акцент2 3 9" xfId="177"/>
    <cellStyle name="40% — акцент3" xfId="178"/>
    <cellStyle name="40% - Акцент3 2" xfId="179"/>
    <cellStyle name="40% — акцент3 2" xfId="180"/>
    <cellStyle name="40% - Акцент3 2 10" xfId="181"/>
    <cellStyle name="40% - Акцент3 2 2" xfId="182"/>
    <cellStyle name="40% - Акцент3 2 3" xfId="183"/>
    <cellStyle name="40% - Акцент3 2 4" xfId="184"/>
    <cellStyle name="40% - Акцент3 2 5" xfId="185"/>
    <cellStyle name="40% - Акцент3 2 6" xfId="186"/>
    <cellStyle name="40% - Акцент3 2 7" xfId="187"/>
    <cellStyle name="40% - Акцент3 2 8" xfId="188"/>
    <cellStyle name="40% - Акцент3 2 9" xfId="189"/>
    <cellStyle name="40% - Акцент3 3" xfId="190"/>
    <cellStyle name="40% - Акцент3 3 10" xfId="191"/>
    <cellStyle name="40% - Акцент3 3 2" xfId="192"/>
    <cellStyle name="40% - Акцент3 3 3" xfId="193"/>
    <cellStyle name="40% - Акцент3 3 4" xfId="194"/>
    <cellStyle name="40% - Акцент3 3 5" xfId="195"/>
    <cellStyle name="40% - Акцент3 3 6" xfId="196"/>
    <cellStyle name="40% - Акцент3 3 7" xfId="197"/>
    <cellStyle name="40% - Акцент3 3 8" xfId="198"/>
    <cellStyle name="40% - Акцент3 3 9" xfId="199"/>
    <cellStyle name="40% — акцент4" xfId="200"/>
    <cellStyle name="40% - Акцент4 2" xfId="201"/>
    <cellStyle name="40% — акцент4 2" xfId="202"/>
    <cellStyle name="40% - Акцент4 2 10" xfId="203"/>
    <cellStyle name="40% - Акцент4 2 2" xfId="204"/>
    <cellStyle name="40% - Акцент4 2 3" xfId="205"/>
    <cellStyle name="40% - Акцент4 2 4" xfId="206"/>
    <cellStyle name="40% - Акцент4 2 5" xfId="207"/>
    <cellStyle name="40% - Акцент4 2 6" xfId="208"/>
    <cellStyle name="40% - Акцент4 2 7" xfId="209"/>
    <cellStyle name="40% - Акцент4 2 8" xfId="210"/>
    <cellStyle name="40% - Акцент4 2 9" xfId="211"/>
    <cellStyle name="40% - Акцент4 3" xfId="212"/>
    <cellStyle name="40% - Акцент4 3 10" xfId="213"/>
    <cellStyle name="40% - Акцент4 3 2" xfId="214"/>
    <cellStyle name="40% - Акцент4 3 3" xfId="215"/>
    <cellStyle name="40% - Акцент4 3 4" xfId="216"/>
    <cellStyle name="40% - Акцент4 3 5" xfId="217"/>
    <cellStyle name="40% - Акцент4 3 6" xfId="218"/>
    <cellStyle name="40% - Акцент4 3 7" xfId="219"/>
    <cellStyle name="40% - Акцент4 3 8" xfId="220"/>
    <cellStyle name="40% - Акцент4 3 9" xfId="221"/>
    <cellStyle name="40% — акцент5" xfId="222"/>
    <cellStyle name="40% - Акцент5 2" xfId="223"/>
    <cellStyle name="40% — акцент5 2" xfId="224"/>
    <cellStyle name="40% - Акцент5 2 10" xfId="225"/>
    <cellStyle name="40% - Акцент5 2 2" xfId="226"/>
    <cellStyle name="40% - Акцент5 2 3" xfId="227"/>
    <cellStyle name="40% - Акцент5 2 4" xfId="228"/>
    <cellStyle name="40% - Акцент5 2 5" xfId="229"/>
    <cellStyle name="40% - Акцент5 2 6" xfId="230"/>
    <cellStyle name="40% - Акцент5 2 7" xfId="231"/>
    <cellStyle name="40% - Акцент5 2 8" xfId="232"/>
    <cellStyle name="40% - Акцент5 2 9" xfId="233"/>
    <cellStyle name="40% - Акцент5 3" xfId="234"/>
    <cellStyle name="40% - Акцент5 3 10" xfId="235"/>
    <cellStyle name="40% - Акцент5 3 2" xfId="236"/>
    <cellStyle name="40% - Акцент5 3 3" xfId="237"/>
    <cellStyle name="40% - Акцент5 3 4" xfId="238"/>
    <cellStyle name="40% - Акцент5 3 5" xfId="239"/>
    <cellStyle name="40% - Акцент5 3 6" xfId="240"/>
    <cellStyle name="40% - Акцент5 3 7" xfId="241"/>
    <cellStyle name="40% - Акцент5 3 8" xfId="242"/>
    <cellStyle name="40% - Акцент5 3 9" xfId="243"/>
    <cellStyle name="40% — акцент6" xfId="244"/>
    <cellStyle name="40% - Акцент6 2" xfId="245"/>
    <cellStyle name="40% — акцент6 2" xfId="246"/>
    <cellStyle name="40% - Акцент6 2 10" xfId="247"/>
    <cellStyle name="40% - Акцент6 2 2" xfId="248"/>
    <cellStyle name="40% - Акцент6 2 3" xfId="249"/>
    <cellStyle name="40% - Акцент6 2 4" xfId="250"/>
    <cellStyle name="40% - Акцент6 2 5" xfId="251"/>
    <cellStyle name="40% - Акцент6 2 6" xfId="252"/>
    <cellStyle name="40% - Акцент6 2 7" xfId="253"/>
    <cellStyle name="40% - Акцент6 2 8" xfId="254"/>
    <cellStyle name="40% - Акцент6 2 9" xfId="255"/>
    <cellStyle name="40% - Акцент6 3" xfId="256"/>
    <cellStyle name="40% - Акцент6 3 10" xfId="257"/>
    <cellStyle name="40% - Акцент6 3 2" xfId="258"/>
    <cellStyle name="40% - Акцент6 3 3" xfId="259"/>
    <cellStyle name="40% - Акцент6 3 4" xfId="260"/>
    <cellStyle name="40% - Акцент6 3 5" xfId="261"/>
    <cellStyle name="40% - Акцент6 3 6" xfId="262"/>
    <cellStyle name="40% - Акцент6 3 7" xfId="263"/>
    <cellStyle name="40% - Акцент6 3 8" xfId="264"/>
    <cellStyle name="40% - Акцент6 3 9" xfId="265"/>
    <cellStyle name="60% — акцент1" xfId="266"/>
    <cellStyle name="60% - Акцент1 2" xfId="267"/>
    <cellStyle name="60% — акцент1 2" xfId="268"/>
    <cellStyle name="60% - Акцент1 2 10" xfId="269"/>
    <cellStyle name="60% - Акцент1 2 2" xfId="270"/>
    <cellStyle name="60% - Акцент1 2 3" xfId="271"/>
    <cellStyle name="60% - Акцент1 2 4" xfId="272"/>
    <cellStyle name="60% - Акцент1 2 5" xfId="273"/>
    <cellStyle name="60% - Акцент1 2 6" xfId="274"/>
    <cellStyle name="60% - Акцент1 2 7" xfId="275"/>
    <cellStyle name="60% - Акцент1 2 8" xfId="276"/>
    <cellStyle name="60% - Акцент1 2 9" xfId="277"/>
    <cellStyle name="60% - Акцент1 3" xfId="278"/>
    <cellStyle name="60% - Акцент1 3 10" xfId="279"/>
    <cellStyle name="60% - Акцент1 3 2" xfId="280"/>
    <cellStyle name="60% - Акцент1 3 3" xfId="281"/>
    <cellStyle name="60% - Акцент1 3 4" xfId="282"/>
    <cellStyle name="60% - Акцент1 3 5" xfId="283"/>
    <cellStyle name="60% - Акцент1 3 6" xfId="284"/>
    <cellStyle name="60% - Акцент1 3 7" xfId="285"/>
    <cellStyle name="60% - Акцент1 3 8" xfId="286"/>
    <cellStyle name="60% - Акцент1 3 9" xfId="287"/>
    <cellStyle name="60% — акцент2" xfId="288"/>
    <cellStyle name="60% - Акцент2 2" xfId="289"/>
    <cellStyle name="60% — акцент2 2" xfId="290"/>
    <cellStyle name="60% - Акцент2 2 10" xfId="291"/>
    <cellStyle name="60% - Акцент2 2 2" xfId="292"/>
    <cellStyle name="60% - Акцент2 2 3" xfId="293"/>
    <cellStyle name="60% - Акцент2 2 4" xfId="294"/>
    <cellStyle name="60% - Акцент2 2 5" xfId="295"/>
    <cellStyle name="60% - Акцент2 2 6" xfId="296"/>
    <cellStyle name="60% - Акцент2 2 7" xfId="297"/>
    <cellStyle name="60% - Акцент2 2 8" xfId="298"/>
    <cellStyle name="60% - Акцент2 2 9" xfId="299"/>
    <cellStyle name="60% - Акцент2 3" xfId="300"/>
    <cellStyle name="60% - Акцент2 3 10" xfId="301"/>
    <cellStyle name="60% - Акцент2 3 2" xfId="302"/>
    <cellStyle name="60% - Акцент2 3 3" xfId="303"/>
    <cellStyle name="60% - Акцент2 3 4" xfId="304"/>
    <cellStyle name="60% - Акцент2 3 5" xfId="305"/>
    <cellStyle name="60% - Акцент2 3 6" xfId="306"/>
    <cellStyle name="60% - Акцент2 3 7" xfId="307"/>
    <cellStyle name="60% - Акцент2 3 8" xfId="308"/>
    <cellStyle name="60% - Акцент2 3 9" xfId="309"/>
    <cellStyle name="60% — акцент3" xfId="310"/>
    <cellStyle name="60% - Акцент3 2" xfId="311"/>
    <cellStyle name="60% — акцент3 2" xfId="312"/>
    <cellStyle name="60% - Акцент3 2 10" xfId="313"/>
    <cellStyle name="60% - Акцент3 2 2" xfId="314"/>
    <cellStyle name="60% - Акцент3 2 3" xfId="315"/>
    <cellStyle name="60% - Акцент3 2 4" xfId="316"/>
    <cellStyle name="60% - Акцент3 2 5" xfId="317"/>
    <cellStyle name="60% - Акцент3 2 6" xfId="318"/>
    <cellStyle name="60% - Акцент3 2 7" xfId="319"/>
    <cellStyle name="60% - Акцент3 2 8" xfId="320"/>
    <cellStyle name="60% - Акцент3 2 9" xfId="321"/>
    <cellStyle name="60% - Акцент3 3" xfId="322"/>
    <cellStyle name="60% - Акцент3 3 10" xfId="323"/>
    <cellStyle name="60% - Акцент3 3 2" xfId="324"/>
    <cellStyle name="60% - Акцент3 3 3" xfId="325"/>
    <cellStyle name="60% - Акцент3 3 4" xfId="326"/>
    <cellStyle name="60% - Акцент3 3 5" xfId="327"/>
    <cellStyle name="60% - Акцент3 3 6" xfId="328"/>
    <cellStyle name="60% - Акцент3 3 7" xfId="329"/>
    <cellStyle name="60% - Акцент3 3 8" xfId="330"/>
    <cellStyle name="60% - Акцент3 3 9" xfId="331"/>
    <cellStyle name="60% — акцент4" xfId="332"/>
    <cellStyle name="60% - Акцент4 2" xfId="333"/>
    <cellStyle name="60% — акцент4 2" xfId="334"/>
    <cellStyle name="60% - Акцент4 2 10" xfId="335"/>
    <cellStyle name="60% - Акцент4 2 2" xfId="336"/>
    <cellStyle name="60% - Акцент4 2 3" xfId="337"/>
    <cellStyle name="60% - Акцент4 2 4" xfId="338"/>
    <cellStyle name="60% - Акцент4 2 5" xfId="339"/>
    <cellStyle name="60% - Акцент4 2 6" xfId="340"/>
    <cellStyle name="60% - Акцент4 2 7" xfId="341"/>
    <cellStyle name="60% - Акцент4 2 8" xfId="342"/>
    <cellStyle name="60% - Акцент4 2 9" xfId="343"/>
    <cellStyle name="60% - Акцент4 3" xfId="344"/>
    <cellStyle name="60% - Акцент4 3 10" xfId="345"/>
    <cellStyle name="60% - Акцент4 3 2" xfId="346"/>
    <cellStyle name="60% - Акцент4 3 3" xfId="347"/>
    <cellStyle name="60% - Акцент4 3 4" xfId="348"/>
    <cellStyle name="60% - Акцент4 3 5" xfId="349"/>
    <cellStyle name="60% - Акцент4 3 6" xfId="350"/>
    <cellStyle name="60% - Акцент4 3 7" xfId="351"/>
    <cellStyle name="60% - Акцент4 3 8" xfId="352"/>
    <cellStyle name="60% - Акцент4 3 9" xfId="353"/>
    <cellStyle name="60% — акцент5" xfId="354"/>
    <cellStyle name="60% - Акцент5 2" xfId="355"/>
    <cellStyle name="60% — акцент5 2" xfId="356"/>
    <cellStyle name="60% - Акцент5 2 10" xfId="357"/>
    <cellStyle name="60% - Акцент5 2 2" xfId="358"/>
    <cellStyle name="60% - Акцент5 2 3" xfId="359"/>
    <cellStyle name="60% - Акцент5 2 4" xfId="360"/>
    <cellStyle name="60% - Акцент5 2 5" xfId="361"/>
    <cellStyle name="60% - Акцент5 2 6" xfId="362"/>
    <cellStyle name="60% - Акцент5 2 7" xfId="363"/>
    <cellStyle name="60% - Акцент5 2 8" xfId="364"/>
    <cellStyle name="60% - Акцент5 2 9" xfId="365"/>
    <cellStyle name="60% - Акцент5 3" xfId="366"/>
    <cellStyle name="60% - Акцент5 3 10" xfId="367"/>
    <cellStyle name="60% - Акцент5 3 2" xfId="368"/>
    <cellStyle name="60% - Акцент5 3 3" xfId="369"/>
    <cellStyle name="60% - Акцент5 3 4" xfId="370"/>
    <cellStyle name="60% - Акцент5 3 5" xfId="371"/>
    <cellStyle name="60% - Акцент5 3 6" xfId="372"/>
    <cellStyle name="60% - Акцент5 3 7" xfId="373"/>
    <cellStyle name="60% - Акцент5 3 8" xfId="374"/>
    <cellStyle name="60% - Акцент5 3 9" xfId="375"/>
    <cellStyle name="60% — акцент6" xfId="376"/>
    <cellStyle name="60% - Акцент6 2" xfId="377"/>
    <cellStyle name="60% — акцент6 2" xfId="378"/>
    <cellStyle name="60% - Акцент6 2 10" xfId="379"/>
    <cellStyle name="60% - Акцент6 2 2" xfId="380"/>
    <cellStyle name="60% - Акцент6 2 3" xfId="381"/>
    <cellStyle name="60% - Акцент6 2 4" xfId="382"/>
    <cellStyle name="60% - Акцент6 2 5" xfId="383"/>
    <cellStyle name="60% - Акцент6 2 6" xfId="384"/>
    <cellStyle name="60% - Акцент6 2 7" xfId="385"/>
    <cellStyle name="60% - Акцент6 2 8" xfId="386"/>
    <cellStyle name="60% - Акцент6 2 9" xfId="387"/>
    <cellStyle name="60% - Акцент6 3" xfId="388"/>
    <cellStyle name="60% - Акцент6 3 10" xfId="389"/>
    <cellStyle name="60% - Акцент6 3 2" xfId="390"/>
    <cellStyle name="60% - Акцент6 3 3" xfId="391"/>
    <cellStyle name="60% - Акцент6 3 4" xfId="392"/>
    <cellStyle name="60% - Акцент6 3 5" xfId="393"/>
    <cellStyle name="60% - Акцент6 3 6" xfId="394"/>
    <cellStyle name="60% - Акцент6 3 7" xfId="395"/>
    <cellStyle name="60% - Акцент6 3 8" xfId="396"/>
    <cellStyle name="60% - Акцент6 3 9" xfId="397"/>
    <cellStyle name="Акцент1 2" xfId="398"/>
    <cellStyle name="Акцент1 2 10" xfId="399"/>
    <cellStyle name="Акцент1 2 2" xfId="400"/>
    <cellStyle name="Акцент1 2 3" xfId="401"/>
    <cellStyle name="Акцент1 2 4" xfId="402"/>
    <cellStyle name="Акцент1 2 5" xfId="403"/>
    <cellStyle name="Акцент1 2 6" xfId="404"/>
    <cellStyle name="Акцент1 2 7" xfId="405"/>
    <cellStyle name="Акцент1 2 8" xfId="406"/>
    <cellStyle name="Акцент1 2 9" xfId="407"/>
    <cellStyle name="Акцент1 3" xfId="408"/>
    <cellStyle name="Акцент1 3 10" xfId="409"/>
    <cellStyle name="Акцент1 3 2" xfId="410"/>
    <cellStyle name="Акцент1 3 3" xfId="411"/>
    <cellStyle name="Акцент1 3 4" xfId="412"/>
    <cellStyle name="Акцент1 3 5" xfId="413"/>
    <cellStyle name="Акцент1 3 6" xfId="414"/>
    <cellStyle name="Акцент1 3 7" xfId="415"/>
    <cellStyle name="Акцент1 3 8" xfId="416"/>
    <cellStyle name="Акцент1 3 9" xfId="417"/>
    <cellStyle name="Акцент2 2" xfId="418"/>
    <cellStyle name="Акцент2 2 10" xfId="419"/>
    <cellStyle name="Акцент2 2 2" xfId="420"/>
    <cellStyle name="Акцент2 2 3" xfId="421"/>
    <cellStyle name="Акцент2 2 4" xfId="422"/>
    <cellStyle name="Акцент2 2 5" xfId="423"/>
    <cellStyle name="Акцент2 2 6" xfId="424"/>
    <cellStyle name="Акцент2 2 7" xfId="425"/>
    <cellStyle name="Акцент2 2 8" xfId="426"/>
    <cellStyle name="Акцент2 2 9" xfId="427"/>
    <cellStyle name="Акцент2 3" xfId="428"/>
    <cellStyle name="Акцент2 3 10" xfId="429"/>
    <cellStyle name="Акцент2 3 2" xfId="430"/>
    <cellStyle name="Акцент2 3 3" xfId="431"/>
    <cellStyle name="Акцент2 3 4" xfId="432"/>
    <cellStyle name="Акцент2 3 5" xfId="433"/>
    <cellStyle name="Акцент2 3 6" xfId="434"/>
    <cellStyle name="Акцент2 3 7" xfId="435"/>
    <cellStyle name="Акцент2 3 8" xfId="436"/>
    <cellStyle name="Акцент2 3 9" xfId="437"/>
    <cellStyle name="Акцент3 2" xfId="438"/>
    <cellStyle name="Акцент3 2 10" xfId="439"/>
    <cellStyle name="Акцент3 2 2" xfId="440"/>
    <cellStyle name="Акцент3 2 3" xfId="441"/>
    <cellStyle name="Акцент3 2 4" xfId="442"/>
    <cellStyle name="Акцент3 2 5" xfId="443"/>
    <cellStyle name="Акцент3 2 6" xfId="444"/>
    <cellStyle name="Акцент3 2 7" xfId="445"/>
    <cellStyle name="Акцент3 2 8" xfId="446"/>
    <cellStyle name="Акцент3 2 9" xfId="447"/>
    <cellStyle name="Акцент3 3" xfId="448"/>
    <cellStyle name="Акцент3 3 10" xfId="449"/>
    <cellStyle name="Акцент3 3 2" xfId="450"/>
    <cellStyle name="Акцент3 3 3" xfId="451"/>
    <cellStyle name="Акцент3 3 4" xfId="452"/>
    <cellStyle name="Акцент3 3 5" xfId="453"/>
    <cellStyle name="Акцент3 3 6" xfId="454"/>
    <cellStyle name="Акцент3 3 7" xfId="455"/>
    <cellStyle name="Акцент3 3 8" xfId="456"/>
    <cellStyle name="Акцент3 3 9" xfId="457"/>
    <cellStyle name="Акцент4 2" xfId="458"/>
    <cellStyle name="Акцент4 2 10" xfId="459"/>
    <cellStyle name="Акцент4 2 2" xfId="460"/>
    <cellStyle name="Акцент4 2 3" xfId="461"/>
    <cellStyle name="Акцент4 2 4" xfId="462"/>
    <cellStyle name="Акцент4 2 5" xfId="463"/>
    <cellStyle name="Акцент4 2 6" xfId="464"/>
    <cellStyle name="Акцент4 2 7" xfId="465"/>
    <cellStyle name="Акцент4 2 8" xfId="466"/>
    <cellStyle name="Акцент4 2 9" xfId="467"/>
    <cellStyle name="Акцент4 3" xfId="468"/>
    <cellStyle name="Акцент4 3 10" xfId="469"/>
    <cellStyle name="Акцент4 3 2" xfId="470"/>
    <cellStyle name="Акцент4 3 3" xfId="471"/>
    <cellStyle name="Акцент4 3 4" xfId="472"/>
    <cellStyle name="Акцент4 3 5" xfId="473"/>
    <cellStyle name="Акцент4 3 6" xfId="474"/>
    <cellStyle name="Акцент4 3 7" xfId="475"/>
    <cellStyle name="Акцент4 3 8" xfId="476"/>
    <cellStyle name="Акцент4 3 9" xfId="477"/>
    <cellStyle name="Акцент5 2" xfId="478"/>
    <cellStyle name="Акцент5 2 10" xfId="479"/>
    <cellStyle name="Акцент5 2 2" xfId="480"/>
    <cellStyle name="Акцент5 2 3" xfId="481"/>
    <cellStyle name="Акцент5 2 4" xfId="482"/>
    <cellStyle name="Акцент5 2 5" xfId="483"/>
    <cellStyle name="Акцент5 2 6" xfId="484"/>
    <cellStyle name="Акцент5 2 7" xfId="485"/>
    <cellStyle name="Акцент5 2 8" xfId="486"/>
    <cellStyle name="Акцент5 2 9" xfId="487"/>
    <cellStyle name="Акцент5 3" xfId="488"/>
    <cellStyle name="Акцент5 3 10" xfId="489"/>
    <cellStyle name="Акцент5 3 2" xfId="490"/>
    <cellStyle name="Акцент5 3 3" xfId="491"/>
    <cellStyle name="Акцент5 3 4" xfId="492"/>
    <cellStyle name="Акцент5 3 5" xfId="493"/>
    <cellStyle name="Акцент5 3 6" xfId="494"/>
    <cellStyle name="Акцент5 3 7" xfId="495"/>
    <cellStyle name="Акцент5 3 8" xfId="496"/>
    <cellStyle name="Акцент5 3 9" xfId="497"/>
    <cellStyle name="Акцент6 2" xfId="498"/>
    <cellStyle name="Акцент6 2 10" xfId="499"/>
    <cellStyle name="Акцент6 2 2" xfId="500"/>
    <cellStyle name="Акцент6 2 3" xfId="501"/>
    <cellStyle name="Акцент6 2 4" xfId="502"/>
    <cellStyle name="Акцент6 2 5" xfId="503"/>
    <cellStyle name="Акцент6 2 6" xfId="504"/>
    <cellStyle name="Акцент6 2 7" xfId="505"/>
    <cellStyle name="Акцент6 2 8" xfId="506"/>
    <cellStyle name="Акцент6 2 9" xfId="507"/>
    <cellStyle name="Акцент6 3" xfId="508"/>
    <cellStyle name="Акцент6 3 10" xfId="509"/>
    <cellStyle name="Акцент6 3 2" xfId="510"/>
    <cellStyle name="Акцент6 3 3" xfId="511"/>
    <cellStyle name="Акцент6 3 4" xfId="512"/>
    <cellStyle name="Акцент6 3 5" xfId="513"/>
    <cellStyle name="Акцент6 3 6" xfId="514"/>
    <cellStyle name="Акцент6 3 7" xfId="515"/>
    <cellStyle name="Акцент6 3 8" xfId="516"/>
    <cellStyle name="Акцент6 3 9" xfId="517"/>
    <cellStyle name="Ввод  2" xfId="518"/>
    <cellStyle name="Ввод  2 10" xfId="519"/>
    <cellStyle name="Ввод  2 2" xfId="520"/>
    <cellStyle name="Ввод  2 3" xfId="521"/>
    <cellStyle name="Ввод  2 4" xfId="522"/>
    <cellStyle name="Ввод  2 5" xfId="523"/>
    <cellStyle name="Ввод  2 6" xfId="524"/>
    <cellStyle name="Ввод  2 7" xfId="525"/>
    <cellStyle name="Ввод  2 8" xfId="526"/>
    <cellStyle name="Ввод  2 9" xfId="527"/>
    <cellStyle name="Ввод  3" xfId="528"/>
    <cellStyle name="Ввод  3 10" xfId="529"/>
    <cellStyle name="Ввод  3 2" xfId="530"/>
    <cellStyle name="Ввод  3 3" xfId="531"/>
    <cellStyle name="Ввод  3 4" xfId="532"/>
    <cellStyle name="Ввод  3 5" xfId="533"/>
    <cellStyle name="Ввод  3 6" xfId="534"/>
    <cellStyle name="Ввод  3 7" xfId="535"/>
    <cellStyle name="Ввод  3 8" xfId="536"/>
    <cellStyle name="Ввод  3 9" xfId="537"/>
    <cellStyle name="Вывод 2" xfId="538"/>
    <cellStyle name="Вывод 2 10" xfId="539"/>
    <cellStyle name="Вывод 2 2" xfId="540"/>
    <cellStyle name="Вывод 2 3" xfId="541"/>
    <cellStyle name="Вывод 2 4" xfId="542"/>
    <cellStyle name="Вывод 2 5" xfId="543"/>
    <cellStyle name="Вывод 2 6" xfId="544"/>
    <cellStyle name="Вывод 2 7" xfId="545"/>
    <cellStyle name="Вывод 2 8" xfId="546"/>
    <cellStyle name="Вывод 2 9" xfId="547"/>
    <cellStyle name="Вывод 3" xfId="548"/>
    <cellStyle name="Вывод 3 10" xfId="549"/>
    <cellStyle name="Вывод 3 2" xfId="550"/>
    <cellStyle name="Вывод 3 3" xfId="551"/>
    <cellStyle name="Вывод 3 4" xfId="552"/>
    <cellStyle name="Вывод 3 5" xfId="553"/>
    <cellStyle name="Вывод 3 6" xfId="554"/>
    <cellStyle name="Вывод 3 7" xfId="555"/>
    <cellStyle name="Вывод 3 8" xfId="556"/>
    <cellStyle name="Вывод 3 9" xfId="557"/>
    <cellStyle name="Вычисление 2" xfId="558"/>
    <cellStyle name="Вычисление 2 10" xfId="559"/>
    <cellStyle name="Вычисление 2 2" xfId="560"/>
    <cellStyle name="Вычисление 2 3" xfId="561"/>
    <cellStyle name="Вычисление 2 4" xfId="562"/>
    <cellStyle name="Вычисление 2 5" xfId="563"/>
    <cellStyle name="Вычисление 2 6" xfId="564"/>
    <cellStyle name="Вычисление 2 7" xfId="565"/>
    <cellStyle name="Вычисление 2 8" xfId="566"/>
    <cellStyle name="Вычисление 2 9" xfId="567"/>
    <cellStyle name="Вычисление 3" xfId="568"/>
    <cellStyle name="Вычисление 3 10" xfId="569"/>
    <cellStyle name="Вычисление 3 2" xfId="570"/>
    <cellStyle name="Вычисление 3 3" xfId="571"/>
    <cellStyle name="Вычисление 3 4" xfId="572"/>
    <cellStyle name="Вычисление 3 5" xfId="573"/>
    <cellStyle name="Вычисление 3 6" xfId="574"/>
    <cellStyle name="Вычисление 3 7" xfId="575"/>
    <cellStyle name="Вычисление 3 8" xfId="576"/>
    <cellStyle name="Вычисление 3 9" xfId="577"/>
    <cellStyle name="Заголовок 1 2" xfId="578"/>
    <cellStyle name="Заголовок 1 2 10" xfId="579"/>
    <cellStyle name="Заголовок 1 2 2" xfId="580"/>
    <cellStyle name="Заголовок 1 2 3" xfId="581"/>
    <cellStyle name="Заголовок 1 2 4" xfId="582"/>
    <cellStyle name="Заголовок 1 2 5" xfId="583"/>
    <cellStyle name="Заголовок 1 2 6" xfId="584"/>
    <cellStyle name="Заголовок 1 2 7" xfId="585"/>
    <cellStyle name="Заголовок 1 2 8" xfId="586"/>
    <cellStyle name="Заголовок 1 2 9" xfId="587"/>
    <cellStyle name="Заголовок 1 3" xfId="588"/>
    <cellStyle name="Заголовок 1 3 10" xfId="589"/>
    <cellStyle name="Заголовок 1 3 2" xfId="590"/>
    <cellStyle name="Заголовок 1 3 3" xfId="591"/>
    <cellStyle name="Заголовок 1 3 4" xfId="592"/>
    <cellStyle name="Заголовок 1 3 5" xfId="593"/>
    <cellStyle name="Заголовок 1 3 6" xfId="594"/>
    <cellStyle name="Заголовок 1 3 7" xfId="595"/>
    <cellStyle name="Заголовок 1 3 8" xfId="596"/>
    <cellStyle name="Заголовок 1 3 9" xfId="597"/>
    <cellStyle name="Заголовок 2 2" xfId="598"/>
    <cellStyle name="Заголовок 2 2 10" xfId="599"/>
    <cellStyle name="Заголовок 2 2 2" xfId="600"/>
    <cellStyle name="Заголовок 2 2 3" xfId="601"/>
    <cellStyle name="Заголовок 2 2 4" xfId="602"/>
    <cellStyle name="Заголовок 2 2 5" xfId="603"/>
    <cellStyle name="Заголовок 2 2 6" xfId="604"/>
    <cellStyle name="Заголовок 2 2 7" xfId="605"/>
    <cellStyle name="Заголовок 2 2 8" xfId="606"/>
    <cellStyle name="Заголовок 2 2 9" xfId="607"/>
    <cellStyle name="Заголовок 2 3" xfId="608"/>
    <cellStyle name="Заголовок 2 3 10" xfId="609"/>
    <cellStyle name="Заголовок 2 3 2" xfId="610"/>
    <cellStyle name="Заголовок 2 3 3" xfId="611"/>
    <cellStyle name="Заголовок 2 3 4" xfId="612"/>
    <cellStyle name="Заголовок 2 3 5" xfId="613"/>
    <cellStyle name="Заголовок 2 3 6" xfId="614"/>
    <cellStyle name="Заголовок 2 3 7" xfId="615"/>
    <cellStyle name="Заголовок 2 3 8" xfId="616"/>
    <cellStyle name="Заголовок 2 3 9" xfId="617"/>
    <cellStyle name="Заголовок 3 2" xfId="618"/>
    <cellStyle name="Заголовок 3 2 10" xfId="619"/>
    <cellStyle name="Заголовок 3 2 2" xfId="620"/>
    <cellStyle name="Заголовок 3 2 3" xfId="621"/>
    <cellStyle name="Заголовок 3 2 4" xfId="622"/>
    <cellStyle name="Заголовок 3 2 5" xfId="623"/>
    <cellStyle name="Заголовок 3 2 6" xfId="624"/>
    <cellStyle name="Заголовок 3 2 7" xfId="625"/>
    <cellStyle name="Заголовок 3 2 8" xfId="626"/>
    <cellStyle name="Заголовок 3 2 9" xfId="627"/>
    <cellStyle name="Заголовок 3 3" xfId="628"/>
    <cellStyle name="Заголовок 3 3 10" xfId="629"/>
    <cellStyle name="Заголовок 3 3 2" xfId="630"/>
    <cellStyle name="Заголовок 3 3 3" xfId="631"/>
    <cellStyle name="Заголовок 3 3 4" xfId="632"/>
    <cellStyle name="Заголовок 3 3 5" xfId="633"/>
    <cellStyle name="Заголовок 3 3 6" xfId="634"/>
    <cellStyle name="Заголовок 3 3 7" xfId="635"/>
    <cellStyle name="Заголовок 3 3 8" xfId="636"/>
    <cellStyle name="Заголовок 3 3 9" xfId="637"/>
    <cellStyle name="Заголовок 4 2" xfId="638"/>
    <cellStyle name="Заголовок 4 2 10" xfId="639"/>
    <cellStyle name="Заголовок 4 2 2" xfId="640"/>
    <cellStyle name="Заголовок 4 2 3" xfId="641"/>
    <cellStyle name="Заголовок 4 2 4" xfId="642"/>
    <cellStyle name="Заголовок 4 2 5" xfId="643"/>
    <cellStyle name="Заголовок 4 2 6" xfId="644"/>
    <cellStyle name="Заголовок 4 2 7" xfId="645"/>
    <cellStyle name="Заголовок 4 2 8" xfId="646"/>
    <cellStyle name="Заголовок 4 2 9" xfId="647"/>
    <cellStyle name="Заголовок 4 3" xfId="648"/>
    <cellStyle name="Заголовок 4 3 10" xfId="649"/>
    <cellStyle name="Заголовок 4 3 2" xfId="650"/>
    <cellStyle name="Заголовок 4 3 3" xfId="651"/>
    <cellStyle name="Заголовок 4 3 4" xfId="652"/>
    <cellStyle name="Заголовок 4 3 5" xfId="653"/>
    <cellStyle name="Заголовок 4 3 6" xfId="654"/>
    <cellStyle name="Заголовок 4 3 7" xfId="655"/>
    <cellStyle name="Заголовок 4 3 8" xfId="656"/>
    <cellStyle name="Заголовок 4 3 9" xfId="657"/>
    <cellStyle name="Итог 2" xfId="658"/>
    <cellStyle name="Итог 2 10" xfId="659"/>
    <cellStyle name="Итог 2 2" xfId="660"/>
    <cellStyle name="Итог 2 3" xfId="661"/>
    <cellStyle name="Итог 2 4" xfId="662"/>
    <cellStyle name="Итог 2 5" xfId="663"/>
    <cellStyle name="Итог 2 6" xfId="664"/>
    <cellStyle name="Итог 2 7" xfId="665"/>
    <cellStyle name="Итог 2 8" xfId="666"/>
    <cellStyle name="Итог 2 9" xfId="667"/>
    <cellStyle name="Итог 3" xfId="668"/>
    <cellStyle name="Итог 3 10" xfId="669"/>
    <cellStyle name="Итог 3 2" xfId="670"/>
    <cellStyle name="Итог 3 3" xfId="671"/>
    <cellStyle name="Итог 3 4" xfId="672"/>
    <cellStyle name="Итог 3 5" xfId="673"/>
    <cellStyle name="Итог 3 6" xfId="674"/>
    <cellStyle name="Итог 3 7" xfId="675"/>
    <cellStyle name="Итог 3 8" xfId="676"/>
    <cellStyle name="Итог 3 9" xfId="677"/>
    <cellStyle name="Контрольная ячейка 2" xfId="678"/>
    <cellStyle name="Контрольная ячейка 2 10" xfId="679"/>
    <cellStyle name="Контрольная ячейка 2 2" xfId="680"/>
    <cellStyle name="Контрольная ячейка 2 3" xfId="681"/>
    <cellStyle name="Контрольная ячейка 2 4" xfId="682"/>
    <cellStyle name="Контрольная ячейка 2 5" xfId="683"/>
    <cellStyle name="Контрольная ячейка 2 6" xfId="684"/>
    <cellStyle name="Контрольная ячейка 2 7" xfId="685"/>
    <cellStyle name="Контрольная ячейка 2 8" xfId="686"/>
    <cellStyle name="Контрольная ячейка 2 9" xfId="687"/>
    <cellStyle name="Контрольная ячейка 3" xfId="688"/>
    <cellStyle name="Контрольная ячейка 3 10" xfId="689"/>
    <cellStyle name="Контрольная ячейка 3 2" xfId="690"/>
    <cellStyle name="Контрольная ячейка 3 3" xfId="691"/>
    <cellStyle name="Контрольная ячейка 3 4" xfId="692"/>
    <cellStyle name="Контрольная ячейка 3 5" xfId="693"/>
    <cellStyle name="Контрольная ячейка 3 6" xfId="694"/>
    <cellStyle name="Контрольная ячейка 3 7" xfId="695"/>
    <cellStyle name="Контрольная ячейка 3 8" xfId="696"/>
    <cellStyle name="Контрольная ячейка 3 9" xfId="697"/>
    <cellStyle name="Название 2" xfId="698"/>
    <cellStyle name="Название 2 10" xfId="699"/>
    <cellStyle name="Название 2 2" xfId="700"/>
    <cellStyle name="Название 2 3" xfId="701"/>
    <cellStyle name="Название 2 4" xfId="702"/>
    <cellStyle name="Название 2 5" xfId="703"/>
    <cellStyle name="Название 2 6" xfId="704"/>
    <cellStyle name="Название 2 7" xfId="705"/>
    <cellStyle name="Название 2 8" xfId="706"/>
    <cellStyle name="Название 2 9" xfId="707"/>
    <cellStyle name="Название 3" xfId="708"/>
    <cellStyle name="Название 3 10" xfId="709"/>
    <cellStyle name="Название 3 2" xfId="710"/>
    <cellStyle name="Название 3 3" xfId="711"/>
    <cellStyle name="Название 3 4" xfId="712"/>
    <cellStyle name="Название 3 5" xfId="713"/>
    <cellStyle name="Название 3 6" xfId="714"/>
    <cellStyle name="Название 3 7" xfId="715"/>
    <cellStyle name="Название 3 8" xfId="716"/>
    <cellStyle name="Название 3 9" xfId="717"/>
    <cellStyle name="Нейтральный 2" xfId="718"/>
    <cellStyle name="Нейтральный 2 10" xfId="719"/>
    <cellStyle name="Нейтральный 2 2" xfId="720"/>
    <cellStyle name="Нейтральный 2 3" xfId="721"/>
    <cellStyle name="Нейтральный 2 4" xfId="722"/>
    <cellStyle name="Нейтральный 2 5" xfId="723"/>
    <cellStyle name="Нейтральный 2 6" xfId="724"/>
    <cellStyle name="Нейтральный 2 7" xfId="725"/>
    <cellStyle name="Нейтральный 2 8" xfId="726"/>
    <cellStyle name="Нейтральный 2 9" xfId="727"/>
    <cellStyle name="Нейтральный 3" xfId="728"/>
    <cellStyle name="Нейтральный 3 10" xfId="729"/>
    <cellStyle name="Нейтральный 3 2" xfId="730"/>
    <cellStyle name="Нейтральный 3 3" xfId="731"/>
    <cellStyle name="Нейтральный 3 4" xfId="732"/>
    <cellStyle name="Нейтральный 3 5" xfId="733"/>
    <cellStyle name="Нейтральный 3 6" xfId="734"/>
    <cellStyle name="Нейтральный 3 7" xfId="735"/>
    <cellStyle name="Нейтральный 3 8" xfId="736"/>
    <cellStyle name="Нейтральный 3 9" xfId="737"/>
    <cellStyle name="Обычный" xfId="0" builtinId="0"/>
    <cellStyle name="Обычный 10" xfId="738"/>
    <cellStyle name="Обычный 10 2" xfId="739"/>
    <cellStyle name="Обычный 11" xfId="740"/>
    <cellStyle name="Обычный 12" xfId="741"/>
    <cellStyle name="Обычный 2" xfId="742"/>
    <cellStyle name="Обычный 2 10" xfId="743"/>
    <cellStyle name="Обычный 2 11" xfId="744"/>
    <cellStyle name="Обычный 2 12" xfId="745"/>
    <cellStyle name="Обычный 2 13" xfId="746"/>
    <cellStyle name="Обычный 2 2" xfId="747"/>
    <cellStyle name="Обычный 2 3" xfId="748"/>
    <cellStyle name="Обычный 2 4" xfId="749"/>
    <cellStyle name="Обычный 2 5" xfId="750"/>
    <cellStyle name="Обычный 2 6" xfId="751"/>
    <cellStyle name="Обычный 2 7" xfId="752"/>
    <cellStyle name="Обычный 2 8" xfId="753"/>
    <cellStyle name="Обычный 2 9" xfId="754"/>
    <cellStyle name="Обычный 3" xfId="755"/>
    <cellStyle name="Обычный 3 2" xfId="756"/>
    <cellStyle name="Обычный 3 3" xfId="757"/>
    <cellStyle name="Обычный 3 4" xfId="758"/>
    <cellStyle name="Обычный 3 5" xfId="759"/>
    <cellStyle name="Обычный 3 6" xfId="760"/>
    <cellStyle name="Обычный 3 7" xfId="761"/>
    <cellStyle name="Обычный 4" xfId="762"/>
    <cellStyle name="Обычный 4 2" xfId="763"/>
    <cellStyle name="Обычный 4 3" xfId="764"/>
    <cellStyle name="Обычный 4 4" xfId="765"/>
    <cellStyle name="Обычный 4 5" xfId="766"/>
    <cellStyle name="Обычный 4 6" xfId="767"/>
    <cellStyle name="Обычный 4 6 10" xfId="768"/>
    <cellStyle name="Обычный 4 6 2" xfId="769"/>
    <cellStyle name="Обычный 4 6 3" xfId="770"/>
    <cellStyle name="Обычный 4 6 4" xfId="771"/>
    <cellStyle name="Обычный 4 6 5" xfId="772"/>
    <cellStyle name="Обычный 4 6 6" xfId="773"/>
    <cellStyle name="Обычный 4 6 7" xfId="774"/>
    <cellStyle name="Обычный 4 6 8" xfId="775"/>
    <cellStyle name="Обычный 4 6 9" xfId="776"/>
    <cellStyle name="Обычный 4 7" xfId="777"/>
    <cellStyle name="Обычный 4 7 10" xfId="778"/>
    <cellStyle name="Обычный 4 7 2" xfId="779"/>
    <cellStyle name="Обычный 4 7 3" xfId="780"/>
    <cellStyle name="Обычный 4 7 4" xfId="781"/>
    <cellStyle name="Обычный 4 7 5" xfId="782"/>
    <cellStyle name="Обычный 4 7 6" xfId="783"/>
    <cellStyle name="Обычный 4 7 7" xfId="784"/>
    <cellStyle name="Обычный 4 7 8" xfId="785"/>
    <cellStyle name="Обычный 4 7 9" xfId="786"/>
    <cellStyle name="Обычный 4 8" xfId="787"/>
    <cellStyle name="Обычный 4 8 10" xfId="788"/>
    <cellStyle name="Обычный 4 8 2" xfId="789"/>
    <cellStyle name="Обычный 4 8 3" xfId="790"/>
    <cellStyle name="Обычный 4 8 4" xfId="791"/>
    <cellStyle name="Обычный 4 8 5" xfId="792"/>
    <cellStyle name="Обычный 4 8 6" xfId="793"/>
    <cellStyle name="Обычный 4 8 7" xfId="794"/>
    <cellStyle name="Обычный 4 8 8" xfId="795"/>
    <cellStyle name="Обычный 4 8 9" xfId="796"/>
    <cellStyle name="Обычный 4 9" xfId="797"/>
    <cellStyle name="Обычный 4 9 10" xfId="798"/>
    <cellStyle name="Обычный 4 9 2" xfId="799"/>
    <cellStyle name="Обычный 4 9 3" xfId="800"/>
    <cellStyle name="Обычный 4 9 4" xfId="801"/>
    <cellStyle name="Обычный 4 9 5" xfId="802"/>
    <cellStyle name="Обычный 4 9 6" xfId="803"/>
    <cellStyle name="Обычный 4 9 7" xfId="804"/>
    <cellStyle name="Обычный 4 9 8" xfId="805"/>
    <cellStyle name="Обычный 4 9 9" xfId="806"/>
    <cellStyle name="Обычный 5" xfId="807"/>
    <cellStyle name="Обычный 6" xfId="808"/>
    <cellStyle name="Обычный 7" xfId="809"/>
    <cellStyle name="Обычный 7 2" xfId="810"/>
    <cellStyle name="Обычный 7 3" xfId="811"/>
    <cellStyle name="Обычный 7 4" xfId="812"/>
    <cellStyle name="Обычный 7 5" xfId="813"/>
    <cellStyle name="Обычный 7 6" xfId="814"/>
    <cellStyle name="Обычный 7 7" xfId="815"/>
    <cellStyle name="Обычный 7 8" xfId="816"/>
    <cellStyle name="Обычный 7 9" xfId="817"/>
    <cellStyle name="Обычный 8" xfId="818"/>
    <cellStyle name="Обычный 8 2" xfId="819"/>
    <cellStyle name="Обычный 8 3" xfId="820"/>
    <cellStyle name="Обычный 8 4" xfId="821"/>
    <cellStyle name="Обычный 8 5" xfId="822"/>
    <cellStyle name="Обычный 8 6" xfId="823"/>
    <cellStyle name="Обычный 8 7" xfId="824"/>
    <cellStyle name="Обычный 9" xfId="825"/>
    <cellStyle name="Обычный 9 2" xfId="826"/>
    <cellStyle name="Плохой 2" xfId="827"/>
    <cellStyle name="Плохой 2 10" xfId="828"/>
    <cellStyle name="Плохой 2 2" xfId="829"/>
    <cellStyle name="Плохой 2 3" xfId="830"/>
    <cellStyle name="Плохой 2 4" xfId="831"/>
    <cellStyle name="Плохой 2 5" xfId="832"/>
    <cellStyle name="Плохой 2 6" xfId="833"/>
    <cellStyle name="Плохой 2 7" xfId="834"/>
    <cellStyle name="Плохой 2 8" xfId="835"/>
    <cellStyle name="Плохой 2 9" xfId="836"/>
    <cellStyle name="Плохой 3" xfId="837"/>
    <cellStyle name="Плохой 3 10" xfId="838"/>
    <cellStyle name="Плохой 3 2" xfId="839"/>
    <cellStyle name="Плохой 3 3" xfId="840"/>
    <cellStyle name="Плохой 3 4" xfId="841"/>
    <cellStyle name="Плохой 3 5" xfId="842"/>
    <cellStyle name="Плохой 3 6" xfId="843"/>
    <cellStyle name="Плохой 3 7" xfId="844"/>
    <cellStyle name="Плохой 3 8" xfId="845"/>
    <cellStyle name="Плохой 3 9" xfId="846"/>
    <cellStyle name="Пояснение 2" xfId="847"/>
    <cellStyle name="Пояснение 2 10" xfId="848"/>
    <cellStyle name="Пояснение 2 2" xfId="849"/>
    <cellStyle name="Пояснение 2 3" xfId="850"/>
    <cellStyle name="Пояснение 2 4" xfId="851"/>
    <cellStyle name="Пояснение 2 5" xfId="852"/>
    <cellStyle name="Пояснение 2 6" xfId="853"/>
    <cellStyle name="Пояснение 2 7" xfId="854"/>
    <cellStyle name="Пояснение 2 8" xfId="855"/>
    <cellStyle name="Пояснение 2 9" xfId="856"/>
    <cellStyle name="Пояснение 3" xfId="857"/>
    <cellStyle name="Пояснение 3 10" xfId="858"/>
    <cellStyle name="Пояснение 3 2" xfId="859"/>
    <cellStyle name="Пояснение 3 3" xfId="860"/>
    <cellStyle name="Пояснение 3 4" xfId="861"/>
    <cellStyle name="Пояснение 3 5" xfId="862"/>
    <cellStyle name="Пояснение 3 6" xfId="863"/>
    <cellStyle name="Пояснение 3 7" xfId="864"/>
    <cellStyle name="Пояснение 3 8" xfId="865"/>
    <cellStyle name="Пояснение 3 9" xfId="866"/>
    <cellStyle name="Примечание 2" xfId="867"/>
    <cellStyle name="Примечание 2 10" xfId="868"/>
    <cellStyle name="Примечание 2 2" xfId="869"/>
    <cellStyle name="Примечание 2 3" xfId="870"/>
    <cellStyle name="Примечание 2 4" xfId="871"/>
    <cellStyle name="Примечание 2 5" xfId="872"/>
    <cellStyle name="Примечание 2 6" xfId="873"/>
    <cellStyle name="Примечание 2 7" xfId="874"/>
    <cellStyle name="Примечание 2 8" xfId="875"/>
    <cellStyle name="Примечание 2 9" xfId="876"/>
    <cellStyle name="Примечание 3" xfId="877"/>
    <cellStyle name="Примечание 3 10" xfId="878"/>
    <cellStyle name="Примечание 3 2" xfId="879"/>
    <cellStyle name="Примечание 3 3" xfId="880"/>
    <cellStyle name="Примечание 3 4" xfId="881"/>
    <cellStyle name="Примечание 3 5" xfId="882"/>
    <cellStyle name="Примечание 3 6" xfId="883"/>
    <cellStyle name="Примечание 3 7" xfId="884"/>
    <cellStyle name="Примечание 3 8" xfId="885"/>
    <cellStyle name="Примечание 3 9" xfId="886"/>
    <cellStyle name="Процентный" xfId="1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7;&#1056;&#1055;%20&#1080;%20&#1054;&#1054;&#1054;%20&#1056;&#1077;&#1084;&#1089;&#1090;&#1088;&#1086;&#1081;&#1089;&#1077;&#1088;&#1074;&#1080;&#1089;\&#1048;&#1055;%20&#1057;&#1080;&#1076;&#1086;&#1088;&#1086;&#1074;%20&#1040;.&#1041;.%20%20&#1041;&#1047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54;&#1054;&#1054;%20&#1057;&#1080;&#1074;&#1077;&#1088;&#1082;&#1086;%20&#1041;&#1047;%202017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0;&#1086;&#1078;&#1072;%20%20-%20&#1055;&#1086;&#1088;&#1086;&#1075;%20&#1041;&#1047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8;&#1055;%20&#1062;&#1091;&#1088;&#1082;&#1086;%20&#1045;.&#1070;\&#1048;&#1055;%20&#1062;&#1091;&#1088;&#1082;&#1086;%20&#1045;.&#1070;.%202%20&#1083;&#1080;&#1085;&#1080;&#1080;%202017-2019%20&#1075;&#1086;&#10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5;&#1080;&#1085;&#1077;&#1075;&#1072;%20&#1051;&#1103;&#1074;&#1083;&#1103;\&#1059;&#1089;&#1090;&#1100;-&#1055;&#1080;&#1085;&#1077;&#1078;&#1089;&#1082;&#1080;&#1081;%20&#1051;&#1055;&#1061;%20&#1051;&#1103;&#1074;&#1083;&#1103;%202017-2019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Арханг-ВТ"/>
      <sheetName val="Сойга"/>
      <sheetName val="Н-В Тойма"/>
      <sheetName val="Зарплата основных"/>
      <sheetName val="Прочие расходы"/>
      <sheetName val="Распределяемые"/>
      <sheetName val="БЗ 08-11"/>
      <sheetName val="Топл"/>
      <sheetName val="Кап. рем"/>
      <sheetName val="Лист3"/>
    </sheetNames>
    <sheetDataSet>
      <sheetData sheetId="0"/>
      <sheetData sheetId="1"/>
      <sheetData sheetId="2"/>
      <sheetData sheetId="3">
        <row r="14">
          <cell r="AM14">
            <v>105.5</v>
          </cell>
        </row>
        <row r="33">
          <cell r="AB33">
            <v>5241</v>
          </cell>
        </row>
        <row r="34">
          <cell r="AB34">
            <v>889.36500000000001</v>
          </cell>
        </row>
        <row r="38">
          <cell r="AB38">
            <v>262.05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8">
          <cell r="M18">
            <v>1020</v>
          </cell>
        </row>
        <row r="39">
          <cell r="M39">
            <v>3044.0185510444007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тариф"/>
      <sheetName val="тарифы"/>
    </sheetNames>
    <sheetDataSet>
      <sheetData sheetId="0">
        <row r="41">
          <cell r="AU41">
            <v>3293.3921976499996</v>
          </cell>
        </row>
        <row r="44">
          <cell r="AU44">
            <v>731.34710000000007</v>
          </cell>
        </row>
        <row r="49">
          <cell r="AU49">
            <v>164.6696098825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егашевская"/>
      <sheetName val="Лямца"/>
      <sheetName val="топливо"/>
      <sheetName val="Прочие расходы"/>
      <sheetName val="ФОТ (Легашевская и Лямца)"/>
      <sheetName val="тариф"/>
      <sheetName val="Доходы"/>
    </sheetNames>
    <sheetDataSet>
      <sheetData sheetId="0" refreshError="1">
        <row r="15">
          <cell r="AE15">
            <v>3565.1853625000003</v>
          </cell>
        </row>
        <row r="28">
          <cell r="AE28">
            <v>5804.5715572328018</v>
          </cell>
        </row>
      </sheetData>
      <sheetData sheetId="1" refreshError="1">
        <row r="11">
          <cell r="AD11">
            <v>157.5</v>
          </cell>
        </row>
        <row r="25">
          <cell r="AD25">
            <v>792.19978678820542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Расчет зар. платы"/>
      <sheetName val="прочие расходы"/>
      <sheetName val="Общехозяйственные "/>
      <sheetName val="Распр. общ."/>
      <sheetName val="Лист2"/>
      <sheetName val="Лист3"/>
    </sheetNames>
    <sheetDataSet>
      <sheetData sheetId="0">
        <row r="31">
          <cell r="CW31">
            <v>2221025.6370041845</v>
          </cell>
        </row>
        <row r="43">
          <cell r="CW43">
            <v>158548.5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9"/>
  <sheetViews>
    <sheetView tabSelected="1" view="pageBreakPreview" zoomScale="70" zoomScaleNormal="70" zoomScaleSheetLayoutView="70" workbookViewId="0">
      <pane xSplit="26" ySplit="4" topLeftCell="AI5" activePane="bottomRight" state="frozen"/>
      <selection pane="topRight" activeCell="Z1" sqref="Z1"/>
      <selection pane="bottomLeft" activeCell="A10" sqref="A10"/>
      <selection pane="bottomRight" activeCell="B26" sqref="B26"/>
    </sheetView>
  </sheetViews>
  <sheetFormatPr defaultColWidth="55" defaultRowHeight="15.75" outlineLevelCol="1"/>
  <cols>
    <col min="1" max="1" width="42.28515625" style="37" customWidth="1"/>
    <col min="2" max="2" width="56.5703125" style="37" customWidth="1"/>
    <col min="3" max="3" width="2.5703125" style="37" hidden="1" customWidth="1" outlineLevel="1"/>
    <col min="4" max="4" width="3.28515625" style="37" hidden="1" customWidth="1" outlineLevel="1"/>
    <col min="5" max="5" width="16.5703125" style="37" hidden="1" customWidth="1" outlineLevel="1"/>
    <col min="6" max="6" width="18.28515625" style="37" hidden="1" customWidth="1" outlineLevel="1"/>
    <col min="7" max="7" width="14.7109375" style="37" hidden="1" customWidth="1" outlineLevel="1"/>
    <col min="8" max="8" width="17.28515625" style="37" hidden="1" customWidth="1" outlineLevel="1"/>
    <col min="9" max="9" width="10" style="37" hidden="1" customWidth="1" outlineLevel="1"/>
    <col min="10" max="10" width="17.140625" style="37" hidden="1" customWidth="1" outlineLevel="1"/>
    <col min="11" max="11" width="10" style="37" hidden="1" customWidth="1" outlineLevel="1"/>
    <col min="12" max="12" width="17.140625" style="37" hidden="1" customWidth="1" outlineLevel="1"/>
    <col min="13" max="13" width="10.28515625" style="37" hidden="1" customWidth="1" outlineLevel="1"/>
    <col min="14" max="14" width="17.140625" style="37" hidden="1" customWidth="1" outlineLevel="1"/>
    <col min="15" max="15" width="10.28515625" style="37" hidden="1" customWidth="1" outlineLevel="1"/>
    <col min="16" max="16" width="17.140625" style="37" hidden="1" customWidth="1" outlineLevel="1" collapsed="1"/>
    <col min="17" max="17" width="23.5703125" style="37" hidden="1" customWidth="1" outlineLevel="1"/>
    <col min="18" max="18" width="13.140625" style="37" hidden="1" customWidth="1" outlineLevel="1"/>
    <col min="19" max="19" width="12.28515625" style="37" hidden="1" customWidth="1" outlineLevel="1"/>
    <col min="20" max="20" width="12.140625" style="37" hidden="1" customWidth="1" outlineLevel="1"/>
    <col min="21" max="21" width="11.28515625" style="37" hidden="1" customWidth="1" outlineLevel="1"/>
    <col min="22" max="22" width="9.42578125" style="37" hidden="1" customWidth="1" outlineLevel="1"/>
    <col min="23" max="23" width="13.42578125" style="37" hidden="1" customWidth="1" outlineLevel="1"/>
    <col min="24" max="24" width="12.5703125" style="37" hidden="1" customWidth="1" outlineLevel="1"/>
    <col min="25" max="25" width="13.28515625" style="37" hidden="1" customWidth="1" outlineLevel="1"/>
    <col min="26" max="26" width="9.42578125" style="37" hidden="1" customWidth="1" outlineLevel="1" collapsed="1"/>
    <col min="27" max="27" width="17.85546875" style="37" hidden="1" customWidth="1" collapsed="1"/>
    <col min="28" max="28" width="17" style="37" hidden="1" customWidth="1"/>
    <col min="29" max="29" width="14.85546875" style="39" hidden="1" customWidth="1"/>
    <col min="30" max="30" width="14.7109375" style="39" hidden="1" customWidth="1"/>
    <col min="31" max="31" width="12.140625" style="39" hidden="1" customWidth="1"/>
    <col min="32" max="32" width="14.7109375" style="39" hidden="1" customWidth="1"/>
    <col min="33" max="33" width="11.7109375" style="40" hidden="1" customWidth="1"/>
    <col min="34" max="34" width="18.7109375" style="40" hidden="1" customWidth="1"/>
    <col min="35" max="35" width="17" style="40" customWidth="1"/>
    <col min="36" max="36" width="16" style="39" customWidth="1"/>
    <col min="37" max="37" width="14.7109375" style="39" hidden="1" customWidth="1"/>
    <col min="38" max="38" width="16.42578125" style="39" customWidth="1"/>
    <col min="39" max="39" width="12.5703125" style="39" hidden="1" customWidth="1"/>
    <col min="40" max="40" width="17" style="39" customWidth="1"/>
    <col min="41" max="41" width="15.85546875" style="39" customWidth="1"/>
    <col min="42" max="43" width="13.140625" style="39" customWidth="1"/>
    <col min="44" max="44" width="15.85546875" style="39" customWidth="1"/>
    <col min="45" max="45" width="12.85546875" style="39" customWidth="1"/>
    <col min="46" max="46" width="14.140625" style="40" customWidth="1"/>
    <col min="47" max="47" width="14.140625" style="39" customWidth="1"/>
    <col min="48" max="48" width="12.28515625" style="39" customWidth="1"/>
    <col min="49" max="49" width="14.28515625" style="39" customWidth="1"/>
    <col min="50" max="50" width="15.5703125" style="39" customWidth="1"/>
    <col min="51" max="51" width="14.5703125" style="37" customWidth="1"/>
    <col min="52" max="52" width="13" style="37" customWidth="1"/>
    <col min="53" max="53" width="11.28515625" style="37" customWidth="1"/>
    <col min="54" max="54" width="12.7109375" style="37" customWidth="1"/>
    <col min="55" max="55" width="12" style="37" customWidth="1"/>
    <col min="56" max="16384" width="55" style="37"/>
  </cols>
  <sheetData>
    <row r="1" spans="1:55" ht="116.25" customHeigh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36" t="s">
        <v>67</v>
      </c>
      <c r="AJ1" s="36"/>
      <c r="AK1" s="36"/>
      <c r="AL1" s="36"/>
      <c r="AM1" s="36"/>
      <c r="AN1" s="36"/>
      <c r="AO1" s="36"/>
      <c r="AP1" s="36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</row>
    <row r="2" spans="1:55" ht="14.25" customHeight="1" thickBot="1">
      <c r="A2" s="152"/>
      <c r="B2" s="152"/>
      <c r="C2" s="38"/>
      <c r="D2" s="38"/>
      <c r="E2" s="38"/>
      <c r="F2" s="38"/>
      <c r="G2" s="38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2"/>
      <c r="T2" s="153"/>
      <c r="U2" s="152"/>
      <c r="V2" s="152"/>
      <c r="W2" s="152"/>
      <c r="X2" s="152"/>
      <c r="Y2" s="152"/>
      <c r="Z2" s="152"/>
      <c r="AA2" s="152"/>
      <c r="AB2" s="152"/>
      <c r="AC2" s="154"/>
      <c r="AD2" s="154"/>
      <c r="AE2" s="154"/>
      <c r="AF2" s="154"/>
      <c r="AG2" s="155"/>
      <c r="AH2" s="155"/>
      <c r="AI2" s="155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5"/>
      <c r="AU2" s="154"/>
      <c r="AV2" s="154"/>
      <c r="AW2" s="154"/>
      <c r="AX2" s="152"/>
      <c r="AY2" s="152"/>
      <c r="AZ2" s="152"/>
      <c r="BA2" s="152"/>
      <c r="BB2" s="152"/>
      <c r="BC2" s="156" t="s">
        <v>0</v>
      </c>
    </row>
    <row r="3" spans="1:55" ht="30.75" customHeight="1" thickBot="1">
      <c r="A3" s="41" t="s">
        <v>49</v>
      </c>
      <c r="B3" s="41" t="s">
        <v>50</v>
      </c>
      <c r="C3" s="42" t="s">
        <v>1</v>
      </c>
      <c r="D3" s="43" t="s">
        <v>2</v>
      </c>
      <c r="E3" s="44" t="s">
        <v>3</v>
      </c>
      <c r="F3" s="45"/>
      <c r="G3" s="44" t="s">
        <v>4</v>
      </c>
      <c r="H3" s="46"/>
      <c r="I3" s="46"/>
      <c r="J3" s="44" t="s">
        <v>5</v>
      </c>
      <c r="K3" s="45"/>
      <c r="L3" s="46" t="s">
        <v>6</v>
      </c>
      <c r="M3" s="45"/>
      <c r="N3" s="44" t="s">
        <v>7</v>
      </c>
      <c r="O3" s="46"/>
      <c r="P3" s="47" t="s">
        <v>8</v>
      </c>
      <c r="Q3" s="48"/>
      <c r="R3" s="49" t="s">
        <v>9</v>
      </c>
      <c r="S3" s="50"/>
      <c r="T3" s="50"/>
      <c r="U3" s="50"/>
      <c r="V3" s="50"/>
      <c r="W3" s="50" t="s">
        <v>10</v>
      </c>
      <c r="X3" s="50"/>
      <c r="Y3" s="50"/>
      <c r="Z3" s="51"/>
      <c r="AA3" s="52" t="s">
        <v>11</v>
      </c>
      <c r="AB3" s="53" t="s">
        <v>37</v>
      </c>
      <c r="AC3" s="49" t="s">
        <v>39</v>
      </c>
      <c r="AD3" s="50"/>
      <c r="AE3" s="50"/>
      <c r="AF3" s="50"/>
      <c r="AG3" s="51"/>
      <c r="AH3" s="52" t="s">
        <v>41</v>
      </c>
      <c r="AI3" s="54" t="s">
        <v>12</v>
      </c>
      <c r="AJ3" s="55"/>
      <c r="AK3" s="55"/>
      <c r="AL3" s="55"/>
      <c r="AM3" s="56"/>
      <c r="AN3" s="57" t="s">
        <v>40</v>
      </c>
      <c r="AO3" s="44" t="s">
        <v>13</v>
      </c>
      <c r="AP3" s="46"/>
      <c r="AQ3" s="46"/>
      <c r="AR3" s="46"/>
      <c r="AS3" s="45"/>
      <c r="AT3" s="54" t="s">
        <v>42</v>
      </c>
      <c r="AU3" s="55"/>
      <c r="AV3" s="55"/>
      <c r="AW3" s="55"/>
      <c r="AX3" s="56"/>
      <c r="AY3" s="54" t="s">
        <v>46</v>
      </c>
      <c r="AZ3" s="55"/>
      <c r="BA3" s="55"/>
      <c r="BB3" s="55"/>
      <c r="BC3" s="56"/>
    </row>
    <row r="4" spans="1:55" ht="74.25" customHeight="1" thickBot="1">
      <c r="A4" s="58"/>
      <c r="B4" s="58"/>
      <c r="C4" s="59" t="s">
        <v>14</v>
      </c>
      <c r="D4" s="60" t="s">
        <v>15</v>
      </c>
      <c r="E4" s="60" t="s">
        <v>16</v>
      </c>
      <c r="F4" s="60" t="s">
        <v>17</v>
      </c>
      <c r="G4" s="60" t="s">
        <v>16</v>
      </c>
      <c r="H4" s="61" t="s">
        <v>18</v>
      </c>
      <c r="I4" s="62" t="s">
        <v>19</v>
      </c>
      <c r="J4" s="61" t="s">
        <v>20</v>
      </c>
      <c r="K4" s="63" t="s">
        <v>21</v>
      </c>
      <c r="L4" s="64" t="s">
        <v>22</v>
      </c>
      <c r="M4" s="63" t="s">
        <v>21</v>
      </c>
      <c r="N4" s="61" t="s">
        <v>23</v>
      </c>
      <c r="O4" s="62" t="s">
        <v>24</v>
      </c>
      <c r="P4" s="65" t="s">
        <v>25</v>
      </c>
      <c r="Q4" s="66" t="s">
        <v>26</v>
      </c>
      <c r="R4" s="67" t="s">
        <v>27</v>
      </c>
      <c r="S4" s="68" t="s">
        <v>28</v>
      </c>
      <c r="T4" s="68" t="s">
        <v>29</v>
      </c>
      <c r="U4" s="68" t="s">
        <v>30</v>
      </c>
      <c r="V4" s="68" t="s">
        <v>31</v>
      </c>
      <c r="W4" s="68" t="s">
        <v>27</v>
      </c>
      <c r="X4" s="68" t="s">
        <v>28</v>
      </c>
      <c r="Y4" s="68" t="s">
        <v>30</v>
      </c>
      <c r="Z4" s="69"/>
      <c r="AA4" s="70" t="s">
        <v>43</v>
      </c>
      <c r="AB4" s="71"/>
      <c r="AC4" s="67" t="s">
        <v>27</v>
      </c>
      <c r="AD4" s="68" t="s">
        <v>28</v>
      </c>
      <c r="AE4" s="68" t="s">
        <v>32</v>
      </c>
      <c r="AF4" s="68" t="s">
        <v>30</v>
      </c>
      <c r="AG4" s="69" t="s">
        <v>38</v>
      </c>
      <c r="AH4" s="70" t="s">
        <v>44</v>
      </c>
      <c r="AI4" s="72" t="s">
        <v>27</v>
      </c>
      <c r="AJ4" s="73" t="s">
        <v>28</v>
      </c>
      <c r="AK4" s="73" t="s">
        <v>29</v>
      </c>
      <c r="AL4" s="73" t="s">
        <v>30</v>
      </c>
      <c r="AM4" s="74" t="s">
        <v>33</v>
      </c>
      <c r="AN4" s="75" t="s">
        <v>48</v>
      </c>
      <c r="AO4" s="72" t="s">
        <v>27</v>
      </c>
      <c r="AP4" s="73" t="s">
        <v>28</v>
      </c>
      <c r="AQ4" s="73" t="s">
        <v>29</v>
      </c>
      <c r="AR4" s="73" t="s">
        <v>30</v>
      </c>
      <c r="AS4" s="74" t="s">
        <v>34</v>
      </c>
      <c r="AT4" s="72" t="s">
        <v>27</v>
      </c>
      <c r="AU4" s="73" t="s">
        <v>28</v>
      </c>
      <c r="AV4" s="73" t="s">
        <v>29</v>
      </c>
      <c r="AW4" s="73" t="s">
        <v>30</v>
      </c>
      <c r="AX4" s="74" t="s">
        <v>45</v>
      </c>
      <c r="AY4" s="72" t="s">
        <v>27</v>
      </c>
      <c r="AZ4" s="73" t="s">
        <v>28</v>
      </c>
      <c r="BA4" s="73" t="s">
        <v>29</v>
      </c>
      <c r="BB4" s="73" t="s">
        <v>30</v>
      </c>
      <c r="BC4" s="74" t="s">
        <v>45</v>
      </c>
    </row>
    <row r="5" spans="1:55" ht="21" customHeight="1">
      <c r="A5" s="76" t="s">
        <v>51</v>
      </c>
      <c r="B5" s="76" t="s">
        <v>54</v>
      </c>
      <c r="C5" s="77">
        <f>5945.2+1734.1</f>
        <v>7679.2999999999993</v>
      </c>
      <c r="D5" s="78">
        <v>6113.8</v>
      </c>
      <c r="E5" s="78">
        <f>4850.3+4536</f>
        <v>9386.2999999999993</v>
      </c>
      <c r="F5" s="78">
        <v>7613.9</v>
      </c>
      <c r="G5" s="78"/>
      <c r="H5" s="79">
        <v>7494.8</v>
      </c>
      <c r="I5" s="80">
        <f>H5/F5*100</f>
        <v>98.435755657416053</v>
      </c>
      <c r="J5" s="79">
        <v>4559.1000000000004</v>
      </c>
      <c r="K5" s="80">
        <f>J5/H5*100</f>
        <v>60.830175588407961</v>
      </c>
      <c r="L5" s="79">
        <v>7467.1</v>
      </c>
      <c r="M5" s="81">
        <f>L5/J5*100</f>
        <v>163.78451887433923</v>
      </c>
      <c r="N5" s="78">
        <v>4501.3</v>
      </c>
      <c r="O5" s="81">
        <f>N5/L5*100</f>
        <v>60.281769361599544</v>
      </c>
      <c r="P5" s="82">
        <v>6447.1</v>
      </c>
      <c r="Q5" s="83">
        <f>P5/N5</f>
        <v>1.4322751205207385</v>
      </c>
      <c r="R5" s="84">
        <f>'[1]Н-В Тойма'!$AB$33+'[1]Н-В Тойма'!$AB$38</f>
        <v>5503.05</v>
      </c>
      <c r="S5" s="84">
        <f>'[1]Н-В Тойма'!$AB$34</f>
        <v>889.36500000000001</v>
      </c>
      <c r="T5" s="85">
        <f>'[1]Н-В Тойма'!$AM$14</f>
        <v>105.5</v>
      </c>
      <c r="U5" s="84">
        <f>R5-S5</f>
        <v>4613.6850000000004</v>
      </c>
      <c r="V5" s="85">
        <f>U5/P5*100</f>
        <v>71.5621752415815</v>
      </c>
      <c r="W5" s="86">
        <f>5097.488+256.473</f>
        <v>5353.9610000000002</v>
      </c>
      <c r="X5" s="86">
        <v>256.47300000000001</v>
      </c>
      <c r="Y5" s="87">
        <f>W5-X5</f>
        <v>5097.4880000000003</v>
      </c>
      <c r="Z5" s="86"/>
      <c r="AA5" s="86">
        <v>4513.7</v>
      </c>
      <c r="AB5" s="86">
        <v>4767.7</v>
      </c>
      <c r="AC5" s="88">
        <f>W5*1.045*1.036</f>
        <v>5796.3052578200004</v>
      </c>
      <c r="AD5" s="88">
        <f>X5*1.0644*1.0353</f>
        <v>282.62640330036004</v>
      </c>
      <c r="AE5" s="89">
        <f>AD5/S5*100</f>
        <v>31.778449039523711</v>
      </c>
      <c r="AF5" s="88">
        <f>AC5-AD5</f>
        <v>5513.6788545196405</v>
      </c>
      <c r="AG5" s="90">
        <f>AF5/AA5</f>
        <v>1.221543047725733</v>
      </c>
      <c r="AH5" s="91">
        <v>5513.6790000000001</v>
      </c>
      <c r="AI5" s="92">
        <f>AC5*1.04</f>
        <v>6028.1574681328002</v>
      </c>
      <c r="AJ5" s="88">
        <v>344.84</v>
      </c>
      <c r="AK5" s="93">
        <f>AJ5/AD5</f>
        <v>1.2201266264338464</v>
      </c>
      <c r="AL5" s="88">
        <f>AI5-AJ5</f>
        <v>5683.3174681328001</v>
      </c>
      <c r="AM5" s="94">
        <f>AL5/AH5</f>
        <v>1.0307668379194364</v>
      </c>
      <c r="AN5" s="95">
        <v>6100</v>
      </c>
      <c r="AO5" s="96">
        <v>7191</v>
      </c>
      <c r="AP5" s="97">
        <v>863.18</v>
      </c>
      <c r="AQ5" s="93">
        <f>AP5/AJ5</f>
        <v>2.5031318872520592</v>
      </c>
      <c r="AR5" s="98">
        <f>AO5-AP5</f>
        <v>6327.82</v>
      </c>
      <c r="AS5" s="94">
        <f>AR5/AL5</f>
        <v>1.1134025215872632</v>
      </c>
      <c r="AT5" s="92">
        <v>10429</v>
      </c>
      <c r="AU5" s="88">
        <v>897.71</v>
      </c>
      <c r="AV5" s="90">
        <f>AU5/AP5</f>
        <v>1.0400032438193656</v>
      </c>
      <c r="AW5" s="99">
        <f>AT5-AU5</f>
        <v>9531.2900000000009</v>
      </c>
      <c r="AX5" s="94">
        <f>AW5/AR5</f>
        <v>1.5062517581094281</v>
      </c>
      <c r="AY5" s="92">
        <v>10668</v>
      </c>
      <c r="AZ5" s="88">
        <v>933.62</v>
      </c>
      <c r="BA5" s="90">
        <f>AZ5/AU5</f>
        <v>1.0400017823127736</v>
      </c>
      <c r="BB5" s="88">
        <f>AY5-AZ5</f>
        <v>9734.3799999999992</v>
      </c>
      <c r="BC5" s="94">
        <f>BB5/AW5</f>
        <v>1.0213077138561515</v>
      </c>
    </row>
    <row r="6" spans="1:55" ht="27.75" customHeight="1">
      <c r="A6" s="20" t="s">
        <v>52</v>
      </c>
      <c r="B6" s="20" t="s">
        <v>53</v>
      </c>
      <c r="C6" s="1"/>
      <c r="D6" s="2"/>
      <c r="E6" s="2"/>
      <c r="F6" s="2"/>
      <c r="G6" s="2"/>
      <c r="H6" s="11"/>
      <c r="I6" s="9"/>
      <c r="J6" s="10"/>
      <c r="K6" s="9"/>
      <c r="L6" s="10"/>
      <c r="M6" s="12"/>
      <c r="N6" s="2"/>
      <c r="O6" s="12"/>
      <c r="P6" s="13"/>
      <c r="Q6" s="5"/>
      <c r="R6" s="6"/>
      <c r="S6" s="6"/>
      <c r="T6" s="4"/>
      <c r="U6" s="6"/>
      <c r="V6" s="4"/>
      <c r="W6" s="7"/>
      <c r="X6" s="7"/>
      <c r="Y6" s="8"/>
      <c r="Z6" s="7"/>
      <c r="AA6" s="7">
        <v>0</v>
      </c>
      <c r="AB6" s="7">
        <v>0</v>
      </c>
      <c r="AC6" s="14">
        <v>899.90300000000002</v>
      </c>
      <c r="AD6" s="14">
        <v>246.4</v>
      </c>
      <c r="AE6" s="3"/>
      <c r="AF6" s="14">
        <f>AC6-AD6</f>
        <v>653.50300000000004</v>
      </c>
      <c r="AG6" s="15" t="s">
        <v>36</v>
      </c>
      <c r="AH6" s="22">
        <v>653.50300000000004</v>
      </c>
      <c r="AI6" s="23">
        <v>367.786</v>
      </c>
      <c r="AJ6" s="14">
        <f>AD6*1.04</f>
        <v>256.25600000000003</v>
      </c>
      <c r="AK6" s="18">
        <f>AJ6/AD6</f>
        <v>1.04</v>
      </c>
      <c r="AL6" s="14">
        <f>AI6-AJ6</f>
        <v>111.52999999999997</v>
      </c>
      <c r="AM6" s="16">
        <f>AL6/AH6</f>
        <v>0.17066486305342127</v>
      </c>
      <c r="AN6" s="26">
        <v>111.5</v>
      </c>
      <c r="AO6" s="29">
        <f>AR6+AP6</f>
        <v>1207.33</v>
      </c>
      <c r="AP6" s="17">
        <v>42</v>
      </c>
      <c r="AQ6" s="18">
        <f>AP6/AJ6</f>
        <v>0.16389860139860138</v>
      </c>
      <c r="AR6" s="34">
        <v>1165.33</v>
      </c>
      <c r="AS6" s="16">
        <f>AR6/AN6</f>
        <v>10.451390134529147</v>
      </c>
      <c r="AT6" s="23">
        <v>1337.2909999999999</v>
      </c>
      <c r="AU6" s="14">
        <v>43.2</v>
      </c>
      <c r="AV6" s="15">
        <f>AU6/AP6</f>
        <v>1.0285714285714287</v>
      </c>
      <c r="AW6" s="14"/>
      <c r="AX6" s="16"/>
      <c r="AY6" s="23">
        <v>1560.6089999999999</v>
      </c>
      <c r="AZ6" s="14">
        <v>44.4</v>
      </c>
      <c r="BA6" s="15">
        <f>AZ6/AU6</f>
        <v>1.0277777777777777</v>
      </c>
      <c r="BB6" s="14"/>
      <c r="BC6" s="16"/>
    </row>
    <row r="7" spans="1:55" ht="24.75" customHeight="1">
      <c r="A7" s="20" t="s">
        <v>62</v>
      </c>
      <c r="B7" s="20" t="s">
        <v>61</v>
      </c>
      <c r="C7" s="1"/>
      <c r="D7" s="2"/>
      <c r="E7" s="2"/>
      <c r="F7" s="2"/>
      <c r="G7" s="2"/>
      <c r="H7" s="11" t="s">
        <v>35</v>
      </c>
      <c r="I7" s="9" t="s">
        <v>35</v>
      </c>
      <c r="J7" s="10" t="s">
        <v>35</v>
      </c>
      <c r="K7" s="9" t="s">
        <v>35</v>
      </c>
      <c r="L7" s="10" t="s">
        <v>35</v>
      </c>
      <c r="M7" s="12" t="s">
        <v>35</v>
      </c>
      <c r="N7" s="2">
        <f>1595.8+300</f>
        <v>1895.8</v>
      </c>
      <c r="O7" s="12" t="s">
        <v>35</v>
      </c>
      <c r="P7" s="13">
        <v>2292.6</v>
      </c>
      <c r="Q7" s="5">
        <f>P7/N7</f>
        <v>1.209304778985125</v>
      </c>
      <c r="R7" s="6">
        <f>[2]Лист1!$M$39</f>
        <v>3044.0185510444007</v>
      </c>
      <c r="S7" s="6">
        <f>[2]Лист1!$M$18</f>
        <v>1020</v>
      </c>
      <c r="T7" s="4">
        <f>75/70*100</f>
        <v>107.14285714285714</v>
      </c>
      <c r="U7" s="6">
        <f>R7-S7</f>
        <v>2024.0185510444007</v>
      </c>
      <c r="V7" s="4">
        <f>U7/P7*100</f>
        <v>88.284853487062762</v>
      </c>
      <c r="W7" s="7">
        <f>1353.24+1991.6182</f>
        <v>3344.8581999999997</v>
      </c>
      <c r="X7" s="7">
        <v>1353.24</v>
      </c>
      <c r="Y7" s="8">
        <f>W7-X7</f>
        <v>1991.6181999999997</v>
      </c>
      <c r="Z7" s="7"/>
      <c r="AA7" s="7">
        <v>2192.8000000000002</v>
      </c>
      <c r="AB7" s="7">
        <v>1974</v>
      </c>
      <c r="AC7" s="14">
        <f>W7*1.045*1.036</f>
        <v>3621.2103844839999</v>
      </c>
      <c r="AD7" s="14">
        <f>X7*1.114*1.026</f>
        <v>1546.7046033600002</v>
      </c>
      <c r="AE7" s="3">
        <f>AD7/S7*100</f>
        <v>151.63770621176474</v>
      </c>
      <c r="AF7" s="14">
        <f>AC7-AD7</f>
        <v>2074.5057811239994</v>
      </c>
      <c r="AG7" s="15">
        <f>AF7/AA7</f>
        <v>0.94605334783108319</v>
      </c>
      <c r="AH7" s="22">
        <v>2074.5059999999999</v>
      </c>
      <c r="AI7" s="23">
        <f>AC7*1.04</f>
        <v>3766.05879986336</v>
      </c>
      <c r="AJ7" s="14">
        <f>1740.01</f>
        <v>1740.01</v>
      </c>
      <c r="AK7" s="18">
        <f>AJ7/AD7</f>
        <v>1.1249788719966765</v>
      </c>
      <c r="AL7" s="14">
        <f>AI7-AJ7</f>
        <v>2026.04879986336</v>
      </c>
      <c r="AM7" s="16">
        <f>AL7/AH7</f>
        <v>0.97664157146971864</v>
      </c>
      <c r="AN7" s="26">
        <v>2026.1</v>
      </c>
      <c r="AO7" s="29">
        <v>4157.2</v>
      </c>
      <c r="AP7" s="17">
        <v>1784.05</v>
      </c>
      <c r="AQ7" s="18">
        <f>AP7/AJ7</f>
        <v>1.0253101993666702</v>
      </c>
      <c r="AR7" s="34">
        <f>AO7-AP7</f>
        <v>2373.1499999999996</v>
      </c>
      <c r="AS7" s="16">
        <f>AR7/AL7</f>
        <v>1.1713192693878098</v>
      </c>
      <c r="AT7" s="23">
        <v>4323.2</v>
      </c>
      <c r="AU7" s="14">
        <v>1855.42</v>
      </c>
      <c r="AV7" s="15">
        <f>AU7/AP7</f>
        <v>1.0400044841792551</v>
      </c>
      <c r="AW7" s="35">
        <f>AT7-AU7</f>
        <v>2467.7799999999997</v>
      </c>
      <c r="AX7" s="16">
        <f>AW7/AR7</f>
        <v>1.0398752712639319</v>
      </c>
      <c r="AY7" s="23">
        <v>4457.2</v>
      </c>
      <c r="AZ7" s="14">
        <v>1929.6</v>
      </c>
      <c r="BA7" s="15">
        <f>AZ7/AU7</f>
        <v>1.0399801662157355</v>
      </c>
      <c r="BB7" s="14">
        <f>AY7-AZ7</f>
        <v>2527.6</v>
      </c>
      <c r="BC7" s="16">
        <f>BB7/AW7</f>
        <v>1.0242404104093559</v>
      </c>
    </row>
    <row r="8" spans="1:55" ht="24.75" customHeight="1">
      <c r="A8" s="100" t="s">
        <v>55</v>
      </c>
      <c r="B8" s="20" t="s">
        <v>66</v>
      </c>
      <c r="C8" s="1"/>
      <c r="D8" s="2"/>
      <c r="E8" s="2"/>
      <c r="F8" s="2"/>
      <c r="G8" s="2"/>
      <c r="H8" s="11"/>
      <c r="I8" s="9"/>
      <c r="J8" s="10"/>
      <c r="K8" s="9"/>
      <c r="L8" s="10"/>
      <c r="M8" s="12"/>
      <c r="N8" s="2"/>
      <c r="O8" s="12"/>
      <c r="P8" s="13"/>
      <c r="Q8" s="5"/>
      <c r="R8" s="6"/>
      <c r="S8" s="6"/>
      <c r="T8" s="4"/>
      <c r="U8" s="6"/>
      <c r="V8" s="4"/>
      <c r="W8" s="7"/>
      <c r="X8" s="7"/>
      <c r="Y8" s="8"/>
      <c r="Z8" s="7"/>
      <c r="AA8" s="7"/>
      <c r="AB8" s="7"/>
      <c r="AC8" s="14"/>
      <c r="AD8" s="14"/>
      <c r="AE8" s="3"/>
      <c r="AF8" s="14"/>
      <c r="AG8" s="15"/>
      <c r="AH8" s="22"/>
      <c r="AI8" s="23">
        <f>AI10+AI11+AI12</f>
        <v>9795.6774932015996</v>
      </c>
      <c r="AJ8" s="14">
        <f t="shared" ref="AJ8:BB8" si="0">AJ10+AJ11+AJ12</f>
        <v>3890.0482621440001</v>
      </c>
      <c r="AK8" s="14">
        <f t="shared" si="0"/>
        <v>4.7380415715725857</v>
      </c>
      <c r="AL8" s="14">
        <f t="shared" si="0"/>
        <v>5905.6292310575991</v>
      </c>
      <c r="AM8" s="24">
        <f t="shared" si="0"/>
        <v>2.97253814011939</v>
      </c>
      <c r="AN8" s="27">
        <v>5905.6</v>
      </c>
      <c r="AO8" s="23">
        <f>AO10+AO11+AO12</f>
        <v>11908.3</v>
      </c>
      <c r="AP8" s="14">
        <f t="shared" si="0"/>
        <v>4428.45</v>
      </c>
      <c r="AQ8" s="18">
        <f>AP8/AJ8</f>
        <v>1.1384048992644784</v>
      </c>
      <c r="AR8" s="35">
        <f t="shared" si="0"/>
        <v>7479.85</v>
      </c>
      <c r="AS8" s="16">
        <f>AR8/AL8</f>
        <v>1.2665627501068983</v>
      </c>
      <c r="AT8" s="23">
        <f t="shared" si="0"/>
        <v>11794.9</v>
      </c>
      <c r="AU8" s="14">
        <f t="shared" si="0"/>
        <v>4605.59</v>
      </c>
      <c r="AV8" s="15"/>
      <c r="AW8" s="35">
        <f t="shared" si="0"/>
        <v>7189.3099999999995</v>
      </c>
      <c r="AX8" s="16">
        <f>AW8/AR8</f>
        <v>0.96115697507302944</v>
      </c>
      <c r="AY8" s="23">
        <f t="shared" si="0"/>
        <v>12235.4</v>
      </c>
      <c r="AZ8" s="14">
        <f t="shared" si="0"/>
        <v>4789.8163999999997</v>
      </c>
      <c r="BA8" s="15"/>
      <c r="BB8" s="14">
        <f t="shared" si="0"/>
        <v>7445.5835999999999</v>
      </c>
      <c r="BC8" s="16">
        <f>BB8/AW8</f>
        <v>1.0356464806775616</v>
      </c>
    </row>
    <row r="9" spans="1:55" ht="18" customHeight="1">
      <c r="A9" s="100"/>
      <c r="B9" s="31" t="s">
        <v>65</v>
      </c>
      <c r="C9" s="1"/>
      <c r="D9" s="2"/>
      <c r="E9" s="2"/>
      <c r="F9" s="2"/>
      <c r="G9" s="2"/>
      <c r="H9" s="11"/>
      <c r="I9" s="9"/>
      <c r="J9" s="10"/>
      <c r="K9" s="9"/>
      <c r="L9" s="10"/>
      <c r="M9" s="12"/>
      <c r="N9" s="2"/>
      <c r="O9" s="12"/>
      <c r="P9" s="13"/>
      <c r="Q9" s="5"/>
      <c r="R9" s="6"/>
      <c r="S9" s="6"/>
      <c r="T9" s="4"/>
      <c r="U9" s="6"/>
      <c r="V9" s="4"/>
      <c r="W9" s="7"/>
      <c r="X9" s="7"/>
      <c r="Y9" s="8"/>
      <c r="Z9" s="7"/>
      <c r="AA9" s="7"/>
      <c r="AB9" s="7"/>
      <c r="AC9" s="14"/>
      <c r="AD9" s="14"/>
      <c r="AE9" s="3"/>
      <c r="AF9" s="14"/>
      <c r="AG9" s="15"/>
      <c r="AH9" s="22"/>
      <c r="AI9" s="23"/>
      <c r="AJ9" s="14"/>
      <c r="AK9" s="18"/>
      <c r="AL9" s="14"/>
      <c r="AM9" s="16"/>
      <c r="AN9" s="26"/>
      <c r="AO9" s="29"/>
      <c r="AP9" s="17"/>
      <c r="AQ9" s="18"/>
      <c r="AR9" s="17"/>
      <c r="AS9" s="16"/>
      <c r="AT9" s="23"/>
      <c r="AU9" s="14"/>
      <c r="AV9" s="15"/>
      <c r="AW9" s="14"/>
      <c r="AX9" s="16"/>
      <c r="AY9" s="23"/>
      <c r="AZ9" s="14"/>
      <c r="BA9" s="15"/>
      <c r="BB9" s="14"/>
      <c r="BC9" s="16"/>
    </row>
    <row r="10" spans="1:55" ht="22.5" customHeight="1">
      <c r="A10" s="100"/>
      <c r="B10" s="32" t="s">
        <v>56</v>
      </c>
      <c r="C10" s="1">
        <v>584.9</v>
      </c>
      <c r="D10" s="2">
        <v>1113.4000000000001</v>
      </c>
      <c r="E10" s="2">
        <v>1594.6</v>
      </c>
      <c r="F10" s="2">
        <v>1306.5</v>
      </c>
      <c r="G10" s="2"/>
      <c r="H10" s="11">
        <v>2219.6</v>
      </c>
      <c r="I10" s="9">
        <f t="shared" ref="I10:I13" si="1">H10/F10*100</f>
        <v>169.88901645618063</v>
      </c>
      <c r="J10" s="10">
        <v>2126.8000000000002</v>
      </c>
      <c r="K10" s="9">
        <f t="shared" ref="K10:K13" si="2">J10/H10*100</f>
        <v>95.819066498468203</v>
      </c>
      <c r="L10" s="10">
        <v>2132.6999999999998</v>
      </c>
      <c r="M10" s="12">
        <f t="shared" ref="M10:M13" si="3">L10/J10*100</f>
        <v>100.27741207447806</v>
      </c>
      <c r="N10" s="2">
        <f>2337.8+100</f>
        <v>2437.8000000000002</v>
      </c>
      <c r="O10" s="12">
        <f t="shared" ref="O10:O13" si="4">N10/L10*100</f>
        <v>114.30580953720637</v>
      </c>
      <c r="P10" s="13">
        <v>2620.1999999999998</v>
      </c>
      <c r="Q10" s="5">
        <f t="shared" ref="Q10:Q13" si="5">P10/N10</f>
        <v>1.0748215604233324</v>
      </c>
      <c r="R10" s="6">
        <f>[3]расчет!$AU$41+[3]расчет!$AU$49</f>
        <v>3458.0618075324996</v>
      </c>
      <c r="S10" s="6">
        <f>[3]расчет!$AU$44</f>
        <v>731.34710000000007</v>
      </c>
      <c r="T10" s="4">
        <v>105.5</v>
      </c>
      <c r="U10" s="6">
        <f t="shared" ref="U10:U12" si="6">R10-S10</f>
        <v>2726.7147075324997</v>
      </c>
      <c r="V10" s="4">
        <f t="shared" ref="V10:V13" si="7">U10/P10*100</f>
        <v>104.06513653661933</v>
      </c>
      <c r="W10" s="7">
        <f>2490.2+695.117</f>
        <v>3185.317</v>
      </c>
      <c r="X10" s="7">
        <v>695.11699999999996</v>
      </c>
      <c r="Y10" s="8">
        <f t="shared" ref="Y10:Y13" si="8">W10-X10</f>
        <v>2490.1999999999998</v>
      </c>
      <c r="Z10" s="7"/>
      <c r="AA10" s="7">
        <v>2626.7</v>
      </c>
      <c r="AB10" s="7">
        <v>2626.7</v>
      </c>
      <c r="AC10" s="14">
        <f>W10*1.045*1.036</f>
        <v>3448.4878905399996</v>
      </c>
      <c r="AD10" s="14">
        <f>X10*1.027*1.04</f>
        <v>742.44056535999994</v>
      </c>
      <c r="AE10" s="3">
        <f t="shared" ref="AE10:AE13" si="9">AD10/S10*100</f>
        <v>101.51685367454111</v>
      </c>
      <c r="AF10" s="14">
        <f t="shared" ref="AF10:AF13" si="10">AC10-AD10</f>
        <v>2706.0473251799995</v>
      </c>
      <c r="AG10" s="15">
        <f t="shared" ref="AG10:AG13" si="11">AF10/AA10</f>
        <v>1.0302079891803402</v>
      </c>
      <c r="AH10" s="22">
        <v>2706.047</v>
      </c>
      <c r="AI10" s="25">
        <f>AC10*1.04</f>
        <v>3586.4274061615997</v>
      </c>
      <c r="AJ10" s="8">
        <v>530.13</v>
      </c>
      <c r="AK10" s="18">
        <f t="shared" ref="AK10:AK13" si="12">AJ10/AD10</f>
        <v>0.71403695424824576</v>
      </c>
      <c r="AL10" s="8">
        <f t="shared" ref="AL10:AL13" si="13">AI10-AJ10</f>
        <v>3056.2974061615996</v>
      </c>
      <c r="AM10" s="16">
        <f t="shared" ref="AM10:AM13" si="14">AL10/AH10</f>
        <v>1.1294324918087526</v>
      </c>
      <c r="AN10" s="26">
        <f>AL10</f>
        <v>3056.2974061615996</v>
      </c>
      <c r="AO10" s="30">
        <v>4145.8</v>
      </c>
      <c r="AP10" s="19">
        <v>552.58000000000004</v>
      </c>
      <c r="AQ10" s="18">
        <f t="shared" ref="AQ10:AQ13" si="15">AP10/AJ10</f>
        <v>1.0423481032954183</v>
      </c>
      <c r="AR10" s="19">
        <f t="shared" ref="AR10:AR13" si="16">AO10-AP10</f>
        <v>3593.2200000000003</v>
      </c>
      <c r="AS10" s="16">
        <f>AR10/AL10</f>
        <v>1.1756774693313374</v>
      </c>
      <c r="AT10" s="25">
        <v>4229</v>
      </c>
      <c r="AU10" s="8">
        <v>574.67999999999995</v>
      </c>
      <c r="AV10" s="15">
        <f t="shared" ref="AV10:AV13" si="17">AU10/AP10</f>
        <v>1.0399942089833145</v>
      </c>
      <c r="AW10" s="8">
        <f t="shared" ref="AW10:AW13" si="18">AT10-AU10</f>
        <v>3654.32</v>
      </c>
      <c r="AX10" s="16">
        <f t="shared" ref="AX10:AX13" si="19">AW10/AR10</f>
        <v>1.0170042468871932</v>
      </c>
      <c r="AY10" s="25">
        <v>4365.3999999999996</v>
      </c>
      <c r="AZ10" s="8">
        <v>597.66999999999996</v>
      </c>
      <c r="BA10" s="15">
        <f t="shared" ref="BA10:BA13" si="20">AZ10/AU10</f>
        <v>1.0400048722767454</v>
      </c>
      <c r="BB10" s="8">
        <f t="shared" ref="BB10:BB13" si="21">AY10-AZ10</f>
        <v>3767.7299999999996</v>
      </c>
      <c r="BC10" s="16">
        <f t="shared" ref="BC10:BC13" si="22">BB10/AW10</f>
        <v>1.0310345016309461</v>
      </c>
    </row>
    <row r="11" spans="1:55" ht="28.5" customHeight="1">
      <c r="A11" s="100"/>
      <c r="B11" s="32" t="s">
        <v>57</v>
      </c>
      <c r="C11" s="1">
        <v>290.39999999999998</v>
      </c>
      <c r="D11" s="2">
        <v>317</v>
      </c>
      <c r="E11" s="2">
        <v>453.6</v>
      </c>
      <c r="F11" s="2">
        <v>362.8</v>
      </c>
      <c r="G11" s="2"/>
      <c r="H11" s="11">
        <v>505.7</v>
      </c>
      <c r="I11" s="9">
        <f>H11/F11*100</f>
        <v>139.38809261300992</v>
      </c>
      <c r="J11" s="10">
        <v>652.9</v>
      </c>
      <c r="K11" s="9">
        <f>J11/H11*100</f>
        <v>129.10816689736998</v>
      </c>
      <c r="L11" s="10">
        <v>677.9</v>
      </c>
      <c r="M11" s="12">
        <f>L11/J11*100</f>
        <v>103.82907030173074</v>
      </c>
      <c r="N11" s="2">
        <v>729.2</v>
      </c>
      <c r="O11" s="12">
        <f>N11/L11*100</f>
        <v>107.56748783006344</v>
      </c>
      <c r="P11" s="13">
        <v>530.29999999999995</v>
      </c>
      <c r="Q11" s="5">
        <f>P11/N11</f>
        <v>0.72723532638507948</v>
      </c>
      <c r="R11" s="6">
        <f>[4]Лямца!$AD$25</f>
        <v>792.19978678820542</v>
      </c>
      <c r="S11" s="6">
        <f>[4]Лямца!$AD$11</f>
        <v>157.5</v>
      </c>
      <c r="T11" s="4">
        <f>1050/1000*100</f>
        <v>105</v>
      </c>
      <c r="U11" s="6">
        <f>R11-S11</f>
        <v>634.69978678820542</v>
      </c>
      <c r="V11" s="4">
        <f>U11/P11*100</f>
        <v>119.68692943394407</v>
      </c>
      <c r="W11" s="7">
        <v>230.58</v>
      </c>
      <c r="X11" s="7">
        <v>24.49</v>
      </c>
      <c r="Y11" s="8">
        <f>W11-X11</f>
        <v>206.09</v>
      </c>
      <c r="Z11" s="7"/>
      <c r="AA11" s="7">
        <f>2772.1-AA12</f>
        <v>219.92799999999988</v>
      </c>
      <c r="AB11" s="7">
        <v>219.3</v>
      </c>
      <c r="AC11" s="14">
        <f>W11*1.045*1.036</f>
        <v>249.63051960000001</v>
      </c>
      <c r="AD11" s="14">
        <f>X11*1.1*1.036</f>
        <v>27.908804</v>
      </c>
      <c r="AE11" s="3">
        <f>AD11/S11*100</f>
        <v>17.719875555555557</v>
      </c>
      <c r="AF11" s="14">
        <f>AC11-AD11</f>
        <v>221.72171560000001</v>
      </c>
      <c r="AG11" s="15">
        <f>AF11/AA11</f>
        <v>1.0081559219380893</v>
      </c>
      <c r="AH11" s="22">
        <f>AB11</f>
        <v>219.3</v>
      </c>
      <c r="AI11" s="25">
        <f>AC11*1.04</f>
        <v>259.61574038400005</v>
      </c>
      <c r="AJ11" s="8">
        <v>83.28</v>
      </c>
      <c r="AK11" s="18">
        <f>AJ11/AD11</f>
        <v>2.9840046173243397</v>
      </c>
      <c r="AL11" s="8">
        <f>AI11-AJ11</f>
        <v>176.33574038400005</v>
      </c>
      <c r="AM11" s="16">
        <f>AL11/AH11</f>
        <v>0.80408454347469238</v>
      </c>
      <c r="AN11" s="28">
        <f>AL11</f>
        <v>176.33574038400005</v>
      </c>
      <c r="AO11" s="30"/>
      <c r="AP11" s="19"/>
      <c r="AQ11" s="18"/>
      <c r="AR11" s="19"/>
      <c r="AS11" s="16"/>
      <c r="AT11" s="25"/>
      <c r="AU11" s="8"/>
      <c r="AV11" s="15"/>
      <c r="AW11" s="8"/>
      <c r="AX11" s="16"/>
      <c r="AY11" s="25"/>
      <c r="AZ11" s="8"/>
      <c r="BA11" s="15"/>
      <c r="BB11" s="8"/>
      <c r="BC11" s="16"/>
    </row>
    <row r="12" spans="1:55" ht="24" customHeight="1">
      <c r="A12" s="100"/>
      <c r="B12" s="32" t="s">
        <v>58</v>
      </c>
      <c r="C12" s="1">
        <v>1305.0999999999999</v>
      </c>
      <c r="D12" s="2">
        <v>1104.9000000000001</v>
      </c>
      <c r="E12" s="2">
        <v>1471.75</v>
      </c>
      <c r="F12" s="2">
        <v>1236.2</v>
      </c>
      <c r="G12" s="2"/>
      <c r="H12" s="11">
        <v>1309.2</v>
      </c>
      <c r="I12" s="9">
        <f t="shared" si="1"/>
        <v>105.9051933344119</v>
      </c>
      <c r="J12" s="10">
        <v>1367.7</v>
      </c>
      <c r="K12" s="9">
        <f t="shared" si="2"/>
        <v>104.46837763519707</v>
      </c>
      <c r="L12" s="10">
        <v>1553.6</v>
      </c>
      <c r="M12" s="12">
        <f t="shared" si="3"/>
        <v>113.59216202383561</v>
      </c>
      <c r="N12" s="2">
        <v>1797.6</v>
      </c>
      <c r="O12" s="12">
        <f t="shared" si="4"/>
        <v>115.70545829042224</v>
      </c>
      <c r="P12" s="13">
        <v>2231.8000000000002</v>
      </c>
      <c r="Q12" s="5">
        <f t="shared" si="5"/>
        <v>1.2415442812639077</v>
      </c>
      <c r="R12" s="6">
        <f>[4]Легашевская!$AE$28</f>
        <v>5804.5715572328018</v>
      </c>
      <c r="S12" s="6">
        <f>[4]Легашевская!$AE$15</f>
        <v>3565.1853625000003</v>
      </c>
      <c r="T12" s="4">
        <f>37/35*100</f>
        <v>105.71428571428572</v>
      </c>
      <c r="U12" s="6">
        <f t="shared" si="6"/>
        <v>2239.3861947328014</v>
      </c>
      <c r="V12" s="4">
        <f t="shared" si="7"/>
        <v>100.33991373477915</v>
      </c>
      <c r="W12" s="7">
        <v>5284.22</v>
      </c>
      <c r="X12" s="7">
        <v>2827.6</v>
      </c>
      <c r="Y12" s="8">
        <f t="shared" si="8"/>
        <v>2456.6200000000003</v>
      </c>
      <c r="Z12" s="7"/>
      <c r="AA12" s="7">
        <f>2774.1*0.92</f>
        <v>2552.172</v>
      </c>
      <c r="AB12" s="7">
        <f>2774.1-AB11</f>
        <v>2554.7999999999997</v>
      </c>
      <c r="AC12" s="14">
        <f>W12*1.045*1.036</f>
        <v>5720.8022564000003</v>
      </c>
      <c r="AD12" s="14">
        <f>X12*1.086*1.026</f>
        <v>3150.6137136000002</v>
      </c>
      <c r="AE12" s="3">
        <f t="shared" si="9"/>
        <v>88.371666358203271</v>
      </c>
      <c r="AF12" s="14">
        <f t="shared" si="10"/>
        <v>2570.1885428000001</v>
      </c>
      <c r="AG12" s="15">
        <f t="shared" si="11"/>
        <v>1.0070592980410411</v>
      </c>
      <c r="AH12" s="22">
        <f>2791.91-AH11</f>
        <v>2572.6099999999997</v>
      </c>
      <c r="AI12" s="25">
        <f>AC12*1.04</f>
        <v>5949.6343466560002</v>
      </c>
      <c r="AJ12" s="8">
        <f>AD12*1.04</f>
        <v>3276.6382621440002</v>
      </c>
      <c r="AK12" s="18">
        <f t="shared" si="12"/>
        <v>1.04</v>
      </c>
      <c r="AL12" s="8">
        <f t="shared" si="13"/>
        <v>2672.9960845119999</v>
      </c>
      <c r="AM12" s="16">
        <f t="shared" si="14"/>
        <v>1.039021104835945</v>
      </c>
      <c r="AN12" s="26">
        <f>AL12</f>
        <v>2672.9960845119999</v>
      </c>
      <c r="AO12" s="30">
        <f>7744.6+17.9</f>
        <v>7762.5</v>
      </c>
      <c r="AP12" s="19">
        <v>3875.87</v>
      </c>
      <c r="AQ12" s="18">
        <f t="shared" si="15"/>
        <v>1.1828800404301891</v>
      </c>
      <c r="AR12" s="19">
        <f t="shared" si="16"/>
        <v>3886.63</v>
      </c>
      <c r="AS12" s="16">
        <f>AR12/AL12</f>
        <v>1.4540350517234557</v>
      </c>
      <c r="AT12" s="25">
        <f>8055-489.1</f>
        <v>7565.9</v>
      </c>
      <c r="AU12" s="8">
        <v>4030.91</v>
      </c>
      <c r="AV12" s="15">
        <f t="shared" si="17"/>
        <v>1.0400013416342653</v>
      </c>
      <c r="AW12" s="8">
        <f t="shared" si="18"/>
        <v>3534.99</v>
      </c>
      <c r="AX12" s="16">
        <f t="shared" si="19"/>
        <v>0.9095257330901062</v>
      </c>
      <c r="AY12" s="25">
        <f>8378.6-508.6</f>
        <v>7870</v>
      </c>
      <c r="AZ12" s="8">
        <f>AU12*1.04</f>
        <v>4192.1463999999996</v>
      </c>
      <c r="BA12" s="15">
        <f t="shared" si="20"/>
        <v>1.04</v>
      </c>
      <c r="BB12" s="8">
        <f t="shared" si="21"/>
        <v>3677.8536000000004</v>
      </c>
      <c r="BC12" s="16">
        <f t="shared" si="22"/>
        <v>1.0404141454431273</v>
      </c>
    </row>
    <row r="13" spans="1:55" ht="31.5">
      <c r="A13" s="20" t="s">
        <v>60</v>
      </c>
      <c r="B13" s="20" t="s">
        <v>59</v>
      </c>
      <c r="C13" s="1">
        <v>461.2</v>
      </c>
      <c r="D13" s="2">
        <v>767.6</v>
      </c>
      <c r="E13" s="2">
        <v>772.8</v>
      </c>
      <c r="F13" s="2">
        <v>767.3</v>
      </c>
      <c r="G13" s="2"/>
      <c r="H13" s="11">
        <v>846.7</v>
      </c>
      <c r="I13" s="9">
        <f t="shared" si="1"/>
        <v>110.34797341326733</v>
      </c>
      <c r="J13" s="10">
        <v>1175</v>
      </c>
      <c r="K13" s="9">
        <f t="shared" si="2"/>
        <v>138.77406401322781</v>
      </c>
      <c r="L13" s="10">
        <v>1313</v>
      </c>
      <c r="M13" s="12">
        <f t="shared" si="3"/>
        <v>111.74468085106383</v>
      </c>
      <c r="N13" s="2">
        <f>1528+50</f>
        <v>1578</v>
      </c>
      <c r="O13" s="12">
        <f t="shared" si="4"/>
        <v>120.18278750952018</v>
      </c>
      <c r="P13" s="13">
        <v>1753.4</v>
      </c>
      <c r="Q13" s="5">
        <f t="shared" si="5"/>
        <v>1.1111533586818758</v>
      </c>
      <c r="R13" s="6">
        <f>[5]Свод!$CW$31/1000</f>
        <v>2221.0256370041843</v>
      </c>
      <c r="S13" s="6">
        <f>[5]Свод!$CW$43/1000</f>
        <v>158.54849999999999</v>
      </c>
      <c r="T13" s="4">
        <f>33/30*100</f>
        <v>110.00000000000001</v>
      </c>
      <c r="U13" s="6">
        <f>R13-S13</f>
        <v>2062.4771370041844</v>
      </c>
      <c r="V13" s="4">
        <f t="shared" si="7"/>
        <v>117.62730335372329</v>
      </c>
      <c r="W13" s="7">
        <f>118.3+1740.65</f>
        <v>1858.95</v>
      </c>
      <c r="X13" s="7">
        <v>118.3</v>
      </c>
      <c r="Y13" s="8">
        <f t="shared" si="8"/>
        <v>1740.65</v>
      </c>
      <c r="Z13" s="7"/>
      <c r="AA13" s="7">
        <v>1852.5</v>
      </c>
      <c r="AB13" s="7">
        <v>1987.4</v>
      </c>
      <c r="AC13" s="14">
        <f>W13*1.045*1.036</f>
        <v>2012.5364490000002</v>
      </c>
      <c r="AD13" s="14">
        <f>X13*1.11*1.03</f>
        <v>135.25239000000002</v>
      </c>
      <c r="AE13" s="3">
        <f t="shared" si="9"/>
        <v>85.306634878286474</v>
      </c>
      <c r="AF13" s="14">
        <f t="shared" si="10"/>
        <v>1877.2840590000001</v>
      </c>
      <c r="AG13" s="15">
        <f t="shared" si="11"/>
        <v>1.013378709311741</v>
      </c>
      <c r="AH13" s="22">
        <v>1877.2840000000001</v>
      </c>
      <c r="AI13" s="23">
        <f>AC13*1.04</f>
        <v>2093.0379069600003</v>
      </c>
      <c r="AJ13" s="14">
        <v>135.27000000000001</v>
      </c>
      <c r="AK13" s="18">
        <f t="shared" si="12"/>
        <v>1.0001302010263922</v>
      </c>
      <c r="AL13" s="14">
        <f t="shared" si="13"/>
        <v>1957.7679069600003</v>
      </c>
      <c r="AM13" s="16">
        <f t="shared" si="14"/>
        <v>1.0428725259257525</v>
      </c>
      <c r="AN13" s="33">
        <v>2657.8</v>
      </c>
      <c r="AO13" s="29">
        <v>2967.8679999999999</v>
      </c>
      <c r="AP13" s="17">
        <v>166.16</v>
      </c>
      <c r="AQ13" s="18">
        <f t="shared" si="15"/>
        <v>1.2283580986175795</v>
      </c>
      <c r="AR13" s="34">
        <f t="shared" si="16"/>
        <v>2801.7080000000001</v>
      </c>
      <c r="AS13" s="16">
        <f>AR13/AN13</f>
        <v>1.0541455339002181</v>
      </c>
      <c r="AT13" s="23">
        <v>2930.6</v>
      </c>
      <c r="AU13" s="14">
        <v>172.81</v>
      </c>
      <c r="AV13" s="15">
        <f t="shared" si="17"/>
        <v>1.0400216658642274</v>
      </c>
      <c r="AW13" s="35">
        <f t="shared" si="18"/>
        <v>2757.79</v>
      </c>
      <c r="AX13" s="16">
        <f t="shared" si="19"/>
        <v>0.98432456201716945</v>
      </c>
      <c r="AY13" s="23">
        <v>3039.96</v>
      </c>
      <c r="AZ13" s="14">
        <v>179.72</v>
      </c>
      <c r="BA13" s="15">
        <f t="shared" si="20"/>
        <v>1.0399861119148197</v>
      </c>
      <c r="BB13" s="14">
        <f t="shared" si="21"/>
        <v>2860.2400000000002</v>
      </c>
      <c r="BC13" s="16">
        <f t="shared" si="22"/>
        <v>1.0371493115864516</v>
      </c>
    </row>
    <row r="14" spans="1:55" ht="24.75" customHeight="1" thickBot="1">
      <c r="A14" s="21" t="s">
        <v>63</v>
      </c>
      <c r="B14" s="21" t="s">
        <v>64</v>
      </c>
      <c r="C14" s="1"/>
      <c r="D14" s="2"/>
      <c r="E14" s="2"/>
      <c r="F14" s="2"/>
      <c r="G14" s="2"/>
      <c r="H14" s="11"/>
      <c r="I14" s="9"/>
      <c r="J14" s="10"/>
      <c r="K14" s="9"/>
      <c r="L14" s="10"/>
      <c r="M14" s="12"/>
      <c r="N14" s="2"/>
      <c r="O14" s="12"/>
      <c r="P14" s="13"/>
      <c r="Q14" s="5"/>
      <c r="R14" s="6"/>
      <c r="S14" s="6"/>
      <c r="T14" s="4"/>
      <c r="U14" s="6"/>
      <c r="V14" s="4"/>
      <c r="W14" s="7"/>
      <c r="X14" s="7"/>
      <c r="Y14" s="8"/>
      <c r="Z14" s="7"/>
      <c r="AA14" s="7"/>
      <c r="AB14" s="7"/>
      <c r="AC14" s="14"/>
      <c r="AD14" s="14"/>
      <c r="AE14" s="3"/>
      <c r="AF14" s="14"/>
      <c r="AG14" s="15"/>
      <c r="AH14" s="22"/>
      <c r="AI14" s="23">
        <f>AL14+AJ14</f>
        <v>40242.947322297958</v>
      </c>
      <c r="AJ14" s="14">
        <f>AP14/1.027</f>
        <v>14898.247322297957</v>
      </c>
      <c r="AK14" s="18"/>
      <c r="AL14" s="14">
        <v>25344.7</v>
      </c>
      <c r="AM14" s="16"/>
      <c r="AN14" s="28">
        <f>AL14</f>
        <v>25344.7</v>
      </c>
      <c r="AO14" s="29">
        <v>39670.199999999997</v>
      </c>
      <c r="AP14" s="17">
        <v>15300.5</v>
      </c>
      <c r="AQ14" s="18">
        <f>AP14/AJ14</f>
        <v>1.0269999999999999</v>
      </c>
      <c r="AR14" s="34">
        <f>AO14-AP14</f>
        <v>24369.699999999997</v>
      </c>
      <c r="AS14" s="16">
        <f>AR14/AL14</f>
        <v>0.96153041858850163</v>
      </c>
      <c r="AT14" s="23">
        <v>41107.1</v>
      </c>
      <c r="AU14" s="14">
        <v>15912.5</v>
      </c>
      <c r="AV14" s="15">
        <f>AU14/AP14</f>
        <v>1.0399986928531748</v>
      </c>
      <c r="AW14" s="35">
        <f>AT14-AU14</f>
        <v>25194.6</v>
      </c>
      <c r="AX14" s="16">
        <f>AW14/AR14</f>
        <v>1.0338494113591878</v>
      </c>
      <c r="AY14" s="23">
        <v>42630.5</v>
      </c>
      <c r="AZ14" s="14">
        <v>16549</v>
      </c>
      <c r="BA14" s="15">
        <f>AZ14/AU14</f>
        <v>1.04</v>
      </c>
      <c r="BB14" s="14">
        <f>AY14-AZ14</f>
        <v>26081.5</v>
      </c>
      <c r="BC14" s="16">
        <f>BB14/AW14</f>
        <v>1.0352019877275289</v>
      </c>
    </row>
    <row r="15" spans="1:55" hidden="1">
      <c r="A15" s="101"/>
      <c r="B15" s="102"/>
      <c r="C15" s="103"/>
      <c r="D15" s="103"/>
      <c r="E15" s="103"/>
      <c r="F15" s="103"/>
      <c r="G15" s="103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5"/>
      <c r="AD15" s="105"/>
      <c r="AE15" s="105"/>
      <c r="AF15" s="105"/>
      <c r="AG15" s="106"/>
      <c r="AH15" s="107"/>
      <c r="AI15" s="108"/>
      <c r="AJ15" s="105"/>
      <c r="AK15" s="105"/>
      <c r="AL15" s="105"/>
      <c r="AM15" s="109"/>
      <c r="AN15" s="110"/>
      <c r="AO15" s="111"/>
      <c r="AP15" s="105"/>
      <c r="AQ15" s="105"/>
      <c r="AR15" s="105"/>
      <c r="AS15" s="109"/>
      <c r="AT15" s="108"/>
      <c r="AU15" s="105"/>
      <c r="AV15" s="105"/>
      <c r="AW15" s="105"/>
      <c r="AX15" s="109"/>
      <c r="AY15" s="112">
        <f>48649.37-BB19</f>
        <v>6.640000000334112E-2</v>
      </c>
      <c r="AZ15" s="104"/>
      <c r="BA15" s="104"/>
      <c r="BB15" s="104"/>
      <c r="BC15" s="113"/>
    </row>
    <row r="16" spans="1:55" hidden="1">
      <c r="A16" s="11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5"/>
      <c r="AD16" s="105"/>
      <c r="AE16" s="105"/>
      <c r="AF16" s="105"/>
      <c r="AG16" s="106"/>
      <c r="AH16" s="107"/>
      <c r="AI16" s="108"/>
      <c r="AJ16" s="105"/>
      <c r="AK16" s="105"/>
      <c r="AL16" s="105"/>
      <c r="AM16" s="109"/>
      <c r="AN16" s="110"/>
      <c r="AO16" s="111"/>
      <c r="AP16" s="105"/>
      <c r="AQ16" s="105"/>
      <c r="AR16" s="105"/>
      <c r="AS16" s="109"/>
      <c r="AT16" s="108"/>
      <c r="AU16" s="105"/>
      <c r="AV16" s="105">
        <v>44517.66</v>
      </c>
      <c r="AW16" s="105"/>
      <c r="AX16" s="109"/>
      <c r="AY16" s="114"/>
      <c r="AZ16" s="104"/>
      <c r="BA16" s="104"/>
      <c r="BB16" s="104"/>
      <c r="BC16" s="113"/>
    </row>
    <row r="17" spans="1:55" hidden="1">
      <c r="A17" s="114"/>
      <c r="B17" s="115"/>
      <c r="C17" s="115"/>
      <c r="D17" s="115"/>
      <c r="E17" s="115"/>
      <c r="F17" s="115"/>
      <c r="G17" s="115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5"/>
      <c r="AD17" s="105"/>
      <c r="AE17" s="105"/>
      <c r="AF17" s="105"/>
      <c r="AG17" s="106"/>
      <c r="AH17" s="107"/>
      <c r="AI17" s="108"/>
      <c r="AJ17" s="105"/>
      <c r="AK17" s="105"/>
      <c r="AL17" s="105"/>
      <c r="AM17" s="109"/>
      <c r="AN17" s="110"/>
      <c r="AO17" s="111"/>
      <c r="AP17" s="105"/>
      <c r="AQ17" s="105"/>
      <c r="AR17" s="105"/>
      <c r="AS17" s="109"/>
      <c r="AT17" s="108"/>
      <c r="AU17" s="105"/>
      <c r="AV17" s="116">
        <f>AR19-AV16</f>
        <v>-0.10200000000622822</v>
      </c>
      <c r="AW17" s="105"/>
      <c r="AX17" s="109"/>
      <c r="AY17" s="114"/>
      <c r="AZ17" s="104"/>
      <c r="BA17" s="104"/>
      <c r="BB17" s="104"/>
      <c r="BC17" s="113"/>
    </row>
    <row r="18" spans="1:55" hidden="1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9"/>
      <c r="AD18" s="119"/>
      <c r="AE18" s="119"/>
      <c r="AF18" s="119"/>
      <c r="AG18" s="120"/>
      <c r="AH18" s="121"/>
      <c r="AI18" s="122"/>
      <c r="AJ18" s="119"/>
      <c r="AK18" s="119"/>
      <c r="AL18" s="119"/>
      <c r="AM18" s="123"/>
      <c r="AN18" s="124"/>
      <c r="AO18" s="125"/>
      <c r="AP18" s="119"/>
      <c r="AQ18" s="119"/>
      <c r="AR18" s="126">
        <f>AR19-AR6</f>
        <v>43352.227999999996</v>
      </c>
      <c r="AS18" s="123"/>
      <c r="AT18" s="122"/>
      <c r="AU18" s="119"/>
      <c r="AV18" s="119"/>
      <c r="AW18" s="119"/>
      <c r="AX18" s="123"/>
      <c r="AY18" s="117"/>
      <c r="AZ18" s="118"/>
      <c r="BA18" s="118"/>
      <c r="BB18" s="118"/>
      <c r="BC18" s="127"/>
    </row>
    <row r="19" spans="1:55" ht="33" customHeight="1" thickBot="1">
      <c r="A19" s="128" t="s">
        <v>47</v>
      </c>
      <c r="B19" s="129"/>
      <c r="C19" s="130"/>
      <c r="D19" s="130"/>
      <c r="E19" s="130"/>
      <c r="F19" s="130"/>
      <c r="G19" s="130"/>
      <c r="H19" s="131"/>
      <c r="I19" s="132"/>
      <c r="J19" s="133"/>
      <c r="K19" s="132"/>
      <c r="L19" s="133"/>
      <c r="M19" s="134"/>
      <c r="N19" s="130"/>
      <c r="O19" s="134"/>
      <c r="P19" s="135"/>
      <c r="Q19" s="136"/>
      <c r="R19" s="137"/>
      <c r="S19" s="137"/>
      <c r="T19" s="138"/>
      <c r="U19" s="137"/>
      <c r="V19" s="138"/>
      <c r="W19" s="139"/>
      <c r="X19" s="139"/>
      <c r="Y19" s="140"/>
      <c r="Z19" s="139"/>
      <c r="AA19" s="139"/>
      <c r="AB19" s="139"/>
      <c r="AC19" s="141"/>
      <c r="AD19" s="141"/>
      <c r="AE19" s="142"/>
      <c r="AF19" s="141"/>
      <c r="AG19" s="143"/>
      <c r="AH19" s="144"/>
      <c r="AI19" s="145">
        <f>SUM(AI5:AI8,AI13:AI14)</f>
        <v>62293.66499045572</v>
      </c>
      <c r="AJ19" s="141">
        <f t="shared" ref="AJ19:BB19" si="23">SUM(AJ5:AJ8,AJ13:AJ14)</f>
        <v>21264.67158444196</v>
      </c>
      <c r="AK19" s="141">
        <f t="shared" si="23"/>
        <v>9.1232772710295009</v>
      </c>
      <c r="AL19" s="141">
        <f t="shared" si="23"/>
        <v>41028.99340601376</v>
      </c>
      <c r="AM19" s="146">
        <f t="shared" si="23"/>
        <v>6.1934839384877192</v>
      </c>
      <c r="AN19" s="147">
        <f t="shared" si="23"/>
        <v>42145.7</v>
      </c>
      <c r="AO19" s="145">
        <f t="shared" si="23"/>
        <v>67101.897999999986</v>
      </c>
      <c r="AP19" s="141">
        <f t="shared" si="23"/>
        <v>22584.34</v>
      </c>
      <c r="AQ19" s="148">
        <f t="shared" ref="AQ19" si="24">AP19/AJ19</f>
        <v>1.0620591957095429</v>
      </c>
      <c r="AR19" s="149">
        <f t="shared" si="23"/>
        <v>44517.557999999997</v>
      </c>
      <c r="AS19" s="150">
        <f>AR19/AN19</f>
        <v>1.056277579919185</v>
      </c>
      <c r="AT19" s="145">
        <f t="shared" si="23"/>
        <v>71922.090999999986</v>
      </c>
      <c r="AU19" s="141">
        <f t="shared" si="23"/>
        <v>23487.23</v>
      </c>
      <c r="AV19" s="148">
        <f>AU19/AP19</f>
        <v>1.039978586932361</v>
      </c>
      <c r="AW19" s="149">
        <f t="shared" si="23"/>
        <v>47140.77</v>
      </c>
      <c r="AX19" s="150">
        <f>AW19/AR19</f>
        <v>1.0589253345837164</v>
      </c>
      <c r="AY19" s="145">
        <f t="shared" si="23"/>
        <v>74591.668999999994</v>
      </c>
      <c r="AZ19" s="141">
        <f t="shared" si="23"/>
        <v>24426.1564</v>
      </c>
      <c r="BA19" s="148">
        <f>AZ19/AU19</f>
        <v>1.0399760380428003</v>
      </c>
      <c r="BB19" s="149">
        <f t="shared" si="23"/>
        <v>48649.303599999999</v>
      </c>
      <c r="BC19" s="150">
        <f>BB19/AW19</f>
        <v>1.0320006143302285</v>
      </c>
    </row>
  </sheetData>
  <mergeCells count="19">
    <mergeCell ref="A8:A12"/>
    <mergeCell ref="A3:A4"/>
    <mergeCell ref="AI1:AP1"/>
    <mergeCell ref="A19:B19"/>
    <mergeCell ref="AY3:BC3"/>
    <mergeCell ref="L3:M3"/>
    <mergeCell ref="N3:O3"/>
    <mergeCell ref="P3:Q3"/>
    <mergeCell ref="AB3:AB4"/>
    <mergeCell ref="R3:V3"/>
    <mergeCell ref="W3:Z3"/>
    <mergeCell ref="AT3:AX3"/>
    <mergeCell ref="AO3:AS3"/>
    <mergeCell ref="AI3:AM3"/>
    <mergeCell ref="B3:B4"/>
    <mergeCell ref="E3:F3"/>
    <mergeCell ref="G3:I3"/>
    <mergeCell ref="J3:K3"/>
    <mergeCell ref="AC3:AG3"/>
  </mergeCells>
  <pageMargins left="0.62992125984251968" right="0.43307086614173229" top="0.74803149606299213" bottom="0.74803149606299213" header="0.31496062992125984" footer="0.51181102362204722"/>
  <pageSetup paperSize="9" scale="55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Водные</vt:lpstr>
      <vt:lpstr>Водные!Заголовки_для_печати</vt:lpstr>
      <vt:lpstr>Водные!Область_печати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lastPrinted>2019-10-13T12:36:48Z</cp:lastPrinted>
  <dcterms:created xsi:type="dcterms:W3CDTF">2017-08-04T07:55:22Z</dcterms:created>
  <dcterms:modified xsi:type="dcterms:W3CDTF">2019-10-13T12:36:50Z</dcterms:modified>
</cp:coreProperties>
</file>